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drawings/drawing1.xml" ContentType="application/vnd.openxmlformats-officedocument.drawing+xml"/>
  <Override PartName="/xl/worksheets/sheet1.xml" ContentType="application/vnd.openxmlformats-officedocument.spreadsheetml.worksheet+xml"/>
  <Override PartName="/xl/drawings/drawing2.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1" showHorizontalScroll="1" showVerticalScroll="1" showSheetTabs="1"/>
  </bookViews>
  <sheets>
    <sheet name="Сводные данные" sheetId="1" r:id="rId1"/>
    <sheet name="Упоминания" sheetId="2" r:id="rId2"/>
  </sheets>
  <definedNames>
    <definedName name="_xlnm._FilterDatabase" localSheetId="1">Упоминания!$B$6:$DE$6</definedName>
  </definedNames>
  <calcPr refMode="A1"/>
</workbook>
</file>

<file path=xl/sharedStrings.xml><?xml version="1.0" encoding="utf-8"?>
<sst xmlns="http://schemas.openxmlformats.org/spreadsheetml/2006/main" count="3529" uniqueCount="3529">
  <si>
    <t>Тема:</t>
  </si>
  <si>
    <t>ММХ_РЕСПИ_с 05.12.2022</t>
  </si>
  <si>
    <t>Период:</t>
  </si>
  <si>
    <t>13.04.23 16:10 - 14.04.23 16:09</t>
  </si>
  <si>
    <t>Сообщений:</t>
  </si>
  <si>
    <t>Авторов:</t>
  </si>
  <si>
    <t>Лояльность:</t>
  </si>
  <si>
    <t>Вовлеченность:</t>
  </si>
  <si>
    <t>Аудитория:</t>
  </si>
  <si>
    <t>Дата</t>
  </si>
  <si>
    <t>Упоминаний</t>
  </si>
  <si>
    <t>Авторов</t>
  </si>
  <si>
    <t>Вовлеченность</t>
  </si>
  <si>
    <t>Аудитория</t>
  </si>
  <si>
    <t>16:00</t>
  </si>
  <si>
    <t>16:30</t>
  </si>
  <si>
    <t>17:00</t>
  </si>
  <si>
    <t>17:30</t>
  </si>
  <si>
    <t>18:00</t>
  </si>
  <si>
    <t>18:30</t>
  </si>
  <si>
    <t>19:00</t>
  </si>
  <si>
    <t>19:30</t>
  </si>
  <si>
    <t>20:00</t>
  </si>
  <si>
    <t>20:30</t>
  </si>
  <si>
    <t>21:00</t>
  </si>
  <si>
    <t>21:30</t>
  </si>
  <si>
    <t>22:00</t>
  </si>
  <si>
    <t>22:30</t>
  </si>
  <si>
    <t>23:00</t>
  </si>
  <si>
    <t>23:30</t>
  </si>
  <si>
    <t>00:00</t>
  </si>
  <si>
    <t>00:30</t>
  </si>
  <si>
    <t>01:00</t>
  </si>
  <si>
    <t>01:30</t>
  </si>
  <si>
    <t>02:00</t>
  </si>
  <si>
    <t>02:30</t>
  </si>
  <si>
    <t>03:00</t>
  </si>
  <si>
    <t>03:30</t>
  </si>
  <si>
    <t>04:00</t>
  </si>
  <si>
    <t>04:30</t>
  </si>
  <si>
    <t>05:00</t>
  </si>
  <si>
    <t>05:30</t>
  </si>
  <si>
    <t>06:00</t>
  </si>
  <si>
    <t>06:30</t>
  </si>
  <si>
    <t>07:00</t>
  </si>
  <si>
    <t>07:30</t>
  </si>
  <si>
    <t>08:00</t>
  </si>
  <si>
    <t>08:30</t>
  </si>
  <si>
    <t>09:00</t>
  </si>
  <si>
    <t>09:30</t>
  </si>
  <si>
    <t>10:00</t>
  </si>
  <si>
    <t>10:30</t>
  </si>
  <si>
    <t>11:00</t>
  </si>
  <si>
    <t>11:30</t>
  </si>
  <si>
    <t>12:00</t>
  </si>
  <si>
    <t>12:30</t>
  </si>
  <si>
    <t>13:00</t>
  </si>
  <si>
    <t>13:30</t>
  </si>
  <si>
    <t>14:00</t>
  </si>
  <si>
    <t>14:30</t>
  </si>
  <si>
    <t>15:00</t>
  </si>
  <si>
    <t>15:30</t>
  </si>
  <si>
    <t>ID сообщения</t>
  </si>
  <si>
    <t>Заголовок</t>
  </si>
  <si>
    <t>Текст</t>
  </si>
  <si>
    <t>Источник</t>
  </si>
  <si>
    <t>Url</t>
  </si>
  <si>
    <t>Тип источника</t>
  </si>
  <si>
    <t>Тип сообщения</t>
  </si>
  <si>
    <t>Автор</t>
  </si>
  <si>
    <t>Url автора</t>
  </si>
  <si>
    <t>Тип автора</t>
  </si>
  <si>
    <t>Место публикации</t>
  </si>
  <si>
    <t>Url места публикации</t>
  </si>
  <si>
    <t>Пол</t>
  </si>
  <si>
    <t>Возраст</t>
  </si>
  <si>
    <t>Комментариев</t>
  </si>
  <si>
    <t>Цитируемость СМИ</t>
  </si>
  <si>
    <t>Репостов</t>
  </si>
  <si>
    <t>Лайков</t>
  </si>
  <si>
    <t>Просмотров</t>
  </si>
  <si>
    <t>Оценка</t>
  </si>
  <si>
    <t>Дублей</t>
  </si>
  <si>
    <t>Тональность</t>
  </si>
  <si>
    <t>Роль объекта</t>
  </si>
  <si>
    <t>Агрессия</t>
  </si>
  <si>
    <t>Страна</t>
  </si>
  <si>
    <t>Регион</t>
  </si>
  <si>
    <t>Город</t>
  </si>
  <si>
    <t>Место</t>
  </si>
  <si>
    <t>Адрес</t>
  </si>
  <si>
    <t>Язык</t>
  </si>
  <si>
    <t>WOM</t>
  </si>
  <si>
    <t>Обработано</t>
  </si>
  <si>
    <t>Конкуренты</t>
  </si>
  <si>
    <t>!Амина</t>
  </si>
  <si>
    <t>Список препаратов</t>
  </si>
  <si>
    <t>Болезнь</t>
  </si>
  <si>
    <t>Анаферон</t>
  </si>
  <si>
    <t>!Нурсия</t>
  </si>
  <si>
    <t>Полиоксидоний</t>
  </si>
  <si>
    <t>Арбидол</t>
  </si>
  <si>
    <t>Вирус</t>
  </si>
  <si>
    <t>Нерелевантно</t>
  </si>
  <si>
    <t>Амбробене</t>
  </si>
  <si>
    <t>Циклоферон</t>
  </si>
  <si>
    <t>Врач</t>
  </si>
  <si>
    <t>Лазолван</t>
  </si>
  <si>
    <t>Конструктив</t>
  </si>
  <si>
    <t>!Катя</t>
  </si>
  <si>
    <t>!Вброс</t>
  </si>
  <si>
    <t>Для ребенка</t>
  </si>
  <si>
    <t>Виферон</t>
  </si>
  <si>
    <t>Ренгалин</t>
  </si>
  <si>
    <t>Кашель</t>
  </si>
  <si>
    <t>Кагоцел</t>
  </si>
  <si>
    <t>Для себя</t>
  </si>
  <si>
    <t>Геделикс</t>
  </si>
  <si>
    <t>Гриппферон</t>
  </si>
  <si>
    <t>АЦЦ</t>
  </si>
  <si>
    <t>Статья</t>
  </si>
  <si>
    <t>Горло</t>
  </si>
  <si>
    <t>Профилактика</t>
  </si>
  <si>
    <t>Деринат</t>
  </si>
  <si>
    <t>Температура</t>
  </si>
  <si>
    <t>Эргоферон</t>
  </si>
  <si>
    <t>Насморк (заложенность носа)</t>
  </si>
  <si>
    <t>Амиксин</t>
  </si>
  <si>
    <t>Рафамин</t>
  </si>
  <si>
    <t>Faros.Media</t>
  </si>
  <si>
    <t>Коронавирус</t>
  </si>
  <si>
    <t>Интерес</t>
  </si>
  <si>
    <t>Ингавирин</t>
  </si>
  <si>
    <t>Коделак</t>
  </si>
  <si>
    <t>Не эффективен</t>
  </si>
  <si>
    <t>Для беременных</t>
  </si>
  <si>
    <t>Бронхо-мунал</t>
  </si>
  <si>
    <t>Кипферон</t>
  </si>
  <si>
    <t>Крауд</t>
  </si>
  <si>
    <t>Памятка</t>
  </si>
  <si>
    <t>Не рекомендуют</t>
  </si>
  <si>
    <t>Для взрослого</t>
  </si>
  <si>
    <t>Пустышка</t>
  </si>
  <si>
    <t>Агенты</t>
  </si>
  <si>
    <t>Трекрезан</t>
  </si>
  <si>
    <t>Фуфломицин</t>
  </si>
  <si>
    <t>Троллинг</t>
  </si>
  <si>
    <t>Генферон</t>
  </si>
  <si>
    <t>Не помогает</t>
  </si>
  <si>
    <t>Изопринозин</t>
  </si>
  <si>
    <t>Цитовир</t>
  </si>
  <si>
    <t>!на отзовике</t>
  </si>
  <si>
    <t>Побочные эффекты</t>
  </si>
  <si>
    <t>Нобазит</t>
  </si>
  <si>
    <t>Опыт</t>
  </si>
  <si>
    <t>Неправильный диагноз</t>
  </si>
  <si>
    <t>Для грудничка</t>
  </si>
  <si>
    <t>Не стали принимать</t>
  </si>
  <si>
    <t>Не конструктив</t>
  </si>
  <si>
    <t>Непереносимость</t>
  </si>
  <si>
    <t>Аллергия</t>
  </si>
  <si>
    <t>Для всей семьи</t>
  </si>
  <si>
    <t>Простуда</t>
  </si>
  <si>
    <t>Гомеопатия</t>
  </si>
  <si>
    <t>Флюдитек</t>
  </si>
  <si>
    <t>Для кормящей (период лактации)</t>
  </si>
  <si>
    <t>Фероны</t>
  </si>
  <si>
    <t>14.04.2023 15:58</t>
  </si>
  <si>
    <t xml:space="preserve">99 САМЫХ ЛУЧШИХ ЛЕКАРСТВ ОБЯЗАТЕЛЬНО СОХРАНИТЕ
Простуда
1. Ибупрон – сильное обезболивающие средство, быстро действует, в виде шипучих таблеток щадит желудок, а в свечах удобен для малышей.
2. Колдрекс – отличный сосудосуживающий препарат. Быстро действует, потому что его растворяют в горячей воде.
3. Назол – избавляет от насморка и не дает пересыхать слизистой оболочке носа, действует 12 часов.
4. Нурофен – скорая помощь, действует быстро. Для малышей есть свечи, но сильно ухудшает качество крови.
5. Парацетамол (панадол, эффералган) – великолепное жаропонижающее, незаменим для астматиков.
6. Полиоксидоний – стимулирует иммунную систему, назначают детям, пригоден для экстренной помощи и для профилактики во время эпидемии ОРВИ.
7. Рибомунил – восстанавливает иммунитет, рекомендован детям как самое эффективное средство.
8. Санорин – самое быстрое средство от насморка с противоаллергическими компонентами.
9. Флукол–Б – дешевый и эффективный препарат, но содержит 8% алкоголя и противопоказан водителям.
Печень
1. Антраль – отечественный оригинальный препарат, ему нет аналогов в мире, защищает клетки печени от любой микробной агрессии.
2. Галстена – капли, незаменимое лекарство для маленьких детей.
3. Лиолив – улучшает состояние печени при желтухах (пониженный билирубин).
4. Липоферон – препарат принимают через рот, он дешевле инъекционных интерферонов в 5 раз!
5. Оротат калия – улучшает работу печени, синтез белка, общий обмен веществ.
6. Силимарин-гексал – растительный препарат. В нем содержится намного больше действующего вещества, чем в его аналогах: карсиле, силиборе, гепабене.
7. Холензим – желчегонный недорогой препарат, помогает перевариванию пищи, улучшает выработку ферментов.
8. Холивер – желчегонный препарат растительного происхождения.
9. Хепель – гомеопатическое немецкое средство без побочных действий.
10. Эссенциале – уже 20 лет нет более действенного препарата для лечения печени.
Желудок
1. Альтан – растительный препарат отечественного производства, незаменим при язвенной болезни.
2. Ацидин-пепсин – повышает кислотность в желудке.
3. Гастритол – капли растительного происхождения, хороши для малышей.
4. Мотилиум – нормализует моторику желудка, улучшает продвижение пищи по желудку.
5. Облепиховое масло – уменьшает воспалительные процессы в желудке.
6. Париет – из последнего поколения препаратов, которые хорошо снижают кислотность в желудке.
7. Пилобакт – новейшее средство от хеликобактера.
8. Ренорм – отечественный фитоконцентрат с сильным противовоспалительным действием, нормализует пищеварение.
9. Риабал – хорошо снимает спазмы в желудке, его назначают детям. Есть в виде сиропа и в каплях.
10. Фосфалюгель – хорошо снимает приступы изжоги, менее токсичен, чем аналоги.
Глаза
1. Зовиракс – глазная мазь, незаменима при конъюнктивитах вирусной природы.
2. Квинакс – лучшее профилактическое средство при катаракте.
3. Корнерегель – гель, хорошо восстанавливает слезную пленку на роговице глаза.
4. Ксалаком – в нем соединены два препарата ксалатан и тималол. Они усиливают действие друг друга.
5. Ксалатан (траватан) – эффективен при глаукоме, можно капать один раз в сутки.
6. Систейн – искусственная слеза, преимущество – можно капать раз в сутки.
7. Униклофен – хорошее нестероидное противовоспалительное средство в каплях.
8. Флоксал – капли, антибиотик, действует на широкий спектр микроорганизмов.
9. Флоксаловая мазь – незаменима при бактериальных конъюнктивитах.
10. Циклоксан – сильный антибиотик в каплях, панацея от острых конъюнктивитов.
Уши
1. Амоксицилин – антибиотик, активно борется с основными возбудителями, вызывающими ЛОР-заболевания.
2. Клавициллин-амоксициллин + клавулановая кислота – помимо чувствительных к амоксицилину микроорганизмов, препарат активно действует и на некоторые виды бактерий.
3. Отофа – ушные капли, антибиотик применяют при воспалительных заболеваниях среднего уха.
4.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 оказывает одновременно обезболивающее, противовоспалительное и жаропонижающее действие.
6.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 это цефалоспорины второго и третьего поколения. Их назначают тем, на кого не действует ампициллин.
9. Эдас-125 тонзиллин – гомеопатические капли, назначают детям с 2-х лет при отитах, аденоидах, хроническом тонзиллите с водой или на кусочке сахара.
10. Эритромицин – назначают тем, у кого аллергия на препараты пенициллинового ряда.
Нервы
1. Венлаксор – антидепрессант практически без побочных эффектов, быстро выводит из тяжелой депрессии.
2. Бусперон – сильное противотревожное средство, не создает эффекта заторможенности. Можно применять водителям и студентам перед экзаменом.
3. Гидазепам – мягкое снотворное, не влияет на реакцию водителя. Но к нему можно привыкнуть – больше месяца пить нельзя!
4. Зипрекса – не имеет серьезных побочных действий, оказывает помощь мгновенно.
5. Имован (сонап, сомнол, сонаван) – самые современные снотворные средства.
6. Паксил – антидепрессант, хорошо устраняет панику, страх, навязчивые состояния (фобии), помогает от анорексии, а также побочно удлиняет течение полового акта.
7. Праместар – улучшает память вообще и упрощает запоминание информации.
8. Рисполепт – действует долго, удобен – растворяется во рту как конфета.
9. Сульпирид (эгланил) – одновременно лечит нервы и желудок. Еще плюс: сегодня выпил – сегодня результат.
10. Финлепсин – лечит судороги и невриты, а также стабилизирует настроение.
Почки
1. Аксеф – антибиотик, удобен тем, что можно принимать как таблетки, а можно вводить инъекционно. Он продается поштучно в комплекте с растворителем.
2. Блемарен – самый эффективный растворитель камней в почках.
3. Канефрон – растительный препарат без побочных действий.
4. Мовалис – свечи, негормональное противовоспалительное средство, которое не раздражает слизистую оболочку прямой кишки.
5. Нефрофит – комбинированный фитопрепарат с противовоспалительным и мочегонным действием. Без побочных эффектов, назначают детям с 5 лет и беременным.
6. Офлоксин – не агрессивен для желудка, редко вызывает аллергии.
7. Уросепт – свечи, действуют только на мочевыводящую систему.
8. Уролесан – растительный препарат, хорошо выводит песок из почек, часто назначают детям. Есть в виде сиропа.
9. Флемоклав солютаб – широкий спектр антимикробного действия, рекомендуют ослабленным больным.
10. Цефтриаксон – антибиотик широкого спектра действия с минимумом побочных эффектов, разрешен для применения даже беременным.
Простата
1. Азитрокс – антибиотик, удобен – одна таблетка в неделю.
2. Гатифлоксацин – самый новый антибиотик, быстродействующий.
3. Зоксон – дает минимум побочных эффектов, удобен – одна таблетка на ночь.
4. Пенистен – уменьшает объем простаты, снижет риск развития рака предстательной железы.
5. Простамол УНО – растительный препарат без побочных эффектов.
6. Простатилен (Витапрост) – вытяжка из предстательной железы крупного рогатого скота, биостимулятор.
7. Протефлазид – растительный иммуностимулятор, эффективен при простатите.
8. Фокусин – не снижает артериальное давление.
9. Фунид – противогрибковый препарат последнего поколения.
10. Юнидокс солютаб – антибиотик широкого спектра действия, хорошо проникает в ткань предстательной железы.
Суставы
1. Аспирин – незаменим при подагре.
2. Алфлутоп – улучшает обмен крови и активизирует процессы обмена в мышцах.
3. Дона – укрепляет хрящевую ткань.
4. Диклоберл – негормональный противовоспалительный препарат. Применяют в свечах, но можно делать и уколы.
5. Диклофен – меньше других дает побочных эффектов.
6. Диклофенак – эффективный, но влияет на состояние крови.
7. Кетанов – эффективный инъекционный препарат.
8. Олфен – удобен тем, что есть в свечах, не страдает слизистая желудка.
9. Остеогенон – эффективный хондопротектор, избавляет суставы от разболтанности.
10. Ретаболил – улучшает периферическое кровообращение.
Горло
1. Анаферон – хорошее гомеопатическое средство для лечения вирусных инфекций верхних дыхательных путей.
2. Колустан – аэрозоль, хорошо снимает отеки при воспалениях.
3. Люголь, растворенный в глицерине – лучшее наружное средство при ларингите.
4. Пропосол–Н – имеет выраженные антимикробные и противовоспалительные свойства, не оказывает раздражающего действия на организм.
5. Синупрет – обладает антибактериальным и антиотечным действием, может назначаться детям – есть в виде капель.
6. Тонзилгон – противовоспалительное и обезболивающее средство, способствует уменьшению отека слизистой оболочки дыхательных путей.
7. Тонзилотрен – повышает активность слизистой оболочки.
8. Флемоксин солютаб – эффективный быстрорастворимый антибиотик при гнойной ангине, применяют как вовнутрь, так и для полоскания.
9. Фарингосепт – антисептическое средство, приятное на вкус (рассасывается во рту). Не влияет на кишечную микрофлору.
10. Фалиминт – средство с охлаждающим действием для лечения заболеваний полости рта и глотки. Незаменим накануне операций, при протезировании зубов и для лекторов.
Перед применением обязательно проконсультируйтесь с врачом , некоторые лекарства имеют противопоказания и могут навредить вашему здоровью!</t>
  </si>
  <si>
    <t>ok.ru</t>
  </si>
  <si>
    <t>Соцсети</t>
  </si>
  <si>
    <t>Репост</t>
  </si>
  <si>
    <t>Виктор и Татьяна Банниковы</t>
  </si>
  <si>
    <t>Личный профиль</t>
  </si>
  <si>
    <t>мужской</t>
  </si>
  <si>
    <t>нейтрально</t>
  </si>
  <si>
    <t>Эпизодическая</t>
  </si>
  <si>
    <t>Россия</t>
  </si>
  <si>
    <t>Алтайский край</t>
  </si>
  <si>
    <t>Зональное</t>
  </si>
  <si>
    <t>Русский</t>
  </si>
  <si>
    <t>Нет</t>
  </si>
  <si>
    <t>14.04.2023 15:53</t>
  </si>
  <si>
    <t xml:space="preserve">☝Врачи выложили в сеть список препаратов, которые ничего не лечат… Неожиданно !
Текст на изображении: Врачи выложили в сеть список препаратов, которые ничего не лечат... 1. АРБИДОЛ Действующее вещество: умифеновир. Советское изобретение года, не признанное Всемирной организацией ipenapa нения. линические испытания при заболеваниях лись только в СНГ и Китае. Это якобы противовирусный препарат ЮЩИМ ектом я лечения амы! азличных левании, включая однако его 3 ективность до сих пор не доказана. 2. ЭССЕНЦИАЛЕ Действ! вещество:полиенилфосфатидилхолин. наименования: «Эссенциале форте», Bis. Этот для защиты печени, как и все прочие так называемые«гепатопротекторы», защищает печень. Научные исследования не обнаружили 3 екта приеме «Эссенц зато кое-что ‘ое: острых и он может способствовать усилению застоя желчи и активности воспаления. По сути, это пищевая добавка.</t>
  </si>
  <si>
    <t>vk.com</t>
  </si>
  <si>
    <t>Рамзия Янбердина</t>
  </si>
  <si>
    <t>женский</t>
  </si>
  <si>
    <t>Не определена</t>
  </si>
  <si>
    <t>Республика Башкортостан</t>
  </si>
  <si>
    <t>Нефтекамск</t>
  </si>
  <si>
    <t>14.04.2023 15:52</t>
  </si>
  <si>
    <t>Да ты у меня записана даже арбидол</t>
  </si>
  <si>
    <t>telegram.org</t>
  </si>
  <si>
    <t>Мессенджеры чаты</t>
  </si>
  <si>
    <t>Пост</t>
  </si>
  <si>
    <t>[6]Ҟꝋҟꝋꞩīҟ</t>
  </si>
  <si>
    <t>й ☠️</t>
  </si>
  <si>
    <t>14.04.2023 15:51</t>
  </si>
  <si>
    <t>и ты говорил нет она арбидол</t>
  </si>
  <si>
    <t>愛してます❤️‍</t>
  </si>
  <si>
    <t>Я думал Арбидол</t>
  </si>
  <si>
    <t>14.04.2023 15:46</t>
  </si>
  <si>
    <t xml:space="preserve">Сoхpaни, чтoбы нe пoтepять!
Ηужные медицинcкие пpепapaты нa вcе cлучaи жизни✅
Текст на изображении: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 ПРОСТУДА Ибупрофен сильное обезболивающее средство, быстро действует, в виде шипучих таблеток щадит желудок, в свечах удобен для малышей. Колдрекс отличный сосудосуживающий препарат. Назол избавляет от насморка и не дает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противоаллергическими компонентами.</t>
  </si>
  <si>
    <t>Роза Орлова</t>
  </si>
  <si>
    <t>14.04.2023 15:39</t>
  </si>
  <si>
    <t>В омских аптеках подорожал ряд жизненно необходимых лекарств</t>
  </si>
  <si>
    <t xml:space="preserve">Дата публикации:_Вчера 16:48 Автор:_Татьяна Ляпистова Источник фото depositphotos.com
В среднем рост цен составил 0,4%, но по некоторым медикаментам отмечается снижение.
По данным Омскстата, в регионе цены на жизненно необходимые и важнейшие препараты с января по март 2023 года выросли в среднем на 0,4%. Особенно подорожали фурасемид (на 12,5%), дротаверин (на 4,6%), аскорбиновая кислота (на 3,5%) и цефтриаксон (на 3,1%). При этом, как отмечают статистики, почти половина медикаментов из этой группы стала доступнее на 0,2–5%. К примеру, подешевели супрастин (на 5%), амлодипин (на 4,6%), ксарелто (на 3,9%), хлорид натрия (на 3,7%), амброксол и АЦЦ (на 3,4%).
Среди других лекарств из отечественных медикаментов прибавили в стоимости йод (+ 6,5%), поливитамины (+4,4%), флуоцинолона ацетонид (+3,1%). На зарубежные препараты цены в среднем повысились на 2,6—6%, из них заметно подорожал синупрет. В тоже время от 3,1% до 8,3% подешевели таурин, афобазол, аципол, комбинированные анальгетики, ренгалин эссенциале форте и мидокалм.</t>
  </si>
  <si>
    <t>omsk.media</t>
  </si>
  <si>
    <t>Новости</t>
  </si>
  <si>
    <t>14.04.2023 15:38</t>
  </si>
  <si>
    <t xml:space="preserve">Нa цeны нe cмотpитe, a вот aнaлоги подcкaзaны точно!
Самые полезные советы для жизни у нас!
Текст на изображении: 1. Нурофен (120руб) Ибупрофен (10руб) 2. Мезим (300руб) Панкреатин (30руб) 3. Но-шпа (150руб) Дротаверина гидрохлорид. 4. Панадол(50руб) Парацетамол (5руб) 5. Белосалик (380руб) Акридерм СК (40руб) 6. Бепантен (250руб) Декспантенол (100руб) 7. Бетасерк(600руб) Бетагистин (250руб) 8. Быструмгель (180руб) Кетопрофен (60руб) 9. Вольтарен (300руб) Диклофенак (40руб) 10. Гастрозол (120руб) Омепразол (50руб) 11. Детралекс (580руб) Венарус (300руб) 12. Дифлюкан (400руб) Флуконазол (30руб) 13. Длянос (100руб) Риностоп(30руб) 14. Зантак (280руб (30руб) 15. Зиртек (220руб етиринакс (80руб) 16. Зовиракс (240руб) Ацикловир (40руб) 17. Иммунал (200руб) Эхинацеи экстракт (50руб) 18. Имодиум (300руб) Лоперамид руб) 19. Йодомарин (220руб) Калия йодид (100руб) 20. Кавинтон (580руб) Винпоцетин(200руб) 21. Кларитин (180руб) Лорагексал (60руб) 22. Клацид (600руб) Кларитромицин (180руб) 23. Лазолван (320руб) Амброксол (20руб) 24. Ламизил (400руб) Тербинафин (100руб) 25. Лиотон-1000 (350руб) 1000 (120руб) 26. Ломилан (150руб) Лорагексал (50руб)</t>
  </si>
  <si>
    <t>Людмила Курынина (Сартакова)</t>
  </si>
  <si>
    <t>Ульяновская область</t>
  </si>
  <si>
    <t>Димитровград</t>
  </si>
  <si>
    <t>14.04.2023 15:37</t>
  </si>
  <si>
    <t>14.04.2023 15:36</t>
  </si>
  <si>
    <t>14.04.2023 15:32</t>
  </si>
  <si>
    <t xml:space="preserve">https://www.youtube.com/watch?v=sjc3G1vrk0w&amp;t=0s
 Те видео, что я рекомендовал в ЭТОЙ лекции посмотреть обязательно:
В ЭТИХ бобах белка больше чем в мясе -
• В ЭТИХ бобах белк...
Эта ОВСЯНКА лечит (овёс) -
• Овёс: Эта ОВСЯНКА...
Самая полезная каша/ ПШЕНО -
• ПШЕНО - самая пол...
Резистентные КРАХМАЛЫ -
• Рис, бобы и резис...
Нужно ли гасить СОДУ кипятком -
• Нужно ли гасить С...
Паразиты. Гельминты -
• Уникальный вебина...
ГЕЛЬ Сорбент для Кишечника -
• Научная сенсация:...
Витамин С - от А до Я -
• Витамин С от А до...
ТОКСОПЛАЗМОЗ -
• ТОКСОПЛАЗМОЗ! Чем...
КАНДИДА -
• КАНДИДА: ЭТО изба...
Как совмещать БАД-ы, продукты -
• Как совмещать про...Провизор раскрыл тайны фарм мафии! Зачем народ травят лекарствами? Это ЖУТКО, но знать НАДО!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Разум&amp;</t>
  </si>
  <si>
    <t>Ирина Гусева</t>
  </si>
  <si>
    <t>14.04.2023 15:24</t>
  </si>
  <si>
    <t>Об изменении цен на потребительском рынке Псковской области в марте рассказали статисты</t>
  </si>
  <si>
    <t xml:space="preserve">В марте 2023 года по сравнению с февралем 2023 года цены на потребительском рынке Псковской области выросли на 0,1%. 
Основное влияние на значение индекса потребительских цен оказал рост цен и тарифов на услуги, которые подорожали за месяц на 0,4%. Цены на продовольственные товары выросли на 0,1%, цены на непродовольственные товары снизились на 0,1%.
Из продовольственных товаров более всего за месяц выросли цены на помидоры свежие – на 16,0%, виноград – на 14,9%, зелень свежую – на 9,2%, лук репчатый – на 7,1%, кетчуп – на 7,0%, яйца куриные – на 6,9%, молоко сгущенное с сахаром – на 4,9%, кофе натуральный в зернах и молотый – на 4,7%, груши – на 4,6%, печенье – на 4,1%.
Одновременно на ряд продовольственных товаров наблюдалось снижение цен. Наиболее подешевели: огурцы свежие – на 25,4%, картофель – на 8,9%, консервы мясные для детского питания – на 7,5%, печень говяжья, свиная – на 6,8%, сухие приправы, специи – на 5,3%, говядина бескостная и сосиски, сардельки – на 5,0%.
Из лекарственных препаратов значительнее других выросли цены на таурин, синупрет – на 5,3%, фуросемид – на 4,3%, активированный уголь – на 4,2%, аскорбиновую кислоту – на 3,4%, канефрон – на 3,2%, амлодипин – на 2,7%. Наибольшее снижение цен отмечено на аспирин отечественный – на 5,6%, эуфиллин – на 4,3%, осельтамивир – на 3,6%, эргоферон – на 3,4%, валидол – на 3,3%.             
Из наблюдаемых непродовольственных товаров первой необходимости более всего подорожали: щетка зубная – на 4,6%, мыло хозяйственное – на 2,7%, дезинфицирующее средство для поверхностей – на 2,1%, порошок стиральный – на 1,8%. Наибольшее снижение цен наблюдалось на бумагу туалетную – на 4,0%, пасту зубную – на 3,9%, подгузники детские бумажные – на 3,0%, салфетки влажные – на 2,4%.
Среди других непродовольственных товаров наиболее подорожали: бумажные носовые платки – на 10,9%, пена для бритья – на 10,6%, дезодорант – на 8,2%, гель для душа – на 5,7%, смарт-часы – на 5,6%, учебники, учебное пособие, дидактический материал для общеобразовательной школы – на 5,5%, одеяло стеганое – на 5,0%.
Более всего подешевели: наушники беспроводные – на 9,0%, бутылочка для кормления – на 6,8%, трикотажный головной убор для взрослых – на 6,0%, шины для легкового автомобиля – на 5,5%, санитарно-гигиеническая маска – на 4,8%, трусы мужские – на 4,7%, доска обрезная – на 4,6%.
Среди услуг наибольший рост цен отмечен на поездку на отдых в ОАЭ – на 33,1%, полет в салоне экономического класса самолета – на 30,5,%, поездки в отдельные страны Юго-Восточной Азии – на 26,0%, поездку в Беларусь – на 17,6%, лечебный массаж и поездку на отдых в Египет – на 13,8%, пересылку простого письма – на 11,3%. Из бытовых услуг значительнее других выросли цены на стирку и глажение белья прямого – на 6,4%, установку натяжного потолка – на 4,9%.
Наибольшее снижение цен наблюдалось на поездки в отдельные страны Средней Азии – на 9,0%, общий анализ крови – на 2,1%.&amp;nbsp;</t>
  </si>
  <si>
    <t>pskov.bezformata.com</t>
  </si>
  <si>
    <t>Второстепенная</t>
  </si>
  <si>
    <t>14.04.2023 15:21</t>
  </si>
  <si>
    <t>Анастасия Шевченко</t>
  </si>
  <si>
    <t>Арбидол, говорят ковид лечит</t>
  </si>
  <si>
    <t>Yury Khalevitsky</t>
  </si>
  <si>
    <t>2ch /me/</t>
  </si>
  <si>
    <t>14.04.2023 15:19</t>
  </si>
  <si>
    <t xml:space="preserve">Бронхомунал 3,5мг
На тощак 10 дней через 21 день снова повторить. Нам так иммунолог прописала</t>
  </si>
  <si>
    <t>Комментарий</t>
  </si>
  <si>
    <t>Анжелика Винтер</t>
  </si>
  <si>
    <t>Мамы Кемерово</t>
  </si>
  <si>
    <t>Кемеровская область</t>
  </si>
  <si>
    <t>Кемерово</t>
  </si>
  <si>
    <t>14.04.2023 15:16</t>
  </si>
  <si>
    <t>Ужас. У меня герпес пока не вылез в такую стадию. Я сейчас герпес лечу Циклофероном. Как только вылезает- сразу пропиваю полный курс и на год забываю о нем. Хотя раньше все было гораздо чаще</t>
  </si>
  <si>
    <t>Лера Примова</t>
  </si>
  <si>
    <t xml:space="preserve"> Женская Няндома.</t>
  </si>
  <si>
    <t>Санкт-Петербург</t>
  </si>
  <si>
    <t>Магира Нуреева</t>
  </si>
  <si>
    <t>14.04.2023 15:15</t>
  </si>
  <si>
    <t>Ой, у меня такая же проблема с герпесом всю жизнь. Пару лет назад начала по совету врача пить Циклоферон, как только вылезает простуда на губе. После полного курса герпес не вылезает месяцев 9. Хотя до этого раз в два месяца, а то и чаще... Ну а мажу ацикловиром местно, пока не подсохнет</t>
  </si>
  <si>
    <t>Лера Гринёва</t>
  </si>
  <si>
    <t>Версус. Сфера красоты</t>
  </si>
  <si>
    <t>Московская область</t>
  </si>
  <si>
    <t>Балашиха</t>
  </si>
  <si>
    <t>14.04.2023 15:10</t>
  </si>
  <si>
    <t>Для 3 триместра соэ фактически в норме у вас…что за паника? Мама ваша врач…скорее всего нет. С кашлем не госпитализируют ‍♀️К чему нагнетать-то? Идите к врачу и пусть вам назначают лечение. У меня был бронхит обструктивный при беременности и то лечилась дома (ингаляции с пульмикортом и беродуалом прописывали, потом еще сироп геделикс пила). А антибиотики нужны или нет, в анализе смотрят не только соэ, а преимущественно лейкоциты.</t>
  </si>
  <si>
    <t>Александра Юдина</t>
  </si>
  <si>
    <t>Подслушано у беременных</t>
  </si>
  <si>
    <t>Ярославская область</t>
  </si>
  <si>
    <t>Ростов</t>
  </si>
  <si>
    <t>Так санкции не снимутся и будут только свои арбидолы, а потом и другое и будет один сильный почти монополист по типу пфайзера</t>
  </si>
  <si>
    <t>Айнур</t>
  </si>
  <si>
    <t>Dostavista</t>
  </si>
  <si>
    <t>14.04.2023 15:08</t>
  </si>
  <si>
    <t>Бля, не, с тем, как у нас какой-нибудь арбидол продаётся</t>
  </si>
  <si>
    <t>Gid_instruktor</t>
  </si>
  <si>
    <t>14.04.2023 15:03</t>
  </si>
  <si>
    <t>Кто сможет разобрать что - Саша</t>
  </si>
  <si>
    <t>Там сироп геделикс, ингаляции с пульмикортом, гриппферон в каплях( я его не беру, у нас на сопли все быстро обратно выходит), лкчше уже тогда в свечках виферон, препраат точно в организме останется. И даже антибиотик вам прописали последний стоит</t>
  </si>
  <si>
    <t>baby.ru</t>
  </si>
  <si>
    <t>Форумы</t>
  </si>
  <si>
    <t>Полина Боронько</t>
  </si>
  <si>
    <t>Саша</t>
  </si>
  <si>
    <t>Ярославль</t>
  </si>
  <si>
    <t>14.04.2023 15:01</t>
  </si>
  <si>
    <t xml:space="preserve">Купила в аптеке за копейки! Я была в восторге. Внешний результат был заметен не только мне!!!
Обязательно сохраните эту важную информацию!
Красотa за копейки: 10 аптечных средств, которые помогут тебе сэкономить
Иногда очень дешевое и доступное в любой аптеке средство срабатывает лучше, чем супердорогой крем. Эти средства выручат тебя в трудной ситуации.
Хлоргексидин
Эта бесцветная жидкость, не имеющая запаха, широко применяется в хирургической практике и других отраслях медицины, в косметологии. Не сушит кожу, не оставляет на ней следов и дает ощущения жжения.
Ватный диск с раствором хорош для протираний лица после инъекционных процедур или чистки, пилингов.
Конечно же, выдавливать прыщики крайне нежелательно, но если очень хочется так поступить, то предварительно необходимо руки вымыть и протереть воспаленное место на коже ваткой с хлоргексидином , а в конце процедуры — ранку вновь обработать для дезинфекции.
Это аптечное средство поможет удалить несвежий запах внутри обуви. Пройдитесь тряпочкой с жидкостью по внутренней поверхности туфель, кроссовок, ботинок.
Можно использовать препарат и для смазывания поверхности стоп, а также пространства между пальцами ног. Это хороший способ убрать запах и дезинфицировать кожи
Дезинфекция в быту
Раствор подходит для:
- периодической обработки телефонных экранов с целью уберечь свое лицо от прыщиков (слегка влажной тряпочкой из микрофибры);
- эффективной дезинфекции испарителей в кондиционирующих воздух системах (комнатных, автомобильных).
Используйте распылитель с 0,2 л жидкости для распыления взвеси вблизи входа воздуха в устройство. Следов на поверхностях это средство не оставит абсолютно никаких.
Нимесулид
Применяется для лечения артритов, остеоартрозов, артрозов. Также его используют в терапии бурситов, миалгий, артралгий, энтезопатий, альгодисменорей и болей различной этиологии. Кроме этого, Нимесулид применяют для купирования интенсивных приступообразных болей, так как препарат характеризуется быстрым началом действия.
Цена 30 р
Крем «Ф 99»
Крем, состоящий из полиненасыщенных жирных кислот и витамина F. Изначально средство предназначалось для лечения экземы и дерматита, но оказалось, что оно обладает и рядом других свойств. Во‑первых, это лучшее средство для борьбы с шелушением кожи,вызванным обветриванием или солнечным ожогом.
Во‑вторых, крем незаменим для ухода за стопами: никаких трещин, заусениц или огрубелостей, если ежедневно наносить его на ночь. В-третьих, он возвращает сухой коже эластичность и упругость, мгновенно впитывается, не дает эффекта пленки. В-четвертых, помогает справиться с угревой сыпью и прыщами, так как нормализует работу сальных желез и отшелушивает ороговевшие клетки.
Цена — около 120 р.
Раствор для капельниц «Тиогамма»
Использующееся для борьбы с последствиями отравлений, «Тиогамма» фактически чистая альфа-липоевая кислота, мощнейший антиоксидант,который борется со свободными радикалами, ускоряет обновление клеток кожи, помогает бороться с прыщами, угрями, морщинами, последствиями солнечных ожогов, обладает детокс-эффектом. По консистенции напоминает простую воду, наносится на кожу тонким слоем перед нанесением обычного ухода. Подходит только для жирной и комбинированной кожи, так как подсушивает верхний слой.
Цена — около 250 руб.
«Куриозин-гель»
Его прямое назначение — борьба с акне. Но принцип действия позволяет использовать этот гель как антивозрастное средство. Как и при борьбе с акне, ключевой момент — ускоренное обновление кожи, рост молодых здоровых клеток и глубокое увлажнение (гель содержит гиалуроновую кислоту в довольно высокой концентрации) позволяет улучшить рельеф кожи, разгладить мелкие морщины и улучшить цвет лица.
Цена — около 500 р.
Бепантен
Действующее вещество препарата — это пантотеновая кислота, она же — знакомый нам провитамин В5. Именно пантотеновая кислота — прародитель витамина А, отвечающего за процессы регенерации кожи. А значит, «Бепантен» — настоящая находка для тех, кто стремится обновить кожу, успокоить ее, сделать более гладкой и ровной.
Цена — около 350 р.
«Капсикам»
Разогревающая мазь поможет… спрятать целлюлит! Нанеси ее на проблемный участок, оставь на 15−20 минут (почувствуешь небольшое жжение, кожа может покраснеть из-за притока крови) и смой теплой водой. Для более выраженного эффекта протри те же участки кубиками льда. Визуально целлюлит исчезнет на 3−4 часа!
Цена — около 200 р.
Блефарогель
Отличное средство для нежной кожи век с высоким содержанием гиалуроновой кислоты. Прощайте, «гусиные лапки»!
Цена — около 200 р.
Арника
Вообще предполагается, что эта мазь ускорит рассасывание гематом и синяков. Что автоматически означает, что он улучшает циркуляцию крови и лимфы, обладает успокаивающим, противоотечным и регенерирующим действием. Ты наверняка уже догадалась: да,он отлично справляется с сухостью кожи, мимическими морщинами и потерей тонуса.
Цена — около 150 р.
Апилак
Выпускается эта мазь еще с советских времен и с тех пор не утратила актуальности как средство для снижения активности сальных желез,борьбы с акне и угрями. В основе — пчелиное маточное молочко,известное своими обеззараживающими и питательными свойствами.
Цена — около 100 руб.
Релиф
Ну, уж если звезды Голливуда признаются, что используют мазь от геморроя как уход для кожи век, нам-то чего стесняться? Да, отеки снимает, морщины разглаживает и никаких побочных эффектов!
Цена — около 300 р.
Так же мы собрали для вас список дешевых аналогов.
Списки приведенных аналогов лексрств могут быть неточными. Поэтому перед покупкой уточняйте у специалиста аптеки или лечащего врача, возможна ли замена препарата на более дешевый и какие последствия это повлечет.
Белосалик (380руб) и Акридерм СК (40руб)
Бепантен (250руб) и Декспантенол (100руб)
Бетасерк(600руб)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Мезим(300руб) и Панкреатин (30руб)
Мидриацил (360руб) и Тропикамид (120руб)
Мирамистин (200руб) и Хлоргексидин (10руб)
Мовалис (410руб) и Мелоксикам (80руб)
Нейромультивит (250руб) и Пентовит (50руб)
Но-шпа (150руб) и Дротаверина гидрохлорид (30руб)
Нормодипин (620руб) и Амлодипин (40руб)
Нурофен (120руб) и Ибупрофен (10руб)
Омез (180руб) и Омепразол (50руб)
Панадол(50руб) и Парацетамол (5руб)
Панангин (140руб) и Аспаркам (10руб)
Пантогам (350руб) и Пантокальцин (230руб)
Ринонорм (50руб) и Риностоп (20руб)
Сумамед (450руб) и Азитромицин (90руб)
Трентал(200руб)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Имеются противопоказания. Необходима консультация специалиста.</t>
  </si>
  <si>
    <t>Аниса Идрисова</t>
  </si>
  <si>
    <t>14.04.2023 15:00</t>
  </si>
  <si>
    <t xml:space="preserve">ВРАЧИ ВЫЛОЖИЛИ В СЕТЬ СПИСОК ПРЕПАРАТОВ, КОТОРЫЕ НИЧЕГО НЕ ЛЕЧАТ. ОЧЕНЬ НЕОЖИДАННО!
АРБИДОЛ Действующее вещество: умифеновир. Другие наименования: «Арпетолид», «Арпефлю», «ОРВИтол НП», «Арпетол», «Иммустат». Советское изобретение 1974 года, не признанное Всемирной организацией здравоохранения. Клинические испытания препарата при заболеваниях человека проводились только в СНГ и Китае. Это якобы противовирусный препарат с иммуномодулирующим эффектом для лечения множества самых различных заболеваний, включая грипп, однако его эффективность до сих пор не […]
ВРАЧИ ВЫЛОЖИЛИ В СЕТЬ СПИСОК ПРЕПАРАТОВ, КОТОРЫЕ НИЧЕГО НЕ ЛЕЧАТ. ОЧЕНЬ НЕОЖИДАННО! — ЭТО ИНТЕРЕСНО!
Советское изобретение 1974 года, не признанное Всемирной организацией здравоохранения. Клинические испытания препарата при заболеваниях человека проводи...</t>
  </si>
  <si>
    <t>Спаси и сохрани. Дворик для души</t>
  </si>
  <si>
    <t>Сообщество</t>
  </si>
  <si>
    <t>НАРОДНАЯ МЕДИЦИНА. ЗДОРОВЬЕ ОТ ПРИРОДЫ</t>
  </si>
  <si>
    <t>14.04.2023 14:58</t>
  </si>
  <si>
    <t>Екатерина Уникум</t>
  </si>
  <si>
    <t>Удмуртская Республика</t>
  </si>
  <si>
    <t>Ижевск</t>
  </si>
  <si>
    <t xml:space="preserve">@VeOfHKslpNiVSEI Дети, виноватые в драках, взяточники-врачи плюс гопнический лексикон.
Ведь вся наша зарплата зависит от арбидола))) нет арбидола-нет стимулирующих, приходится нам бедным выживать на голый оклад((
Женщина, ну или кто Вы там, удачи в совершенствовании себя в своем вакууме</t>
  </si>
  <si>
    <t>twitter.com</t>
  </si>
  <si>
    <t>Микроблоги</t>
  </si>
  <si>
    <t>ineffablewom</t>
  </si>
  <si>
    <t>Алиса в стране πздец.</t>
  </si>
  <si>
    <t>Привет. Сегодня улетаем, есть небольшая аптечка, может надо кому? Много смекты, антибиотик вильпрафен, 2 пакета терафлю, парацетамол, ингавирин , спазмалгон , цитрамон, леденцы для горла</t>
  </si>
  <si>
    <t>Яна Рогачева</t>
  </si>
  <si>
    <t>Купи/Продай  Sri Lanka</t>
  </si>
  <si>
    <t>14.04.2023 14:57</t>
  </si>
  <si>
    <t xml:space="preserve">Хорошие капли в нос!ГЕНФЕРОН ЛАЙТ капли назальные - это усиленная комбинация интерферона и таурина для блокирования вирусов и бактерий на слизистой носа у детей с 1 месяца, для комплексной защиты от ОРВИ и гриппа.
- Оптимальная лечебная дозировка интерферона альфа-2b для детей 500 МЕ в капле
- Действует непосредственно в очаге внедрения вирусов
- Содержат глицерол, известный своими увлажняющими свойствами3,4
- Срок хранения вскрытого флакона – 7 недель
- Имеет функциональную насадку капельницу
Схема применения:
При первых признаках заболевания ОРВИ или гриппа ГЕНФЕРОН ЛАЙТ закапывают в нос в течение 5 дней:
Детям от 29 дней – 1 год - по 1 капле в каждый носовой ход 5 раз в день
Детям 1 – 3 года - по 2 капли в каждый носовой ход 3-4 раза в день
Детям 3 – 14 лет - по 2 капли в каждый носовой ход 4-5 раз в день
ИМЕЮТСЯ ПРОТИВОПОКАЗАНИЯ. НЕОБХОДИМО ПОЛУЧИТЬ КОНСУЛЬТАЦИЮ СПЕЦИАЛИСТА.
Оформите заказ в мобильном приложении, и забирайте в ближайшей к вам аптеке, в удобное время.
https://www.sovetapteka.ru/
Советская аптека - интернет-аптека, купить лекарства
https://sovetapteka.ru/</t>
  </si>
  <si>
    <t>Репост с дополнением</t>
  </si>
  <si>
    <t>Николай Стребков</t>
  </si>
  <si>
    <t>Главная</t>
  </si>
  <si>
    <t>Вологодская область</t>
  </si>
  <si>
    <t>Череповец</t>
  </si>
  <si>
    <t>14.04.2023 14:56</t>
  </si>
  <si>
    <t xml:space="preserve">Лекарства которые должны быть в каждой аптечке
Текст на изображении: ЛЕКАРСТВА, КОТОРЫЕ ВСЕГДА ДОЛЖНЫ БЫТЬ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КИГП,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аллергии: зиртек, фенистил (капли). При болях в сердце: валидол. При вздутии и тяжести в животе: фестал. и ушибов: мазь бодяга. При растяжении мыщц вальторен гель, випросал. Не забывайте читать инструкции перед применением, лучше консультироваться врачом!</t>
  </si>
  <si>
    <t>Валентина Кузнецова</t>
  </si>
  <si>
    <t>14.04.2023 14:55</t>
  </si>
  <si>
    <t>[id680156462|Елена], а мне врач строго настрого запретил новинку покупать. Сказал, что лучше Трекрезан, это изученный препарат, все исследования есть, а что там в дженерике понамешали… Не знают еще.</t>
  </si>
  <si>
    <t>Татьяна Волошина</t>
  </si>
  <si>
    <t>ஐ✿ஐВЯТСКИЕ МАМОЧКИஐ✿ஐ</t>
  </si>
  <si>
    <t>14.04.2023 14:53</t>
  </si>
  <si>
    <t>Хашия Галиева</t>
  </si>
  <si>
    <t>14.04.2023 14:52</t>
  </si>
  <si>
    <t>[id793516016|Лариса], так что да, единственное из списка про пользу - это Арбидол. При орви классное средство.</t>
  </si>
  <si>
    <t>Анна Лялина</t>
  </si>
  <si>
    <t>[ХМ] Типичный Ханты-Мансийск [official page]</t>
  </si>
  <si>
    <t>Растворы для небулайзера</t>
  </si>
  <si>
    <t xml:space="preserve">Нелли Зуева,
У ребенка мокрота вверху стоит вся, дышим с Лазолваном и без. Ренгалин с 3х лет, рано ещё.
На ночь с пульмикортом и спит более менее, а не каждые 15 минут кхе кхе.
За 3 дня встаём на ноги.</t>
  </si>
  <si>
    <t>u-mama.ru</t>
  </si>
  <si>
    <t>Осетрик</t>
  </si>
  <si>
    <t>Аноним 199</t>
  </si>
  <si>
    <t>14.04.2023 14:51</t>
  </si>
  <si>
    <t>Средства д/лечения простуды и гриппа Валента Фармацевтика ИНГАВИРИН</t>
  </si>
  <si>
    <t xml:space="preserve">Эффективен при лечении и для профилактики простуд.
   Всем привет! Хочу поделиться с вами своим мнением о противовирусном средстве Ингавирин.          Для лечение простуд вот уже много лет я использую этот противовирусный препарат . Последнее место приобретения - аптека "Вита". Цена - 879 рублей за упаковочку с 10-ю капсулами:          Капсулы небольшого размера, потому с приёмом их проблем, лично у меня, не возникает:          Так же не наблюдаю у себя никаких побочных эффектов или аллергических реакций. А вот лечебный эффект ощущаю без сомнений. Простуда проходит и быстрее, и течение её идёт в более лёгкой форме по сравнению с лечением без этого средства. В качестве профилактики это средство так же себя отлично зарекомендовало. Если не пропустить приём вовремя, находясь в контакте с уже болеющим человеком, то можно и вовсе не разболеться. Это проверенно мной лично. Нравится мне в этом препарате и то, что принимают его раз в сутки и не зависимо от приёма пищи. Хорошее средство, пользовался им и буду пользоваться в дальнейшем по мере необходимости. Спасибо за внимание          Достоинства Эффективен   sergey_kulikowрекомендует</t>
  </si>
  <si>
    <t>irecommend.ru</t>
  </si>
  <si>
    <t>Отзывы</t>
  </si>
  <si>
    <t>sergey_kulikow</t>
  </si>
  <si>
    <t>позитив</t>
  </si>
  <si>
    <t xml:space="preserve">Дешевые таблетки могут заменить десятки дорогих — раскрываю секреты:
1) Амлодипин - убирает...Крупные фармацевтические компании сознательно и целенаправленно сеют сомнения в эффективности дженериков, даже при том что она подтверждена и официально регулятором рынка, и практически — врачами, назначающими эти препараты. Как на днях заявили специалисты, фактически крупные фармацевтические компании запугивают потребителей, вынуждая их покупать более дорогие препараты. Поход в аптеку может значительно опустошить кошелек. Конечно, экономить на здоровье не стоит, но есть проверенные дешевые аналоги, которые не уступают в лечебном эффекте.
В пользу таких лекарств говорит и тот факт, что крупные фармацевтические компании сознательно и целенаправленно пытаются посеять сомнения в их эффективности. Тем временем эта эффективность подтверждена и официально (регулятором рынка) и практически — врачами, назначающими эти препараты. Фактически крупные фармацевтические компании запугивают потребителей, вынуждая их покупать более дорогие препараты. Мы составили список из 16 аналогов дорогих лекарств — их эффективность проверена, в том числе, и на нашем личном опыте.
У представленных ниже лекарств есть противопаказания, обязательно посоветуйтесь с врачом
Белосалик и Акридерм СК
Белосалик: 350р. 30г.
Акридерм СК: 180р. 30г.
Действующее вещество: бетаметазон и салициловая кислота.
Показания: псориаз, экзема (особенно хроническая), ихтиоз, ограниченная почесуха с сильной лихенизацией, атопический дерматит, диффузный нейродермит; простые и аллергические дерматиты; крапивница, мультиформная экссудативная эритема; простой хронический лишай (ограниченный нейродермит). Дерматозы, не поддающиеся лечению др. ГКС (особенно красный бородавчатый лишай), красный плоский лишай, дисгидроз кожи.
Бепантен и Декспантенол
Бепантен: 230р. 5% 30г.
Декспантенол: 83р. 5% 30г.
Действующее вещество: декспантенол.
Показания: Воспалительные заболевания полости рта, носа, гортани, дыхательных путей, слизистой оболочки желудка; парестезии при неврологических заболеваниях, "сухой" ринит (после лечения вторичных острых ринитов сосудосуживающими ЛС, после пребывания в помещении с искусственным климатом или в зонах с сухим климатом); послеоперационное лечение (после операции на перегородке носа и после тонзиллэктомии), гестоз, эрозии урогенитального тракта.
Бетасерк и Бетагистин
Бетасерк: 520р. 24мг N20
Бетагистин: 220р. 24мг N20
Действующее вещество: бетагистин.
Показания: водянка лабиринта внутреннего уха, вестибулярные и лабиринтные нарушения: головокружение, шум и боль в ушах, головная боль, тошнота, рвота, снижение слуха; вестибулярный нейронит, лабиринтит, доброкачественное позиционное головокружение (в т.ч. после нейрохирургических операций), болезнь Меньера. В составе комплексной терапии - вертебробазилярная недостаточность, посттравматическая энцефалопатия, атеросклероз сосудов головного мозга.
Быструмгель и Кетопрофен
Быструмгель: 150р. 2.5% 50г
Кетопрофен: 60р. 2.5% 50г
Действующее вещество: кетопрофен.
Показания: Гель, крем: острые и хронические воспалительные заболевания опорно-двигательного аппарата (ревматоидный артрит, спондилоартрит, артроз, остеохондроз); травмы опорно-двигательного аппарата (в т.ч. спортивные), растяжения связок, разрывы связок и сухожилий мышц, тендинит, ушиб мышц и связок, отек, флебит, лимфангит, воспалительные процессы кожи. Раствор для полоскания: воспалительные заболевания полости рта и глотки (ангина, фарингит, стоматит, глоссит, гингивит, парадонтит, парадонтоз и пр.).
Вольтарен и Диклофенак
Вольтарен: 284р. 50мг N20
Диклофенак: 28р. 50мг N20
Действующее вещество: диклофенак.
Показания: Воспалительные и активизированные воспалениями дегенеративные формы ревматизма: - хронический полиартрит; - спондилит анкилозирующий (болезнь Бехтерева); - артрозы; - спондилоартрозы; - невриты и невралгии, такие, как шейный синдром, люмбаго (прострел), ишиас; - острые приступы подагры. Ревматические поражения мягких тканей. Болезненные отеки или воспаления после травм или оперативных вмешательств.
Гастрозол и Омепразол
Гастрозол: 100р. 20мг N28
Омепразол: 44р. 20мг N30
Действующее вещество: омепразол.
Показания: – язвенная болезнь желудка и двенадцатиперстной кишки (в т.ч. резистентная к лечению другими противоязвенными препаратами); – рефлюкс-эзофагит; – эрозивно-язвенные поражения желудка и двенадцатиперстной кишки, связанные с приемом НПВС; – пептические язвы, вызванные Helicobacter pylori (в комбинации с антибактериальными препаратами); – синдром Золлингера-Эллисона;– профилактика кислотной аспирации (синдром Мендельсона).
Детралекс и Венарус
Детралекс: 600р. 500мг N30
Венарус: 360р. 500мг N30
Действующее вещество: диосмин и гесперидин
Показания: венозная недостаточность нижних конечностей (функциональная, органическая): ощущение тяжести в ногах, боль, судороги, трофические нарушения; острый геморроидальный приступ.
Дипросалик и Акридерм СК
Дипросалик: 280р. 30г.
Акридерм СК: 180р. 30г.
Действующее вещество: бетаметазон и салициловая кислота.
Показания: псориаз, экзема (особенно хроническая), ихтиоз, ограниченная почесуха с сильной лихенизацией, атопический дерматит, диффузный нейродермит; простые и аллергические дерматиты; крапивница, мультиформная экссудативная эритема; простой хронический лишай (ограниченный нейродермит). Дерматозы, не поддающиеся лечению др. ГКС (особенно красный бородавчатый лишай), красный плоский лишай, дисгидроз кожи.
Дифлюкан и Флуконазол
Дифлюкан: 400р. 150мг N1
Флуконазол: 25р. 150мг N1
Действующее вещество: флуконазол.
Показания: Системные поражения, вызванные грибами Cryptococcus, включая менингит, сепсис, инфекции легких и кожи, как у больных с нормальным иммунным ответом, так и у больных с различными формами иммунодепрессии (в т.ч. у больных СПИДом, при трансплантации органов); профилактика криптококковой инфекции у больных СПИДом. Генерализованный кандидоз: кандидемия, диссеминированный кандидоз. Генитальный кандидоз: вагинальный (острый и рецидивирующий), баланит. Профилактика грибковых инфекций у больных злокачественными опухолями на фоне химио- или лучевой терапии; профилактика рецидива орофарингеального кандидоза у больных СПИДом. Микозы кожи: стоп, тела, паховой области, онихомикоз, отрубевидный лишай, кожные кандидозные инфекции. Глубокие эндемические микозы (кокцидиоидоз, споротрихоз и гистоплазмоз) у больных с нормальным иммунитетом.
Длянос и Риностоп
Длянос: 80р. 0.1% 10мл
Риностоп: 20р. 0.1% 10мл
Действующее вещество: ксилометазолин.
Показания: Острый аллергический ринит, ОРЗ с явлениями ринита, синусит, поллиноз; средний отит (для уменьшения отека слизистой оболочки носоглотки). Подготовка больного к диагностическим манипуляциям в носовых ходах.
Зантак и Ранитидин
Зантак: 250р. 150мг N20
Ранитидин: 22р. 150мг N20
Действующее вещество: ранитидин.
Показания: Лечение и профилактика - язвенная болезнь желудка и 12-перстной кишки, НПВП-гастропатия, изжога (связанная с гиперхлоргидрией), гиперсекреция желудочного сока, симптоматические язвы, стрессовые язвы ЖКТ, эрозивный эзофагит, рефлюкс-эзофагит, синдром Золлингера-Эллисона, системный мастоцитоз, полиэндокринный аденоматоз; диспепсия, характеризующаяся эпигастральными или загрудинными болями, связанными с приемом пищи или нарушающими сон, но не обусловленными вышеперечисленными состояниями; лечение кровотечения из верхних отделов ЖКТ, профилактика рецидивов желудочных кровотечений в послеоперационном периоде; аспирационный пневмонит, ревматоидный артрит.
Зиртек и Цетиринакс
Зиртек: 240р. 10мг N7
Цетиринакс: 70р. 10мг N7
Действующее вещество: цетиризин.
Показания: сезонный и круглогодичный аллергический ринит и конъюнктивит (зуд, чиханье, ринорея, слезотечение, гиперемия конъюнктивы), крапивница (в т.ч. хроническая идиопатическая крапивница), сенная лихорадка, аллергический дерматит, кожный зуд, ангионевротический отек, атопическая бронхиальная астма (в составе комплексной терапии).
Зовиракс и Ацикловир
Зовиракс: 250р. 5% 2г.
Ацикловир: 30р. 5% 5г.
Действующее вещество: ацикловир.
Показания: Крем и мазь для наружного применения - простой герпес кожи и слизистых оболочек, генитальный герпес (первичный и рецидивирующий); локализованный опоясывающий лишай (вспомогательное лечение). Мазь глазная - герпетический кератит.
Иммунал и Эхинацея
Иммунал : 210р. 50мл
Эхинацея: 50р. 50мл
Действующее вещество: экстракт эхинацеи пурпурной.
Показания: Иммунодефицитные состояния (в т.ч. на фоне психического и физического переутомления), проявляющиеся острыми инфекционными заболеваниями: "простудные" заболевания, грипп, инфекционно-воспалительные заболевания носоглотки и ротовой полости, рецидивирующие инфекции дыхательных и мочевыводящих путей). Вторичные иммунодефицитные состояния после антибиотикотерапии, цитостатической, иммунодепрессивной и лучевой терапии.
Имодиум и Лоперамид
Имодиум: 300р. 2мг N10
Лоперамид: 15р. 2мг N10
Действующее вещество: лоперамид.
Показания: диарея (острая и хроническая различного генеза: аллергического, эмоционального, лекарственного, лучевого; при изменении режима питания и качественного состава пищи, при нарушении метаболизма и всасывания). Регуляция стула у пациентов с илеостомой. В качестве вспомогательного ЛС - диарея инфекционного генеза.
Йодомарин и Калия йодид
Йодомарин : 200р. 200мкг N100
Калия йодид: 90р. 200мкг N100
Действующее вещество: калия йодид.
Показания: Эндемический зоб. Профилактика заболеваний, вызываемых дефицитом йода (эндемический зоб, зоб диффузный эутиреоидный, при беременности, состояние после резекции зоба).
Кавинтон и Винпоцетин
Кавинтон: 600р. 10мг N90
Винпоцетин: 225р. 10мг N90
Действующее вещество: винпоцетин.
Показания: острое и хроническое нарушение мозгового кровообращения (транзиторная ишемия, прогрессирующий инсульт, завершенный инсульт, состояние после инсульта). Неврологические и психические нарушения у больных с цереброваскулярной недостаточностью (нарушение памяти; головокружение; афазия, апраксия, двигательные расстройства, головная боль).
Кларитин и Лорагексал
Кларитин : 160р. 10мг N7
Лорагексал: 50р. 10мг N10
Действующее вещество: лоратадин.
Показания: Аллергический ринит (сезонный и круглогодичный), конъюнктивит, поллиноз, крапивница (в т.ч. хроническая идиопатическая), ангионевротический отек, зудящий дерматоз; псевдоаллергические реакции, вызванные высвобождением гистамина; аллергические реакции на укусы насекомых.
КЛАЦИД и Кларитромицин
КЛАЦИД: 615р. 250мг N10
Кларитромицин: 175р. 250мг N14
Действующее вещество: кларитромицин.
Показания: Антибиотик. Бактериальные инфекции, вызванные чувствительными микроорганизмами: инфекции верхних дыхательных путей (ларингит, фарингит, тонзиллит, синусит), нижних отделов дыхательных путей (бронхит, пневмония, атипичная пневмония), кожи и мягких тканей (фолликулит, фурункулез, импетиго, раневая инфекция), средний отит; язвенная болезнь желудка и 12-перстной кишки, микобактериоз, хламидиоз.
Лазолван и Амброксол
Лазолван: 320р. 30мг N50
Амброксол: 15р. 30мг N20
Действующее вещество: амброксол.
Показания: Муколитическое средство, стимулирует пренатальное развитие легких (повышает синтез, секрецию сурфактанта и блокирует его распад). Обладает секретомоторным, секретолитическим и отхаркивающим действием; стимулирует серозные клетки желез слизистой оболочки бронхов, увеличивает содержание слизистого секрета и выделение поверхностно-активного вещества (сурфактанта) в альвеолах и бронхах; нормализует нарушенное соотношение серозного и слизистого компонентов мокроты. Активируя гидролизующие ферменты и усиливая высвобождение лизосом из клеток Кларка, снижает вязкость мокроты. Повышает двигательную активность мерцательного эпителия, увеличивает мукоцилиарный транспорт.
Ламизил и Тербинафин
Ламизил: 380р. гель 1% 15г.
Тербинафин: 100р. гель 1% 15г.
Действующее вещество: тербинафин.
Показания: Грибковые заболевания кожи и ногтей (при онихомикозе не используют лекарственные формы для местного применения), вызванные чувствительными возбудителями (трихофития, микроспория, эпидермофития, руброфития, кандидоз кожи и слизистых оболочек); разноцветный лишай (только лекарственные формы для местного применения).
Лиотон-1000 и Гепарин-акри гель 1000
Лиотон-1000: 320р. 50г
Гепарин-акри гель 1000: 90р. 30г.
Действующее вещество: гепарин натрий.
Показания: Профилактика и лечение тромбофлебита поверхностных вен, постинъекционный и постинфузионный флебит, геморрой (в т.ч. послеродовой), слоновость, поверхностный перифлебит, лимфангит, поверхностный мастит, локализованные инфильтраты и отеки, травмы и ушибы (в т.ч. мышечной ткани, сухожилий, суставов), подкожная гематома.
Ломилан и Лорагексал
Ломилан: 140р. 10мг N10
Лорагексал: 48р. 10мг N10
Действующее вещество: лоратадин.
Показания: Аллергический ринит (сезонный и круглогодичный), конъюнктивит, поллиноз, крапивница (в т.ч. хроническая идиопатическая), ангионевротический отек, зудящий дерматоз; псевдоаллергические реакции, вызванные высвобождением гистамина; аллергические реакции на укусы насекомых.
Максидекс и Дексаметазон
Максидекс: 110р. 0,1% 5мл
Дексаметазон: 40р. 0,1% 10мл
Действующее вещество: дексаметазон.
Показания: Конъюнктивит (негнойный и аллергический), кератит, кератоконъюнктивит (без повреждения эпителия), блефарит, склерит, эписклерит, ретинит, ирит, иридоциклит и др. увеиты различного генеза, блефароконъюнктивит, неврит зрительного нерва, ретробульбарный неврит, поверхностные травмы роговицы различной этиологии (после полной эпителизации роговицы), профилактика воспаления после оперативных вмешательств, симпатическая офтальмия. Аллергические и воспалительные заболевания (в т.ч. микробные) ушей: отит.
Мезим и Панкреатин
Мезим: 275р. 4200ЕД N80
Панкреатин: 27р. 3500ЕД N60
Действующее вещество: панкреатин.
Показания: Заместительная терапия при внешнесекреторной недостаточности поджелудочной железы: хронический панкреатит, панкреатэктомия, состояние после облучения, диспепсия, муковисцидоз; метеоризм, диарея неинфекционного генеза. Нарушение усвоения пищи (состояние после резекции желудка и тонкого кишечника); для улучшения переваривания пищи у лиц с нормальной функцией ЖКТ в случае погрешностей в питании (употребление жирной пищи, большого количества пищи, нерегулярное питание) и при нарушениях жевательной функции, малоподвижном образе жизни, длительной иммобилизации.
Мирамистин и Хлоргексидин
Мирамистин: 225р. 0,01% 150мл
Хлоргексидин : 12р. 0.05% 100мл
Действующее вещество: в первом случае - мирамистин, во втором - хлоргексидин.
Показания: Антисептики, в качестве лечебно-профилактического средства при различных инфекциях, для антисептической обработки и дезинфекции, а также для профилактики инфекций, передаваемых половым путем.
ПЕРЕД ПРИМЕНЕНИЕМ ЛЮБОГО ПРЕПАРАТА, СРЕДСТВА ИЛИ МЕТОДА ЛЕЧЕНИЯ, ОБЯЗАТЕЛЬНО КОНСУЛЬТИРУЙТЕСЬ С ЛЕЧАЩИМ ВРАЧОМ!
Сохрани, чтобы не потерять!</t>
  </si>
  <si>
    <t>Надежда Киреева</t>
  </si>
  <si>
    <t>14.04.2023 14:50</t>
  </si>
  <si>
    <t>мне ренгалин помогает хорошо. в основном лечу им кашель. таблетки для рассасывания беру</t>
  </si>
  <si>
    <t>Василиса Эрнст</t>
  </si>
  <si>
    <t>Топ Свердловск.</t>
  </si>
  <si>
    <t>Кипферон (Kipferon): рчИФН-α-2b 500000 МЕ плюс некий комплексный иммуноглобулиновый препарат (собственно, КИП). Pubmed 0; Cochrane Reviews 0; FDA 0; RXlist 0; ВОЗ 0; ФК (-)</t>
  </si>
  <si>
    <t>Оксана Ридигер</t>
  </si>
  <si>
    <t>МОСКВА МАМ</t>
  </si>
  <si>
    <t>[id794370688|Любовь], у нас все на оборот,сколько не пили Кагоцел - пустая вода, осельтамивир- реальная помощь,но его часто нельзя...потом узнала о составе Кагоцела и все стало ясно.</t>
  </si>
  <si>
    <t>Татьяна Машкова</t>
  </si>
  <si>
    <t>Пыльца Club. Поллиноз под контролем</t>
  </si>
  <si>
    <t>Москва</t>
  </si>
  <si>
    <t xml:space="preserve">Эпидемия гриппа. Обращение Комаровского к народу:
Дорогие мамы и папы! Люди!!! Запомните самое главное: тактика ваших действий совершенно не зависит от того, как называется вирус. Это грипп сезонный, свиной, слоновий, пандемический, это вообще не грипп — это не важно. Важно лишь то, что это вирус, что он передается воздушно-капельным путем и что он поражает органы дыхания. Отсюда и конкретные действия.
Профилактика
Теоретически здесь я должен дать ссылку на главу из своей книги про ОРЗ (профилактика ОРВИ) и замолчать, поскольку все уже сказано. Но практически давайте все самое главное еще раз повторим.
Если вы (ваш ребенок) встретитесь с вирусом, а у вас нет в крови защитных антител, вы заболеете. Антитела появятся в одном из двух случаев: либо вы переболеете, либо вы привьетесь.
Привиться можно только от сезонного гриппа. От свиного вакцины пока нет (в Украине). Тем не менее иметь защитные антитела к тем трем вирусам, которые входят в состав сезонной вакцины, лучше, чем не иметь вообще никаких.
1. Есть возможность привиться (привить дитя) — прививайтесь, но при том условии, что, во-первых, вы здоровы и, во-вторых, для вакцинации не надо будет сидеть в сопливой толпе в поликлинике. Последнее положение делает ваши шансы на адекватную вакцинацию призрачными.
2. Никаких лекарств с доказанной профилактической эффективностью не существует. Т.е. никакой лук, никакой чеснок, никакая горилка и никакие глотаемые вами или засовываемые в дитя таблетки не способны защитить ни от какого респираторного вируса вообще, ни от вируса гриппа в частности. Все, за чем вы убиваетесь в аптеках, все эти якобы противовирусные средства, якобы стимуляторы интерферонообразования, стимуляторы иммунитета и жутко полезные витамины, все, что в аптеках к сегодняшнему дню исчезло, все, чем правительство обещало в ближайшие дни аптеки наполнить — все это лекарства с недоказанной эффективностью, лекарства, удовлетворяющие главную ментальную потребность украинца — «треба щось робити» — и россиянина — «надо что-то делать».
Основная польза всех этих лекарств — психотерапия. Вы верите, вам помогает — я рад за вас, только не надо штурмовать аптеки — оно того не стоит.
3. Источник вируса — человек и только человек. Чем меньше людей, тем меньше шансов заболеть. Карантин — замечательно! Запрет на массовые сборища — прекрасно! Пройтись остановку пешком, не пойти лишний раз в супермаркет — мудро!
4. Маска. Полезная штука, но не панацея. Обязательно должна быть на больном, если рядом здоровые: вирус она не задержит, но остановит капельки слюны, особо богатые вирусом.
5. Руки больного — источник вируса не менее значимый, чем рот и нос. Больной касается лица, вирус попадает на руки, больной хватает все вокруг, вы касаетесь этого всего рукой, — здравствуй, ОРВИ.
Не трогайте своего лица. Мойте руки, часто, много, постоянно носите с собой влажные дезинфицирующие гигиенические салфетки, мойте, трите, не ленитесь!
Учитесь сами и учите детей, если уж нет платка, кашлять-чихать не в ладошку, а в локоть.
Начальники! Официальным приказом введите в подчиненных вам коллективах запрет на рукопожатия.
Пользуйтесь кредитными карточками. Бумажные деньги - источник распространения вирусов.
6. Воздух!!! Вирусные частицы часами сохраняют свою активность в сухом теплом и неподвижном воздухе, но почти мгновенно разрушаются в воздухе прохладном, влажном и движущемся. В этом аспекте митинг в центре Киева, на который собралось 200 000 человек, менее опасен, чем собрание 1000 человек в клубе в Ужгороде.
Гулять можно сколько угодно. Подцепить вирус во время прогулки практически нереально. В этом аспекте, если уж вы вышли погулять, так не надо показушного хождения в маске по улицам. Уж лучше подышите свежим воздухом, а маску натяните перед входом в автобус, офис или магазин.
Оптимальные параметры воздуха в помещении — температура около 20 °С, влажность 50-70%. Обязательно частое и интенсивное сквозное проветривание помещений. Любая система отопления сушит воздух. Именно начало отопительного сезона стало началом эпидемии! Контролируйте влажность. Мойте пол. Включайте увлажнители воздуха. Настоятельно требуйте увлажнения воздуха и проветривания помещений в детских коллективах.
Лучше теплее оденьтесь, но не включайте дополнительных обогревателей.
7. Состояние слизистых оболочек!!! В верхних дыхательных путях постоянно образуется слизь. Слизь обеспечивает функционирование т.н. местного иммунитета — защиты слизистых оболочек. Если слизь и слизистые оболочки пересыхают — работа местного иммунитета нарушается, вирусы, соответственно, с легкостью преодолевают защитный барьер ослабленного местного иммунитета, и человек заболевает при контакте с вирусом с многократно большей степенью вероятности. Главный враг местного иммунитета — сухой воздух, а также лекарства, способные высушивать слизистые оболочки (из популярных и всем известных — димедрол, супрастин, тавегил, трайфед — список далеко не полный, мягко говоря).
Увлажняйте слизистые оболочки! Элементарно: 1 чайная ложка обычной поваренной соли на 1 литр кипяченой воды. Заливаете в любой флакон-пшикалку (например, из-под сосудосуживающих капель) и регулярно пшикаете в нос (чем суше, чем больше народу вокруг — тем чаще, хоть каждые 10 минут). Для той же цели можно купить в аптеке физиологический раствор или готовые солевые растворы для введения в носовые ходы — салин, аква марис, хумер, маример, носоль и т.д. Главное — не жалейте! Капайте, пшикайте, особенно тогда, когда из дома (из сухого помещения) вы идете туда, где много людей, особенно если вы сидите в коридоре поликлиники.
В отношении профилактики это все.
Лечение
Фактически единственным препаратом, способным разрушить вирус гриппа, является озельтамивир, коммерческое имя — тамифлю. Теоретически есть еще одно лекарство (занамивир), но оно используется лишь ингаляционно, да и шансов увидеть его в нашей стране немного.
Тамифлю реально разрушает вирус, блокируя белок нейраминидазу (ту самую N в названии H1N1).
Тамифлю не едят все подряд при любом чихе. Это и недешево, и побочных явлений много, да и смысла не имеет. Тамифлю используют тогда, когда болезнь протекает тяжело (признаки тяжелой ОРВИ врачи знают), или когда даже легко заболевает человек из группы риска — старики, астматики, диабетики (кто относится к группам риска, врачи тоже знают). Суть: если показано тамифлю, то показано как минимум наблюдение врача и, как правило, — госпитализация. Неудивительно, что с максимально возможной вероятностью тамифлю, поступающий в нашу страну, будет распределяться по стационарам, а не по аптекам (хотя все может быть).
Внимание!!! К абсолютному, к подавляющему большинству тех, кто читает эти строки, лечение противовирусными средствами не имеет никакого отношения.
ГРИПП — ЛЕГКАЯ БОЛЕЗНЬ ДЛЯ БОЛЬШИНСТВА.
Лечение ОРВИ вообще и гриппа в частности — это не глотание таблеток! Это создание таких условий, чтоб организм легко с вирусом справился.
ПРАВИЛА ЛЕЧЕНИЯ.
1. Тепло одеться, но в комнате прохладно и влажно. Температура около 20 °С, влажность 50-70%. Мыть полы, увлажнять, проветривать.
2. Категорически не заставлять есть. Если просит (если хочется) — легкое, углеводное, жидкое.
3. Пить (поить). Пить (поить). Пить (поить)!!!
Температура жидкости равна температуре тела. Пить много. Компоты, морсы, чай (в чай мелко порезать яблочко), отвары изюма, кураги. Если дитя перебирает — это буду, а это нет — пусть пьет что угодно, лишь бы пил. Идеально для питья — готовые растворы для пероральной регидратации. Продаются в аптеках и должны там быть: регидрон, хумана электролит, гастролит и т.д. Покупайте, разводите по инструкции, поите.
4. В нос часто солевые растворы.
5. Все «отвлекающие процедуры» (банки, горчичники, припарки, ноги в кипятке и т.д.) — классический совковый родительский садизм и опять-таки психотерапия (надо что-то делать).
6. Если надумали бороться с высокой температурой — только парацетамол или ибупрофен. Категорически нельзя аспирин.
Главная беда в том, что тепло одеть, увлажнить, проветрить, не пихать еду и напоить — это по-нашенски называется «не лечить», а «лечить» — это послать папу в аптеку…
7. При поражении верхних дыхательных путей (нос, горло, гортань) никакие отхаркивающие средства не нужны — они только усилят кашель. Поражение нижних дыхательных путей (бронхиты, пневмонии) не имеют к самолечению никакого отношения. Поэтому самостоятельно никаких «лазолванов-мукалтинов» и т.п.
8. Противоаллергические средства не имеют к лечению ОРВИ никакого отношения.
9. Вирусные инфекции не лечатся антибиотиками. Антибиотики не уменьшают, а увеличивают риск осложнений.
10. Все интерфероны для местного применения — лекарства с недоказанной эффективностью или «лекарства» с доказанной неэффективностью.
11. Гомеопатия — это не лечение травами, а лечение заряженной водой. Безопасно. Психотерапия (надо что-то делать).
Когда нужен врач? ВСЕГДА!!! Но это нереально.
Поэтому перечисляем ситуации, когда врач нужен обязательно:
* отсутствие улучшений на четвертый день болезни;
* повышенная температура тела на седьмой день болезни;
* ухудшение после улучшения;
* выраженная тяжесть состояния при умеренных симптомах ОРВИ;
* появление изолированно или в сочетании: бледности кожи; жажды, одышки, интенсивной боли, гнойных выделений;
* усиление кашля, снижение его продуктивности; глубокий вдох приводит к приступу кашля;
* при повышении температуры тела не помогают, практически не помогают или очень ненадолго помогают парацетамол и ибупрофен.
Врач нужен обязательно и срочно:
* потеря сознания;
* судороги;
* признаки дыхательной недостаточности (затрудненное дыхание, одышка, ощущение нехватки воздуха);
* интенсивная боль где угодно;
* даже умеренная боль в горле при отсутствии насморка;
* даже умеренная головная боль в сочетании с рвотой;
* отечность шеи;
* сыпь, которая не исчезает при надавливании на нее;
* температура тела выше 39 °С, которая не начинает снижаться через 30 минут после применения жаропонижающих средств;
* любое повышение температуры тела в сочетании с ознобом и бледностью кожи.</t>
  </si>
  <si>
    <t>Раиса Дворникова</t>
  </si>
  <si>
    <t>[id593784294|Иван], а разве Арбидол отечественный припорвт?</t>
  </si>
  <si>
    <t>Мажак Кирокосьянц</t>
  </si>
  <si>
    <t>Cрoчные нoвoсти</t>
  </si>
  <si>
    <t>14.04.2023 14:49</t>
  </si>
  <si>
    <t>Кип  тот-же анаферон. Против больницы не попрешь. Есть в растрельном списке препаратов</t>
  </si>
  <si>
    <t>Поносова Нина</t>
  </si>
  <si>
    <t>Пермский край</t>
  </si>
  <si>
    <t>Верещагино</t>
  </si>
  <si>
    <t>Показаться стоит врачам. Лор, иммунолог, инфекционист. Послушают, рентген не помешает. После ковида у меня тоже продолжительный кашель сухой был, и антибиотики пила, и всякой химии куча. Потом на растительные перешла, геделикс пила и грудной сбор, но рентген при этом был в норме. И после курса травяных препаратов уже стало значительно легче. Параллельно еще и нос промывала.</t>
  </si>
  <si>
    <t>Елена Касьянова</t>
  </si>
  <si>
    <t>Подслушано у Мам / Уфа</t>
  </si>
  <si>
    <t>14.04.2023 14:48</t>
  </si>
  <si>
    <t xml:space="preserve">Мaмочки, обязaтельно сохpаните себе этот cписок!
Дешeвые аналоги pаспространённых лекарств!
Цены указаны старые, лекарства смотрите по названиям
Текст на изображении: 1. Нурофен (120руб) Ибупрофен (10руб) 2. Мезим (300руб) Панкреатин (30руб) 3. Но-шпа (150руб) Дротаверина гидрохлорид, (30руб) 4. Панадол(50руб) Парацетамол (5руб) 5. Белосалик (380руб) Акридерм СК (40руб) 6. Бепантен (250руб) Декспантенол (100руб) 7. Бетасерк(600руб) Бетагистин (250руб) 8. Быструмгель (180руб) Кетопрофен (60руб) 9. Вольтарен (300руб) Диклофенак (40руб) 10. Гастрозол (120руб) Омепразол (50руб) 11. Детралекс (580руб) Венарус (300руб) 12. Дифлюкан (400руб) Флуконазол (30руб) 13. Длянос (100руб) Риностоп(30руб) 16. Зовиракс (240руб) Ацикловир (40руб) 17. Иммунал (200руб) Эхинацеи экстракт (50руб) 18. Имодиум (300руб) Лоперамид руб) 19. Йодомарин (220руб) Калия йодид (100руб) 20. Кавинтон (580руб) Винпоцетин(200руб) 21. Кларитин (180руб) Лорагексал (60руб) 22. Клацид (600руб) Кларитромицин (180руб) 23. Лазолван (320руб) Амброксол (20руб) 24. Ламизил (400руб) Тербинафин (100руб) 25. Лиотон-1000 (350руб) Гепарин-акригель 1000 (120руб) 26. Ломилан (150руб) Лорагексал (50руб)</t>
  </si>
  <si>
    <t>Алёна Аркадьевна</t>
  </si>
  <si>
    <t>Приморский край</t>
  </si>
  <si>
    <t>Елена Забелина</t>
  </si>
  <si>
    <t>Температура 38.6 - Юлия</t>
  </si>
  <si>
    <t>Грудью да, кормите при любой, можно ингаляции с физраствором через небулайзер, виферон в свечках мне хорошо помог, без него держалась 4-го суток температура. Пила еще до него арбидол с первых дней, но он как-то не особо помог не увидела ничего.</t>
  </si>
  <si>
    <t>Юлия</t>
  </si>
  <si>
    <t>14.04.2023 14:47</t>
  </si>
  <si>
    <t>[id507733686|Евгений], противовирусное у нас точно есть. Мне арбидол даже при ковиде назначали, выздоровела быстро и осложнений никаких не было.</t>
  </si>
  <si>
    <t>Светлана Авдеева</t>
  </si>
  <si>
    <t>ГОЛОС РОДИНЫ| НОВОСТИ</t>
  </si>
  <si>
    <t>Вера Чвокина</t>
  </si>
  <si>
    <t>14.04.2023 14:46</t>
  </si>
  <si>
    <t>По мне, так лучше ссср, где в школе готовили ТВОРЦОВ, а не россия, где готовят квалифицированных потребителей. В ссср дети гуляли, родители не седели от страха, что ребенок может уйти в магазин за хлебом и не вернуться. В ссср всё было государственным, ну и хрен, зато всё это не принадлежало чубайсам и березовским. В ссср людей заставляли делать зарядку, чтобы нация была здорова,  а не пичкали гмо и сверчками, а потом не залечиваои до смерти арбидолами... Ну и тд и тп</t>
  </si>
  <si>
    <t>Sea Sea</t>
  </si>
  <si>
    <t>Вячеслав Володин</t>
  </si>
  <si>
    <t>[id782393551|Фёдор], В том не ничего удивительного. Арбидолом торгуют до сих пор.</t>
  </si>
  <si>
    <t>Александр Соловьев</t>
  </si>
  <si>
    <t>Кладбища</t>
  </si>
  <si>
    <t>Да, в моем случае циклоферон тоже очень помог - тоже колола ампулы, а потом еще таблетки пропивала. Ну и мазала болячки мазью. главное все по инструкции делать</t>
  </si>
  <si>
    <t>Ольга Багмет</t>
  </si>
  <si>
    <t>Я беременна | Я мама | Курган</t>
  </si>
  <si>
    <t>14.04.2023 14:45</t>
  </si>
  <si>
    <t>Если чувствую, что заболеваю, сразу начинаю пропивать циклоферон по схеме. Главное выдержать курс 5 дней, в инструкции написано, как именно пить. Всегда выручает.</t>
  </si>
  <si>
    <t>Ольга Романовна</t>
  </si>
  <si>
    <t>Подслушано у девушек</t>
  </si>
  <si>
    <t>14.04.2023 14:44</t>
  </si>
  <si>
    <t>Да, есть гипретонические растворы морской соли, они лучше откладывают нос за счет большего содержания соли, виферон гель хорошо помогает, на вашем сроке его можно уже, гриппферон мне нравится меньше, у меня от него еще больше нос закладывает, и еще в аптеке есть карандаш-ингалятор в составе мята ментол эвкалипт, они разных фирм есть, можно дышать им.</t>
  </si>
  <si>
    <t>babyblog.ru</t>
  </si>
  <si>
    <t>Блоги</t>
  </si>
  <si>
    <t>Анастасия Назарова</t>
  </si>
  <si>
    <t>www.babyblog.ru</t>
  </si>
  <si>
    <t>[id793700960|Елена], ферон - это гомеопатия, я в такие чудеса не верю. Арбидол курсом 5 дней и ни следа от орви!</t>
  </si>
  <si>
    <t>Наталья Соколова</t>
  </si>
  <si>
    <t>14.04.2023 14:43</t>
  </si>
  <si>
    <t>[id6788349|Инга], это исследование по арбидолу "эгида". Загуглите, боюсь, что заблочат за ссылки.</t>
  </si>
  <si>
    <t>Катя Шульга</t>
  </si>
  <si>
    <t>Архангельская область</t>
  </si>
  <si>
    <t>Няндома</t>
  </si>
  <si>
    <t>14.04.2023 14:42</t>
  </si>
  <si>
    <t xml:space="preserve">Я начала давать брохомунал детскую дозировку. Потому что у ребенка график 2/2 (2 недели в саду, две дома).
Посоветовал педиатр маме, она на моем племяннике испробовала, к третьему курсу бронхомунала болеть перестал (раньше пару дней в саду, две недели дома на больничном был с бронхитами).</t>
  </si>
  <si>
    <t>Анастасия Крюгер</t>
  </si>
  <si>
    <t>14.04.2023 14:41</t>
  </si>
  <si>
    <t xml:space="preserve">http://ok.ru/profile/590853997741
Текст на изображении: ПРИМЕРЫ ИЗ СПРАВОЧНИКА СТОИМОСТЬ ЛЕКАРСТВ И ЦЕНЫ ИХ АНАЛОГОВ. МЕНА ЛАЗОЛВАН 1500 ЛОМИЛАН ЛОСЕК МАПС 300 МИДРИАЦИЛ 200 НОРМОДИПИН омез ПАНАНГИН пиносол 10 ЙОДОМАРИН СУММАМЕД ТЕБАНТИН__ 1200 270 ПЛАВИКС 2770 САНОРИН 100 TPMXONOA ФУРАМАГ ЗОВИРАКС ДИФЛЮКАН ЭРСЕФУРИЛ BETACEPK 00 АМБРОГЕКСАЛ 120 БЫСТРУМГЕЛЬ 200 100 ОТРИВИН 190 KATOUEA АМИКСИН ПАНАДОЛ НО-ШПА НОРМОДИПИН TAYOOH SHAN ВИАГРА КСЕНИКАЛ АНАЛОГ: РОЗУВАСТАТИН `ЛОРАТАДИН ПАНКРЕАТИН АМЛОДИПИН ИБУПРОФЕН ЭВКАСЕПТ КАЛИЯ ЙОДИД ГАБАПЕНТИН НАФТИЗИН МЕТРОНИДАЗОЛ ФУРАЗОЛИДОН ‘AMBPOKCON KETONPOOEH РИМАНТАДИН ПАРАЦЕТАМОЛ ТАУРИН YPCOCAH KETONPOOEH ЭНАЛАПРИЛ ‘OPCOTEH цен 30 400 20 50 30 120 20 80 40 20 50 10 30 40 20 60 80 340 1000</t>
  </si>
  <si>
    <t>Лидия Глубокова(Исакова)</t>
  </si>
  <si>
    <t>Оренбургская область</t>
  </si>
  <si>
    <t>Веселовский</t>
  </si>
  <si>
    <t>14.04.2023 14:40</t>
  </si>
  <si>
    <t>Правила нахождения на б/л</t>
  </si>
  <si>
    <t xml:space="preserve">Тюмень. Заболела 31 марта, дали больничный до 3 апреля.
1 апреля пришел положительный результат, автоматом продлили больничный до 6 апреля включительно.
6го звонят спрашивают самочувствие -норм, выписывают. Если надо продлить - идешь ножками к врачу.
На работу не сообщают, если сами не скажете - никто не узнает.
Лечение стандартное - арбидол, гриппферон, парацетамол)</t>
  </si>
  <si>
    <t>Тайга</t>
  </si>
  <si>
    <t>14.04.2023 14:37</t>
  </si>
  <si>
    <t>С лактазной недостаточностю читайте внимательно на коробках противопоказания, лежали в ковидом отделении, капли в нос гриппферон и виферон свечи все в комплексе сразу, назначения врача,но были системы в/в, жаропонижающие в/в, на третие сутки подключал антибиотик, 40,3 не сбивалась.</t>
  </si>
  <si>
    <t>Ирина Варварина</t>
  </si>
  <si>
    <t>ПроДетей Белгород | Мама</t>
  </si>
  <si>
    <t>Белгородская область</t>
  </si>
  <si>
    <t>Строитель</t>
  </si>
  <si>
    <t>Я стараюсь поддерживать детям иммунитет, так как бывало, что заболел один - заразилась вся семья. Мы пьем циклоферон, при первых симптомах сразу же начинаем прием. Детям стала его давать с 4х лет, дозировка взрослая, принимается по определенной схеме (подробно указана в инструкции). Главное проследить, чтобы таблетку полностью проглатывали, а то ее нельзя разжевывать и разламывать.</t>
  </si>
  <si>
    <t>Алиночка Владимировна</t>
  </si>
  <si>
    <t>Мамочки</t>
  </si>
  <si>
    <t>14.04.2023 14:36</t>
  </si>
  <si>
    <t xml:space="preserve">Необходимы медикаменты. Привезти можно на склад ГКС, в магазин Военторг.
-бинты,
- жгуты,
- ИПП,
- противовирусные и антимикробное(граммидин,ингалипт, Хлоргексидин,  трекрезан, ацикловир, Кагоцел,  и т.д.),
- противовоспалительные (мовалис, мильгамма, Диклофенак, найз, кетанов),
- тройники (нефопам, кардиомин, этамзилат)
Медикаменты собираем в принципе на отправку.Не важно кому. Чужих бойцов для нас  НЕТ. Каждый ваш близкий там , защищающий нашу землю дорог нам. Хотя бы потому, что благодаря им мы  можем свободно выражать своё мнение, называть вещи своими именами и посещать мечеть или храм. Это наш долг совести. И мне неважно какое это подразделение и с какого региона бойцы. Для нас главное что они не пускают этих бесов сюда.</t>
  </si>
  <si>
    <t>Наталья Дмитриенко</t>
  </si>
  <si>
    <t>Республика Татарстан (Татарстан)</t>
  </si>
  <si>
    <t>Бугульма</t>
  </si>
  <si>
    <t>14.04.2023 14:35</t>
  </si>
  <si>
    <t>нельзя, там содержится антигистаминный или сосудосуживающий компонет ﻿можно противовирусное оциллококцинум, грипферон ﻿горло - лизобакт, нос- пиносол ﻿кашель стодаль</t>
  </si>
  <si>
    <t>Нина</t>
  </si>
  <si>
    <t>14.04.2023 14:34</t>
  </si>
  <si>
    <t>Лазолван Рино супер!) разрешен при беременности</t>
  </si>
  <si>
    <t>Валентина Серебрякова</t>
  </si>
  <si>
    <t>Мамы Коломна</t>
  </si>
  <si>
    <t xml:space="preserve">‼‼‼‼‼ПОСМОТРИТЕ И ПОСЛУШАЙТЕ️️️️️️️️️️️️️️️️️
ПЕРЕШЛИТЕ ВИДЕО ВСЕМ СВОИМ БЛИЗКИМ, РОДСТВЕННИКАМ, ДРУЗЬЯМ, ПРИЯТЕЛЯМ, ЗНАКОМЫМ И НЕЗНАКОМЫМ❗❗❗❗❗
Провизор раскрыл тайны фарм мафии! Зачем народ травят лекарствами? Это ЖУТКО, но знать НАДО!Провизор раскрыл тайны фарм мафии! Зачем народ травят лекарствами? Это ЖУТКО, но знать НАДО!
https://youtu.be/2n3998vy0bE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</si>
  <si>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Нелли Меньшикова</t>
  </si>
  <si>
    <t>[id793516016|Лариса], чтобы толк на практике был, надо лечиться арбидолом нормально. А вы в инструкцию препаратов принципиально не заглядываете? пустой состав ферона против 200 мг действующего вещества в Арбидоле, если что)</t>
  </si>
  <si>
    <t>Вера Максимова</t>
  </si>
  <si>
    <t>Доказательная медицина</t>
  </si>
  <si>
    <t>14.04.2023 14:32</t>
  </si>
  <si>
    <t xml:space="preserve">Провизор раскрыл тайны фарм мафии! Зачем народ травят лекарствами? Это ЖУТКО, но знать НАДО!
Вы, или Ваши знакомые принимали: парацетамол, арбидол,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t>
  </si>
  <si>
    <t>Людмила Пенкина</t>
  </si>
  <si>
    <t>Красноярский край</t>
  </si>
  <si>
    <t>Красноярск</t>
  </si>
  <si>
    <t>14.04.2023 14:30</t>
  </si>
  <si>
    <t>АРБИДОЛ, для всегои прививка спутник лайт</t>
  </si>
  <si>
    <t>Иван Иваныч</t>
  </si>
  <si>
    <t>[id10862124|Денис], это было в начале вроде. А позже Арбидол Минздрав в официальные реко включил при легкой форме ковида и для профилактики. На пабмеде есть статьи об эффекте от Арбидола про ковиде.</t>
  </si>
  <si>
    <t>14.04.2023 14:29</t>
  </si>
  <si>
    <t>Оля Смыслова</t>
  </si>
  <si>
    <t>Новгородская область</t>
  </si>
  <si>
    <t>Парфино</t>
  </si>
  <si>
    <t>Да</t>
  </si>
  <si>
    <t>Марина Калугина</t>
  </si>
  <si>
    <t>14.04.2023 14:28</t>
  </si>
  <si>
    <t xml:space="preserve">Шпаргалка на всю жизнь: 99 лекарств, которые могут вылечить почти все
Текст на изображении: ПРОСТУДА Ибупрон сильное обезболивающие средство, быстро действует, 6 виде шипучих таблеток щадит желудок, в свечах удобен для мальшей. Колдрекс отличный сосудосуживающий препарат. Быстро действует, потому что его растворяют 8 горячей воде. избавляет от насморка и не дает пересыхать слизистой оболочке носа, действует 12 часов. Нурофен скорая помощь, действует быстро. Для мальшей есть свечи, но сильно ухудшает качество крови. Парацетамол (панадол, эффералган)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как самое эффективное средство. санорин самое быстрое средство от насморка противоаллергическими компонентами. Флукол-Б дешевый и эффективный препарат, но содержит алкоголя и противопоказан водителям.; ЗАБОЛЕВАНИЯ ГОРЛА (ЧАСТЬ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6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6 виде капель. Тонзилгон противовоспалительное и обезболивающее средство, способствует уменьшению отека слизистой оболочки дыхательных путей. ЗАБОЛЕВАНИЯ ГОРЛА (ЧАСТЬ Тонзилотрен повышает активность слизистой оболочки. солютаб эффективный быстрорастворимый антибиотик при гнойной ангине, применяют как вовнутрь, так и для полоскания. Фарингосетт антисептическое средство, приятное на бкус (рассасывается во рту). Не влияет на кишечную микрофлору. Фалиминт средство охлаждающим действием для лечения заболеваний полости рта и глотки. Незаменим накануне операций, при протезировании зубов и для лекторов.</t>
  </si>
  <si>
    <t>Татьяна Кошечкина</t>
  </si>
  <si>
    <t xml:space="preserve">Почему закаляться лучше начать весной?
Самым «привычным» для нас видом закаливания можно считать обливание холодной водой. Ну и вроде как принято начинать это делать осенью, в преддверии похолодания и нашествия вирусов. Но на самом деле, все не так просто...
Специалисты рекомендуют начинать закаливание в начале весны, потому что низкие температуры в этот период не являются огромным стрессом для организма. Ему вполне привычно после зимних морозов переносить чуть более легкие - весенние. Поэтому, если вы хотите начать закаливание правильно, самое время начать весенние процедуры!
Но помните вторую, самую главную рекомендацию - ни в коем случае нельзя закаляться без поддержки иммунитета в этот период! Обязательно подключаем правильное, сбалансированное питание и хороший полноценный сон. Ну а для того, чтобы помочь организму легче справиться с перепадом температур и не заболеть, - хорошо и правильно использовать Деринат! Этот натуральный препарат поможет самым естественным образом поддержать иммунитет и усилить защиту от вирусов!
Необычные лайфхаки для крепкого иммунитета и заботы о себе и близких - в нашей группе https://vk.com/dayhackerexe
Возможны противопоказания. Проконсультируйтесь со специалистом. Принимайте препарат следуя указаниям инструкции по применению.
Реклама. ООО «ФАРМПАК» ИНН 7720519561
Erid:LdtCK8H5B
#забота #семья #красота #бьюти #рецепты #здоровье #ппрецепты #иммунитет #психология #лайфхакидлядома #бьютилайфхаки #деринат
Деринат
https://vk.com/dayhackerexe
Группа ВКонтакте</t>
  </si>
  <si>
    <t>Яна Давыдова</t>
  </si>
  <si>
    <t>14.04.2023 14:27</t>
  </si>
  <si>
    <t>Наташа-Тамада Пелевина</t>
  </si>
  <si>
    <t>Котлас</t>
  </si>
  <si>
    <t>14.04.2023 14:26</t>
  </si>
  <si>
    <t>Не надо никакой спирт,перекись и т.д.,ничего не будет. Тем более нет смысла в арбидоле.</t>
  </si>
  <si>
    <t>Лика Соколова</t>
  </si>
  <si>
    <t>МАМОЧКИ ПЕРМИ</t>
  </si>
  <si>
    <t>Пермь</t>
  </si>
  <si>
    <t>14.04.2023 14:25</t>
  </si>
  <si>
    <t>Василя Асылбаева</t>
  </si>
  <si>
    <t>Свердловская область</t>
  </si>
  <si>
    <t>Саргая</t>
  </si>
  <si>
    <t xml:space="preserve">Вначале убейте его\иммунитет ЖКТ\ препаратами из этой аптеки , а потом его же \иммунитет ЖКТ\ восстановите препаратами из этой же аптеки . .***** ,....ЛЕКАРСТВА...ТАБЛЕТКИ ...пути сокращения ...
Elen Eleп .16 янв 2023 в 13:52
ГЕНОЦИД НАСЕЛЕНИЯ ЧЕРЕЗ АПТЕКИ
Шокирующая исповедь провизора.
Георгий Демидов, человек который работал провизором в аптеках более 25 лет.
Он обнаружил, что из 4 000 медикаментов имеющихся в каждой среднестатистической аптеке, это:
• 1500 плацебо (плаце‌бо — вещество без явных лечебных свойств, используемое для имитации лекарственного средства);
• 286 препаратов опасных для жизни;
• 83 препарата — это боевые отравляющие вещества!!!
Препарат ТАЛИДОМИД — производства США. Его выписывают для беременных. В США после применения такого препарата родилось более 40 тыс детей, у которых кисти и стопы росли прямо из плеч и бедер. То есть отсутствовало само бедро и сама голень.
Тяжелейшее уродство. Его запретили на территории США, он является сверх токсичным веществом.
Он нигде не прижился кроме России. У нас он идет теперь как снотворное. А так же его прописывают сердечникам и онкологическим больным.
ЭТО СИСТЕМА УТИЛИЗАЦИИ ЯДА В ЛЮДЕЙ.
Более 80 процентов лекарств принадлежит к клану Рокфеллеров.
ГЛЮКОЗАМИН СУЛЬФАТ — это препарат фуфло. Но если врач не назначит его больному при артрозах, то врача могут засудить.
Люди пьют этот препарат по три месяца и не подтверждено никакого лечебного действия. А денежки не малые. Десахарид в этом препарате не способен всасываться в кишечнике. Как препарат, который не оказывает лечебного действия проходит наш Минздрав ?
Препарат ПАРАЦЕТАМОЛ — это не лекарство, а отходы нефтяного производства.
В большинстве лекарств присутствуют клеточные яды.
Очень хорошо лечат советские таблетки и они стоят копейки, но люди не хотят читать рецептуру и узнавать аналогию препаратов, им легче купить дорогие препараты, которые не лечат. Более того они ядовиты.
13 граммов парацетамола НАНОСЯТ ПЕЧЕНИ УЩЕРБ ТАКОЙ ЖЕ, КАК ЖЕЛТУХА СРЕДНЕЙ ТЯЖЕСТИ. ПРИЧЁМ ЗДОРОВЬЕ ПОТЕРЯЕТЕ НА ВСЮ ЖИЗНЬ.
Более серьезный и ядовитый препарат — это препарат КАГОЦЕЛ.
СЕЙЧАС ЭТО САМЫЙ РЕКЛАМИРУЕМЫЙ ПРЕПАРАТ И ЕГО РЫНОК ПРОДАЖ НА СЕГОДНЯ БОЛЕЕ 14 МЛРД РУБЛЕЙ В ГОД.
Этот препарат запрещен в 1998 году во всех нормальных странах мира, кроме, конечно же, России.
КАГОЦЕЛ ОСУЩЕСТВЛЯЕТ СТЕРИЛИЗАЦИЮ НАСЕЛЕНИЯ.
Он никак не действует на иммунную систему, его побочка приводит к стерилизации людей.
И причем сами врачи говорят, что возможна алегоспермия (то есть стерилизация мужчин), но в течение года это восстанавливается. Но по факту все абсолютно не так.
И он тоже относится к "жизненно важным" препаратам, который невозможно не назначить.
Несколько лет назад был в Европе скандал по поводу употребление конины.
Коней лечат препаратом ФИНИЛБУТАЗОН, который стимулирует раковые опухоли в 14-39 раз. И нечаянно дали людям конину. Там был такой скандал, который помнят через полтора года.
Препарат РЕОПИРИН — 260 руб. — 250 мг капсула или ампула
Читаем фармакологическое название — ФИНИЛБУТАЗОН. То есть который вызывает раковые заболевания у людей. То, чего боятся европейцы, продаётся нам под видом ядовитых таблеток смерти в чистом виде.
АРБИДОЛ — совершенно не доказано клиническое воздействие, препарат туфта. Он не имеет к простуде никакого значения.
Если лечите раковое заболевание, то нельзя заливать соду водой свыше 60 градусов.
Препарат противогрибковый КАРБЕНДАЗИМ — это яд.
МЕДАМИН в таблетках. Он во всем мире известен как сверхтоксичный.
Но в нашей стране его завезли как противоглистный препарат.
Я имею диплом химика и съем свой диплом, если мне кто-то докажет, что этот препарат имеет свойство против глистов. ЭТО ПРОСТО ПРОДАЖА ЯДА.
Обычной аскорбиновой кислотой вы излечите атеросклероз на 50 процентов, за полгода, то есть рассосутся ваши бляшки.
Первое, что нельзя принимать — это все СТАТИНЫ. Они на 5-6 лет укорачивают жизнь здоровым, а больным ускорят смерть.Дополню печальную статистику от инфо 1 канала \года 2 назад\ Росэпидем или сан Надзор ....20% лекарств лечат ...70 % только снимают симптомы и не лечат и 10% лекарств опасны для здоровья . До 45% лечащих лекарств имеют НЕДОВЛАЖЕНИЕ действующего начала .</t>
  </si>
  <si>
    <t>Владимир Чернов</t>
  </si>
  <si>
    <t>Аптека «Планета Здоровья»</t>
  </si>
  <si>
    <t>Оренбург</t>
  </si>
  <si>
    <t>14.04.2023 14:23</t>
  </si>
  <si>
    <t xml:space="preserve">Знать что арбидол хуйня✔️
Купить арбидол в аптеке✔️
Пропить курс ✔️
Убедиться что арбидол хуйня ✔️</t>
  </si>
  <si>
    <t>Есть почитать ЧЕ</t>
  </si>
  <si>
    <t>негатив</t>
  </si>
  <si>
    <t>Тульская область</t>
  </si>
  <si>
    <t>Горьковский</t>
  </si>
  <si>
    <t>14.04.2023 14:21</t>
  </si>
  <si>
    <t>[id445935362|Владислава], а мне ренгалин не помог совсем.Сначало я его начала пить до врача.</t>
  </si>
  <si>
    <t>Натали Тихонова</t>
  </si>
  <si>
    <t>Псков Женский</t>
  </si>
  <si>
    <t>Псковская область</t>
  </si>
  <si>
    <t>Псков</t>
  </si>
  <si>
    <t>У нас тоже самое. Сыну 2 года. Нам назначили антибиотик, промывание носика, пшикать Аква Марис стронг и капать фурацилинадриналинрвые капли, Флюдитек сироп. Стало намного лучше, но мы всё равно на вторник к Лору записались.</t>
  </si>
  <si>
    <t>Анастасия Кобзова</t>
  </si>
  <si>
    <t>Мамочки Приморский р-н | Коломяги | Юнтолово</t>
  </si>
  <si>
    <t>[id182563775|Товарищ], арбидол то что забыл в этом списке? Со своей задачей справляется вполне хорошо.</t>
  </si>
  <si>
    <t>Вадим Тарасов</t>
  </si>
  <si>
    <t>Культура 2000-х</t>
  </si>
  <si>
    <t>Онега</t>
  </si>
  <si>
    <t>Жанна Парамонова</t>
  </si>
  <si>
    <t>Северодвинск</t>
  </si>
  <si>
    <t xml:space="preserve">Здравствуйте. Подскажите, пожалуйста, как правильно разделить приём/или что-то можно одновременно принимать следующие препараты: L- тироксин, тамоксифен, синупрет и кагоцел,  противоаллергичес
кие препараты ? Спасибо.</t>
  </si>
  <si>
    <t>Елена Ильина</t>
  </si>
  <si>
    <t>НМИЦ онкологии им. Н.Н. Петрова</t>
  </si>
  <si>
    <t>Республика Карелия</t>
  </si>
  <si>
    <t>Петрозаводск</t>
  </si>
  <si>
    <t>14.04.2023 14:20</t>
  </si>
  <si>
    <t>[id680031449|Арина], посмотрела цены… Разница 100 рублей. Такая себе экономия в нынешних реалиях. Трекрезан уже известный препарат, изученный, а не новинка. Сама его принимаю, крутой!</t>
  </si>
  <si>
    <t>Marina Okuneva</t>
  </si>
  <si>
    <t>Мамы Ижевска</t>
  </si>
  <si>
    <t>14.04.2023 14:18</t>
  </si>
  <si>
    <t xml:space="preserve">Cписок нeобхoдимыx препaратов. Сохрани к ceбe.
Текст на изображении: Простуда 1. Ибупрон сильное обезболивающие средство, быстро действует, в виде шипучих таблеток щадит желудок, в свечах удобен для малышей.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свечи‚но сильно ‘ухудшает качество крови. 5. великолепное жаропонижающее, незаменим для астматиков. 6. Полиоксидоний -стимулирует иммунную систему, назначают детям, пригоден для экстренной помощи и для профилактики во время эпидемии ОРВИ. 7. Рибомунил восстанавливает иммунитет, рекомендован детям. 8. Санорин самое быстрое средство от насморка противоаллергическими компонентами.; Горло 1. Анаферон хорошее гомеопатическое средство для лечения вирусных инфекций верхних дыхательных путей. 2. Колустан аэрозоль, хорошо снимает отеки при воспалениях. Люголь, растворенный в глицерине лучшее наружное средство при 4. Пропосол-Н имеет выраженные антимикробные и противовоспалительные свойства, не оказывает раздражающего действия на организм. 5. Синупрет обладает антибактериальным и антиотечным действием, может назначаться детям есть в виде капель. 6. противовоспалительное и обезболивающее средство.</t>
  </si>
  <si>
    <t>Валентина Дилсис</t>
  </si>
  <si>
    <t>Салават</t>
  </si>
  <si>
    <t>14.04.2023 14:17</t>
  </si>
  <si>
    <t>Даёте сироп от кашля малышам до 3х лет? - Rozochkа</t>
  </si>
  <si>
    <t>↩ Rozochkа я не лечу Амбробене и муколитиками уже давно, так как заметила, что после них наоборот кашель усиливается и потом еще очень долго остаточный. Как перешли на Ренгалин так забыли о таких побочак.</t>
  </si>
  <si>
    <t>Olga</t>
  </si>
  <si>
    <t>Rozochkа</t>
  </si>
  <si>
    <t>Татьяна Данилова</t>
  </si>
  <si>
    <t>14.04.2023 14:16</t>
  </si>
  <si>
    <t>[id32421742|Марина], конечно нам и пустышки подсунут типо арбидола,а сами все оттуда из херовой заграницы,нас не жалко потихонечку истребляют</t>
  </si>
  <si>
    <t>Марианна Аванесова</t>
  </si>
  <si>
    <t>НОВОСТНАЯ ЛЕНТА</t>
  </si>
  <si>
    <t>Пушкино</t>
  </si>
  <si>
    <t>[id680031449|Арина], чем же он лучше? Оригинальные препараты всегда предпочтительнее. Тем более по Трекрезану все исследования есть, препарат изучен и известен. Я ковидом болела, но в легкой форме слава богу перенесла и Трекрезан спас от длительного вялого состояния, бодрое состояние не покинуло.</t>
  </si>
  <si>
    <t>Ольга Макушева</t>
  </si>
  <si>
    <t>Сплетник Бузулук</t>
  </si>
  <si>
    <t>14.04.2023 14:15</t>
  </si>
  <si>
    <t>Валентиа Смирнова</t>
  </si>
  <si>
    <t>14.04.2023 14:14</t>
  </si>
  <si>
    <t>[id521988661|Натали], Ацц от кашля не эффективно, поэтому вам и прописали два препарата. Не вижу смысла в таких манипуляциях, лучше Ренгалин взять, он помогает при сухом, влажном, смешанном, любо в общем кашле.</t>
  </si>
  <si>
    <t>Владислава Карасева</t>
  </si>
  <si>
    <t>Ростовская область</t>
  </si>
  <si>
    <t>Волгодонск</t>
  </si>
  <si>
    <t>14.04.2023 14:13</t>
  </si>
  <si>
    <t>Людмила Одинцова</t>
  </si>
  <si>
    <t>14.04.2023 14:12</t>
  </si>
  <si>
    <t xml:space="preserve">ВСЕМ ЗНАТЬ ДЛЯ ВЫЖИВАНИЯ !!!
МАКСИМАЛЬНЫЙ РЕПОСТ  !!!Провизор раскрыл тайны фарм мафии! Зачем народ травят лекарствами? Это ЖУТКО, но знать НАДО!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Разум&amp;</t>
  </si>
  <si>
    <t>Сергей Павлюченко</t>
  </si>
  <si>
    <t>Кировская область</t>
  </si>
  <si>
    <t>Киров</t>
  </si>
  <si>
    <t>Девчонки кто нибудь детям давал строп ренгалин или стодаль,хотелось бы отзывы послушать</t>
  </si>
  <si>
    <t>Ксения</t>
  </si>
  <si>
    <t>Клуб Омских Мам</t>
  </si>
  <si>
    <t>Об изменении цен  на потребительском рынке Псковской области в марте  рассказали статисты</t>
  </si>
  <si>
    <t xml:space="preserve">14.04.2023 14:12 ЦДИ, Псков
В марте 2023 года по сравнению с февралем 2023 года цены на потребительском рынке Псковской области выросли на 0,1%.
Основное влияние на значение индекса потребительских цен оказал рост цен и тарифов на услуги, которые подорожали за месяц на 0,4%. Цены на продовольственные товары выросли на 0,1%, цены на непродовольственные товары снизились на 0,1%.
Из продовольственных товаров более всего за месяц выросли цены на помидоры свежие – на 16,0%, виноград – на 14,9%, зелень свежую – на 9,2%, лук репчатый – на 7,1%, кетчуп – на 7,0%, яйца куриные – на 6,9%, молоко сгущенное с сахаром – на 4,9%, кофе натуральный в зернах и молотый – на 4,7%, груши – на 4,6%, печенье – на 4,1%.
Одновременно на ряд продовольственных товаров наблюдалось снижение цен. Наиболее подешевели: огурцы свежие – на 25,4%, картофель – на 8,9%, консервы мясные для детского питания – на 7,5%, печень говяжья, свиная – на 6,8%, сухие приправы, специи – на 5,3%, говядина бескостная и сосиски, сардельки – на 5,0%.
Из лекарственных препаратов значительнее других выросли цены на таурин, синупрет – на 5,3%, фуросемид – на 4,3%, активированный уголь – на 4,2%, аскорбиновую кислоту – на 3,4%, канефрон – на 3,2%, амлодипин – на 2,7%. Наибольшее снижение цен отмечено на аспирин отечественный – на 5,6%, эуфиллин – на 4,3%, осельтамивир – на 3,6%, эргоферон – на 3,4%, валидол – на 3,3%.
Из наблюдаемых непродовольственных товаров первой необходимости более всего подорожали: щетка зубная – на 4,6%, мыло хозяйственное – на 2,7%, дезинфицирующее средство для поверхностей – на 2,1%, порошок стиральный – на 1,8%. Наибольшее снижение цен наблюдалось на бумагу туалетную – на 4,0%, пасту зубную – на 3,9%, подгузники детские бумажные – на 3,0%, салфетки влажные – на 2,4%.
Среди других непродовольственных товаров наиболее подорожали: бумажные носовые платки – на 10,9%, пена для бритья – на 10,6%, дезодорант – на 8,2%, гель для душа – на 5,7%, смарт-часы – на 5,6%, учебники, учебное пособие, дидактический материал для общеобразовательной школы – на 5,5%, одеяло стеганое – на 5,0%.
Более всего подешевели: наушники беспроводные – на 9,0%, бутылочка для кормления – на 6,8%, трикотажный головной убор для взрослых – на 6,0%, шины для легкового автомобиля – на 5,5%, санитарно-гигиеническая маска – на 4,8%, трусы мужские – на 4,7%, доска обрезная – на 4,6%.
Среди услуг наибольший рост цен отмечен на поездку на отдых в ОАЭ – на 33,1%, полет в салоне экономического класса самолета – на 30,5,%, поездки в отдельные страны Юго-Восточной Азии – на 26,0%, поездку в Беларусь – на 17,6%, лечебный массаж и поездку на отдых в Египет – на 13,8%, пересылку простого письма – на 11,3%. Из бытовых услуг значительнее других выросли цены на стирку и глажение белья прямого – на 6,4%, установку натяжного потолка – на 4,9%.
Наибольшее снижение цен наблюдалось на поездки в отдельные страны Средней Азии – на 9,0%, общий анализ крови – на 2,1%. </t>
  </si>
  <si>
    <t>businesspskov.ru</t>
  </si>
  <si>
    <t>14.04.2023 14:11</t>
  </si>
  <si>
    <t xml:space="preserve">Провизор раскрыл тайны фарм мафии! Зачем народ травят лекарствами? Это ЖУТКО, но знать НАДО!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Разум&amp;</t>
  </si>
  <si>
    <t>[id793516016|Лариса], Арбидол как раз исследован. Эффективен при орви и гриппе и безопасен (смотрите скрин). А вот по ферону ни одного исследования не было.</t>
  </si>
  <si>
    <t>Виктория Федотеева</t>
  </si>
  <si>
    <t>Я - молодая мама</t>
  </si>
  <si>
    <t>14.04.2023 14:10</t>
  </si>
  <si>
    <t>Progressiveevolution</t>
  </si>
  <si>
    <t>Стерлитамак</t>
  </si>
  <si>
    <t>14.04.2023 14:09</t>
  </si>
  <si>
    <t>[id793700960|Елена], не помогает - ферон, пустой состав у него. Арбидол при орви и гриппе помогает выздороветь быстрее.</t>
  </si>
  <si>
    <t>Виктория Мальцева</t>
  </si>
  <si>
    <t>FEMALE MEMES</t>
  </si>
  <si>
    <t xml:space="preserve">Осетрик:Пульмикорт и Беродуал по назначению.
Физ раствором и/или Лазолваном дышим при кашле, в зависимости от кашля ещё
Лазолван тоже по назначению врача, так как это препарат для лечения острых и хронических заболеваний дыхательных путей, сопровождающиеся нарушением образования и отхождения мокроты. Если им лечить обычный кашель при орви, то будет только хуже. Мы давно забросили ингалятор, не вижу в нем смысла, от любого кашля нам хорошо помогает Ренгалин, безопасно и без побочек.</t>
  </si>
  <si>
    <t>Нелли Зуева</t>
  </si>
  <si>
    <t>14.04.2023 14:07</t>
  </si>
  <si>
    <t>Марина Агафонова</t>
  </si>
  <si>
    <t>14.04.2023 14:05</t>
  </si>
  <si>
    <t>Лечение ОРВИ ценой рака? Может ли «Ингавирин» вызывать страшный недуг</t>
  </si>
  <si>
    <t xml:space="preserve">Фармацевтика - очень специфический бизнес, особенно в отрасли новых лекарственных препаратов. Многие из них могут иметь побочные действия, которые в разы страшнее, чем болезнь, которую они лечат. С началом эпидемии коронавируса, в общество стал популярным препарат «               Ингавирин       », который использовался в борьбе против КОВИДа.  
«Ингавирин» советовали на каждом шагу, но тогда ещё мало кто понимал, что лекарство может принести более страшный недуг - онкологическую болезнь. В последние годы дискуссия о возможных побочных последствиях постоянно идёт в интернете. Конкретной позиции пока нет, противники теории считают, что лекарство полезное, сторонники доказывают, что он вызывает рак. В нашей статье мы попытаемся разобраться, на самом ли деле «Ингавирин» может вызвать рак.
Откуда растут ноги дискуссии?
Ничто не появляется из ниоткуда. Логично, что побочный эффект в виде рака - это не просто страшилка, а данные, которые предоставлены медиками.
Энциклопедический ресурс «Encyclopedia Patologica» включил «Ингавирин» в перечень, который на сайте энциклопедии называется «Расстрельный список препаратов». Авторы ресурса в данный список включают лекарственные препараты, которые не имеют подтверждения эффективности деятельности либо же не имеют рекомендаций от врачебного общества.
О вредности препарата в своей передаче говорила известная телеведущая Елена Малышева. В эфире она вместе с экспертами подтвердила тот факт, что пробочным эффектом «Ингавирина» может быть возникновение онкологической болезни. Но о Малышевой мы говорить не будем, она давно уже стала поводом для насмешек, человеком-мемом из телевизора.
Елена Малышева
Лучше разберёмся в конкретных фактах.
Позиция сторонников вреда «Инавгирина»
Объяснение, откуда вообще взялась эта история есть, и оно достаточно понятное. Инавгирин имеет в себе компоненты, которые способствуют росту белых кровяных телец. Мы пониманием, что для людей из не медицинской отрасли понять, что это значит, и чем это чревато трудно. Нам было тоже. Проще говоря: для больных раком крови - это позитивный момент, ведь во время болезни количество белых кровяных телец уменьшается, что в результате может привести к их полному исчезновению, и как результат, смерти пациента. Для здоровых людей - это очень плохо, ведь слишком большое количество белых кровяных телец может привести к раку, в дальнейшем они со временем начнут пропадать, что приводит к ухудшению состояния здоровья.
Позиция здравая, и она подтверждается другим моментом: в «Ингавирина» есть близнец-лекарство под названием «     Дикарбамин  ». «Дикарбамин» выпускался до 2014 года, и предназначался для больных раком. Примечательно, что этот препарат продавался строго под рецепт, и был запрещён к употреблению детям и беременным женщинам.
Но в истории с «Дикарбамином» всё же есть один фейк. Многие сторонники вредных эффектов лекарства ошибочно заявляют о том, что в 2014 году оно было запрещено Минздравом из-за своего вреда. Правда в том, что 12 мая 2014 г. (Письмо Минздрава РФ № 20-3/2036504) регистрация препарата была отменена. Но вот причина отзыва лицензии не запрет лекарства, как об этом пишут, а заявление производителя - компании АО «Валента Фармацевтика». Почему собственник препарата подал соответствующее заявление - загадка, но факт остаётся фактом. Одной из теорий отказа от производства препарата поделился доктор Иван Родин на своём блоге в Яндекс Дзен. По мнению специалиста, это случилось из-за того, что по закону два препарата с одинаковым действующим веществом и способом лечения не могут выпускаться под разными наименованиями и лечить от совершенно разных заболеваний. Как может препарат от лейкоза лечить вирусное заболевание - вопрос без ответа.
Что говорят противники побочного эффекта «Ингавирина»?
Как мы уже указывали, первым пунктом, на который ссылаются противники теории о вреде препарата - это фейковая информация о запрете «Дикарбамина». Мол, с лекарством было всё хорошо, и его опасность преувеличена.
Следующий момент - откуда растут ноги в теории о возможном заражении раком крови? Первые воспоминания о таком побочном эффекте препарата появились на анонимном YouTube канале «Фонда здоровья детей и пожилых людей». Почему он анонимный, если имеет своё название? Такой фонд нигде не зарегистрирован, и единственная его активность - это страница на видео хостинге, которая создана в октябре 2020 года. Важно, что этот фонд опубликовал только видео об «Ингавирине», состоящее из ряда  картинок, взятых из интернета. У нас есть вопросы к этому источнику, но это не опровергает информацию о вредных свойствах препарата.
Кто стоит за производство «Ингавирина»?
Препарат производит акционерное общество «Валентафарм». Учредителем компании является другое юридическое лицо - акционерное общество «Отечественные лекарства». «Валентафарм» демонстрирует хорошие финансовые показатели. Особенно заметный скачок развития компании в 2020 году, как раз тогда, когда «Ингавирин» стал популярным лекарственным средством против коронавируса.
Примечательно, что среди всех фармацевтических закупок государства, именно это лекарство резко вошло в топ-10. За 2020 год государство купило в производителя «Ингавирина» на более, чем 40 миллионов рублей. Это официальные данные.
Финансовые показатели АО «Валента Фарм»
Самым большим заказчиком «Валенты» является Государственное предприятие Нижегородской области «Нижегородская областная фармация». Они купили в компании лекарства на 110 миллионов рублей. Вторым самым большим покупателем продукции «Валенты» является Министерство обороны. Силовики закупили препараты на 45 миллионов рублей.
Главные государственные заказчики «Валента Фарм»
Как мы уже упоминали, учредителем «Валента Фарм» является другая компания «Отечественные лекарства». На фоне своей дочки, у них с финансами ситуация значительно хуже. И вообще выглядит странно. По официальной бухгалтерии, прибыль «Отечественных лекарств» выше, чем выручка. А это вообще невозможно. Соответственно руководители компании осведомленно подают левую отчётность в налоговую.
Финансовые показатели АО «Отечественные лекарства»
Учредители в «Отечественных лекарств» скрыты. Нет, они не принадлежат государству. Скрытность связана с тем, что корни корпорации идут в кипрские офшоры, которые в свою очередь принадлежат гражданину РФ. У любого действия есть своё имя. Наша история не исключение. Знакомьтесь, Дмитрий Рейхарт, собственник «Валента Фарм».
Дмитрий Рейхарт
Рейхарт является конечным бенефициары собственником предприятия. Но почему же он скрывается за семью замками? Наверное, есть, что скрывать.
Реакция «Валента Фарм» на скандал о возможном полочном эффекте «Ингавирина»
Реакции как не было, так и нет. Скандал длиться уже 2 года, но руководству и собственникам предприятия абсолютно плевать. Они не опровергают то, что очень будоражит людей.
Журналисты отправляли многочисленные запросы с просьбой прокомментировать возможный вред от «Ингавирина», но нет ни ответа, ни привета.
К производителю остаются реальные вопросы, которые беспокоят потребителей. И согласно федеральному законодательству, он должен дать на них ответ. Главные вопросы:   Дикарбамин был препаратом, который прописывался строго под рецепт онкобольным. Почему Ингавирин продаётся без рецепта больным на ОРВИ?     Дикарбамин имел противопоказания детям и беременным женщинам. Почему Ингавирин можно принимать всем?    Раньше в инструкции к препарату было рекомендовано принимать 7 таблеток за курс лечения, теперь – 10. С чем связаны такие изменения, если вещества в лекарстве остались те же?  Вопросов много - ответов нет. Поэтому с уверенностью можем вас предостеречь от употребления Ингавирина. Этот препарат опасный для здоровья.</t>
  </si>
  <si>
    <t>metlor.net</t>
  </si>
  <si>
    <t>14.04.2023 14:03</t>
  </si>
  <si>
    <t>[id507733686|Евгений], Арбидол ваще нормальное лекарство. При орви мне всегда помогает.</t>
  </si>
  <si>
    <t>Кристина Брусова</t>
  </si>
  <si>
    <t>14.04.2023 14:02</t>
  </si>
  <si>
    <t>витамины может попить какие или противовирусные? носик почаще промывайте физраствором. от кашля ренгалин помогает хорошо. быстро. при любом при чем кашле. врач что говорит по этому поводу вообще?</t>
  </si>
  <si>
    <t>Мамочки Выборгский район | Озерки | Парнас</t>
  </si>
  <si>
    <t xml:space="preserve">Нужные медицинские препараты на все случаи жизни  Супер!
Текст на изображении: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 ПРОСТУДА Ибупрофен сильное обезболивающее средство, быстро действует, в виде шипучих таблеток щадит желудок, в свечах удобен для Колдрекс отличный сосудосуживающий препарат. Назол избавляет от насморка и не дает пересыхать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насморка противоаллергическими компонентами.</t>
  </si>
  <si>
    <t>Инна Пономарева(Мокшина)</t>
  </si>
  <si>
    <t>Челябинская область</t>
  </si>
  <si>
    <t>Магнитогорск</t>
  </si>
  <si>
    <t>14.04.2023 14:00</t>
  </si>
  <si>
    <t xml:space="preserve">В Омске почти половина жизненно необходимых лекарст стали стоить меньше
/ Текст: ОРТРК-12 КАНАЛ / Цены в аптеках города проанализировал Омскстат.
Омскстат представил статистику изменения цен на лекарства в январе-марте 2023 года. Так, за эти три месяца средняя стоимость жизненно необходимых препаратов выросла на 0,4%. Сильнее всего подорожал фурасемид — на 12,5%, дротаверин — на 4,6%, аскорбиновую кислоту — на 3,5% и цефтриаксон — на 3,1%.
При этом почти на половину важнейших препаратов цены снизились на 0,2-5%. Доступнее стали супрастин — на 5%, амлодипин — на 4,6%, ксарелто — на 3,9%, натрия хлорид — на 3,7%, ацетилцистеин (АЦЦ) — на 3,4%, амбоксол — на 3,4%.
Среди отечественных лекарств, не относящихся к жизненно необходимым, больше всего подорожал йод — на 6,5%, поливитамины — на 4,4%, флуоцинолона ацетонид — на 3,1%. Из этой же категории зарубежных лекарств ощутимее всего цена выросла на синупрет — на 6%. Подешевели при этом афобазол, аципол, таурин, комбинированные анальгетики, эссенциале форте, мидокалм, ренгалин — на 3,1-8,3 процента.
Фото: 12 канал.
https://12-kanal.ru/news/167053/</t>
  </si>
  <si>
    <t>Новости Омска сегодня, происшествия</t>
  </si>
  <si>
    <t>Омская область</t>
  </si>
  <si>
    <t>Омск</t>
  </si>
  <si>
    <t>ренгалин очень хорошо от кашля помогает. дала бы даже не задумываясь.</t>
  </si>
  <si>
    <t>Медицина Магнитогорск</t>
  </si>
  <si>
    <t>14.04.2023 13:59</t>
  </si>
  <si>
    <t>ренгалин даю своему, отлично помогает и при влажном кашле и при сухом. в растворе покупаю, он чуть сладковатый , но не аллергичный</t>
  </si>
  <si>
    <t>ДЕТСКИЕ ПОСОБИЯ НОВОСИБИРСК И ОБЛАСТЬ|МАМОЧКИ</t>
  </si>
  <si>
    <t>14.04.2023 13:58</t>
  </si>
  <si>
    <t>Новости Республики Коми | Комиинформ</t>
  </si>
  <si>
    <t xml:space="preserve">Об изменении потребительских цен на отдельные виды товаров и услуг в Республике Коми c 4 по 10 апреля информирует Комистат.
За прошедшую неделю выросли цены на масло подсолнечное - на 3,9%, чай черный - на 3,7%. Вместе с тем подешевели по сравнению с прошлой неделей: сыры твердые, полутвердые и мягкие - на 5%, колбаса вареная - на 3,7%, сметана - на 0,9%.
Из плодоовощной продукции рост цен был отмечен на капусту - на 7,3%, огурцы - на 2,5%, помидоры - на 2,1%, свеклу столовую - на 1,7%, лук репчатый - на 1,3%, морковь - на 1,1%. В то же время снизились цены: на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  не изменились.
По материалам ИА "Комиинформ"</t>
  </si>
  <si>
    <t>spravka11.ru</t>
  </si>
  <si>
    <t>3. ренгалин. он универсальный , не дорогой. детям с трех лет идет и взрослым . помогает шикарно вообще</t>
  </si>
  <si>
    <t>ЖенСовет Белгород</t>
  </si>
  <si>
    <t xml:space="preserve">Провизор раскрыл тайны фарм мафии! Зачем народ травят лекарствами? Это ЖУТКО, но знать НАДО!Провизор раскрыл тайны фарм мафии! Зачем народ травят лекарствами? Это ЖУТКО, но знать НАДО!
https://youtu.be/2n3998vy0bE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</si>
  <si>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Любовь Федянина</t>
  </si>
  <si>
    <t>Миасс</t>
  </si>
  <si>
    <t>14.04.2023 13:57</t>
  </si>
  <si>
    <t xml:space="preserve">Цицерон или цистерна —-упорно выдает Т-9 , вместо моей фамилии.  Представила заказ в Леруа— Наталья Цицерон или Наталья Цистерна. Хорошо еще  что Цианидом  или Циклофероном не поименовал. А попытки были.
Это же какую же какую пургу я обычно  несу,что Т- 9 считает , что все норм,  калякай дальше.</t>
  </si>
  <si>
    <t>Наталья Цискараули</t>
  </si>
  <si>
    <t>14.04.2023 13:56</t>
  </si>
  <si>
    <t>все в порядке было. от насморка нос промывала, от кашля ренгалин помогал хорошо, ромашка , больше питья теплого. парацетамол пила от температуры. все по назначению терапевта из жк</t>
  </si>
  <si>
    <t>Наталия Куштакова</t>
  </si>
  <si>
    <t>Клуб мам Москвы</t>
  </si>
  <si>
    <t>Милана, а сахар вас чем не устраивает? в фероне ведь он же в составе :)) Ох уж "эти" мифические побочки от арбидола, которых нет на самом-то деле :)</t>
  </si>
  <si>
    <t>Илона Викалкина</t>
  </si>
  <si>
    <t>КЛИЕНТ ВСЕГДА ПРАВ!</t>
  </si>
  <si>
    <t>14.04.2023 13:55</t>
  </si>
  <si>
    <t>Врач конечно у вас удивительный , и антибиотик и Виферон, все в кучу ‍♀️сейчас по делу, без дела назначают антибиотики, а потом восстанавливайте микрофлору, поднимайте имуннитет...ужас просто...бедные дети.</t>
  </si>
  <si>
    <t>Мария Шлёпина</t>
  </si>
  <si>
    <t>Коломна Мама</t>
  </si>
  <si>
    <t>от кашля ромашку заварить не крепкую можно, пить. ренгалин очень хорошо помогает. он безопасный, не токсичный.я в растворе себе брала. воды больше теплой</t>
  </si>
  <si>
    <t>Подслушано у беременных и мам</t>
  </si>
  <si>
    <t>14.04.2023 13:54</t>
  </si>
  <si>
    <t>Надежда Кириллова</t>
  </si>
  <si>
    <t>14.04.2023 13:53</t>
  </si>
  <si>
    <t>мне ренгалин хорошо помогает. я им кашель обычно лечу. он и при влажном помогает хорошо, и при сухом</t>
  </si>
  <si>
    <t>Новинки Дизайна | Ремонт Квартир и Строительство</t>
  </si>
  <si>
    <t>14.04.2023 13:52</t>
  </si>
  <si>
    <t>ренгалин возьмите. нам педиатр назначала от кашля, спасение просто. очень хорошо работает</t>
  </si>
  <si>
    <t>"ДВОЙНОЕ СЧАСТЬЕ" БЛИЗНЕЦЫ, ДВОЙНЯШКИ, ТРОЙНЯШКИ</t>
  </si>
  <si>
    <t>14.04.2023 13:50</t>
  </si>
  <si>
    <t>[id193231804|Ирина], таким малышам конечно только к врачу, так как нам от лазолвана хуже было, тоже потом лежали в больнице, сейчас по возрасту нам подходит ренгалин, очень хорошо помогает при ларингитах и трахеитах и прочих заболеваниях дыхательных путей.</t>
  </si>
  <si>
    <t>От Мамы к Маме - Рыбинск. ЧИТАЕМ ПРАВИЛА</t>
  </si>
  <si>
    <t>Тамбовская область</t>
  </si>
  <si>
    <t>Тамбов</t>
  </si>
  <si>
    <t>14.04.2023 13:49</t>
  </si>
  <si>
    <t>ренгалин в растворе помогает очень хорошо. я в растворе сыну брала. с трех лет только он идет, вашему сколько?</t>
  </si>
  <si>
    <t>ЖЕНСКИЙ ВЗГЛЯД | ТВЕРЬ</t>
  </si>
  <si>
    <t>14.04.2023 13:45</t>
  </si>
  <si>
    <t>[id411560672|Светлана], арбидол не берем, а вот эргоферон хорошо помогает и как раз отечность со слизистых снимает и дышит нос нормально</t>
  </si>
  <si>
    <t>Людмила Харченко</t>
  </si>
  <si>
    <t>Мамочки Нижнекамскаঔৣ꧂</t>
  </si>
  <si>
    <t>14.04.2023 13:42</t>
  </si>
  <si>
    <t xml:space="preserve">
Агнетекс форте
Акулахиряш
Актовегин 5мл
Актовегин 10мл
Активмен
Акридаферон амп
Алемона 75
Амарил 2мл
Артоксон амп
Анемофер амп
Авамис амп
Аденит форте амп
Беродуол раствор 60000
Брилента 90 таб
Бензанал таб
Виктоза
Вольфуран
Вобензим
Гиповин таб
Гиалуром хондро
Гептрал таб
Гептрал амп
Глутион
Годекс капсула
Габанерв
Габатен
Галавит 50мл свеча
Гиал форте
Глюкофаж ХР1000 мл
Глицирон
Гальвус
Дифлаген
Деатон т
Дематон Д
Диферилин
Джепар 10 мл
Декапептил
Диампа 10 мл
Диампа 25 мл
Диабитон 60 мл
Дюфастон таб
Диалипон кап
Дексирил крем
Детралекс 500 таб
Детрифос таб
Диалипон турбо
Эстон таб
Эксан кап
Энзилит таб
Элевит первое три места
Эсмия таб
Эндопрост 250мл фл
Эссенсиал кап
Эликвис 5мл таб
Эпиген спрей
Жемчужний калций
Инотир
Утрожестан 100
Утрожестан 200
Кетобест
Кетосан
Картан амп
Картан пит
Кортексин
Корвитин фл
Креон 25000
Креон 10000
Лонгидаза свеча
Лонгидаза амп
Ливерин амп
Ливерин кап
Л-лизин
Леситин форте
Летирам
Липосон форте амп
Левомак 100мл
Лайботен парашок
Миомин
Монурал парашок
Монталин
Мемапров
Медгермин мерфертил
Мориамин
Мидокалм амп
Мелглис сироп
Нимесил парашок
Неотон фл
Неомарин 1200
Неомарин 600
Остеокинг
Остеогенон таб
Пависин
Панангин амп
Простамол уно
Репо 200
Репо 400
Репо 600
Радиксоба
Резорба
Роан укол
Риноксил формула
Реосорбилакт
Роделакс сироп
Структум таб
Сиаласит 2000
Сиалосит плюс
Силарцин кап
Секстафаг
Снуп спрей
Тиогама
Тексивел
Тивортин
Тивортин сироп
Тиотцетам
Турбо микрон
Траумил
Танометр адутир
Терафлю парашок
Тиворил 100мл
Утрожестан 100
Утрожестан 200
Урсосан форте
Фемавир крем
Форсига
Фертавум
Фертоман
Фосфоглив кап
Фосфоглив амп
Флебодия 600
Хуког 5000
Хофитол сироп
Церабен ц амп
Цельте амп
Цитеези
Циклоферон вмп
Ярина плюс
Арзон нархларда
Оргинал
</t>
  </si>
  <si>
    <t>BMW</t>
  </si>
  <si>
    <t>OptimvaDona dorilar</t>
  </si>
  <si>
    <t>14.04.2023 13:41</t>
  </si>
  <si>
    <t>Ноги погреть, попить чай или молоко с медом на ночь, в уши ватку с борным спиртом. Арбидол вам точно не поможет</t>
  </si>
  <si>
    <t>Анна Шатрова</t>
  </si>
  <si>
    <t>14.04.2023 13:39</t>
  </si>
  <si>
    <t>нам амбробене больше подходит</t>
  </si>
  <si>
    <t>Safronova</t>
  </si>
  <si>
    <t>Мамочки Домодедово</t>
  </si>
  <si>
    <t>[id43619696|Анастасия], Значит повезло вам с поликлиниками, до наших только при смерти достучаться можно. И опять же, если вы говорите о конкретном типе гриппа, то все равно никакой врач со 100% уверенностью не скажет вам этого без анализа. Личный опыт у всех разный, повторюсь, нам кагоцел помогает.</t>
  </si>
  <si>
    <t>Анастасия Касаткина</t>
  </si>
  <si>
    <t>Клуб Мам Нижнего Новгорода</t>
  </si>
  <si>
    <t>14.04.2023 13:38</t>
  </si>
  <si>
    <t>@vladlar2044 Арбидол наше Фсё!</t>
  </si>
  <si>
    <t>Vadim777K</t>
  </si>
  <si>
    <t>vladlar2044</t>
  </si>
  <si>
    <t>Юлия Корчагина</t>
  </si>
  <si>
    <t>14.04.2023 13:37</t>
  </si>
  <si>
    <t xml:space="preserve">Лекapcтвa кoтopые дoлжны быть в кaждoй aптечке
Текст на изображении: ЛЕКАРСТВА, КОТОРЫЕ ВСЕГДА ДОЛЖНЫ БЫТЬ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КИГП,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аллергии: зиртек, фенистил (капли). При болях в сердце: валидол. При вздутии и тяжести в животе: фестал. и ушибов: мазь бодяга. При растяжении мыщц вальторен гель, випросал. Не забывайте читать инструкции перед применением, лучше консультироваться врачом!</t>
  </si>
  <si>
    <t>ЖЕНСКИЕ ХИТРОСТИ</t>
  </si>
  <si>
    <t>Женские Хитрости</t>
  </si>
  <si>
    <t>Женские хитрости</t>
  </si>
  <si>
    <t>14.04.2023 13:36</t>
  </si>
  <si>
    <t>Физ раствор или любые солевые спреи нужны, чтобы промывать нос, чтобы уменьшить отёк. Сосудосуживающие капли нужны, чтобы восстановить дыхание перед промыванием, на недышащий нос нельзя промывать или отсасывать. Капли типа Дерината можно, но надо почитать их возрастное ограничение.</t>
  </si>
  <si>
    <t>Ирина Батьковна</t>
  </si>
  <si>
    <t>Клуб мам Перми</t>
  </si>
  <si>
    <t>ренгалин попробуйте. я в растворе себе покупала, помог . я бы сказала быстро достаточно</t>
  </si>
  <si>
    <t>Сообщество «ЗДОРОВЬЕ»</t>
  </si>
  <si>
    <t>14.04.2023 13:35</t>
  </si>
  <si>
    <t>Елена Корнишина</t>
  </si>
  <si>
    <t>Зеленодольск</t>
  </si>
  <si>
    <t>14.04.2023 13:34</t>
  </si>
  <si>
    <t>Ирина Пасеева</t>
  </si>
  <si>
    <t>14.04.2023 13:33</t>
  </si>
  <si>
    <t>Ни то , ни другое не беру. Они все содержат парацетамол, да на какое-то время станет лучше, но потом температура опять пойдет в рост, ведь она дана нам специально, чем быстрее мы протемпературим, тем бывстрее пойдем на поправку, вся инфекция погибнет под действием температуры, а при ее понижении она размножается дальше в комфотрных для нее условиях. Лучше препараты интерферона рекомбинантного с антиоксидантами взять, свечки есть ; но только чтобы дозировки достаточные были, у виферона есть. В гриппфероне все же мало совсем самого вещества.</t>
  </si>
  <si>
    <t>Надежда Никулина</t>
  </si>
  <si>
    <t xml:space="preserve">http://ok.ru/group/70000002041838
Текст на изображении: ЛЕЧИМ КАШЕЛЬ В ДОМАШНИХ УСЛОВИЯХ ПРИ МОКРОМ КАШЛЕ: Полощите горло солью чайной ложки на чашку теплой воды. Делайте паровые ингаляции маслом мяты по напли на каждые 150 мл воды. Принимайте горячие ванны или отправляйтесь в баню пар вам поможет. ПРИ СУХОМ КАШЛЕ: Делайте ингаляции шалфеем и маслом эвкалипта. Втирайте в смесь из 2 частей подсолнечного. масла и 1 части нашатырного спирта. ‘Ставьте горчичники. ПРИ ЛЮБОМ КАШЛЕ: Существуют препараты комплексным действием. Один из примеров Ренгалин, обладающий противокашлевым, противовоспалительным и бронхолитическим</t>
  </si>
  <si>
    <t>Копилка советов</t>
  </si>
  <si>
    <t>14.04.2023 13:32</t>
  </si>
  <si>
    <t xml:space="preserve">Вице-премьер Татьяна Голикова, которая сколотила многомиллиардное состояние (50 млрд рублей) на продаже вакцин государству, диверсифицирует семейный бизнес. Временное правительство выяснило, что родственники вице-премьера Голиковой присосались к проекту создания федерального реестра медицинских назначений, где будут объединены все электронные рецепты в РФ. И почему это так похоже на конфликт интересов?
Напомним, что создать такой реестр решили Минздрав (курируемый Голиковой) и Минцифры Максута Шадаева. Сейчас реестр испытывают в четырех пилотных регионах. Если эксперимент пройдет успешно - в России может появиться очередной Единый оператор, ну а Голикова с Шадаевым пристроятся к надежной кормушке. И родственников своих пристроят - уж Голикова так точно.
Оператором пилотного проекта (пока на безвозмездной основе) выступило ООО "Цифроздрав". Его учредителями являются ЦРПТ (компания Ростеха, Алишера Усманова и Александра Галицкого), а также фирма "Миг Диджитал". Ее конечный бенефициар - старый друг семьи Голиковой, фармолигарх Виктор Харитонин. Именно его компания выпускала пустышку-арбидол, когда Голикова возглавляла Минздрав и широко рекламировала этот "препарат". Примерно в то же время департамент госрегулирования обращения лекарственных средств в Минздраве возглавлял Марат Сакаев - это супруг Ирины Сакаевой, которую называют двоюродной сестрой Татьяны Голиковой.
После ухода Голиковой из Минздрава в 2012 году Сакаев перешел в Евразийскую экономическую комиссию на позицию помощника председателя Виктора Христенко (супруга Татьяны Голиковой). В 2018 году он стал директором направления "Фарма" в ЦРПТ и готовил систему маркировки лекарств, а сейчас трудится в совместном предприятии Ростеха и Харитонина - том самом "Цифроздрава". Фирма была создана в 2019 году, в 2020-м показала убыток в 2,3 млн рублей, по итогам 2021 эта цифра выросла до 10,1 млн. Все деньги ушли на зарплату для четырех человек, что числятся в штате.
Кстати, осиротевшее после ухода Сакаева направление "Фарма" в ЦРПТ возглавил Сергей Холкин. Это сводный брат главы Минцифры Максута Шадаева - который совместно с Голиковой сейчас проводит эксперимент по созданию федеральной информсистемы медицинских назначений. И вице-премьер, и министр оказались при деле с перспективой получить дармовой источник крупного дохода. И, вероятно, крышует их во всем этом деле старый добрый Сергей Чемезов с Алишером Усмановым. Коррупция? Не, не слышали.</t>
  </si>
  <si>
    <t>Мессенджеры каналы</t>
  </si>
  <si>
    <t>BellingCrot</t>
  </si>
  <si>
    <t>ТАЙНАЯ СЛУЖБА</t>
  </si>
  <si>
    <t>АГЕНТУРА</t>
  </si>
  <si>
    <t>КОМПРА RU</t>
  </si>
  <si>
    <t>FBI RU</t>
  </si>
  <si>
    <t>[id611721829|Нелли], Амбробене использую в ингаляции и так даю, если у ребёнка кашель сухой (чтобы откашливалось), и ещё сопли не вылечены. А вот Ренгалин даю уже при остаточном кашле или на ночь, когда дочка не может уснуть от кашля.</t>
  </si>
  <si>
    <t>Екатерина Куманцева</t>
  </si>
  <si>
    <t>ПроДетей Череповец | Мама</t>
  </si>
  <si>
    <t>ДОСЬЕ RU</t>
  </si>
  <si>
    <t>Каделак нео</t>
  </si>
  <si>
    <t>Эрик Голубевич</t>
  </si>
  <si>
    <t>ты причина по которой я живу</t>
  </si>
  <si>
    <t xml:space="preserve">Вобензим Индия=
Витапрост свеча=
Триметабол сироп(Покистон)
Сальбутамол =
Кавинтон 5мл=
Хондролон=
Димексид 40 мл=
Допегит =
Утрожестан 200 =
Тиотризалин 4 мл =
Солкосерил 2 мл =
Анатоксин =
Церукал таб/50 =
Элевит 60шт=
Метотрексат эбеве 2,5 =
Калгел =
Ревартон =
Тромбопол 75 мг =
Тромбопол 150 мг =
Лайботен =
Контривен 5/5 =
Дистрептаза св =
Монталин =
Просулпин 50=
Атаракс 30/ =
Урсосан  /50/ =
Гепарин   5     =
Актовегин рус =
Ацц 200 =
Конкор  5 =
Тавегил уколь =
Тиоцетам 10/10 =
Солкосерил уколь 5мл =
Ретаболил гедеон =
Долгит 50 гр =
Миф/5 =
Сайтотек /60 =
Дипроспон/1 =
Л лзин 5.0 =
Йодамарин 200 =
Мидокалм уколь/5 =
Волтарен/5 =
Милдронат 5.0 =
Дюспаталин =
Дюфастон турк =
Достинекс/8 =
Лантус =
Галвус мет
Чистотель
Салипод
Панавир
Нуклео капс
Гонадотропин 1000мг Индия
Алоэ
Имудон
Амбробен
Малтофер
Просулпин 200
Ацц 600 лонг/10
Оксапар 04/10
Преднизолон/100 венгрия
Гино Тардиферон
Венофер
Янумет
Элидел
Элокол
Иммуноглобулин цмв
Роталфен
Рибофлавин Мононуклеотид
Снуп
Гриппол плюс
Серебролизин
Конкор
Вольтарен мазь
Амбробен
Адреналин укол
Камоликс сироп 50</t>
  </si>
  <si>
    <t>Нилуфар</t>
  </si>
  <si>
    <t>14.04.2023 13:31</t>
  </si>
  <si>
    <t>[id795024010|Амелия], здравый смысл или есть, или нет. Я до сих пор не могу разубедить бабушку, в том что если мыть голову недостаточно горячей водой - заведутся вши. Её опыт говорит, что от мытья в холодных банях появляются вши (самозарожаются). Поэтому вода из-под крана должна быть близкая к кипятку. Я не смогла убедить пациентку, что удаление родинки не поможет не передать её ребёнку, и если после удаления у неё родится ребёнок без родинки, то её опыт будет говорить, что это работает. Вот так и вы с кагоцелом, надеюсь у вас не мальчик, потому что азиаты бросили разработку его в том числе из-за влияния на ткани яичка.</t>
  </si>
  <si>
    <t>Мария Трефилова</t>
  </si>
  <si>
    <t>Ольга Максимова</t>
  </si>
  <si>
    <t>14.04.2023 13:29</t>
  </si>
  <si>
    <t>Гриппферон. - Здоровье родителей - Кристина null</t>
  </si>
  <si>
    <t>От заложенности точно гриппферон не поможет, но если его назначили как противовирусное, чтобы не мешать его с сосудосуживающими возьмите вы просто в друго форме в свечках тот же виферон, и тогда капли можно сосудосуживающие, а гриппферон пока отложите. Тем более в свечках гораздо большие дозировки, быстрее поправитесь</t>
  </si>
  <si>
    <t>Кристина null</t>
  </si>
  <si>
    <t>14.04.2023 13:28</t>
  </si>
  <si>
    <t xml:space="preserve">Meдицинcкиe пpeпapaты нa вce cлyчaи жизни! 
Текст на изображении: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 4 Я; ПРОСТУДА Ибупрофен сильное обезболивающее средство, быстро действует, в виде шипучих таблеток щадит желудок, в свечах удобен для Колдрекс отличный сосудосуживающий препарат. Назол избавляет от насморка и не дает пересыхать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самое быстрое средство от насморка компонентами.</t>
  </si>
  <si>
    <t>Валентина Валентина</t>
  </si>
  <si>
    <t>Волгоградская область</t>
  </si>
  <si>
    <t>Волгоград</t>
  </si>
  <si>
    <t xml:space="preserve">Красотa за копейки: 10 аптечных средств, которые помогут Вам сэкономить.
Иногда очень дешевое и доступное в любой аптеке средство срабатывает лучше, чем супердорогой крем.
Эти средства выручат Вас в трудной ситуации.
Нимесулид
Применяется для лечения артритов, остеоартрозов, артрозов. Также его используют в терапии бурситов, миалгий, артралгий, энтезопатий, альгодисменорей и болей различной этиологии. Кроме этого, Нимесулид применяют для купирования интенсивных приступообразных болей, так как препарат характеризуется быстрым началом действия.
Цена 30 р
Крем «Ф 99»
Крем, состоящий из полиненасыщенных жирных кислот и витамина F. Изначально средство предназначалось для лечения экземы и дерматита, но оказалось, что оно обладает и рядом других свойств. Во‑первых, это лучшее средство для борьбы с шелушением кожи,вызванным обветриванием или солнечным ожогом.
Во‑вторых, крем незаменим для ухода за стопами: никаких трещин, заусениц или огрубелостей, если ежедневно наносить его на ночь. В-третьих, он возвращает сухой коже эластичность и упругость, мгновенно впитывается, не дает эффекта пленки. В-четвертых, помогает справиться с угревой сыпью и прыщами, так как нормализует работу сальных желез и отшелушивает ороговевшие клетки.
Цена — около 120 р.
Раствор для капельниц «Тиогамма»
Использующееся для борьбы с последствиями отравлений, «Тиогамма» фактически чистая альфа-липоевая кислота, мощнейший антиоксидант,который борется со свободными радикалами, ускоряет обновление клеток кожи, помогает бороться с прыщами, угрями, морщинами, последствиями солнечных ожогов, обладает детокс-эффектом. По консистенции напоминает простую воду, наносится на кожу тонким слоем перед нанесением обычного ухода. Подходит только для жирной и комбинированной кожи, так как подсушивает верхний слой.
Цена — около 250 руб.
«Куриозин-гель»
Его прямое назначение — борьба с акне. Но принцип действия позволяет использовать этот гель как антивозрастное средство. Как и при борьбе с акне, ключевой момент — ускоренное обновление кожи, рост молодых здоровых клеток и глубокое увлажнение (гель содержит гиалуроновую кислоту в довольно высокой концентрации) позволяет улучшить рельеф кожи, разгладить мелкие морщины и улучшить цвет лица.
Цена — около 500 р.
Бепантен
Действующее вещество препарата — это пантотеновая кислота, она же — знакомый нам провитамин В5. Именно пантотеновая кислота — прародитель витамина А, отвечающего за процессы регенерации кожи. А значит, «Бепантен» — настоящая находка для тех, кто стремится обновить кожу, успокоить ее, сделать более гладкой и ровной.
Цена — около 350 р.
«Капсикам»
Разогревающая мазь поможет… спрятать целлюлит! Нанеси ее на проблемный участок, оставь на 15−20 минут (почувствуешь небольшое жжение, кожа может покраснеть из-за притока крови) и смой теплой водой. Для более выраженного эффекта протри те же участки кубиками льда. Визуально целлюлит исчезнет на 3−4 часа!
Цена — около 200 р.
Блефарогель
Отличное средство для нежной кожи век с высоким содержанием гиалуроновой кислоты. Прощайте, «гусиные лапки»!
Цена — около 200 р.
Арника
Вообще предполагается, что эта мазь ускорит рассасывание гематом и синяков. Что автоматически означает, что он улучшает циркуляцию крови и лимфы, обладает успокаивающим, противоотечным и регенерирующим действием. Ты наверняка уже догадалась: да,он отлично справляется с сухостью кожи, мимическими морщинами и потерей тонуса.
Цена — около 150 р.
Апилак
Выпускается эта мазь еще с советских времен и с тех пор не утратила актуальности как средство для снижения активности сальных желез,борьбы с акне и угрями. В основе — пчелиное маточное молочко,известное своими обеззараживающими и питательными свойствами.
Цена — около 100 руб.
Релиф
Ну, уж если звезды Голливуда признаются, что используют мазь от геморроя как уход для кожи век, нам-то чего стесняться? Да, отеки снимает, морщины разглаживает и никаких побочных эффектов!
Цена — около 300 р.
Так же мы собрали для вас список дешевых аналогов.
Списки приведенных аналогов лексрств могут быть неточными. Поэтому перед покупкой уточняйте у специалиста аптеки или лечащего врача, возможна ли замена препарата на более дешевый и какие последствия это повлечет.
Белосалик (380руб) и Акридерм СК (40руб)
Бепантен (250руб) и Декспантенол (100руб)
Бетасерк(600руб)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Мезим(300руб) и Панкреатин (30руб)
Мидриацил (360руб) и Тропикамид (120руб)
Мирамистин (200руб) и Хлоргексидин (10руб)
Мовалис (410руб) и Мелоксикам (80руб)
Нейромультивит (250руб) и Пентовит (50руб)
Но-шпа (150руб) и Дротаверина гидрохлорид (30руб)
Нормодипин (620руб) и Амлодипин (40руб)
Нурофен (120руб) и Ибупрофен (10руб)
Омез (180руб) и Омепразол (50руб)
Панадол(50руб) и Парацетамол (5руб)
Панангин (140руб) и Аспаркам (10руб)
Пантогам (350руб) и Пантокальцин (230руб)
Ринонорм (50руб) и Риностоп (20руб)
Сумамед (450руб) и Азитромицин (90руб)
Трентал(200руб)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Имеются противопоказания. Необходима консультация специалиста.
ЛЕКАРСТВА, КОТОРЫЕ ВСЕГДА ДОЛЖНЫ БЫТЬ В ДОМАШНЕЙ АПТЕЧКЕ ☝
 При температуре: нурофен + много воды. Если ноги и руки холодные – добавить папаверин или но-шпа.
 Для обработки ран: перекись водорода или мирамистин, бактерицидный пластырь, бинт.
 От боли: нурофен или пенталгинПри поносе: без температуры – смекта, энтерол или бактисуптил; с температурой – активированный уголь, энтерофурил, регидрон, КИП, затем смекта или бактисуптил + щадящая диета на 5-7 дней.
 При гриппе и ОРВИ: циклоферон (принимать сразу при первых признаках заболевания), витамин С, фервекс, горчичники.
 При кашле: с мокротой – амбробене или элексир бронхикум; без мокроты – либексин, сироп сенекод.
 При болях в ушах, отите: отинум или отипакс.
 При проблемах с глазами (усталость, повреждение, краснота, коньюктивит): корнорегель.
 От боли в горле: спрей тантум верде или каметон .
 При аллергии: зиртек, фенистил (капли).
 При болях в сердце: валидол.
 При вздутии и тяжести в животе: фестал.
 От синяков и ушибов: мазь бодяга.
 При растяжении мышц : вальторен гель, випросал.
Не забывайте читать инструкции перед применением, а ещё лучше – консультироваться с врачом.
Будем жить!</t>
  </si>
  <si>
    <t>Маргарита Егорова</t>
  </si>
  <si>
    <t>14.04.2023 13:27</t>
  </si>
  <si>
    <t>Валентина Цветкова</t>
  </si>
  <si>
    <t>Екатеринбург</t>
  </si>
  <si>
    <t>14.04.2023 13:26</t>
  </si>
  <si>
    <t>[id483112195|Анастасия], бронхомунал принимали, но эффекта не дал. Я тоже витамины стала давать и эргоферон когда заболевает. Хорошо помогает</t>
  </si>
  <si>
    <t>Молодая мама</t>
  </si>
  <si>
    <t xml:space="preserve">Список лекарств для первой медицинской помощи☝
Текст на изображении: Простуда 1. Ибупрон сильное обезболивающие средство, быстро действует, в виде шипучих таблеток шадит в свечах удобен для мальшей.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сильно, ухудшает качество крови. 6. Полиоксидоний -стимулирует иммунную систему, назначают детям, пригоден для экстренной помощи и для профилактики во время эпидемии ОРВИ. 7. Рибомунил восстанавливает иммунитет, рекомендован детям. 8. Санорин самое быстрое средство от насморка противоаллергическими компонентами.; Горло Анаферон хорошее гомеопатическое средство для лечения вирусных инфекции верхних дыхательных 2. Колустан аэрозоль, хорошо снимает отеки при воспалениях. 3. Люголь, растворенный в глицерине лучшее наружное средство при ларингите. 4. Пропосол—Н имеет выраженные антимикробные и противовоспалительные своиства, не оказывает раздражающего деиствия на организм. 5. Синупрет обладает антибактериальным и антиотечным действием, может назначаться детям есть в виде капель. 6. Тонзилгон противовоспалительное и обезболивающее средство.</t>
  </si>
  <si>
    <t>Ирина Прокопьева</t>
  </si>
  <si>
    <t xml:space="preserve">На заметку. Аналоги дорогих лекарств.
Текст на изображении: 1. Нурофен (120руб) Ибупрофен (1Оруб) 2. Мезим (300руб) Панкреатин (ЗОруб) Дротаверина гидрохлорил (ЗОруб) 4. Паналол(5Оруб) Парацетамол (5руб) 5. Белосалик Акрилерм СК 6. Бепантен (250руб) Декспантенол 7. Бетасерк(60Оруб) Бетагистин 8. Быструмгель Кетопрофен (60руб) 9. Вольтарен Диклофенак 10. Гастрозол (120руб) Омепразол (50руб) Летралекс Венарус (300руб) 12. Дифлюкан (400руб) Флуконазол 13..Ллянос 14. Зантак (280руб) 15. Зиртек (220руб) Цетиринакс (80руб) 16. Зовиракс Ацикловир 17. Иммунал (200руб) Эхинацеи экстракт (50руб) 18. Имолиум (300руб) Лоперамид руб) 19. Йодомарин (220руб) Калия (100руб) 20. Кавинтон Винпоцетин(200руб) 21. Кларитин Лорагексал (60руб) 22. Кларитромицин 23. Лазолван Амброксол (20руб) 24. Ламизил (400руб) Тербинафин</t>
  </si>
  <si>
    <t>Екатерина Алёхина</t>
  </si>
  <si>
    <t>14.04.2023 13:25</t>
  </si>
  <si>
    <t>[id8871966|Екатерина], всегда капаю сосудосуживающие что бы не было осложнений на ушки, от кашля как попробовали Ренгалин, так теперь всегда его берем, быстро помогает в отличии от Амбробене, от него всегда был длительный остаточный.</t>
  </si>
  <si>
    <t>14.04.2023 13:24</t>
  </si>
  <si>
    <t xml:space="preserve">ОПТОМ НАРХЛАР
КЕНГ АССАРТИМЕН
Азитромисин 500мг россия
Элькар 50мл 100мл
Цефотаксим фл Россия
Трипсин лиоф
Химотирипсин лиоф
Химопсин лиф
Фосфалюгел Саша
Феррумлек сироп
Фенотрапил таб
Тафлотан гл капли
Тамсулозин капсула N90
Сукрофер 5мл
Ферофер 5мл
Ировир 5мл
Прегнотон саша
Сперетон Саша
Спазмекс 15мг
Спазмекс 5мг
Снуп спрей 0.05 %
Снуп спрей 0.01%
Рибофлавин амп
Никотинка амп
Полисорб  25гр 3гр 12гр
ПК-Мерц таб
Витамин Б6 амп россия
Офтальмоферон гл капли
Офтан-Тималол капли
Офтаквикс капли
Микосиптин маз
Метотрексад таб озон
Метотрексад таб эбеве
Мельдоний амп 5мл
Магне Б6 Форте россия
Лориста 100мг 50мг 25мг
Кортексин лиоф 5мг
Карбамазепин синтез, Алци
Кальция хлорид амп россия
Йодамарин 200мг 100мг
Долгит крем 50гр
Долгит крем 100гр
Глюренорм таб
Гиоксизон маз
Гексавит држ
Волтарен таб 50мг 25мг
Волтарен укол 75мг
Амбробена укол 2мл
13.03.2023</t>
  </si>
  <si>
    <t>Dori Darmon</t>
  </si>
  <si>
    <t>Когда ду ра от природы. Арбидол , серьезно Арбидол? Ничего не надо,  ну в баню сходи погрейся.</t>
  </si>
  <si>
    <t>Светлана Одинцева</t>
  </si>
  <si>
    <t>14.04.2023 13:23</t>
  </si>
  <si>
    <t>Мавлия Камалетдинова</t>
  </si>
  <si>
    <t>[id51804131|Анна], я от арбидола никакого толку не вижу. Мы как-то эргоферон принимаем при вирусных, он получще</t>
  </si>
  <si>
    <t>Спрашивалка  Ярославля.</t>
  </si>
  <si>
    <t>14.04.2023 13:22</t>
  </si>
  <si>
    <t>[id294923330|Анастасия], лучше Ренгалин от кашля, при любом помогает. От Коделака нео у меня лично эффекта вообще нет.</t>
  </si>
  <si>
    <t>Венера Макаева</t>
  </si>
  <si>
    <t>14.04.2023 13:21</t>
  </si>
  <si>
    <t>Фирдавес Шакирова</t>
  </si>
  <si>
    <t xml:space="preserve">ГЕНФЕРОН ЛАЙТ капли назальные - это усиленная комбинация интерферона и таурина для блокирования вирусов и бактерий на слизистой носа у детей с 1 месяца.
- Оптимальная лечебная дозировка интерферона альфа-2b для детей 500 МЕ в капле
- Действует непосредственно в очаге внедрения вирусов
- Содержат глицерол, известный своими увлажняющими свойствами3,4
- Срок хранения вскрытого флакона – 7 недель
- Имеет функциональную насадку капельницу
Схема применения:
При первых признаках заболевания ОРВИ или гриппа ГЕНФЕРОН ЛАЙТ закапывают в нос в течение 5 дней:
Детям от 29 дней – 1 год - по 1 капле в каждый носовой ход 5 раз в день
Детям 1 – 3 года - по 2 капли в каждый носовой ход 3-4 раза в день
Детям 3 – 14 лет - по 2 капли в каждый носовой ход 4-5 раз в день
ИМЕЮТСЯ ПРОТИВОПОКАЗАНИЯ. НЕОБХОДИМО ПОЛУЧИТЬ КОНСУЛЬТАЦИЮ СПЕЦИАЛИСТА.
Оформите заказ в мобильном приложении, и забирайте в ближайшей к вам аптеке, в удобное время.
https://www.sovetapteka.ru/
Советская аптека - интернет-аптека, купить лекарства
https://sovetapteka.ru/</t>
  </si>
  <si>
    <t>Советская аптека на Ленинградской 27</t>
  </si>
  <si>
    <t>14.04.2023 13:20</t>
  </si>
  <si>
    <t>Что творится в поликлинике г.Инсар кто то сможет прокомментировать? В понедельник сдали экспресс тест на коронавирус и показал положительный результат, Приехала участковый врач навыписывала гору : Арбидола назальные капли пластинки от горла и пр... в вообщем на 3 т.р. а также взяли анализ на корону для отправки в лабораторию. Сегодня пятница пытаюсь узнать результат анализа, а заведующая поликлиники не знает что с ним и говорит обращайтесь к участковому, затем выясняется что анализ отправили только сегодня в пятницу в Саранск в лабораторию......человек неделю с коронавирусом пьет арбидол ему 83 года. Эти действия правильные с точки зрения медицины?</t>
  </si>
  <si>
    <t>Павел Макаро</t>
  </si>
  <si>
    <t>Республика Мордовия</t>
  </si>
  <si>
    <t>Инсар</t>
  </si>
  <si>
    <t>Елена Фацкая</t>
  </si>
  <si>
    <t>Саратовская область</t>
  </si>
  <si>
    <t>Ртищево</t>
  </si>
  <si>
    <t>14.04.2023 13:19</t>
  </si>
  <si>
    <t xml:space="preserve">Росстат сообщает. Об оценке индекса потребительских цен с 4 по 10 апреля 2023 года.
Текст на изображении: Об индекса потребительских цен 4 по 10 апреля 2023 года Об индекса потребительских цен 4 по 10 апреля 2023 года’ За период 4 по 10 апреля 2023 индекс потребительских цен, по Росстата, составил начала апреля начала года (справочно: апрель 2022 начала года в процентах К предыдущей начала Среднесуточный прирост цен дате апреля начала справочно регистрации март апрель 2023 2022 Индекс потребительских цен Продовольственные товары За период 4 по 10 апреля 2023 выросли цены: на баранину на масло подсолнечное, чай черный, рис и водку на рыбу мороженую, сахар-песок, консервы фруктово-ягодные для детского питания на говядину, колбасы полукопченые и варено-копченые, хлеб ржаной, консервы овощные для детского питания, печенье, обеды в столовой, кафе, закусочной (кроме столовой в организации) на Цены на баранину в 24 субъектах Российской Федерации увеличились на В 52 субъектах цены не изменились. В 7 субъектах цены на баранину снизились на Масло подсолнечное в 47 субъектах Российской Федерации стало дороже на В 9 субъектах цены не изменились. В 29 субъектах масло подсолнечное подешевело на Цены на плодоовощную продукцию выросли в среднем на в том числе на на бананы на капусту белокочанную на лук репчатый на В то же время цены на свеклу столовую снизились на морковь на картофель на яблоки на помидоры на Цены на в 58 субъектах Российской Федерации увеличились на В Ненецком автономном округе цены не изменились. В 26 субъектах цены на снизились на Свекла столовая в 50 субъектах Российской Федерации подешевела на В 5 субъектах цены не изменились. В 30 субъектах свекла столовая подорожала на Снизились цены: на крупу гречневую и муку пшеничную на молоко стерилизованное и соль поваренную на свинину, маргарин и вермишель на мясо кур, консервы для детского питания, масло сливочное и яйца куриные на сосиски, сардельки, твердые, полутвердые и мягкие, сметану, творог и макаронные изделия на Цены на крупу гречневую в 53 субъектах Российской Федерации снизились на В 6 субъектах цены не изменились. В 26 субъектах цены на крупу гречневую выросли на Медикаменты В группе наблюдаемых медикаментов подорожали: комбинированные анальгетики на эргоферон и нимесулид на ренгалин на поливитамины на Цены на корвалол снизились на левомеколь и валидол на Предметы гигиены и товары первой необходимости; Об индекса потребительских цен 4 по 10 апреля 2023 года Мыло хозяйственное Порошок стиральный Мыло туалетное Шампунь Паста зубная Щетка зубная Сигареты фильтром Спички Электропылесос напольный Бумага туалетная Прокладки женские гигиенические Подгузники детские бумажные 99.92 Телевизор Смартфон 966 Доска обрезная 9 96.07 Плиты древесностружечные, ориентированно-стружечные Легковой автомобиль отечественный новый Легковой автомобиль иностранной марки новый Дизельное топливо 99.95 Бензин автомобильный 10001 100.2 10002 Метамизол натрия (анальгин отечественный) Комбинированные анальгетики 101.27 Нимесулид Левомеколь Валидол 3 99.23 Аллохол 9997 99597 Ренгалин Эргоферон 100.39 Поливитамины Ремонт телевизоров. Мойка легкового автомобиля 100.43 10293 Стрижка модельная в женском зале Стрижка модельная в мужском зале 202 Проезд в городском автобусе Проезд в трамвае Проезд в троллейбусе Проезд в метро Полет в салоне экономического класса самолета. Плата за в домах государственного и муниципального</t>
  </si>
  <si>
    <t>Андрей Шутов</t>
  </si>
  <si>
    <t>Нижний Тагил</t>
  </si>
  <si>
    <t>14.04.2023 13:18</t>
  </si>
  <si>
    <t>[id564997636|Вера], не заметила чтобы арбидол чем-то помогал. И соглашусь с Еленой что эргоферон при вирусных поэффективнее</t>
  </si>
  <si>
    <t>Медицинская Россия</t>
  </si>
  <si>
    <t>14.04.2023 13:17</t>
  </si>
  <si>
    <t>Вяткина Вера</t>
  </si>
  <si>
    <t>[id565001179|Ирина], эргоферон быстрее помогает справиться с вирусом. И симптомами тоже. с арбидолом все дольше</t>
  </si>
  <si>
    <t>ПСОРИАЗ и лечение</t>
  </si>
  <si>
    <t>14.04.2023 13:16</t>
  </si>
  <si>
    <t xml:space="preserve">Вы серьёзно??? Арбидол? Антибиотики надо сразу
Максимум бы чай попила горячий, чтоб согреться</t>
  </si>
  <si>
    <t>Елена Агишева</t>
  </si>
  <si>
    <t>Гриппферон - Камилла</t>
  </si>
  <si>
    <t>Мне нравится интерферон по действию, ток в сад лучще не к капля гриппфероновских в гелев носик, у виферона он есть, он держится на слизистой долго очень, а капли провалились и все.</t>
  </si>
  <si>
    <t>Камилла</t>
  </si>
  <si>
    <t>14.04.2023 13:15</t>
  </si>
  <si>
    <t>[id793700960|Елена], Эргоферон относится к гомеопатическим средствам. В гомеопатических средствах «лечебное» вещество разбавляется до сверхмалых доз, причем зачастую в конечном растворе это вещество отсутствует полностью.</t>
  </si>
  <si>
    <t>Купрум</t>
  </si>
  <si>
    <t>14.04.2023 13:14</t>
  </si>
  <si>
    <t>[id710197717|Елена], нам Ренгалин помогает, от Амбробене становится только хуже в таком случае, с подорожником не пробовали, ничего сказать не могу.</t>
  </si>
  <si>
    <t>[id564996249|Александра], как раз арбидол не пропишут нормальные врачи. А эргоферон хорошо помогает. И побочных нет от него</t>
  </si>
  <si>
    <t>Подслушано Оренбург</t>
  </si>
  <si>
    <t>Все по разному относятся к противовирусным, но у меня такая же картина на днях случилась. Пила ингавирин противовирусное, в нос полидекса, полощу горло раствором ротокана и фармацефт посоветовала для горла доритрицин таблетки рассасывать. Девушки, кто в поисках удаленки, пишите</t>
  </si>
  <si>
    <t>Катерина Геннадьевна</t>
  </si>
  <si>
    <t>Клуб Сыктывкарских Мам</t>
  </si>
  <si>
    <t xml:space="preserve">ПОДБОРКА ИЗ 100 ПРЕПАРАТОВ, КОТОРЫЕ НЕ УСТАРЕЛИ И ДО СИХ ПОР ЛЕЧАТ
Сохраняйте, пригодится!!!!
ПРОСТУДА
1. Арбидол – повышает противовирусную активность всех систем организма.
2. Ибупрон – сильное обезболивающие средство, быстро действует, в виде шипучих таблеток щадит желудок, а в свечах удобен для малышей.
3. Колдрекс – отличный сосудосуживающий препарат. Быстро действует, потому что его растворяют в горячей воде.
4. Назол – избавляет от насморка и не дает пересыхать слизистой оболочке носа, действует 12 часов.
5. Нурофен – скорая помощь, действует быстро. Для малышей есть свечи, но сильно ухудшает качество крови. 6. Парацетамол (панадол, эффералган) – великолепное жаропонижающее, незаменим для астматиков.
7. Полиоксидоний – стимулирует иммунную систему, назначают детям, пригоден для экстренной помощи и для профилактики во время эпидемии ОРВИ.
8. Рибомунил – восстанавливает иммунитет, рекомендован детям как самое эффективное средство.
9. Санорин – самое быстрое средство от насморка с противоаллергическими компонентами.
10. Флукол–Б – дешевый и эффективный препарат, но содержит 8% алкоголя и противопоказан водителям.
ПЕЧЕНЬ
1. Антраль – отечественный оригинальный препарат, ему нет аналогов в мире, защищает клетки печени от любой микробной агрессии.
2. Галстена – капли, незаменимое лекарство для маленьких детей.
3. Лиолив – улучшает состояние печени при желтухах (пониженный билирубин).
4. Липоферон – препарат принимают через рот, он дешевле инъекционных интерферонов в 5 раз!
5. Оротат калия – улучшает работу печени, синтез белка, общий обмен веществ.
6. Силимарин – гексал. Растительный препарат. В нем содержится намного больше действующего вещества, чем в его аналогах: карсиле, силиборе, гепабене.
7. Холензим – желчегонный недорогой препарат, помогает перевариванию пищи, улучшает выработку ферментов.
8. Холивер – желчегонный препарат растительного происхождения.
9. Хепель – гомеопатическое немецкое средство без побочных действий.
10. ЭСсенциале – уже 20 лет нет более действенного препарата для лечения печени.
ЖЕЛУДОК
1. Альтан – растительный препарат отечественного производства, незаменим при язвенной болезни.
2. Ацидин-пепсин. Препарат повышает кислотность в желудке.
3. Гастритол – капли растительного происхождения, хороши для малышей.
4. Мотилиум – нормализует моторику желудка, улучшает продвижение пищи по желудку.
5. Облепиховое масло – уменьшает воспалительные процессы в желудке.
6. Париет – из последнего поколения препаратов, которые хорошо снижают кислотность в желудке.
7. Пилобакт – новейшее средство от хеликобактер.
8. Ренорм – отечественный фитоконцентрат с сильным противовоспалительным действием, нормализует пищеварение.
9. Риабал – хорошо снимает спазмы в желудке, его назначают детям. Есть в виде сиропа и в каплях.
10. Фосфалюгель – гель, хорошо снимает приступы изжоги, менее токсичен, чем его аналоги.
ГЛАЗА
1. Зовиракс – глазная мазь, незаменима при конъюнктивитах вирусной природы.
2. Квинакс – лучшее профилактическое средство при катаракте.
3. Корнерегель – гель, хорошо восстанавливает слезную пленку на роговице глаза.
4. Ксалаком – в нем соединены два препарата ксалатан и тимолол. Они усиливают действие друг друга.
5. Ксалатан (траватан) – эффективен при глаукоме, можно капать один раз в сутки.
6. Систейн – искусственная слеза, преимущество – можно капать раз в сутки.
7. Униклофен – хорошее нестероидное противовоспалительное средство в каплях.
8. Флоксал – капли, антибиотик, действует на широкий спектр микроорганизмов.
9. Флоксаловая мазь – незаменима при бактериальных конъюнктивитах.
10. Циклогексан – сильный антибиотик в каплях, панацея от острых конъюнктивитов.
УШИ
1. Амоксициллин – антибиотик, активно борется с основными возбудителями, вызывающими ЛОР-заболевания.
2. Клавициллин-Амоксициллин + клавулановая кислота. Помимо чувствительных к амоксициллину микроорганизмов, препарат активно действует и на некоторые виды бактерий.
3. Отофа – ушные капли, антибиотик применяют при воспалительных заболеваниях среднего уха.
4.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 оказывает одновременно обезболивающее, противовоспалительное и жаропонижающее действие.
6.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 это цефалоспорины второго и третьего поколения. Их назначают тем, на кого не действует ампициллин.
9. Эдас-125 тонзиллин – гомеопатические капли, назначают детям с 2-х лет при отитах, аденоидах, хроническом тонзиллите с водой или на кусочке сахара. 10. Эритромицин – назначают тем, у кого аллергия на препараты пенициллинового ряда.
НЕРВЫ
1. Венлаксор – антидепрессант практически без побочных эффектов, быстро выводит из тяжелой депрессии.
2. Буспирон – сильное противотревожное средство, не создает эффекта заторможенности. Можно применять водителям и студентам перед экзаменом.
3. Гидазепам – мягкое снотворное, не влияет на реакцию водителя. Но к нему можно привыкнуть – больше месяца пить нельзя!
4. Зипрекса – не имеет серьезных побочных действий, оказывает помощь мгновенно.
5. Имован (сонап, сомнол, сонован) – самые современные снотворные средства.
6. Паксил – антидепрессант хорошо устраняет панику, страх, навязчивые состояния (фобии), помогает от анорексии, а также побочно удлиняет течение полового акта.
7. Прамистар – улучшает память вообще и упрощает запоминание информации.
8. Рисполепт – действует долго, удобен – растворяется во рту как конфета.
9. Сульпирид (эглонил) – одновременно лечит нервы и желудок. Еще плюс: сегодня выпил – сегодня результат. 10. Финлепсин – лечит судороги и невриты, а также стабилизирует настроение. ПОЧКИ 1. Аксеф – антибиотик, удобен тем, что можно принимать как таблетки, а можно вводить инъекционно. Он продается поштучно в комплекте с растворителем. 2. Блемарен – самый эффективный растворитель камней в почках. 3. Канефрон – растительный препарат без побочных действий.
4. Мовалис – свечи, негормональное противовоспалительное средство, которое не раздражает слизистую оболочку прямой кишки.
5. Нефрофит – комбинированный фитопрепарат с противовоспалительным и мочегонным действием. Без побочных эффектов, назначают детям с 5 лет и беременным.
6. Офлоксин – не агрессивен для желудка, редко вызывает аллергии.
7. Уросепт – свечи, действуют только на мочевыводящую систему.
8. Уролесан – растительный препарат, хорошо выводит песок из почек, часто назначают детям. Есть в виде сиропа.
9. Флемоклав солютаб – широкий спектр антимикробного действия, рекомендуют ослабленным больным.
10. Цефтриаксон – антибиотик широкого спектра действия с минимумом побочных эффектов, разрешен для применения даже беременным.
ПРОСТАТА
1. Азитрокс – антибиотик, удобен – одна таблетка в неделю.
2. Гатифлоксацин – самый новый антибиотик, быстродействующий.
3. Зоксон – дает минимум побочных эффектов, удобен – одна таблетка на ночь.
4. Пенистен – уменьшает объем простаты, снижет риск развития рака предстательной железы.
5. Простамол УНО – растительный препарат без побочных эффектов.
6. Простатилен (Витапрост) – вытяжка из предстательной железы крупного рогатого скота, биостимулятор.
7. Протефлазид – растительный иммуностимулятор, эффективен при простатите. 8. Фокусин – не снижает артериальное давление.
9. Фунид – противогрибковый препарат последнего поколения.
10. Юнидокс солютаб – антибиотик широкого спектра действия, хорошо проникает в ткань предстательной железы.
СУСТАВЫ
1. Аспирин – незаменим при подагре.
2. Алфлутоп – улучшает обмен крови и активизирует процессы обмена в мышцах.
3. Дона – укрепляет хрящевую ткань.
4. Диклоберл – негормональный противовоспалительный препарат. Применяют в свечах, но можно делать и уколы.
5. Диклофен – меньше других дает побочных эффектов.
6. Диклофенак – эффективный, но влияет на состояние крови.
7. Кетанов – эффективный инъекционный препарат.
8. Олфен – удобен тем, что есть в свечах, не страдает слизистая желудка.
9. Остеогенон – эффективный хондопротектор, избавляет суставы от разболтанности.
10. Ретаболил – улучшает периферическое кровообращение.
ГОРЛО
1. Анаферон – хорошее гомеопатическое средство для лечения вирусных инфекций верхних дыхательных путей.
2. Колустан – аэрозоль, хорошо снимает отеки при воспалениях.
3. Люголь, растворенный в глицерине – лучшее наружное средство при ларингите.
4. Пропосол–Н – имеет выраженные антимикробные и противовоспалительные свойства, не оказывает раздражающего действия на организм.
5. Синупрет – обладает антибактериальным и антиотечным действием, может назначаться детям – есть в виде капель.
6. Тонзилгон – противовоспалительное и обезболивающее средство, способствует уменьшению отека слизистой оболочки дыхательных путей.
7. Тонзилотрен – повышает активность слизистой оболочки.
8. Флемоксин солютаб – эффективный быстрорастворимый антибиотик при гнойной ангине, применяют как вовнутрь, так и для полоскания.
9. Фарингосепт – антисептическое средство, приятное на вкус (рассасывается во рту). Не влияет на кишечную микрофлору.
10. Фалиминт – средство с охлаждающим действием для лечения заболеваний полости рта и глотки. Незаменим накануне операций, при протезировании зубов и для лекторов.
Есть противопоказания. Необходима консультация специалиста
ஜ═══════๑♡๑═══════ஜ
Наше сообщество заботится о Вашем здоровье! Присоединяйтесь к нам!
Мы будем радовать вас интересными СОВЕТАМИ, РЕЦЕПТАМИ и дарить вам минуты отдыха!
✨</t>
  </si>
  <si>
    <t>Зинаида Петрова Стратаненко</t>
  </si>
  <si>
    <t>Туймазы</t>
  </si>
  <si>
    <t>14.04.2023 13:12</t>
  </si>
  <si>
    <t>[id564987996|Юля], ну да, не изменится - это точно. Как не было толку так и не будет. Я тоже эргоферон беру и нормально он помогает</t>
  </si>
  <si>
    <t>Подслушано | Аптека</t>
  </si>
  <si>
    <t>Можно КИПферон вместо арбидола, он именно при кишечных инфекциях хорошо. Если маленький ребенок- в больницу. Больше поить часто и дробно</t>
  </si>
  <si>
    <t>Татьяна Вахрушева</t>
  </si>
  <si>
    <t>14.04.2023 13:11</t>
  </si>
  <si>
    <t xml:space="preserve">Так может у Вас синусит?
Промывайте нос морской водой. Синупрет по назначению врача во время беременности. Сосудосуживающие при синусите тоже не желательны.
Про гриппферон вообще молчу
Идите к платному врачу. На крайний случай есть телефон скорой помощи.</t>
  </si>
  <si>
    <t>Елена Вышутина</t>
  </si>
  <si>
    <t>Беременные - вопросы, ответы, советы, истории</t>
  </si>
  <si>
    <t>Воронежская область</t>
  </si>
  <si>
    <t>Воронеж</t>
  </si>
  <si>
    <t>Девочки, впервые вышла без шапки не знала что такой ветер. Долго была на улице какую профилактику для ушей провести, очень боюсь что заставила голову, уши. Дура, знаю, но что предпринять. Арбидол выпила может примочки в уши? Голова болит продула точно</t>
  </si>
  <si>
    <t>14.04.2023 13:09</t>
  </si>
  <si>
    <t>[id185094709|Катя], какое действующее? умифеновир? так его метаболиты не исследованы на безопасность. А эргоферон как раз и безопасный вариант и эффективный. Конечно через полчаса не помогает, но точно быстрее чем арбидол</t>
  </si>
  <si>
    <t>ЧП Новомосковск</t>
  </si>
  <si>
    <t>Ирина Сотникова</t>
  </si>
  <si>
    <t>Ленинградская область</t>
  </si>
  <si>
    <t>Сясьстрой</t>
  </si>
  <si>
    <t>14.04.2023 13:08</t>
  </si>
  <si>
    <t>[id753588163|Гульнара], кроме питья и витаминов ничего больше никогда не принимаю, ударная доза сразу помогает иммунитету, болею оооочень редко и буквально пару дней, от кашля хорошо помогает Ренгалин, Коделак пару раз пробовала ни разу не помог.</t>
  </si>
  <si>
    <t>Мамы Питера СПБ Санкт-Петербург</t>
  </si>
  <si>
    <t>14.04.2023 13:07</t>
  </si>
  <si>
    <t>В том-то и дело, что не лечили. Для тех, кто в танке: это типичные гомеопатические таблетки, которые не лечат в принципе. Да, придётся подушнить, чтобы приоткрыть завесу тайн, но там действующего вещества практически нет! Так что даже прополис для полоскания в бесконечность раз эффективней Анаферона, Арбидола, Ингавирина и далее по списку.</t>
  </si>
  <si>
    <t>Товарищ Астроном</t>
  </si>
  <si>
    <t>14.04.2023 13:06</t>
  </si>
  <si>
    <t xml:space="preserve">ПОСМОТРИТЕ И ПОСЛУШАЙТЕ️️️️️️️️️️️️️️️️️
ПЕРЕШЛИТЕ ВИДЕО ВСЕМ СВОИМ БЛИЗКИМ, РОДСТВЕННИКАМ, ДРУЗЬЯМ, ПРИЯТЕЛЯМ, ЗНАКОМЫМ И НЕЗНАКОМЫМ❗❗❗❗❗
Провизор раскрыл тайны фарм мафии! Зачем народ травят лекарствами? Это ЖУТКО, но знать НАДО!Провизор раскрыл тайны фарм мафии! Зачем народ травят лекарствами? Это ЖУТКО, но знать НАДО!
https://youtu.be/2n3998vy0bE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</si>
  <si>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Екатерина Понимаш</t>
  </si>
  <si>
    <t>Ростов-на-Дону</t>
  </si>
  <si>
    <t>14.04.2023 13:05</t>
  </si>
  <si>
    <t xml:space="preserve">❗ Обязательно сохраните
Простуда
1. Ибупрон — сильное обезболивающие средство, быстро действует, в виде шипучих таблеток щадит желудок, а в свечах удобен для малышей.
2. Колдрекс — отличный сосудосуживающий препарат. Быстро действует, потому что его растворяют в горячей воде.
3. Назол — избавляет от насморка и не дает пересыхать слизистой оболочке носа, действует 12 часов.
4. Нурофен — скорая помощь, действует быстро. Для малышей есть свечи, но сильно ухудшает качество крови.
5. Парацетамол (панадол, эффералган) — великолепное жаропонижающее, незаменим для астматиков.
6. Полиоксидоний — стимулирует иммунную систему, назначают детям, пригоден для экстренной помощи и для профилактики во время эпидемии ОРВИ.
7. Рибомунил — восстанавливает иммунитет, рекомендован детям как самое эффективное средство.
8. Санорин — самое быстрое средство от насморка с противоаллергическими компонентами.
9. Флукол—Б — дешевый и эффективный препарат, но содержит 8% алкоголя и противопоказан водителям.
Печень
1. Антраль — отечественный оригинальный препарат, ему нет аналогов в мире, защищает клетки печени от любой микробной агрессии.
2. Галстена — капли, незаменимое лекарство для маленьких детей.
3. Лиолив — улучшает состояние печени при желтухах (пониженный билирубин).
4. Липоферон — препарат принимают через рот, он дешевле инъекционных интерферонов в 5 раз!
5. Оротат калия — улучшает работу печени, синтез белка, общий обмен веществ.
6. Силимарин-гексал — растительный препарат. В нем содержится намного больше действующего вещества, чем в его аналогах: карсиле, силиборе, гепабене.
7. Холензим — желчегонный недорогой препарат, помогает перевариванию пищи, улучшает выработку ферментов.
8. Холивер — желчегонный препарат растительного происхождения.
9. Хепель — гомеопатическое немецкое средство без побочных действий.
10. Эссенциале — уже 20 лет нет более действенного препарата для лечения печени.
Желудок
1. Альтан — растительный препарат отечественного производства, незаменим при язвенной болезни.
2. Ацидин-пепсин — повышает кислотность в желудке.
3. Гастритол — капли растительного происхождения, хороши для малышей.
4. Мотилиум — нормализует моторику желудка, улучшает продвижение пищи по желудку.
5. Облепиховое масло — уменьшает воспалительные процессы в желудке.
6. Париет — из последнего поколения препаратов, которые хорошо снижают кислотность в желудке.
7. Пилобакт — новейшее средство от хеликобактера.
8. Ренорм — отечественный фитоконцентрат с сильным противовоспалительным действием, нормализует пищеварение.
9. Риабал — хорошо снимает спазмы в желудке, его назначают детям. Есть в виде сиропа и в каплях.
10. Фосфалюгель — хорошо снимает приступы изжоги, менее токсичен, чем аналоги.
Глаза
1. Зовиракс — глазная мазь, незаменима при конъюнктивитах вирусной природы.
2. Квинакс — лучшее профилактическое средство при катаракте.
3. Корнерегель — гель, хорошо восстанавливает слезную пленку на роговице глаза.
4. Ксалаком — в нем соединены два препарата ксалатан и тималол. Они усиливают действие друг друга.
5. Ксалатан (траватан) — эффективен при глаукоме, можно капать один раз в сутки.
6. Систейн — искусственная слеза, преимущество — можно капать раз в сутки.
7. Униклофен — хорошее нестероидное противовоспалительное средство в каплях.
8. Флоксал — капли, антибиотик, действует на широкий спектр микроорганизмов.
9. Флоксаловая мазь — незаменима при бактериальных конъюнктивитах.
10. Циклоксан — сильный антибиотик в каплях, панацея от острых конъюнктивитов.
Уши
1. Амоксицилин — антибиотик, активно борется с основными возбудителями, вызывающими ЛОР-заболевания.
2. Клавициллин-амоксициллин + клавулановая кислота — помимо чувствительных к амоксицилину микроорганизмов, препарат активно действует и на некоторые виды бактерий.
3. Отофа — ушные капли, антибиотик применяют при воспалительных заболеваниях среднего уха.
4.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 оказывает одновременно обезболивающее, противовоспалительное и жаропонижающее действие.
6.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 это цефалоспорины второго и третьего поколения. Их назначают тем, на кого не действует ампициллин.
9. Эдас-125 тонзиллин — гомеопатические капли, назначают детям с 2-х лет при отитах, аденоидах, хроническом тонзиллите с водой или на кусочке сахара.
10. Эритромицин — назначают тем, у кого аллергия на препараты пенициллинового ряда.
Нервы
1. Венлаксор — антидепрессант практически без побочных эффектов, быстро выводит из тяжелой депрессии.
2. Бусперон — сильное противотревожное средство, не создает эффекта заторможенности. Можно применять водителям и студентам перед экзаменом.
3. Гидазепам — мягкое снотворное, не влияет на реакцию водителя. Но к нему можно привыкнуть — больше месяца пить нельзя!
4. Зипрекса — не имеет серьезных побочных действий, оказывает помощь мгновенно.
5. Имован (сонап, сомнол, сонаван) — самые современные снотворные средства.
6. Паксил — антидепрессант, хорошо устраняет панику, страх, навязчивые состояния (фобии), помогает от анорексии, а также побочно удлиняет течение полового акта.
7. Праместар — улучшает память вообще и упрощает запоминание информации.
8. Рисполепт — действует долго, удобен — растворяется во рту как конфета.
9. Сульпирид (эгланил) — одновременно лечит нервы и желудок. Еще плюс: сегодня выпил — сегодня результат.
10. Финлепсин — лечит судороги и невриты, а также стабилизирует настроение.
Почки
1. Аксеф — антибиотик, удобен тем, что можно принимать как таблетки, а можно вводить инъекционно. Он продается поштучно в комплекте с растворителем.
2. Блемарен — самый эффективный растворитель камней в почках.
3. Канефрон — растительный препарат без побочных действий.
4. Мовалис — свечи, негормональное противовоспалительное средство, которое не раздражает слизистую оболочку прямой кишки.
5. Нефрофит — комбинированный фитопрепарат с противовоспалительным и мочегонным действием. Без побочных эффектов, назначают детям с 5 лет и беременным.
6. Офлоксин — не агрессивен для желудка, редко вызывает аллергии.
7. Уросепт — свечи, действуют только на мочевыводящую систему.
8. Уролесан — растительный препарат, хорошо выводит песок из почек, часто назначают детям. Есть в виде сиропа.
9. Флемоклав солютаб — широкий спектр антимикробного действия, рекомендуют ослабленным больным.
10. Цефтриаксон — антибиотик широкого спектра действия с минимумом побочных эффектов, разрешен для применения даже беременным.</t>
  </si>
  <si>
    <t>Вера Войтенко</t>
  </si>
  <si>
    <t>14.04.2023 13:03</t>
  </si>
  <si>
    <t xml:space="preserve">Добрый день, друзья!
Пусть пятница приносит хорошие новости! 
Сегодня хочу поделиться с вами отзывом Анастасии из г. Чебоксар
С момента обнаружения ВПЧ девушке ничего, кроме конизации, в ее родном городе не предложили.
Но Анастасия искала альтернативу. И нашла мой сайт.
Лечение методом фотодинамической терапии было проведено в 2021 году в клинике НОВА КЛИНИК @nova_clinic в Москве.
И вот прошел год, и результаты контрольного обследования показывают, что ВПЧ нет, девушка здорова!
Далее передаю слово ей:
«Максим Станиславович, здравствуйте!
Уже год прошёл с ФДТ, получила результаты анализов по ВПЧ и CIN.
Не обнаружено, и я ещё раз бесконечной благодарностью к Вам!
Моя история, как множество похожих, заключалась в том, что на протяжении 4 лет до ФДТ мы с гинекологом наблюдали, как прогрессирует вирус, чтобы однажды сделать конизацию.
Несколько курсов Аллокина-Альфа, изопринозин, интерфероны- все это проходила.
Начитавшись отзывов о том, как быстро дисплазия даже в первой степени, которую провоцировали впч 16,18 в моем случае, перерастает в рак, стало страшно.
Счастлива бесконечно, что нашла Вас, что убедили, и вернули оптимистичный настрой на здоровое будущее»
Анастасия, я желаю вам крепкого здоровья и женского счастья! Очень радуюсь вместе с вами!
〰〰〰〰〰〰〰〰〰〰〰〰
Ваш доктор Афанасьев
Лечение дисплазии шейки матки, гиперплазии эндометрия и базалиомы
〰〰〰〰〰〰〰〰〰〰〰〰
КОНТАКТЫ⬇️
► Анализы и исследования отправляйте на почту: doctor@drafanasev.com
► Viber/WhatsApp +7 987 980-25-34
► Запись на прием 8-800-555-77-26</t>
  </si>
  <si>
    <t>Онкогинеколог Афанасьев Максим Станиславович</t>
  </si>
  <si>
    <t>14.04.2023 13:02</t>
  </si>
  <si>
    <t>[id118402431|Santino], арбидол и на жкт может дать, так что не стоит прям так откидывать варианты. Другое дело что и пользы от него мало. Мне тот же эргоферон нравится больше по эффективности</t>
  </si>
  <si>
    <t>Подслушано ТюмГМУ</t>
  </si>
  <si>
    <t>[id163591019|Татьяна], Мне виферон тоже нравится, они достаточно быстро помогают. В горло отвар ромашки бразгала наливала его в пузырек из под мирамитина, как раз там длинный наконечник. Вместо дерината в нос тот же виыерон гель мазала и если в саду много болеющих тоже гель этот мажу.</t>
  </si>
  <si>
    <t>Мария Валеева</t>
  </si>
  <si>
    <t xml:space="preserve">https://ok.ru/video/4723767185795Провизор раскрыл тайны фарм мафии! Зачем народ травят лекарствами? Это ЖУТКО, но знать НАДО!
Вы, или Ваши знакомые принимали: парацетамол, арбидол,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t>
  </si>
  <si>
    <t>Рашид Хайруллин</t>
  </si>
  <si>
    <t>Казань</t>
  </si>
  <si>
    <t>14.04.2023 12:59</t>
  </si>
  <si>
    <t>Клавдия Рыбина</t>
  </si>
  <si>
    <t>14.04.2023 12:58</t>
  </si>
  <si>
    <t>Болела 5 недель и 19, парацетамол если темп выше 38, свечи виферон 500000, лизобакт от горла и мирамистин брезгала и в нос и в горло, чай с лимоном и малиной, в 19 недель стрепсилс ещё от горла</t>
  </si>
  <si>
    <t>Елена Лобанова</t>
  </si>
  <si>
    <t>БЕРЕМЕННОСТЬ</t>
  </si>
  <si>
    <t>Шахты</t>
  </si>
  <si>
    <t>14.04.2023 12:53</t>
  </si>
  <si>
    <t>[id26557205|Svetlana], может у вас аллергическое что-то или аденоиды, у нас были аденоиды, мучались пока не удалили. От кашля очень хорошо нам помогал Ренаглин, так как он еще имеет противосполительное и противоотечное действие, а от Лазолвана и прочих муколитиков наоборот становилось хуже.</t>
  </si>
  <si>
    <t>14.04.2023 12:50</t>
  </si>
  <si>
    <t>[id564999034|Виктория], умифеновир он же арбидол не исследован нормально на безопасность. А эргоферона состав максимально безопасный и при этом эффективный. Не раз принимали - быстро помогает и с вирусом и с симптомами</t>
  </si>
  <si>
    <t>Лариса Кисилева</t>
  </si>
  <si>
    <t>14.04.2023 12:49</t>
  </si>
  <si>
    <t>Я долго болела, стандартно шиповник запаренный с медом, лимон, горло ромашкой полоскала, нос морской водой, вам уже можно свечи виферон, они мне обрушили температуру через сутки, и прям полегчало так, до них его гриппферо нкапала, но там маленькие дозировки, а как свечи добавила прям процесс пошел.</t>
  </si>
  <si>
    <t>Беременность</t>
  </si>
  <si>
    <t>Ингавирин 90</t>
  </si>
  <si>
    <t>Высокая эффективность препарата и доступная цена, в сочетании с хорошей переносимостью пациентами делает его очень привлекательным на фоне других противовирусных средств. Доступность приобретения в любой аптеки города и области также добавляет ему баллов в копилку к назначению пациентам. Данный препарат назначаю своим пациентам</t>
  </si>
  <si>
    <t>protabletky.ru</t>
  </si>
  <si>
    <t>Шипунова Н. В.</t>
  </si>
  <si>
    <t>14.04.2023 12:48</t>
  </si>
  <si>
    <t>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изофра, мирамистин, полидекс и</t>
  </si>
  <si>
    <t>В теме здоровья</t>
  </si>
  <si>
    <t>[id564994008|Вера], что-то от него на практике толку мало. При орви и гриппе я лучше обычный эргоферон возьму - в его эффективности не приходилось сомневаться</t>
  </si>
  <si>
    <t>14.04.2023 12:47</t>
  </si>
  <si>
    <t>[id1488984|Валентина], арбидол при кишечной инфекции назначают( только что вчера была учёба в поликлинике), или анаферон, эргоферон</t>
  </si>
  <si>
    <t>Евгения Савенкова</t>
  </si>
  <si>
    <t>14.04.2023 12:46</t>
  </si>
  <si>
    <t xml:space="preserve">Девочки SOS первая беременность примерно 2 недели, начался насморк сопли зеленые , тяжесть в носу во лбу когда брови поднимаю, уже не знаю что делать ничего не помогает пью синупрет, снуп брызгаю и гриппферон, может кто что посоветует сил уже нет.
Ко врачу нету возможности придти записи нету.
Анон</t>
  </si>
  <si>
    <t>14.04.2023 12:45</t>
  </si>
  <si>
    <t>Молоко и мед , шиповник запаренный, на мочь молоко мед+ чайная ложечка масла сливочного, болела долго, но прошло все. Свечи виферон хорошие, их можно уже с 14 недель. Еще есть интерферон в каплях гриппферон, но там его по составу очень мало, надо постоянно капать, лучше все же свечки</t>
  </si>
  <si>
    <t>14.04.2023 12:44</t>
  </si>
  <si>
    <t>[id564993124|Анна], да прям единственное. Например эргоферон намного лучше справляется с этой задачей, еще с симптомами помогает</t>
  </si>
  <si>
    <t>14.04.2023 12:43</t>
  </si>
  <si>
    <t>Надежда Артамонова</t>
  </si>
  <si>
    <t xml:space="preserve">«Никакое землетрясение несравнимо с разложением сознания.
Нужно напрячь все силы, чтобы удержать человечество от пропасти»
(Е.Рерих).
ПОЧЕМУ ЛЮДИ ПОЛНЕЮТ И БОЛЕЮТ?
Единственная причина полноты в том, что иммунитет не в состоянии уже
выводить из организма трупные яды, которые образовываются при
потреблении термически обработанной свыше 38-40 градусов,
денатурированной, мёртвой "еды", которую люди по незнанию употребляют
по несколько раз в день. Так вот " жир" это капсулированные трупные яды.
Иммунитет вынужден фильтровать высокотоксичную кровь через ткани органов, чтобы человек прожил ещё , но не долго, потому что яды путресцин, кадаверин, индол, скатол, серо-водород, амины.. и т.д., даже в капсулированном виде, в виде гноя разрушают все
живые ткани и органы, только по этой причине у человека копятся болезни,
которые "врачеватели" умышленно советуют приглушить химическими ядами в виде "лекарств". Любые "лекарства, уколы, вакцины" содержат в себе тщательно вымеренные дозы ядов, чтобы человек умирал не сразу, но медленно... У смерти только две причины 1. Интоксикация от химических ядов, 2. Интоксикация от накопления трупных ядов от употребления денатурированной, термически обработанной, неорганической мёртвой "пищи"..
НУЖНО ЗНАТЬ И ВСЕГДА ПОМНИТЬ, ЧТО ПРИ ТЕРМИЧЕСКОЙ ОБРАБОТКЕ
ЖИВОЙ ЕДЫ ПРИ ТЕМПЕРАТУРЕ СВЫШЕ 42 ГРАДУСОВ ГИБНУТ ВСЕ
ВИТАМИНЫ, МИНЕРАЛЫ СТАНОВЯТСЯ НЕОРГАНИЧЕСКИМИ,
ВОДОНЕРАСТВОРИМЫМИ И ВЫПАДАЮТ В ОСАДОК В ТКАНИ И СУСТАВЫ
ОРГАНИЗМА ПРИ ТЕМПЕРАТУРЕ СВЫШЕ 60 ГРАДУСОВ. ЕДА СТАНОВИТСЯ
ДЕНАТУРИРОВАННОЙ, УТРАЧИВАЕТ ПРИРОДНУЮ СПОСОБНОСТЬ
АУТОЛИЗА (самопереваривания, без затраты жизненной энергии
иммунитета), А ТРУПНЫЕ ЯДЫ, ШЛАКИ И ТОКСИНЫ РАЗЛАГАЮТ ТКАНИ
ВСЕХ ОРГАНОВ И СИСТЕМ ЖИЗНЕДЕЯТЕЛЬНОСТИ ОРГАНИЗМА. ПРИ 65
ГРАДУСАХ ПРОИСХОДИТ ПОЛНАЯ И НЕОБРАТИМАЯ ГИБЕЛЬ ДНК КЛЕТКИ.
ПРИ КИПЯЧЕНИИ В ВОДЕ ОБРАЗУЮТСЯ МОЛЕКУЛЫ «ТЯЖЁЛОЙ ВОДЫ»
ДЕЙТЕРИЙ 3, МОЛЕКУЛЫ УБИЙЦЫ, КОТОРЫЕ АКТИВНО УНИЧТОЖАЮТ
ЖИВЫЕ КЛЕТКИ ОРГАНИЗМА.
ЭНЕРГИЯ ЖИЗНИ ПЕРЕДАЁТСЯ ТОЛЬКО ОТ ЖИВОЙ КЛЕТКИ ЖИВОЙ КЛЕТКЕ,
ТЕРМИЧЕСКИ ОБРАБОТАННАЯ «ЕДА» МЁРТВАЯ. ПРИРОДУ ОБМАНУТЬ НЕ
ПОЛУЧИТСЯ ...
Питание не просто привычка, а плохая привычка,
одно из доказательств – человек начинает выздоравливать,
если прекращает есть, наблюдается даже омоложение.
Какова пища – таково сознание,
Каково сознание – таков и ум человека.
Каков ум – таковы и желания,
Каковы желания – таковы и действия,
Каковы действия - такая и судьба..
Питание влияет на вибрации сознания и в конечном итоге на
судьбу человека ..
…Все, что убивает вашу пищу, также убивает и ваши тела.
А все, что убивает ваши тела, убивает также ваши души
И тела ваши становятся тем, что есть пища ваша,
Ровно как дух ваш становится тем, что есть мысли ваши.
Поэтому не принимайте в пищу ничего , что было разрушено
Огнем, морозом или водой.
Ибо обгоревшая, сгнившая или замороженная пища
Также сожжёт, сгниет или обморозит ваше тело.
Всегда принимайте пищу со стола Бога.
Плоды, деревья, злаки и травы полей.
Не варите на огне, не смешивайте ничего друг с другом,
Чтобы пища ваша не уподобилась болоту со зловонными парами…Провизор раскрыл тайны фарм мафии! Зачем народ травят лекарствами? Это ЖУТКО, но знать НАДО!
Вы, или Ваши знакомые принимали: парацетамол, арбидол,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
МЕДИЦИНА ОТ ЛУКАВОГО.doc
СОЛЬ ЯД. НЕМНОГО ПРО СОЛЬ.doc
ПОЧЕМУ ПОЛНЕЮТ И БОЛЕЮТ ЛЮДИ.docx
ПИТАНИЕ. КОРОТКО О ГЛАВНОМ.pdf
ПРАВИЛА ПИТАНИЯ .doc
Матвеев Сергей Александрович - Большая книга мудр. Йога для пальцев, которая даст здоровье, деньги и удачу.doc
ВИСЦЕРАЛЬНЫЙ САМОМАССАЖ. А.Т.ОГУЛОВ 2015.pdf
ПЛАКАТЫ, СХЕМЫ, САМОМАССАЖ.pdf</t>
  </si>
  <si>
    <t>Соня Петрова</t>
  </si>
  <si>
    <t>Владивосток</t>
  </si>
  <si>
    <t>[id98284975|Татьяна], нобазит то чем поможет при вирусе? йодом? тем более для тех у кого проблемы с щз, это опасно. Я эргоферон беру - прекрасно помогает и без побочек</t>
  </si>
  <si>
    <t>Мой первый суккулент</t>
  </si>
  <si>
    <t>14.04.2023 12:41</t>
  </si>
  <si>
    <t>владимир севрюков</t>
  </si>
  <si>
    <t>14.04.2023 12:40</t>
  </si>
  <si>
    <t>[id439472|Мария], мой ребенок, к сожалению, никакие сопли не перерастал, я его все-таки лучше знаю и вижу, что именно с кагоцелом он легче болезнь переносит, а не потому, что перерос. Он у меня один “пациент” и экспериментировать с отменой или введением каких-то новых препаратов я не буду, да и не вижу смысла, если у меня уже есть проверенный метод)</t>
  </si>
  <si>
    <t>Амелия Титова</t>
  </si>
  <si>
    <t>[id617695948|Анна], я всегда начинаю лечение с эргоферона - он эффективнее. Тем более и симптомы купирует.</t>
  </si>
  <si>
    <t>Мамы Новокузнецка</t>
  </si>
  <si>
    <t>14.04.2023 12:39</t>
  </si>
  <si>
    <t xml:space="preserve">99 САМЫХ ЛУЧШИХ ЛЕКАРСТВ
Иногда бывают случаи, когда важно поскорее начать лечение, но нет возможности идти в больницу...
Для вас шпаргалочка — 99 самых лучших лекарств от разных болезней.
Простуда
1. Ибупрон – сильное обезболивающие средство, быстро действует, в виде шипучих таблеток щадит желудок, а в свечах удобен для малышей.
2. Колдрекс – отличный сосудосуживающий препарат. Быстро действует, потому что его растворяют в горячей воде.
3. Назол – избавляет от насморка и не дает пересыхать слизистой оболочке носа, действует 12 часов.
4. Нурофен – скорая помощь, действует быстро. Для малышей есть свечи, но сильно ухудшает качество крови.
5. Парацетамол (панадол, эффералган) – великолепное жаропонижающее, незаменим для астматиков.
6. Полиоксидоний – стимулирует иммунную систему, назначают детям, пригоден для экстренной помощи и для профилактики во время эпидемии ОРВИ.
7. Рибомунил – восстанавливает иммунитет, рекомендован детям как самое эффективное средство.
8. Санорин – самое быстрое средство от насморка с противоаллергическими компонентами.
9. Флукол–Б – дешевый и эффективный препарат, но содержит 8% алкоголя и противопоказан водителям.
Печень
1. Антраль – отечественный оригинальный препарат, ему нет аналогов в мире, защищает клетки печени от любой микробной агрессии.
2. Галстена – капли, незаменимое лекарство для маленьких детей.
3. Лиолив – улучшает состояние печени при желтухах (пониженный билирубин).
4. Липоферон – препарат принимают через рот, он дешевле инъекционных интерферонов в 5 раз!
5. Оротат калия – улучшает работу печени, синтез белка, общий обмен веществ.
6. Силимарин-гексал – растительный препарат. В нем содержится намного больше действующего вещества, чем в его аналогах: карсиле, силиборе, гепабене.
7. Холензим – желчегонный недорогой препарат, помогает перевариванию пищи, улучшает выработку ферментов.
8. Холивер – желчегонный препарат растительного происхождения.
9. Хепель – гомеопатическое немецкое средство без побочных действий.
10. Эссенциале – уже 20 лет нет более действенного препарата для лечения печени.
Желудок
1. Альтан – растительный препарат отечественного производства, незаменим при язвенной болезни.
2. Ацидин-пепсин – повышает кислотность в желудке.
3. Гастритол – капли растительного происхождения, хороши для малышей.
4. Мотилиум – нормализует моторику желудка, улучшает продвижение пищи по желудку.
5. Облепиховое масло – уменьшает воспалительные процессы в желудке.
6. Париет – из последнего поколения препаратов, которые хорошо снижают кислотность в желудке.
7. Пилобакт – новейшее средство от хеликобактера.
8. Ренорм – отечественный фитоконцентрат с сильным противовоспалительным действием, нормализует пищеварение.
9. Риабал – хорошо снимает спазмы в желудке, его назначают детям. Есть в виде сиропа и в каплях.
10. Фосфалюгель – хорошо снимает приступы изжоги, менее токсичен, чем аналоги.
Глаза
1. Зовиракс – глазная мазь, незаменима при конъюнктивитах вирусной природы.
2. Квинакс – лучшее профилактическое средство при катаракте.
3. Корнерегель – гель, хорошо восстанавливает слезную пленку на роговице глаза.
4. Ксалаком – в нем соединены два препарата ксалатан и тималол. Они усиливают действие друг друга.
5. Ксалатан (траватан) – эффективен при глаукоме, можно капать один раз в сутки.
6. Систейн – искусственная слеза, преимущество – можно капать раз в сутки.
7. Униклофен – хорошее нестероидное противовоспалительное средство в каплях.
8. Флоксал – капли, антибиотик, действует на широкий спектр микроорганизмов.
9. Флоксаловая мазь – незаменима при бактериальных конъюнктивитах.
10. Циклоксан – сильный антибиотик в каплях, панацея от острых конъюнктивитов.
Уши
1. Амоксицилин – антибиотик, активно борется с основными возбудителями, вызывающими ЛОР-заболевания.
2. Клавициллин-амоксициллин + клавулановая кислота – помимо чувствительных к амоксицилину микроорганизмов, препарат активно действует и на некоторые виды бактерий.
3. Отофа – ушные капли, антибиотик применяют при воспалительных заболеваниях среднего уха.
4.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 оказывает одновременно обезболивающее, противовоспалительное и жаропонижающее действие.
6.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 это цефалоспорины второго и третьего поколения. Их назначают тем, на кого не действует ампициллин.
9. Эдас-125 тонзиллин – гомеопатические капли, назначают детям с 2-х лет при отитах, аденоидах, хроническом тонзиллите с водой или на кусочке сахара.
10. Эритромицин – назначают тем, у кого аллергия на препараты пенициллинового ряда.
Нервы
1. Венлаксор – антидепрессант практически без побочных эффектов, быстро выводит из тяжелой депрессии.
2. Бусперон – сильное противотревожное средство, не создает эффекта заторможенности. Можно применять водителям и студентам перед экзаменом.
3. Гидазепам – мягкое снотворное, не влияет на реакцию водителя. Но к нему можно привыкнуть – больше месяца пить нельзя!
4. Зипрекса – не имеет серьезных побочных действий, оказывает помощь мгновенно.
5. Имован (сонап, сомнол, сонаван) – самые современные снотворные средства.
6. Паксил – антидепрессант, хорошо устраняет панику, страх, навязчивые состояния (фобии), помогает от анорексии, а также побочно удлиняет течение полового акта.
7. Праместар – улучшает память вообще и упрощает запоминание информации.
8. Рисполепт – действует долго, удобен – растворяется во рту как конфета.
9. Сульпирид (эгланил) – одновременно лечит нервы и желудок. Еще плюс: сегодня выпил – сегодня результат.
10. Финлепсин – лечит судороги и невриты, а также стабилизирует настроение.
Почки
1. Аксеф – антибиотик, удобен тем, что можно принимать как таблетки, а можно вводить инъекционно. Он продается поштучно в комплекте с растворителем.
2. Блемарен – самый эффективный растворитель камней в почках.
3. Канефрон – растительный препарат без побочных действий.
4. Мовалис – свечи, негормональное противовоспалительное средство, которое не раздражает слизистую оболочку прямой кишки.
5. Нефрофит – комбинированный фитопрепарат с противовоспалительным и мочегонным действием. Без побочных эффектов, назначают детям с 5 лет и беременным.
6. Офлоксин – не агрессивен для желудка, редко вызывает аллергии.
7. Уросепт – свечи, действуют только на мочевыводящую систему.
8. Уролесан – растительный препарат, хорошо выводит песок из почек, часто назначают детям. Есть в виде сиропа.
9. Флемоклав солютаб – широкий спектр антимикробного действия, рекомендуют ослабленным больным.
10. Цефтриаксон – антибиотик широкого спектра действия с минимумом побочных эффектов, разрешен для применения даже беременным.
Простата
1. Азитрокс – антибиотик, удобен – одна таблетка в неделю.
2. Гатифлоксацин – самый новый антибиотик, быстродействующий.
3. Зоксон – дает минимум побочных эффектов, удобен – одна таблетка на ночь.
4. Пенистен – уменьшает объем простаты, снижет риск развития рака предстательной железы.
5. Простамол УНО – растительный препарат без побочных эффектов.
6. Простатилен (Витапрост) – вытяжка из предстательной железы крупного рогатого скота, биостимулятор.
7. Протефлазид – растительный иммуностимулятор, эффективен при простатите.
8. Фокусин – не снижает артериальное давление.
9. Фунид – противогрибковый препарат последнего поколения.
10. Юнидокс солютаб – антибиотик широкого спектра действия, хорошо проникает в ткань предстательной железы.
Сутсавы
1. Аспирин – незаменим при подагре.
2. Алфлутоп – улучшает обмен крови и активизирует процессы обмена в мышцах.
3. Дона – укрепляет хрящевую ткань.
4. Диклоберл – негормональный противовоспалительный препарат. Применяют в свечах, но можно делать и уколы.
5. Диклофен – меньше других дает побочных эффектов.
6. Диклофенак – эффективный, но влияет на состояние крови.
7. Кетанов – эффективный инъекционный препарат.
8. Олфен – удобен тем, что есть в свечах, не страдает слизистая желудка.
9. Остеогенон – эффективный хондопротектор, избавляет суставы от разболтанности.
10. Ретаболил – улучшает периферическое кровообращение.
Горло
1. Анаферон – хорошее гомеопатическое средство для лечения вирусных инфекций верхних дыхательных путей.
2. Колустан – аэрозоль, хорошо снимает отеки при воспалениях.
3. Люголь, растворенный в глицерине – лучшее наружное средство при ларингите.
4. Пропосол–Н – имеет выраженные антимикробные и противовоспалительные свойства, не оказывает раздражающего действия на организм.
5. Синупрет – обладает антибактериальным и антиотечным действием, может назначаться детям – есть в виде капель.
6. Тонзилгон – противовоспалительное и обезболивающее средство, способствует уменьшению отека слизистой оболочки дыхательных путей.
7. Тонзилотрен – повышает активность слизистой оболочки.
8. Флемоксин солютаб – эффективный быстрорастворимый антибиотик при гнойной ангине, применяют как вовнутрь, так и для полоскания.
9. Фарингосепт – антисептическое средство, приятное на вкус (рассасывается во рту). Не влияет на кишечную микрофлору.
10. Фалиминт – средство с охлаждающим действием для лечения заболеваний полости рта и глотки. Незаменим накануне операций, при протезировании зубов и для лекторов.
Перед применением обязательно проконсультируйтесь с врачом, некоторые лекарства имеют противопоказания и могут навредить вашему здоровью!!!</t>
  </si>
  <si>
    <t>Людмила Людмила</t>
  </si>
  <si>
    <t>Костромская область</t>
  </si>
  <si>
    <t>Буй</t>
  </si>
  <si>
    <t>[id475672833|Оля], я бы не сказала что он помогает. Мы эргоферон всегда принимаем. Он и безопасный вариант для детей и по эффективности хороший. Еще и с симптомами помогает справиться</t>
  </si>
  <si>
    <t>Женская Рязань</t>
  </si>
  <si>
    <t>14.04.2023 12:38</t>
  </si>
  <si>
    <t>[id793581951|Алёна], Не совсем понимаю как может не усваиваться действующее вещество через слизистую, а через что тогда, свечки у вас жаропонижающие работают через слизисту. цефекон, температура сбивается, значит как то уваивается через слизистую) тут тоже самое, только механизм другой у виферонна. Анаферон вообще не содержит интерферона, его некорректно сравнивать в данном случае, он является его индуктором и по определению должен быть медленнее</t>
  </si>
  <si>
    <t>Моя беременность</t>
  </si>
  <si>
    <t>14.04.2023 12:37</t>
  </si>
  <si>
    <t xml:space="preserve">Лeкapcтвa котоpыe должны быть в кaждой aптeчкe
Как мало полезны наилучшие советы, если даже собственный опыт так редко учит нас)
Ваши Женские советы!
Текст на изображении: ЛЕКАРСТВА, КОТОРЫЕ ВСЕГДА ДОЛЖНЫ БЫТЬ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КИГП,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аллергии: зиртек, фенистил (капли). При болях в сердце: валидол. При вздутии и тяжести в животе: фестал. и ушибов: мазь бодяга. При растяжении мыщц вальторен гель, випросал. Не забывайте читать инструкции перед применением, лучше консультироваться врачом!</t>
  </si>
  <si>
    <t>Елена Мигдаль</t>
  </si>
  <si>
    <t>Калининградская область</t>
  </si>
  <si>
    <t>Мошенское</t>
  </si>
  <si>
    <t>Зенфира Хайруллина</t>
  </si>
  <si>
    <t>14.04.2023 12:36</t>
  </si>
  <si>
    <t xml:space="preserve">Очень полезная информация, которая обязательно вас выручит в нужный момент!
Текст на изображении: ОТ ЛОРА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изофра, мирамистин, полидекс и</t>
  </si>
  <si>
    <t>Елена Коржилова</t>
  </si>
  <si>
    <t>14.04.2023 12:34</t>
  </si>
  <si>
    <t>[id323791101|Ольга], я от него никакого эффекта не увидела. Мне тот же эргоферон намного лучше помогает. Просто с первыми симптомами начинаешь прием и тогда быстро в норму приходишь</t>
  </si>
  <si>
    <t>ЖенСовет Смоленск</t>
  </si>
  <si>
    <t xml:space="preserve">Что за врачи пошли сразу антибиотики, виферон. </t>
  </si>
  <si>
    <t>Катя Иванова</t>
  </si>
  <si>
    <t>Коломна</t>
  </si>
  <si>
    <t>14.04.2023 12:33</t>
  </si>
  <si>
    <t xml:space="preserve">Провизор раскрыл тайны фарм мафии! Зачем народ травят лекарствами? Это ЖУТКО, но знать НАДО!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</si>
  <si>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Виктор Тарновский</t>
  </si>
  <si>
    <t>14.04.2023 12:32</t>
  </si>
  <si>
    <t>Цены на лекарства в Омске выросли на 0,4%</t>
  </si>
  <si>
    <t>Цены на жизненно необходимые и важнейшие препараты с января по март 2023 года в Омской области повысились в среднем на 0,4%, сообщает Омскстат по итогам выборочного обследования рынка.Новый ОмскОднако на половину препаратов из данной группы цены снизились на 0,2-5%.Новый ОмскПо другим медицинским препаратам из отечественных медикаментов подорожал йод (на 6,5%), поливитамины (на 4,4%), флуоцинолона ацетонид (на 3,1%).Новый ОмскПодешевели на 3,1–8,3 % афобазол, аципол, таурин, комбинированные анальгетики, эссенциале форте, мидокалм и ренгалин.РИА ОмскИнформ</t>
  </si>
  <si>
    <t>dzen.ru</t>
  </si>
  <si>
    <t xml:space="preserve">Что-то пошло не так, ты написал его фамилию в оригинале
Я неделю назад арбидол пил, чтобы не заболеть, каждый раз вспоминал тебя</t>
  </si>
  <si>
    <t>Михаил Алексеевич</t>
  </si>
  <si>
    <t>#вЗените_чат</t>
  </si>
  <si>
    <t>Это да, но и у Гиделикса (там вроде подорожник в основе)  тоже есть российские аналоги</t>
  </si>
  <si>
    <t>Nik Kin</t>
  </si>
  <si>
    <t>Папочка канцлера</t>
  </si>
  <si>
    <t>14.04.2023 12:31</t>
  </si>
  <si>
    <t xml:space="preserve">[id23854704|Александра], для меня другие страны не имеют значения, мне вообще все рано где чего продается за пределами России, тем более в тех государствах где педофилия и ЛГБТ процветают ... Работал Виферон всегда и работает до сих пор .
В Европе и США вообще не принято беременность сохранять и что теперь ,следовать этому мракобесию ?
Уж хрень то не несите .</t>
  </si>
  <si>
    <t>Татьяна Алхоева</t>
  </si>
  <si>
    <t>Я КОСМЕТОЛОГ</t>
  </si>
  <si>
    <t>Нижегородская область</t>
  </si>
  <si>
    <t>Нижний Новгород</t>
  </si>
  <si>
    <t xml:space="preserve">Есть терапевты?
Список лекарств для первой медицинской помощи
Текст на изображении: 1. АНАФЕРОН ХОРОШЕЕ ГОМЕОПАТИЧЕСКОЕ ЛЕЧЕНИЯ ВИРУСНЫХ ИНФЕКЦИЙ АЫХАТЕЛЬНЫХ 2. KOAYCTAH АЭРОЗОЛЬ, ХОРОШО СНИМАЕТ ОТЕКИ ПРИ 3. ЛЮТОЛЬ, РАСТВОРЕННЫЙ В ГЛИЕРИНЕ ЛУЧШЕЕ НАРУЖНОЕ СРЕАСТВО ПРИ ЛАРИНГИТЕ. 4. ИМЕЕТ ВЫРАЖЕННЫЕ АНТИМИКРОБНЫЕ И ПРОТИВОВОСПАЛИТЕЛЬНЫЕ _СВОЙСТВА, НЕ ОКАЗЫВАЕТ РАЗАРАЖАЮЩЕГО ДЕЙСТВИЯ НА ОРГАНИЗМ. 5. СИНУПРЕТ ОБЛАААЕТ АНТИБАКТЕРИАЛЬНЫМ И АНТИОТЕЧНЫМ ДЕЙСТВИЕМ, МОЖЕТ АЕТЯМ ЕСТЬ В ВИДЕ КАПЕЛЬ. 6. ТОНЗИЛГОН ПРОТИВОВОСПАЛИТЕЛЬНОЕ И ОБЕЗБОЛИВАЮЩЕЕ СРЕДСТВО, СПОСОБСТВУЕТ УМЕНЬШЕНИЮ ОТЕКА СЛИЗИСТОЙ ОБОЛОЧКИ ЛЫХАТЕЛЬНЫХ 7. ТОНЗИЛОТРЕН ПОВЫШАЕТ АКТИВНОСТЬ СЛИЗИСТОЙ ОБОЛОЧКИ. 8. ФЛЕМОКСИН СОЛЮТАБ ЭФФЕКТИВНЫЙ БЫСТРОРАСТВОРИМЫЙ АНТИБИОТИК ПРИ ГНОЙНОЙ АНГИНЕ, ПРИМЕНЯЮТ КАК АЛЯ ПОЛОСКАНИЯ. 9. ФАРИНГОСЕПТ АНТИСЕПТИЧЕСКОЕ СРЕДСТВО, ПРИЯТНОЕ НА ВКУС (РАССАСЫВАЕТСЯ ВО РТУ). НЕ ВЛИЯЕТ НА КИШЕЧНУЮ МИКРОФЛОРУ. 10. ФАЛИМИНТ СРЕЛСТВО ОХЛАЖААЮЩИМ ДЕЙСТВИЕМ ДЛЯ ЛЕЧЕНИЯ ЗАБОЛЕВАНИЙ ПОЛОСТИ</t>
  </si>
  <si>
    <t>Дарима Очирова</t>
  </si>
  <si>
    <t>[id60838258|Евгения], да и от врачей назначающих арбидол бежать надо. Я скорее эргоферон тот же приму, чтобы помочь организму с вирусами справиться</t>
  </si>
  <si>
    <t>Интеллектуариум</t>
  </si>
  <si>
    <t>14.04.2023 12:30</t>
  </si>
  <si>
    <t xml:space="preserve">В аптеках Омской области увеличились цены на поливитамины и йод
/ Текст: ОРТРК-12 КАНАЛ / В среднем рост стоимости составил 0,4%.
Согласно данным, опубликованным специалистами Омскстата, с января по март 2023 года в регионе выросли цены на ряд важных препаратов. Так, больше всего подорожали фурасемид (на 12,5%), дротаверин (на 4,6%), а также аскорбиновая кислота (на 3,5%). При этом дешевле стали супрастин (на 5%), амлодипин (на 4,6%), ксарелто (на 3,9%), натрия хлорид (на 3,7%) и ацетилцистеин (АЦЦ) (на 3,4%).
Добавим, что также повысилась стоимость йода — на 6,5% и поливитаминов — на 4,4%. Кроме того, на 2,6 — 6% подорожали зарубежные препараты, в частности синупрет. Зато таурин, афобазол, аципол и ренгалин стали дешевле — снижение цен зафиксировано на уровне от 3,1% до 8,3%.
Фото: 12 канал.
https://12-kanal.ru/news/167049/</t>
  </si>
  <si>
    <t>14.04.2023 12:29</t>
  </si>
  <si>
    <t>Фарзия Хатмуллина</t>
  </si>
  <si>
    <t>14.04.2023 12:28</t>
  </si>
  <si>
    <t>[id10551051|Светлана], я тоже всегда противовирусное принимаю - болеть нет желания. Но мне эргоферон например больше нравится. Он быстрее помогает</t>
  </si>
  <si>
    <t>Телеканал Царьград</t>
  </si>
  <si>
    <t>[id168468734|Анастасия], Лазолван и прочими муколитики не применяют для лечения кашля при орви, они усугубляют ситуацию и часто дают осложнения. Ренгалин хороший препарат, помогает при любом кашле.</t>
  </si>
  <si>
    <t>Подслушано у Мам Ейск</t>
  </si>
  <si>
    <t xml:space="preserve">Да прекратите, никакое бесплодие кагоцел не вызывает, а тот кто это утверждает это совершено не разбираются в медицине и химии
Прививки тоже никого не заставляют делать детям с рождения, любая мамочка может написать отказ еще в роддоме</t>
  </si>
  <si>
    <t>Ксения Васильева</t>
  </si>
  <si>
    <t>14.04.2023 12:27</t>
  </si>
  <si>
    <t>Потребительские цены в Республике Алтай. На 10 апреля 2023 года</t>
  </si>
  <si>
    <t>Средние потребительские цены (тарифы) на отдельные товары и услуги по г.Горно-Алтайску на 10 апреля 2023 года составили:&amp;nbsp; &amp;nbsp; &amp;nbsp; &amp;nbsp; &amp;nbsp; &amp;nbsp; &amp;nbsp; &amp;nbsp; &amp;nbsp; &amp;nbsp; &amp;nbsp; &amp;nbsp; &amp;nbsp; &amp;nbsp; &amp;nbsp; &amp;nbsp; &amp;nbsp; &amp;nbsp; &amp;nbsp; &amp;nbsp; &amp;nbsp; &amp;nbsp; &amp;nbsp; Наименование товарав рубляхГовядина (кроме бескостного мяса), кг479,10Свинина (кроме бескостного мяса), кг342,73Баранина (кроме бескостного мяса), кг517,99Куры охлажденные и мороженые, кг168,74Сосиски, сардельки, кг443,67Колбаса полукопченая и варено-копченая, кг579,73Колбаса вареная, кг457,85Консервы мясные для детского питания, кг1092,18Рыба мороженая неразделанная, кг176,97Масло сливочное, кг795,93Масло подсолнечное, л140,23Маргарин, кг212,44Молоко питьевое цельное пастеризованное 2,5-3,2% жирности, л95,95Молоко питьевое цельное стерилизованное 2,5-3,2% жирности, л103,02Сметана, кг288,24Творог, кг448,42Смеси сухие молочные для детского питания, кг1178,32Сыры твердые, полутвердые и мягкие, кг698,51Консервы овощные для детского питания, кг687,53Консервы фруктово-ягодные для детского питания, кг408,31Яйца куриные, 10 шт.81,81Сахар-песок, кг72,51Печенье, кг226,76Чай черный байховый, кг945,89Соль поваренная пищевая, кг20,58Мука пшеничная, кг42,37Хлеб из ржаной муки и из смеси муки ржаной и пшеничной, кг96,75Хлеб и булочные изделия из пшеничной муки различных сортов, кг83,17Рис шлифованный, кг129,96Пшено, кг64,27Крупа гречневая-ядрица, кг113,83Вермишель, кг94,84Макаронные изделия из пшеничной муки высшего сорта, кг108,40Картофель, кг35,19Капуста белокочанная свежая, кг32,41Лук репчатый, кг67,88Свёкла столовая, кг40,81Морковь, кг51,26Огурцы свежие, кг186,96Помидоры свежие, кг289,09Яблоки, кг136,62Бананы, кг125,71Водка, л686,01Обед в столовой, кафе, закусочной (кроме столовой в организации), на 1 человека440,64Брюки для детей школьного возраста из джинсовой ткани, шт.1819,70Пеленки для новорожденных, шт.301,74Костюм спортивный для детей школьного возраста, шт.2774,05Майка, футболка мужская бельевая, шт.807,20Футболка детская, шт.618,23Носки мужские, пара145,02Колготки женские эластичные, шт.249,92Кроссовые туфли для детей, пара1962,67Кроссовые туфли для взрослых, пара3813,02Мыло хозяйственное, 200 г53,66Порошок стиральный, кг190,57Мыло туалетное, 100 г48,22Шампунь, 250 мл248,78Паста зубная, 100 г (100 мл)160,51Щетка зубная, шт.144,65Сигареты с фильтром, пачка164,45Спички, коробок4,15Электропылесос напольный, шт.16287,40Бумага туалетная, рулон21,63Прокладки женские гигиенические, 10 шт.138,73Подгузники детские бумажные, 10 шт.204,35Телевизор, шт.29935,29Смартфон, шт.17058,96Доска обрезная, м318116,41Плиты древесностружечные, ориентированно-стружечные, м2323,94Легковой автомобиль отечественный новый, шт.858721,79Легковой автомобиль иностранной марки новый, шт.2333740,85Дизельное топливо, л62,40Бензин автомобильный марки АИ-92, л46,76Бензин автомобильный марки АИ-95, л49,23Бензин автомобильный марки АИ-98 и выше, л67,00Метамизол натрия (Анальгин отечественный), 500 мг, 10 таблеток36,40Комбинированные анальгетики, 10 таблеток108,87Нимесулид, 100 мг, 10 таблеток113,03Корвалол, 25 мл32,24Левомеколь, мазь, 40 г181,34Валидол, 60 мг, 10 таблеток36,61Аллохол, 50 таблеток102,10Ренгалин, 20 таблеток257,54Эргоферон, 20 таблеток487,67Поливитамины, 10 шт.160,74Сухие корма для домашних животных, кг307,18Ремонт телевизоров, один вид работ1693,93Мойка легкового автомобиля, услуга597,91Стрижка модельная в женском зале, стрижка500,00Стрижка модельная в мужском зале, стрижка456,01Проезд в городском автобусе,поездка22,00Полет в салоне экономического класса самолета, в расчете на 1000 км пути6047,97Плата за жилье в домах государственного и муниципального жилищных фондов, м2 общей площади17,54Отопление, Гкал3043,35Водоснабжение холодное, м355,16Водоотведение, м335,84Водоснабжение горячее, м3316,84Газ сжиженный, м3138,70Услуги по снабжению электроэнергией566,92Проживание в гостинице 1* или в мотеле, сутки с человека1200,00Проживание в гостинице 2*, сутки с человека1500,00Проживание в гостинице 3*, сутки с человека1905,58Проживание в гостинице 4*-5*, сутки с человека6906,96Проживание в хостеле, сутки с человека715,19Дом отдыха, пансионат, день3101,99</t>
  </si>
  <si>
    <t>barnaul.bezformata.com</t>
  </si>
  <si>
    <t>14.04.2023 12:26</t>
  </si>
  <si>
    <t>На ночь Нафтизин, чтобы ночью дышал хорошо, днём промывали морской солью из шприца в каждую ноздрю, 1ч ложка на ст кипячёной воды , потом капали Деринат</t>
  </si>
  <si>
    <t>Галина Бондарева</t>
  </si>
  <si>
    <t>Подслушано Лиски</t>
  </si>
  <si>
    <t>Лиски</t>
  </si>
  <si>
    <t>Наивная женщина, просто арбидол можно бесконечно фармить в поликлинике))</t>
  </si>
  <si>
    <t>Никита Бойко</t>
  </si>
  <si>
    <t>summer 78 ll ❅</t>
  </si>
  <si>
    <t>Хабаровский край</t>
  </si>
  <si>
    <t>Хабаровск</t>
  </si>
  <si>
    <t>Корнеева Карина</t>
  </si>
  <si>
    <t>Клин</t>
  </si>
  <si>
    <t>14.04.2023 12:25</t>
  </si>
  <si>
    <t>[id289688804|Юлечка], мне наоборот он не понравился. Эргоферон обычный хороший противовирусный - с первых суток уже облегчает состояние</t>
  </si>
  <si>
    <t>Ребёнку 2 года! Срочно прекратите флуифорт! В бронхах вообще хрипы есть?? Или это сопли хлюптят? Лечите сопли в первую очередь! Все банально- промывать и откачивать. Кашель- ингаляции с пульмикортом и лазолваном. Но только если врач подтвердит хрипы в дыхательных путях</t>
  </si>
  <si>
    <t>Юлия Зеленцова</t>
  </si>
  <si>
    <t>Мамочки Московский район СПб | Шушары</t>
  </si>
  <si>
    <t>14.04.2023 12:23</t>
  </si>
  <si>
    <t>О потребительской инфляции на медикаменты в январе – марте 2023 года</t>
  </si>
  <si>
    <t xml:space="preserve">По данным выборочного обследования потребительского рынка Омской области, цены на жизненно необходимые и важнейшие препараты с&amp;nbsp; января по март 2023&amp;nbsp; года повысились в&amp;nbsp; среднем на 0,4&amp;nbsp; процента. Наибольший рост цен отмечен на фурасемид (на&amp;nbsp; 12,5%), дротаверин (на&amp;nbsp; 4,6%), аскорбиновую кислоту (на&amp;nbsp; 3,5%), цефтриаксон (на&amp;nbsp; 3,1%). Вместе с тем, почти на половину препаратов из данной группы цены снизились на&amp;nbsp; 0,2&amp;ndash;5,0&amp;nbsp; процента. Более доступными для потребителя стали: супрастин (на&amp;nbsp; 5,0%), амлодипин (на&amp;nbsp; 4,6%), ксарелто (на&amp;nbsp; 3,9%), натрия хлорид (на&amp;nbsp; 3,7%), ацетилцистеин (АЦЦ) (на&amp;nbsp; 3,4%), амбоксол (на&amp;nbsp; 3,4%).
По другим медицинским препаратам, не относящимся к&amp;nbsp; жизненно необходимым, наибольшее повышение цен из отечественных медикаментов зарегистрировано на йод (на&amp;nbsp; 6,5%), поливитамины (на&amp;nbsp; 4,4%), флуоцинолона ацетонид (на&amp;nbsp; 3,1%). На лекарственные препараты зарубежного производства рост цен варьировался от&amp;nbsp; 2,6 до 6,0&amp;nbsp; процента, из&amp;nbsp; которых больше всех подорожал синупрет. Одновременно, такие препараты, как афобазол, аципол, таурин, комбинированные анальгетики, эссенциале форте, мидокалм, ренгалин подешевели на&amp;nbsp; 3,1&amp;ndash;8,3&amp;nbsp; процента.</t>
  </si>
  <si>
    <t>omsk.bezformata.com</t>
  </si>
  <si>
    <t>14.04.2023 12:22</t>
  </si>
  <si>
    <t xml:space="preserve">‼️‼️‼️‼️‼️‼️‼️‼️‼️‼️
Замена аптечных  препаратов  БАДами Гринвей
Здоровая замена вместо всякой химии!
1. Йодомарин - Фукоидан
2. _Ферменты_ Мезим, Панкреатин, Креон, холензим и прочие - Дигесториум
3. _Успокаивающие_
Афобазол, ново-пассит,  Тенотен, Персен - Стрессаут, В-комплекс успокаивающий чай Баланс
4. Для печени гепатопротекторы:   Эссенциале, Резалют Гептрал, Легалон, Карсил, фосфоглив, силимар, лив-52 - Гудливер; Лецитин _причём у Лецетина доза фосфолипидов  выше , чем даже у Эссенциале!_
5. _Желчегонные_ Хофитол, холосас, Аллохол, холензим  меняем на Холан актив. _Причём у Холан актива два действия - и улучшает свойства желчи, делает ее менее густой, и снимает спазм, чтобы желчь лучше выделялась из желчного пузыря!_
6. _Противовирусные_
Арбидол, Ингавирин, Кагоцел, Эргоферон,  Трекрезан, Нобазит, Полиоксидоний, Циклоферон, Амиксин, Лавомакс, Цитовир, Гриппферон, Анаферон, Виферон, Арпефлю, меняем на: Ункарию, Чагу, Иммунохит, Фунгистоп (не только от вирусов, но и от бактерий и грибков) Лизин и С-комплекс , Куркумин , Экопам, если температура добавляем Икспейн.
7.Иммунал - на Иммунохит _причем в составе иммунохита суточная доза цинка , астрагал , гриб рейши_ он намного эффективнее!
8. Терафлекс, Артра - Хондролюкс, Лизин, С-комплекс, Куркумин
8. _От кашля_ - Лазолван,  Амбробене, Амброксол, АЦЦ,  Бромгексин, Мукалтин, Доктор Мом- Бронхолюкс и чай дыхательный _В отличие от всех аптечных средств Бронхолюкс обладает противомикробным , противовоспалительным действием_ 
9. _Симбиотики_ Линекс, Максилак, Нормобакт L, Хилак Форте, Бифидумбактерин, Лактобактерин меняем на Синбиотик. Тут и думать даже не надо , намного богаче состав , такде терминальный стрептакок поднимет иммунитет.
10. _Адсорбенты_
Полисорб, Смекта, Энтеросгель, уголь активированный, уголь белый - Экосорб. _Активность Эко-Сорба в разы выше всех выше перечисленных , плюс доказано противлмикробное и противовирусное действие_
11. _Антиагреганты_
Аспирин Кардио, Тромбоасс, КардиАСК,  Кардиомагнил  - Ангиолюкс, Дигидрокверцитин, Экспейн
12 _.Ноотропы_ Ноотропил, ноопепт, гинкоум, гинкобил, билобил, танакан, цитофлавин - В-комплекс, Ангиолюкс, Фульвовые кислоты
13. _Антиангинальные препараты_ :
Предуктал, Депринорм, Тримектал, похожее действие у Кардио, Ангиолюкс, Дигидрокверцетин
14. _Гели и крема от отека и боли_
Лиотон, венолайф, Венарус, Троксевазин (сосудистые) и противовоспалительные Фастумгель, быструмгель, кетопрофен, Кетонал, обе группы  заменяет Гель восстанавливающий
15. _Спреи для носа:_
Сиалор , Протаргол Спрей для носа и горла
16. _Прерараты для мужчин :_
Витапрост, Простамол Уно,  Афалаза, Афала, Импаза - заменяем на Люксмен
17. _Препараты для женского здоровья  заменяем на_ Индол Вита
18. _Противовоспалительные, обезболивающие -_ парацетамол, анальгин, ибуфен, Нурофен, Найз, Нимесулид, диклофенак - заменяем на Икспейн.</t>
  </si>
  <si>
    <t>Дарья Лях</t>
  </si>
  <si>
    <t>14.04.2023 12:21</t>
  </si>
  <si>
    <t>[id560806498|Кристина], нам вообще не помог. Единственное что не дает уходить в осложнения и быстрее выздоравливать - это эргоферон</t>
  </si>
  <si>
    <t>Елена Лисунец</t>
  </si>
  <si>
    <t>[id21676251|Екатерина], полностью с вами согласна, всегда промываю и капаю нос ребенку до пяти дней сосудосуживающимим каплями что бы не было осложнений и отита, а так же если кашель даю Ренгалин, он намного быстрей помогает чем Амбробене.</t>
  </si>
  <si>
    <t>Арина Тихонова</t>
  </si>
  <si>
    <t>ЧудоМама</t>
  </si>
  <si>
    <t>14.04.2023 12:20</t>
  </si>
  <si>
    <t>ой, девочки, берегите себя, особенно беременные. я так боялась заболеть, пока малышку свою носила, думаю мало ли что может быть. заболела даже один раз, но не сильно, сопливила да горло болело немного. мне врач сразу сказал, что ничего страшного с ребеночком не будет и правда так. но все же порекомендовал капать в нос капли Деринат, тк они безопасные их даже малышам с рождения назначают..чтобы не разболеться сильно и избежать всяких осложнений. ну правда помогло, я быстро выздоровела, не разболелась. а муж несколько раз с простудой проиходил домой, но меня обошло тьфу тьфу. так что всем здоровья</t>
  </si>
  <si>
    <t>Маргарита Морис</t>
  </si>
  <si>
    <t>Мы как в сад пошли, начался просто ужас - постоянно оставались дома на больничном, потому что приходил то с соплями, то с кашлем, то горло красное. Нам воспитательница в саду посоветовала в носик капать капельки деринат, сказала, что болеть поменьше будем. и правда - начали пользоваться, ситуация постепенно получше стала. Сначала стали легче, быстрее выздоравливать, а потм и пореже болеть и не тяжело, поменьше стали пропускать сад. Так что советую, для иммунитета прям в самый раз</t>
  </si>
  <si>
    <t>Мамочкины вопросы - советы, ответы, помощь</t>
  </si>
  <si>
    <t>[id343297930|Мария], мы принимали при частых орви, но не помог. А вот кашель на нем наоборот появился. Я убрала и эргоферон стала давать с началом болезни. И хочу сказать никакого остаточного кашля давно не было</t>
  </si>
  <si>
    <t>У нас вроде зубки лезли без сиптомов особых, капризничала только доченька ну и чуть-чуть сопельки. Но я ей капала на дёсенки капли Деринат, хорошо помогают. Дёсна заживают быстрее и сопелек поменьше в носике стало. Мне понравилось по эффекту, плюс состав натуральный.</t>
  </si>
  <si>
    <t>14.04.2023 12:18</t>
  </si>
  <si>
    <t>Айгуль Абубакирова</t>
  </si>
  <si>
    <t>14.04.2023 12:17</t>
  </si>
  <si>
    <t>[id478930817|Ольга], чет вообще не оценила его. Мы эргоферон принимаем сразу. Он быстро так и с вирусом помогает справиться и с симптомами</t>
  </si>
  <si>
    <t>[id793606446|Лидия], Нам очень хорошо попомгает виферон. Может у вас какая индивидуальна непереносимость? Впервые слышу чтобы покраснения были. Послабдение может быть однократным, но это со всех свечей практически в которых масло имеется или жир, а без него свечку никак не сделать, у нас и на цефекон тоже послабление однократное может быть. Анаферон тоже принимали 2.5 мес аж, ничего не увидела, так и не поняла в чем я должна была увидеть эффект.</t>
  </si>
  <si>
    <t>Детские пособия Тамбов и область. Мамы Тамбова</t>
  </si>
  <si>
    <t>14.04.2023 12:16</t>
  </si>
  <si>
    <t>Яковлева или Спицына,очень хорошие врачи ,наш педиатр назначала амбробене по моему</t>
  </si>
  <si>
    <t>Лена Ильина</t>
  </si>
  <si>
    <t>Империя ♡ Мам</t>
  </si>
  <si>
    <t>Выкса</t>
  </si>
  <si>
    <t>14.04.2023 12:15</t>
  </si>
  <si>
    <t>Мария Колыхалова</t>
  </si>
  <si>
    <t>Липецкая область</t>
  </si>
  <si>
    <t>Лебедянь</t>
  </si>
  <si>
    <t>[id30212712|Михаил], меньше бы велись на рекламу арбидола, лучше бы было. Тем более что тот же эргоферон например и по цене доступнее и эффективнее</t>
  </si>
  <si>
    <t>Вот из ит? | Не только Факты</t>
  </si>
  <si>
    <t>14.04.2023 12:14</t>
  </si>
  <si>
    <t>Об изменении потребительских цен на основные продовольственные и непродовольственные товары по Псковской области по состоянию на 10 апреля 2023 года</t>
  </si>
  <si>
    <t xml:space="preserve">Наименование товара      Средняя цена на 10.04.2023, рублей      Индекс потребительских цен, в % к 03.04.2023     Говядина (кроме бескостного мяса), кг    500,69    99,17    Свинина (кроме бескостного мяса), кг    260,31    100,77    Баранина (кроме бескостного мяса), кг    657,50    100,00    Куры охлажденные и мороженые, кг    153,34    98,59    Сосиски, сардельки, кг    433,26    99,33    Колбаса полукопченая и варено-копченая, кг    564,65    101,53    Колбаса вареная, кг    419,67    101,00    Консервы мясные для детского питания, кг                1119,93    100,69    Рыба мороженая неразделанная, кг    197,17    99,85    Масло сливочное, кг    877,44    100,19    Масло подсолнечное, л    144,83    101,64    Маргарин, кг    281,60    99,71    Молоко питьевое цельное пастеризованное 2,5-3,2% жирности, л    79,27    100,68    Молоко питьевое цельное стерилизованное 2,5-3,2% жирности, л    91,34    103,14    Сметана, кг    279,36    96,31    Творог, кг    411,14    99,37    Смеси сухие молочные для детского питания, кг    1025,52    99,07    Сыры сычужные твердые и мягкие, кг    770,41    100,05    Консервы овощные для детского питания, кг    631,47    98,25    Консервы фруктово-ягодные для детского питания, кг    561,70    99,82    Яйца куриные, 10 шт.    80,63    100,81    Сахар-песок, кг    58,96    98,37    Печенье, кг    256,41    97,45    Чай черный байховый, кг    1120,56    100,05    Соль поваренная пищевая, кг    18,52    99,36    Мука пшеничная, кг    53,08    96,18    Хлеб из ржаной муки и из смеси муки ржаной и пшеничной, кг    88,00    100,52    Хлеб и булочные изделия из пшеничной муки различных сортов, кг    108,57    98,96    Рис шлифованный, кг    125,10    101,30    Пшено, кг    70,05    100,85    Крупа гречневая-ядрица, кг    106,36    102,46    Вермишель, кг    130,99    101,79    Макаронные изделия из пшеничной муки высшего сорта, кг    127,48    98,83    Картофель, кг    30,28    94,95    Капуста белокочанная свежая, кг    27,22    100,77    Лук репчатый, кг    59,53    101,16    Свёкла столовая, кг    33,41    93,85    Морковь, кг    44,49    95,14    Огурцы свежие, кг    204,57    105,60    Помидоры свежие, кг    237,34    99,30    Яблоки, кг    116,45    98,65    Бананы, кг    94,10    99,13    Колготки женские эластичные, шт.    287,67    100,92    Мыло хозяйственное, 200 г    53,09    98,55    Порошок стиральный, кг    193,20    99,67    Мыло туалетное, 100 г    55,84    96,04    Шампунь, 250 мл    206,43    98,10    Паста зубная, 100 г (100 мл)    146,86    100,01    Щетка зубная, шт.    119,33    98,36    Электропылесос напольный, шт.    8716,42    99,41    Бумага туалетная, рулон    23,46    101,42    Подгузники детские бумажные (памперсы),
10 шт.    179,59    102,04    Смартфон, шт.    11584,41    102,45    Доска обрезная, м3    15817,40    100,00    Плиты древесностружечные, ориентированно-стружечные, м2    293,93    100,00    Дизельное топливо, л    59,16    105,76    Бензин автомобильный, л    51,61    100,00    Бензин автомобильный марки АИ-92, л    47,69    100,00    Бензин автомобильный марки АИ-95, л    51,07    100,00    Бензин автомобильный марки АИ-98 и выше, л    61,57    100,00    Метамизол натрия (Анальгин отечественный), 500 мг, 10 таблеток    34,63    99,70    Комбинированные анальгетики, 10 таблеток    139,04    100,15    Нимесулид, 100 мг, 10 таблеток    95,67    98,61    Корвалол, 25 мл    34,51    95,99    Левомеколь, мазь, 40 г    209,25    99,90    Валидол, 60 мг, 10 таблеток    43,44    100,13    Аллохол, 50 таблеток    94,89    99,83    Ренгалин, 10 таблеток    294,75    99,96    Эргоферон, 20 таблеток    539,80    97,87    Поливитамины, 10 шт.    86,81    100,51    С изменением потребительских цен за предыдущие периоды можно ознакомиться в разделе Публикации / Официальные публикации Псковстата</t>
  </si>
  <si>
    <t>[id566022380|Дина], Амбробене чаще усугубляет, чем помогает, лучше всего сейчас Ренгалин из препаратов от кашля.</t>
  </si>
  <si>
    <t>Принцесса Анна</t>
  </si>
  <si>
    <t>14.04.2023 12:13</t>
  </si>
  <si>
    <t>[id237932195|Никита], и как помог? я вообще не вижу от него никакого эффекта. А тот же эргоферон всегда быстро облегчает состояние</t>
  </si>
  <si>
    <t>Одни товары дорожают, другие дешевеют, а цены на услуги пока стабильны</t>
  </si>
  <si>
    <t xml:space="preserve">Отслеживаем изменение цен в регионе вместе с Оренбургстатом.         На неделе подорожали колбасы полукопченая и варено-копченая, вареная, а также маргарин, творог, сыры твердые, полутвердые и мягкие, консервы овощные и фруктово-ягодные для детского питания, печенье, чай черный, вермишель, свежие свекла и огурцы, бананы. Тем временем, упала цена на сосиски, сардельки, консервы мясные для детского питания, молоко, сметану, смеси сухие молочные для детского питания, соль, муку, хлеб и булочные изделия из пшеничной муки различных сортов, крупу гречневую, макаронные изделия из пшеничной муки высшего сорта, капусту, свежие помидоры и яблоки.
Среди непродовольственных товаров заметно подорожали мыло туалетное, шампунь, подгузники детские бумажные, смартфон, пеленки для новорожденных. Вместе с тем, в этой категории товаров отмечается падение цен на брюки для детей школьного возраста из джинсовой ткани, кроссовые туфли для детей, мыло хозяйственное, бумагу туалетную, телевизор.
Стоимость бензина на исследуемой неделе не изменилась. Среди представленных лекарств, отмечается значительное подорожание лишь двух позиций - Валидол и Эргоферон. Остальные препараты примерно при своих ценах, лишь с небольшими изменениями. Цены на услуги остаются стабильными.
Более подробно с изменениями цен можно ознакомиться в таблице Оренбургстата:
 Поделись своим мнением в комментариях!
Вы стали очевидцем какого-либо события? Присылайте фото и видео на media56@yandex.ru или Viber, Telegram 89225457772.         Автор
Юлия Килязова</t>
  </si>
  <si>
    <t>nsday.ru</t>
  </si>
  <si>
    <t>14.04.2023 12:12</t>
  </si>
  <si>
    <t xml:space="preserve">«Корвалол», «Глицин», «Терафлекс», «Эссенциале» и другие пустышки, от которых давно пора очистить аптечку. Полная версия статьи доступна по ссылке: https://cuprum.site/6p23WXFg
Пишите в комментариях, какие лекарства из статьи пока еще есть у вас дома.
Текст на изображении: Иммунал иммуномодулятор из эхинацеи. Эксперты Кокрейновского сотрудничества решили, что растение не помогает при профилактике и лечении ОРВИ. После ее приема регистрировали побочные эффекты: тошноту, рвоту, онемение языка, головокружение и дезориентацию, в редких случаях эхинацея может привести к воспалению печени. Кагоцел примечателен тем, что работает хуже гомеопатии. Арбидол так и вовсе король пустышек. В прошлом году его выписывали как средство от ковида. При этом в руководстве Минздрава по лечению коронавируса написано, что доказательства его эффективности и безопасности отсутствуют. Бесполезен Арбидол и при гриппе. Си Фуфломицины, которые прописывают нашим бабушкам и дедушкам</t>
  </si>
  <si>
    <t>Фаина Чухловина</t>
  </si>
  <si>
    <t>Кирово-Чепецк</t>
  </si>
  <si>
    <t xml:space="preserve">Отслеживаем изменение цен в регионе вместе с Оренбургстатом.        На неделе подорожали колбасы полукопченая и варено-копченая, вареная, а также маргарин, творог, сыры твердые, полутвердые и мягкие, консервы овощные и фруктово-ягодные для детского питания, печенье, чай черный, вермишель, свежие свекла и огурцы, бананы. Тем временем, упала цена на сосиски, сардельки, консервы мясные для детского питания, молоко, сметану, смеси сухие молочные для детского питания, соль, муку, хлеб и булочные изделия из пшеничной муки различных сортов, крупу гречневую, макаронные изделия из пшеничной муки высшего сорта, капусту, свежие помидоры и яблоки.
Среди непродовольственных товаров заметно подорожали мыло туалетное, шампунь, подгузники детские бумажные, смартфон, пеленки для новорожденных. Вместе с тем, в этой категории товаров отмечается падение цен на брюки для детей школьного возраста из джинсовой ткани, кроссовые туфли для детей, мыло хозяйственное, бумагу туалетную, телевизор.
Стоимость бензина на исследуемой неделе не изменилась. Среди представленных лекарств, отмечается значительное подорожание лишь двух позиций - Валидол и Эргоферон. Остальные препараты примерно при своих ценах, лишь с небольшими изменениями. Цены на услуги остаются стабильными.
Более подробно с изменениями цен можно ознакомиться в таблице Оренбургстата:
 Поделись своим мнением в комментариях!
Вы стали очевидцем какого-либо события? Присылайте фото и видео на media56@yandex.ru или Viber, Telegram 89225457772.
Текст на изображении: [футболка детская, 99.92 Носки мужские, пара 10000 Колготки женские эластичные, 99.94 Кроссовые туфлидля детей, пара 1574.60 97.70 туфлидля вароолых, пара 2714.98 99.99 Мыло хозяйственное, 200 61.33 96.54 Порошок стиральный, кг 165.96 99.69 Мыло туалетное, 100 102.03 Шампунь, 250 мл 104.60 Паста зубная, 100 139.21 99.74 Щетка зубная, 136.57 99.67 Сигареты фильтром, пачка 186.27 100.49 коробок 281 10007 Электропылесос напольный, 100.08 Бумага туалетная, рулон 21.36 96.27 Прокладки женские гигиенические. 10 99.36 Подгузники детские 10 102.66 Телевизор, 29500.45 96.26 Смартфон, 102.27 [Доска обрезная, 14251.04 99.85 Плиты [Легковой автомобиль отечественный новый, 100.00 [Легковой автомобиль иностранной марки новый, топливо, Бензин автомобильны 10000 Бензин автомобильный марки 46.55 Бензин автомобильный марки 1 Бензин автомобильный марки АИ-98 и выше, Метамизол натрия (Анальгин отечественный}, 500 10 таблеток 100.76 Комбинированные анальгетики, 10 таблеток 126.21 100.84 Нимесулид, 100 10 таблеток 100.06 Корзалол, 25 мл 10045 мазь. 40 181.49 96.99 60 10 таблеток 103.25 [Annoxon, 50 таблеток 100.29 Ренгалин, 20 таблеток 99.69 20 таблеток 102.56 10 7110.84 Сухие корма для домашних животных, кг Ремонт телевизоров, один вид работ 100.00 Мойка легкового автомобиля, услуга Стрижка модельная в женском зале, модельная в зале, стринка 345.50 100.00 Проеал в городском 10000 Проезл в трамвае, поездка 10000 в троллейбусе, Полет салоно класса в расчете на 1050 Плата за в домах государотвенного и жилищных общей площади Отопление, общей площади 10000 Гкал 100.00 Водоснабжение хоподное и водоотведение, месяц 408.44 Водоснабжение холодное,</t>
  </si>
  <si>
    <t>sorochinskday.ru</t>
  </si>
  <si>
    <t>14.04.2023 12:11</t>
  </si>
  <si>
    <t>[id793606446|Лидия], Впервые слышу про подобную реакцию от виферона, они наоборот одни из наиболее безопасных , даже для новорожденных используются. Анаферон с ними не совсем корректоно сравнивать, ведь в нем нет интерферона вовсе, только микро дозы антител, он по сути индуктор</t>
  </si>
  <si>
    <t>Мамочки города Октябрьского</t>
  </si>
  <si>
    <t>[id204314331|Мария], От кашля хорошо помогают народные методы, но если нет времени на это то лучше Ренгалин принимать, он безопасный и помогает хорошо. А вот Лазолван у нас употребляют когда надо и когда не надо, это вообще-то препарат для лечения густой мокроты, а не обычного кашля.</t>
  </si>
  <si>
    <t>14.04.2023 12:10</t>
  </si>
  <si>
    <t>[id168877014|Виктория], он как раз никак не помогает организму. А тот же эргоферон и с вирусом и симптомами помогает справиться</t>
  </si>
  <si>
    <t>Борщевой набор подорожал: Какие продукты выросли в цене в Коми</t>
  </si>
  <si>
    <t xml:space="preserve">Комистат предоставил статистику изменений цен на определенные товары. Анализировалась неделя с 4 по 10 апреля.
Прошедшая семидневка показала,что цены выросли на подсолнечное масло и черный чай - на 3,9% и 3,7% соответственно. Зато упали ценники на сыры, колбасу вареную и сметану. В бакалее также заметны скачки. Так, подорожала капуста, огурцы, помидоры, свекла, лук, морковь. Но подешевели картофель, бананы и яблоки.Что касается непродовольственных товаров, шампунь, зубная паста продолжают расти в цене. Вместе с ними повышается и стоимость на зубные щетки. Но зато дешевеет туалетное мыло.В аптеках изменились цены в большую сторону на левомеколь, валидол и ренгалин.Цены на бензин автомобильный и дизельное топливо  не изменились....</t>
  </si>
  <si>
    <t>progoroduhta.ru</t>
  </si>
  <si>
    <t>14.04.2023 12:09</t>
  </si>
  <si>
    <t>В Омске почти половина жизненно необходимых лекарств стали стоить меньше</t>
  </si>
  <si>
    <t xml:space="preserve">Цены в аптеках города проанализировал Омскстат.  Омскстат представил статистику изменения цен на лекарства в январе-марте 2023 года. Так, за эти три месяца средняя стоимость жизненно необходимых препаратов выросла на 0,4%. Сильнее всего подорожал фурасемид — на 12,5%, дротаверин — на 4,6%, аскорбиновую кислоту — на 3,5% и цефтриаксон — на 3,1%.
При этом почти на половину важнейших препаратов цены снизились на 0,2-5%. Доступнее стали супрастин — на 5%, амлодипин — на 4,6%, ксарелто — на 3,9%, натрия хлорид — на 3,7%, ацетилцистеин (АЦЦ) — на 3,4%, амбоксол — на 3,4%.
Среди отечественных лекарств, не относящихся к жизненно необходимым, больше всего подорожал йод — на 6,5%, поливитамины — на 4,4%, флуоцинолона ацетонид — на 3,1%. Из этой же категории зарубежных лекарств ощутимее всего цена выросла на синупрет — на 6%. Подешевели при этом афобазол, аципол, таурин, комбинированные анальгетики, эссенциале форте, мидокалм, ренгалин — на 3,1-8,3 процента.
  Фото: 12 канал.  
  По теме:  В России могут ужесточить наказание для аптек за продажу сильнодействующих препаратов без рецепта
В последние месяцы 2022 года в цене выросли пять лекарственных препаратов</t>
  </si>
  <si>
    <t>12-kanal.ru</t>
  </si>
  <si>
    <t>Ольга Ордина</t>
  </si>
  <si>
    <t>[id612148529|Ольга], да тоже пила парацетамол, не умирать же, а от кашля мне прописывали Ренгалин, безопасный и при любом кашле помогает. А Лазолван это же для лечения хронических заболеваний, он только усугубит кашель при орви или гриппе.</t>
  </si>
  <si>
    <t>14.04.2023 12:08</t>
  </si>
  <si>
    <t>Я тоже слышала что нимесил нельзя. И нурофен. Парацетамол можно. Мне свечки хорошие прописыввали виферон, они быстрее температуру убрали. Еще есть интерферон в каплях гриппферон, но там его очень мало по составу, поэтому лучше сразу свечи</t>
  </si>
  <si>
    <t>ДЕТСКИЕ ПОСОБИЯ РОСТОВ И ОБЛАСТЬ МАМЫ</t>
  </si>
  <si>
    <t>14.04.2023 12:07</t>
  </si>
  <si>
    <t>[id155364324|Элеонора], да у меня день подарков! а еще в поликлинике подарил 2 пачки арбидола))))))</t>
  </si>
  <si>
    <t>Евгения Лис</t>
  </si>
  <si>
    <t>Фэнтези | Евгения Преображенская</t>
  </si>
  <si>
    <t>14.04.2023 12:06</t>
  </si>
  <si>
    <t>Геделикс можно принимать с О лет, а Пертуссин детям только с 3х лет. Вот и разница.</t>
  </si>
  <si>
    <t>Sveta Gabriel</t>
  </si>
  <si>
    <t>14.04.2023 12:05</t>
  </si>
  <si>
    <t>Галина Жовтоног</t>
  </si>
  <si>
    <t>14.04.2023 12:04</t>
  </si>
  <si>
    <t>[id439912924|Татьяна], ‍♂️ только в Р.Ф виферон и другие " индукторы интерферона"продаютсяЭто все фуфломицины!!!!Если Вам так хочется тратить деньги пожалуйста..но не напаривайте того,о чем не имеете ни малейшего представления.</t>
  </si>
  <si>
    <t>Александра Антониади</t>
  </si>
  <si>
    <t>Севастополь</t>
  </si>
  <si>
    <t>Валентина Басаргина</t>
  </si>
  <si>
    <t>Курская область</t>
  </si>
  <si>
    <t>Курск</t>
  </si>
  <si>
    <t>14.04.2023 12:03</t>
  </si>
  <si>
    <t>[id191746976|Диана], брала арбидол но эффекта от него не увидела. При вирусных мне эргоферон нравится как помогает</t>
  </si>
  <si>
    <t xml:space="preserve">Легко переносится ?
Текст на изображении: РЕКОМЕНДАЦИИ Медикаментозное лечение: свечи виферон 500 тысед 2 раза в день, 5 дней Полидекса аналоги) капли в нос по необходимости Ингалипт орошать горло до 6 раз в день, по необходимости Парацетамол 500 мг при высокой по потребност</t>
  </si>
  <si>
    <t>Екатерина</t>
  </si>
  <si>
    <t>ПИТЕР, РОЖАЙ!</t>
  </si>
  <si>
    <t>14.04.2023 12:02</t>
  </si>
  <si>
    <t xml:space="preserve">Сохраняй себе на стену!
Текст на изображении: ЛЕКАРСТВО 'АМБРОГЕКСАЛ 117 Амброксол ЛАЗОЛВАН (сироп) АЦЕТИЛСАЛИЦИЛОВАЯ КИСЛОТА кислота НОРМОДИПИН 670 52 Амлодипин 512 АЗИТРОМИЦИН Азитромицин Ацикловир ЗОВИРАКС 203 АЦИКЛОВИР 31 (крем) БЕТАСЕРК BETABEP 273 Бетагистин Витамин MATHE-B6 496 357 БЕПАНТЕН. 340 ДЕКСПАНТЕНОЛ 147 ВОЛЬТАРЕН 515 ДИКЛОФЕНАК 105 Дротаверина _НО-ШПА 243 ДРОТАВЕРИН КАПОТЕН 251 КАПТОПРИЛ 12 Каптоприл `БЫСТРУМГЕЛЬ КЕТОПРОФЕН 45 Кетопрофен Калия и магния ПАНАНГИН 130 АСПАРКАМ 8 328 10 КЛАРИТИН 210 ЛОРАТАДИН 10 Лоратадин 674 MENOKCVKAM Мелоксикам OME3 155 30 Омепразол 86 ПАНКРЕАИН ДИФЛЮКАН 438 ФЛУКОНАЗОЛ 10 Флуконазол ЦЕТИРИНАКС 68 Цетиризин</t>
  </si>
  <si>
    <t>Лидия Макарова</t>
  </si>
  <si>
    <t xml:space="preserve">
*Замена аптечных безрецептурных препаратов  БАДами Гринвей*
1. Йодомарин - *Тиростресс*
2. Ферменты Мезим, Панкреатин, Креон, холензим и прочие - *Дигесториум*
3. Афобазол, ново-пассит,  Тенотен - *Стрессаут, В-комплекс успокаивающий чай Баланс*
4. Для печени гепатопротекторы  Эссенциале, Гептрал, Легалон, Карсил, фосфоглив, силимар, лив-52 - *Гудливер*
5. Желчегонные Хофитол, холосас, Аллохол, холензим  меняем на *Холан актив*. Причём у Холан актива два действия - и улучшает свойства желчи, делает ее менее густой, и снимает спазм, чтобы желчь лучше выделялась из желчного пузыря
6. Противовирусные (Арбидол, Ингавирин, Кагоцел, эргоферон,  трекрезан, нобазит, Полиоксидоний, Циклоферон, Амиксин, лавомакс, цитовир, гриппферон, Анаферон, Виферон, реленза, оциллококкцинум, Афлубин, арпефлю, Ремантадин), Бронхомунал (немного другое действие, не только против вирусов, но и против бактерий) меняем на *Ункарию, Чагу, Иммунохит, Фунгистоп (не только от вирусов, но и от бактерий и грибков) Лизин и С-комплекс*, если температура добавляем Икспейн.
7.Бронхомунал - на *Иммунохит*
8. Терафлекс - *Хондролюкс, Лизин, С-комплекс*
8. От кашля - Лазолван,  Амбробене, Амброксол, АЦЦ,  бромгексин, Мукалтин, Доктор Мом- *Бронхолюкс и чай дыхательный*
9. Линекс, Максилак, Нормобакт L, Хилак Форте, Бифидумбактерин, Лактобактерин меняем на *Синбиотик*
10. Полисорб, Смекта, Энтеросгель, уголь активированный, уголь белый - *Экосорб.*
11. Аспирин Кардио, Тромбоасс, КардиАСК,  Кардиомагнил сердечникам  - *Ангиолюкс, Дигидрокверцитин*
12. Ноотропил, ноопепт, гинкоум, гинкобил, билобил, танакан, цитофлавин - *В-комплекс, Ангиолюкс, Лецитин*
13. Предуктал, депринорм, тримектал, похожее действие у *Кардио* (таурин, селен, коэнзим Q10), можно совместно
14. Лиотон, венолайф, Венарус, Троксевазин (сосудистые) и противовоспалительные Фастумгель, быструмгель, кетопрофен, Кетонал, обе группы  заменяет *Гель восстанавливающий*
15. Сиалор, Аквалор, аквамарис - *Спрей для носа и горла*
16. Витапрост, Простамол Уно,  Афалаза, Афала, Импаза - заменяем на *Люксмен*
17. Индинол заменяем на *Индол Вита*
18. Противовоспалительные, обезболивающие - парацетамол, анальгин, ибуфен, Нурофен, Найз, Нимесулид, диклофенак - заменяем на *Икспейн.*
19. Мексидол заменяем на *Дигидрокверцитин, Ангиолюкс*
20. Энерион, Милдронат на *фульвовые кислоты*.</t>
  </si>
  <si>
    <t>Greenway.Тосно</t>
  </si>
  <si>
    <t>14.04.2023 12:00</t>
  </si>
  <si>
    <t>Температуру не сбиваю, она дава специально. А наферон давала 2.5 мес, но эффекта не увидела, в чем секрет так и не поняла. Если только самое начало также проиываю нос и мажу виферон гелем, отпаиваю, ромашкой горло орошаю</t>
  </si>
  <si>
    <t>Подслушано у мамочек | Ковров</t>
  </si>
  <si>
    <t>[id196010487|Эдуард], какое может быть выздоравление от арбидола... разве что силой мысли. Но тогда и без него можно обходиться. А вообще при орви хорошо эргоферон помогает</t>
  </si>
  <si>
    <t>Кашель сухой. - Анастасия</t>
  </si>
  <si>
    <t>Каделак бронхо это что то другое? Не совсем разбираюсь.</t>
  </si>
  <si>
    <t>Анастасия</t>
  </si>
  <si>
    <t>Калужская область</t>
  </si>
  <si>
    <t>Обнинск</t>
  </si>
  <si>
    <t>14.04.2023 11:59</t>
  </si>
  <si>
    <t xml:space="preserve">[id23854704|Александра], ой хорош  вы хоть знаете что такое доказательная база и как она собирается?
Виферон тоже говорили что пустышка ,а сейчас реабилитировали препарат.</t>
  </si>
  <si>
    <t>14.04.2023 11:58</t>
  </si>
  <si>
    <t>Так и делаю. Пока я лично заметной разницы в эффективности не обнаружил, кроме как в цене. А, например  дешевейший российский Пертуссин показал себя лучше, чем дорогущий Гиделикс.</t>
  </si>
  <si>
    <t>Ольга Большакова</t>
  </si>
  <si>
    <t>14.04.2023 11:55</t>
  </si>
  <si>
    <t>[id793606930|Люда], Странно, ведь это совершенно два разных препрата, они не монут стоять в одной категории что больше подошло. Ведь виферон жто сам препарат интерферона альфа 2 б, он действителньо оправдан при вирусных состояниях. Анаферон же его индуктор и не содержит интерферона вовсе, направлен на его выработку . Что по определению фармакологии длительнее. Про побочные эффекты скорее их нет чем есть. Деткам с рождения дают</t>
  </si>
  <si>
    <t>Мамсовет</t>
  </si>
  <si>
    <t>14.04.2023 11:54</t>
  </si>
  <si>
    <t>Срочно! - Юлия</t>
  </si>
  <si>
    <t>Быстро подняться поможет Циклоферон + симптоматическое лечение. У меня все проходит на 4 день без следа (с Циклофероном)</t>
  </si>
  <si>
    <t>Петрук Инна</t>
  </si>
  <si>
    <t>Врач из прошлого.... Биопарокс давно сняли с производства. Лизобакт для горла. Стодаль или геделикс от кашля. Пиносол в нос. Сейчас ребенеу почти ничего не проникает даже антибиотики мргут назначить</t>
  </si>
  <si>
    <t>Татьяна Левашова</t>
  </si>
  <si>
    <t>14.04.2023 11:53</t>
  </si>
  <si>
    <t xml:space="preserve">Как травят людейПровизор раскрыл тайны фарм мафии! Зачем народ травят лекарствами? Это ЖУТКО, но знать НАДО!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</si>
  <si>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Ирина Титова</t>
  </si>
  <si>
    <t>14.04.2023 11:49</t>
  </si>
  <si>
    <t>Гульназ Сафиуллина</t>
  </si>
  <si>
    <t>14.04.2023 11:46</t>
  </si>
  <si>
    <t xml:space="preserve">СПРАВОЧНИК ЛЕКАРСТВ
ПРОСТУДА
1. Арбидол – повышает противовирусную активность всех систем организма.
2. Ибупрон – сильное обезболивающие средство, быстро действует, в виде шипучих таблеток щадит желудок, а в свечах удобен для малышей.
3. Колдрекс – отличный сосудосуживающий препарат. Быстро действует, потому что его растворяют в горячей воде.
4. Назол – избавляет от насморка и не дает пересыхать слизистой оболочке носа, действует 12 часов.
5. Нурофен – скорая помощь, действует быстро. Для малышей есть свечи, но сильно ухудшает качество крови.
6. Парацетамол (панадол, эффералган) – великолепное жаропонижающее, незаменим для астматиков.
7. Полиоксидоний – стимулирует иммунную систему, назначают детям, пригоден для экстренной помощи и для профилактики во время эпидемии ОРВИ.
8. Рибомунил – восстанавливает иммунитет, рекомендован детям как самое эффективное средство.
9. Санорин – самое быстрое средство от насморка с противоаллергическими компонентами.
10. Флукол–Б – дешевый и эффективный препарат, но содержит 8% алкоголя и противопоказан водителям.
ПЕЧЕНЬ
1. Антраль – отечественный оригинальный препарат, ему нет аналогов в мире, защищает клетки печени от любой микробной агрессии.
2. Галстена – капли, незаменимое лекарство для маленьких детей.
3. Лиолив – улучшает состояние печени при желтухах (пониженный билирубин).
4. Липоферон – препарат принимают через рот, он дешевле инъекционных интерферонов в 5 раз!
5. Оротат калия – улучшает работу печени, синтез белка, общий обмен веществ.
6. Силимарин – гексал. Растительный препарат. В нем содержится намного больше действующего вещества, чем в его аналогах: карсиле, силиборе, гепабене.
7. Холензим – желчегонный недорогой препарат, помогает перевариванию пищи, улучшает выработку ферментов.
8. Холивер – желчегонный препарат растительного происхождения.
9. Хепель – гомеопатическое немецкое средство без побочных действий.
10. ЭСсенциале – уже 20 лет нет более действенного препарата для лечения печени.
ЖЕЛУДОК
1. Альтан – растительный препарат отечественного производства, незаменим при язвенной болезни.
2. Ацидин-пепсин. Препарат повышает кислотность в желудке.
3. Гастритол – капли растительного происхождения, хороши для малышей.
4. Мотилиум – нормализует моторику желудка, улучшает продвижение пищи по желудку.
5. Облепиховое масло – уменьшает воспалительные процессы в желудке.
6. Париет – из последнего поколения препаратов, которые хорошо снижают кислотность в желудке.
7. Пилобакт – новейшее средство от хеликобактера.
8. Ренорм – отечественный фитоконцентрат с сильным противовоспалительным действием, нормализует пищеварение.
9. Риабал – хорошо снимает спазмы в желудке, его назначают детям. Есть в виде сиропа и в каплях.
10. Фосфалюгель – гель, хорошо снимает приступы изжоги, менее токсичен, чем его аналоги.
ГЛАЗА
1. Зовиракс – глазная мазь, незаменима при конъюнктивитах вирусной природы.
2. Квинакс – лучшее профилактическое средство при катаракте.
3. Корнерегель – гель, хорошо восстанавливает слезную пленку на роговице глаза.
4. Ксалаком – в нем соединены два препарата ксалатан и тималол. Они усиливают действие друг друга.
5. Ксалатан (траватан) – эффективен при глаукоме, можно капать один раз в сутки.
6. Систейн – искусственная слеза, преимущество – можно капать раз в сутки.
7. Униклофен – хорошее нестероидное противовоспалительное средство в каплях.
8. Флоксал – капли, антибиотик, действует на широкий спектр микроорганизмов.
9. Флоксаловая мазь – незаменима при бактериальных конъюнктивитах.
10. Циклоксан – сильный антибиотик в каплях, панацея от острых конъюнктивитов.
УШИ
1. Амоксицилин – антибиотик, активно борется с основными возбудителями, вызывающими ЛОР-заболевания.
2. клавициллин-Амоксициллин + клавулановая кислота. Помимо чувствительных к амоксицилину микроорганизмов, препарат активно действует и на некоторые виды бактерий.
3. Отофа – ушные капли, антибиотик применяют при воспалительных заболеваниях среднего уха.
4.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 оказывает одновременно обезболивающее, противовоспалительное и жаропонижающее действие.
6.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 это цефалоспорины второго и третьего поколения. Их назначают тем, на кого не действует ампициллин.
9. Эдас-125 тонзиллин – гомеопатические капли, назначают детям с 2-х лет при отитах, аденоидах, хроническом тонзиллите с водой или на кусочке сахара.
10. Эритромицин – назначают тем, у кого аллергия на препараты пенициллинового ряда.
НЕРВЫ
1. Венлаксор – антидепрессант практически без побочных эффектов, быстро выводит из тяжелой депрессии.
2. Бусперон – сильное противотревожное средство, не создает эффекта заторможенности. Можно применять водителям и студентам перед экзаменом.
3. Гидазепам – мягкое снотворное, не влияет на реакцию водителя. Но к нему можно привыкнуть – больше месяца пить нельзя!
4. Зипрекса – не имеет серьезных побочных действий, оказывает помощь мгновенно.
5. Имован (сонап, сомнол, сонаван) – самые современные снотворные средства.
6. Паксил – антидепрессант хорошо устраняет панику, страх, навязчивые состояния (фобии), помогает от анорексии, а также побочно удлиняет течение полового акта.
7. Праместар – улучшает память вообще и упрощает запоминание информации.
8. Рисполепт – действует долго, удобен – растворяется во рту как конфета.
9. Сульпирид (эгланил) – одновременно лечит нервы и желудок. Еще плюс: сегодня выпил – сегодня результат.
10. Финлепсин – лечит судороги и невриты, а также стабилизирует настроение.
ПОЧКИ
1. Аксеф – антибиотик, удобен тем, что можно принимать как таблетки, а можно вводить инъекционно. Он продается поштучно в комплекте с растворителем.
2. Блемарен – самый эффективный растворитель камней в почках.
3. Канефрон – растительный препарат без побочных действий.
4. Мовалис – свечи, негормональное противовоспалительное средство, которое не раздражает слизистую оболочку прямой кишки.
5. Нефрофит – комбинированный фитопрепарат с противовоспалительным и мочегонным действием. Без побочных эффектов, назначают детям с 5 лет и беременным.
6. Офлоксин – не агрессивен для желудка, редко вызывает аллергии.
7. Уросепт – свечи, действуют только на мочевыводящую систему.
8. Уролесан – растительный препарат, хорошо выводит песок из почек, часто назначают детям. Есть в виде сиропа.
9. Флемоклав солютаб – широкий спектр антимикробного действия, рекомендуют ослабленным больным.
10. Цефтриаксон – антибиотик широкого спектра действия с минимумом побочных эффектов, разрешен для применения даже беременным.
СУСТАВЫ
1. Аспирин – незаменим при подагре.
2. Алфлутоп – улучшает обмен крови и активизирует процессы обмена в мышцах.
3. Дона – укрепляет хрящевую ткань.
4. Диклоберл – негормональный противовоспалительный препарат. Применяют в свечах, но можно делать и уколы.
5. Диклофен – меньше других дает побочных эффектов.
6. Диклофенак – эффективный, но влияет на состояние крови.
7. Кетанов – эффективный инъекционный препарат.
8. Олфен – удобен тем, что есть в свечах, не страдает слизистая желудка.
9. Остеогенон – эффективный хондопротектор, избавляет суставы от разболтанности.
10. Ретаболил – улучшает периферическое кровообращение.
ГОРЛО
1. Анаферон – хорошее гомеопатическое средство для лечения вирусных инфекций верхних дыхательных путей.
2. Колустан – аэрозоль, хорошо снимает отеки при воспалениях.
3. Люголь, растворенный в глицерине – лучшее наружное средство при ларингите.
4. Пропосол–Н – имеет выраженные антимикробные и противовоспалительные свойства, не оказывает раздражающего действия на организм.
5. Синупрет – обладает антибактериальным и антиотечным действием, может назначаться детям – есть в виде капель.
6. Тонзилгон – противовоспалительное и обезболивающее средство, способствует уменьшению отека слизистой оболочки дыхательных путей.
7. Тонзилотрен – повышает активность слизистой оболочки.
8. Флемоксин солютаб – эффективный быстрорастворимый антибиотик при гнойной ангине, применяют как вовнутрь, так и для полоскания.
9. Фарингосепт – антисептическое средство, приятное на вкус (рассасывается во рту). Не влияет на кишечную микрофлору.
10. Фалиминт – средство с охлаждающим действием для лечения заболеваний полости рта и глотки. Незаменим накануне операций, при протезировании зубов и для лекторов.</t>
  </si>
  <si>
    <t>Дарья Чернявка</t>
  </si>
  <si>
    <t>Линиза Касимова</t>
  </si>
  <si>
    <t>Ясный</t>
  </si>
  <si>
    <t xml:space="preserve">МУЧИТЕЛЬНЫЙ КАШЕЛЬ ПРИ ТРАХЕИТЕ НЕ ДАЕТ ПОКОЯ...
И ТУТ В АПТЕКЕ...
...я пoпрocилa чтo -нибудь бoлee эффeктивнoe, чeм вce эти "АЦЦ " и "Aмбрoбeнe". Πрoвизoр дaлa мнe вoлшeбный рeцeпт, кoтoрый я pacпрocтрaнилa cрeди вceх cвoих знакoмых. Стoит oн кoпeйки, a пoмoгaет быcтрo и эффективнo.
Ηеoбхoдимo купить:
1." Тaблетки oт кaшля" ( oни так и называютcя, этo термoпcиc);
2. "Γруднoй эликcир"( нашатыpнo-аниcoвые капли);
Β cтакане pастеpеть 2 тaблетки , дoбавить 1 дeсeртную лoжку эликсирa и зaлить 2-мя стoлoвыми лoжкaми гoрячeй вoды. Βсe пeрeмeшaть и выпить. Πринимaть 3 рaзa в дeнь зa пoлчaсa дo eды и зa двa чaсa дo снa.
Р. S. Статья носит исключительно информационный характер и не может заменить консультации врача.</t>
  </si>
  <si>
    <t>Гульназек Ишбулатова(Кунакбаева)</t>
  </si>
  <si>
    <t>Самарская область</t>
  </si>
  <si>
    <t>Гай</t>
  </si>
  <si>
    <t>14.04.2023 11:45</t>
  </si>
  <si>
    <t xml:space="preserve">Аналоги дорогих таблеток, берите на заметку, чтобы сохранить свой бюджет 
Будьте здоровы!
Текст на изображении: 10. 11 Нурофен (120руб) Ибупрофен (10руб) Мезим (300руб) Панкреатин (30руб) Но-шпа (150руб) Дротаверина гидрохлорид (30руб} Панадол(50руб) Парацетамол (5руб} Белосалик (380руб) Акридерм СК (40руб) Бепантен (250руб) Декспантенол (100руб) Бетасерк(600руб) Бетагистин (250руб) Быструмгель (180руб) Кетопрофен (60руб) Гастрозол (120руб) Омепразол (50руб) Детралекс (580руб) Венарус (300руб) Дифлюкан (400руб) Флуконазол Длянос (100руб) Риностоп(30руб) Зантак (280руб) Ранитидин (30руб) Зиртек (220руб) Цетиринакс (80руб) Зовиракс (240руб) Ацикловир (40руб) Иммунал (200руб) Эхинацеи экстракт (50руб} Имодиум (300руб) Лоперамид руб) Иодомарин (220руб) Калия йодид (100руб) Кавинтон (580руб) Винпоцетин(200руб) Кларитин (180руб) Лорагексал (60руб) Клацид (600руб) Кларитромицин (180руб) Лазолван (320руб) Амброксол (20руб) Ламизил (400руб) Тербинафин (100руб)</t>
  </si>
  <si>
    <t>Грядки в порядке</t>
  </si>
  <si>
    <t>14.04.2023 11:44</t>
  </si>
  <si>
    <t>Валентина Арнацкая</t>
  </si>
  <si>
    <t>Республика Коми</t>
  </si>
  <si>
    <t>Сыктывкар</t>
  </si>
  <si>
    <t>1681461868</t>
  </si>
  <si>
    <t xml:space="preserve">Омские статистики представили актуальные данные о потребительской инфляции на медикаменты за период с января по март 2023 года.
По данным Омскстата, цены на жизненно необходимые и важнейшие препараты в регионе в первом квартале выросли в среднем на 0,4%.
Заметнее всего за три месяца подорожали фуросемид -на 12,5%, дротаверин - на 4,6%, аскорбиновая кислота - на 3,5%, цефтриаксон - на 3,1%.
В то же время, статистики отмечают: на многие препараты из списка ЖНВЛП цены снизились на 0,2−5%. Так, дешевле стали на супрастин - на 5%, амлодипин - на 4,6%, ксарелто - на 3,9%, натрия хлорид - на 3,7%, ацетилцистеин - на 3,4%, амброксол - на 3,4%.
Что касается других препаратов, не входящих в указанный список, сильнее всего подорожали йод - на 6,5%, поливитамины - на 4,4%, флуоцинолона ацетонид - на 3,1%.
На препараты зарубежного производства цены выросли в среднем от 2,6 до 6%, здесь сильнее всего подорожал синупрет. Одновременно, такие препараты, как афобазол, аципол, таурин, комбинированные анальгетики, эссенциале форте, мидокалм, ренгалин подешевели на 3,1−8,3%, отметили статистики.
Фото из открытых интернет-источников
Сергей Михневич</t>
  </si>
  <si>
    <t>medicmap.ru</t>
  </si>
  <si>
    <t xml:space="preserve">Омскстат рассказал, какие медикаменты подорожали в регионе с начала года больше всего
Статистика сформирована за период с января по март текущего года
В Омской области было проведено выборочное исследование рынка потребителей, в ходе которого выяснилось следующее: стоимость жизненно необходимых и важнейших препаратов выросла в среднем на 0,4 процента с начала года по март. Цены выросли на фурасемид (на 12,5%), дротаверин (на 4,6%), аскорбиновую кислоту (на 3,5%), цефтриаксон (на 3,1%). При этом, более чем на 50% медикаментов из данной группы цены снизились на 0,2–5,0 процента. Более демократичной стала стоимость супрастина (на 5,0%), амлодипина (на 4,6%), ксарелто (на 3,9%), натрия хлорида (на 3,7%), ацетилцистеина (АЦЦ) (на 3,4%), амбоксола (на 3,4%).
В группе лекарственных средств, не являющихся жизненно необходимыми, из российских медикаментов достаточно заметно подорожал йод (на 6,5%), поливитамины (на 4,4%), флуоцинолона ацетонид (на 3,1%). На препараты, поступающие на полки аптек из-за рубежа, рост цен варьировался от 2,6 до 6,0 процента, так, заметнее всего подорожал синупрет. Вместе с тем, на афобазол, аципол, таурин, комбинированные анальгетики, эссенциале форте, мидокалм, ренгалин цена снизилась на 3,1–8,3 процента.
Статистику предоставил Омскстат.</t>
  </si>
  <si>
    <t>TOP24 • Омск</t>
  </si>
  <si>
    <t>Омскстат рассказал, какие медикаменты подорожали в регионе с начала года больше всего</t>
  </si>
  <si>
    <t xml:space="preserve">Статистика сформирована за период с января по март текущего года В Омской области было проведено выборочное исследование рынка потребителей, в ходе которого выяснилось следующее: стоимость жизненно необходимых и важнейших препаратов выросла в среднем на 0,4 процента с начала года по март. Цены выросли на фурасемид (на 12,5%), дротаверин (на 4,6%), аскорбиновую кислоту (на 3,5%), цефтриаксон (на 3,1%). При этом, более чем на 50% медикаментов из данной группы цены снизились на 0,2–5,0 процента. Более демократичной стала стоимость супрастина (на 5,0%), амлодипина (на 4,6%), ксарелто (на 3,9%), натрия хлорида (на 3,7%), ацетилцистеина (АЦЦ) (на 3,4%), амбоксола (на 3,4%).
В группе лекарственных средств, не являющихся жизненно необходимыми, из российских медикаментов достаточно заметно подорожал йод (на 6,5%), поливитамины (на 4,4%), флуоцинолона ацетонид (на 3,1%). На препараты, поступающие на полки аптек из-за рубежа, рост цен варьировался от 2,6 до 6,0 процента, так, заметнее всего подорожал синупрет. Вместе с тем, на афобазол, аципол, таурин, комбинированные анальгетики, эссенциале форте, мидокалм, ренгалин цена снизилась на 3,1–8,3 процента.
Статистику предоставил Омскстат.</t>
  </si>
  <si>
    <t>omsk.top24.news</t>
  </si>
  <si>
    <t>14.04.2023 11:43</t>
  </si>
  <si>
    <t>Анастасия Дормидонтова</t>
  </si>
  <si>
    <t>14.04.2023 11:41</t>
  </si>
  <si>
    <t xml:space="preserve">Собираясь в отпуск, многие задумываются, какие лекарства взять с собой.
В список средств для аптечки на море с ребенком входят:
• солнцезащитные кремы и спреи
• жаропонижающие и болеутоляющие средства
• противоаллергические средства
• противопростудные препараты
• лекарства от кишечных расстройств
Берегите себя и своих детей на отдыхе!
Надевайте головные уборы.
Пользуйтесь солнцезащитными кремами.
Старайтесь не сидеть под включенным кондиционером, а также не оставляйте его включенным на ночь.
Берегитесь от переохлаждения в море.
Желаем вам крепкого здоровья!
Текст на изображении: Жаропонижающие препараты парацетамолом) Нурофен сироп составе ибупрофен) Панадол сироп составе парацетамол) Чередуйте эти препараты между собой, чтобы снизить риск передозировки. Применять. харопонижающие каждые 6 часов При возникновении белой лихорадки вместе жаропонижающим, когда руки и ноги холодные Респираторные заболевания отривин, називин и при заложенности носа Аквамарис для промывания носа спрей, тантум верде и для орошения горла Лазолван или амбробене откаркивающие препараты при влажном кашле Стоттуссин для лечения сухого и влажного кашля свечи Термометр электронный назальный (для детей года) Отит или полидекса ушная Стоматит/прорезывание зубов Метрогил Дента при прорезывании антисептик для полоскания Гексорал раствор Конъюктивит Тобрекс или витабакт Антигистаминные (противоаллергические) препараты капли для детей лет Кларитин таблетки для детей лет для наружного применения для снятия зуда после укусов насекомых и при кожных аллергических реакциях. капли в нос при аллергическом Ушибы, травмы, ожоги пластыри, ватные диски, ватные палочки Хлоргексидин или мирамистин антисептики для промывания и обработки ран водорода Банеоцин порошок антибактериальный препарат для наружного применения Бепантен хлоргексидином Пантенол аэрозоль при ожогах Губка коллагеновая кровоостанавливающея Гепариновая мазь для снятия отечности месте ушиба, лечение подкожной гематомы Проблемы пищеварением или пищевое отравление Энтеростель сорбент при отравлении Можно заменить эктивированным углем Смекта при диарее и слабительное средство. Действует через мягкое слабительное. Действует через мин Имодиум таблетки, Противодиарейный препарат. 'Мотилиум суспензия для детей лети таблетки для детей лет. препарат Эспумизан капли при метеоризме Регидрон для и профилактики обезвоживания при пищевом отравлении От укачивания для детей старше года</t>
  </si>
  <si>
    <t>Гостевой дом в Витязево</t>
  </si>
  <si>
    <t>Краснодарский край</t>
  </si>
  <si>
    <t>Анапа</t>
  </si>
  <si>
    <t>14.04.2023 11:40</t>
  </si>
  <si>
    <t>Сария Нуреева</t>
  </si>
  <si>
    <t>14.04.2023 11:39</t>
  </si>
  <si>
    <t>Даже анаферон, хотя он популярен,  я в шоке.</t>
  </si>
  <si>
    <t>Ольга Шульгина</t>
  </si>
  <si>
    <t>События из жизни</t>
  </si>
  <si>
    <t>[id793503511|Лола], бронхомунал на сам острый период пить нельзя.он для предотвращения дальнейших болезней и снижения тяжёлых форм болезни.и пить именно 3 курса.первый может быть ни о чём</t>
  </si>
  <si>
    <t>Дарья Федорченко</t>
  </si>
  <si>
    <t>Раменское Мамочки</t>
  </si>
  <si>
    <t>14.04.2023 11:37</t>
  </si>
  <si>
    <t>[id19894133|Аркадий], у нас и арбидол при короне бесплатно выдавали! Но суть препарата от этого не меняется- фуфло!</t>
  </si>
  <si>
    <t>Наталья Вихарева</t>
  </si>
  <si>
    <t>Рассеяный Рассеянный Склероз</t>
  </si>
  <si>
    <t>14.04.2023 11:35</t>
  </si>
  <si>
    <t>Тоже слышала положительные отзывы про Ермолаева, но надо заранее записываться. Нам в 4 месяца назначали Геделикс, врач подбирала дозировку. Но кашель у нас был жуткий, до посинения. Ингаляции противопоказаны. В нос Аквалор и слизь аспиратором убирала. Пару дней и прошло, сопли только больше недели были.</t>
  </si>
  <si>
    <t>Anastasiya Stryukova</t>
  </si>
  <si>
    <t>14.04.2023 11:34</t>
  </si>
  <si>
    <t>Елена Александрова</t>
  </si>
  <si>
    <t>В омских аптеках снизились цены на жизненно важные препараты</t>
  </si>
  <si>
    <t>Динамику изменения цен предоставил омскстат. Омские аналитики составили отчет, в котором показали изменение цен на лекарства за первый квартал 2023 года. На большую часть жизненно важных лекарств цены показали снижение на 0,2 – 5%. Больще всего подешевели супрастин (5%), амлодипин (4,6%), ксарелто (3,9%), натрия хлорид (3,7%), ацетилцистеин (АЦЦ) (3,4%), амбоксол (3,4%).Некоторые препараты из этой категории подорожали, но рост был небольшим, в среднем всего 0,4%. Больше остальных подорожали фурасемид (12,5%), дротаверин (4,6%), аскорбиновую кислоту (3,5%).От 6% до 3% по данным мониторинга подорожали за три месяца такие медикоменты как Йод, синупред, поливитамины, флуоцинолона ацетонид. А от 8,3% до 3,1% подешевели афобазол, аципол, таурин, комбинированные анальгетики, эссенциале форте, мидокалм, ренгалин.</t>
  </si>
  <si>
    <t>news.myseldon.com</t>
  </si>
  <si>
    <t>14.04.2023 11:33</t>
  </si>
  <si>
    <t>Вам Никто</t>
  </si>
  <si>
    <t>Елена Кирюшина</t>
  </si>
  <si>
    <t>Арбидол то нафига вообще??? У ребёнка уже обезвоживание, срочно скорую чтобы капельницу поставили</t>
  </si>
  <si>
    <t>Олег Геннадьевич</t>
  </si>
  <si>
    <t>14.04.2023 11:32</t>
  </si>
  <si>
    <t xml:space="preserve">Лекарства которые должны быть в каждой аптечке
Текст на изображении: ЛЕКАРСТВА, КОТОРЫЕ ВСЕГДА ДОЛЖНЫ БЫТЬ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КИГП,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аллергии: зиртек, фенистил (капли). При болях в сердце: валидол. При вздутии и тяжести в животе: фестал. и ушибов: мазь бодяга. При растяжении вальторен випросал. Не забывайте читать инструкции\перед применением, лучше врачом!</t>
  </si>
  <si>
    <t>Галина Бессараб</t>
  </si>
  <si>
    <t>Ханты-Мансийский автономный округ - Югра</t>
  </si>
  <si>
    <t>Советский</t>
  </si>
  <si>
    <t>14.04.2023 11:31</t>
  </si>
  <si>
    <t>Уберите арбидол вообще, с него у многих просто так расстройство пищеварения, и без ротавирусов. Арбидол очень сильно "дает" по печени. Кип ферон тоже нет смысла покупать. Энтерофурил, регидрон и баксет и все. Слабость может быть несколько дней и после восстановления стула. Диета.</t>
  </si>
  <si>
    <t>Валентина Антонова</t>
  </si>
  <si>
    <t>14.04.2023 11:30</t>
  </si>
  <si>
    <t xml:space="preserve">ΒЫ, ΗΑΒΕΡΗΟ, ЗΗΑΚΟΜЫ C ТАΚИΜИ ЛΕΚΑΡCТΒΑΜИ, ΚОТΟΡЫΕ ΠΡИΕΜЛΕΜЫ Β ЦΕΗΕ, И ΟΚАЗЫΒΑЮТ ТΑΚΟΕ ЖΕ ДΕЙCТΒИΕ, ΚΑΚ ИΧ ΟΡИΓИΗΑЛЫ!
И ТΑΚ...
Οбязaтeльнo сoхрaнuтe этy пoлeзнyю инфoрмaцию!
Κрaсoтa зa кoпeйкu: дecять aптeчныx срeдств, кoтoрыe пoмoгyт тeбe сэкoнoмить
Инoгдa oчeнь дeшeвoe и дoстyпнoe в любoй aптeкe срeдствo срaбaтывaeт лучшe, чeм сyпeрдoрoгoй крeм. Этu срeдствa вырyчaт тeбя в труднoй ситуaции.
Φeнuбут
Cписoк тeрaпeвтичeских свoйств этoгo прeпaрaтa дoвoльнo oбширный. C eгo пoмoщью мoжнo:
- снизить чyвствo внутрeннeгo нaпряжeния;
- купирoвaть излишнюю трeвoжнoсть;
- yлучшить мoзгoвoe крoвooбрaщeниe;
- улyчшить сoн зa счeт нaличия yспoкaивaющих свoйств;
- пoспoсoбствoвaть пoвышeнию aктивнoсти мoзгa, чтo пoзвoляeт быстрo рeшaть прoблемы;
- избaвить oт нaрушений в движении, речевых прoблем;
- кyпирoвaть aстенический синдрoм, пoвысив yрoвень жизни;
- yбрaть нейрoцuркyлятoрнyю дисфункцию и сoпyтствyющие симптoмы, к кoтoрым oтнoсят бессoнницу, гoлoвные бoли, нaпряженнoсть;
- пoвысить кoнцентрaцию внимaния, скoрoсть реaкций.
Зa счет применения Φенибyтa мoжнo решить мнoгие нейрoпсихoлoгические рaсстрoйствa, нaлaдить рaбoтy мoзгa, зaметнo yлyчшив кaчествo жuзни.
Κрем «Φ 99»
Κрем, сoстoящий из пoлиненaсыщенныx жирныx кислoт и витaминa F. Изнaчaльнo средствo преднaзнaчaлoсь для лечения экземы и дермaтитa, нo oкaзaлoсь, чтo oнo oблaдaет и рядoм дрyгих свoйств. Βo‑первыx, этo лучшее средствo для бoрьбы с шелyшением кoжи,вызвaнным oбветрuвaнием или сoлнечным oжoгoм.
Βo‑втoрых, крем незaменим для yxoдa зa стoпaми: никaких трещин, зayсениц или oгрyбелoстей, если ежедневнo нaнoсить егo нa нoчь. Β-третьиx, oн вoзврaщaет сyxoй кoже элaстuчнoсть и упругoсть, мгнoвеннo впитывaется, не дaет эффектa пленки. Β-четвертыx, пoмoгaет спрaвиться с yгревoй сыпью и прыщaми, тaк кaк нoрмaлизyет рaбoтy сaльныx желез и oтшелушивaет oрoгoвевшие клетки.
Ценa — oкoлo 120 р.
Рaствoр для кaпельниц «Тuoгaммa»
Испoльзyющееся для бoрьбы с пoследствиями oтрaвлений, «Тиoгaммa» фaктически чистaя aльфa-липoевaя кислoтa, мoщнейший aнтиoксидaнт,кoтoрый бoрется сo свoбoдными рaдикaлaми, yскoряет oбнoвление клетoк кoжи, пoмoгaет бoрoться с прыщaми, угрями, мoрщинaми, пoследствиями сoлнечныx oжoгoв, oблaдaет детoкс-эффeктoм. Πo кoнсистeнции нaпoминaeт прoстyю вoдy, нaнoсится нa кoжу тoнким слoeм пeрeд нaнeсeнueм oбычнoгo yxoдa. Πoдхoдит тoлькo для жирнoй и кoмбинирoвaннoй кoжи, тaк кaк пoдсyшивaeт вeрxний слoй.
Цeнa — oкoлo 250 рyб.
«Κуриoзин-гeль»
Εгo прямoe нaзнaчeниe — бoрьбa с aкнe. Ηo принцип дeйствия пoзвoляeт испoльзoвaть этoт гeль кaк aнтuвoзрaстнoe срeдствo. Κaк и при бoрьбe с aкнe, ключeвoй мoмeнт — yскoрeннoe oбнoвлeниe кoжи, рoст мoлoдых здoрoвыx клeтoк и глубoкoe yвлaжнeниe (гeль сoдeржит гиaлyрoнoвую кислoтy в дoвoльнo высoкoй кoнцeнтрaции) пoзвoляeт yлyчшить рeльeф кoжи, рaзглaдить мeлкиe мoрщины и улyчшить цвeт лицa.
Цeнa — oкoлo 500 р.
Бeпaнтeн
Дeйствующee вeщeствo прeпaрaтa — этo пaнтoтeнoвaя кислoтa, oнa жe — знaкoмый нaм прoвитaмин Β5. Имeннo пaнтoтeнoвaя кuслoтa — прaрoдитeль витaминa Α, oтвeчaющeгo зa прoцeссы рeгeнeрaции кoжи. Α знaчит, «Бeпaнтeн» — нaстoящaя нaxoдкa для тex, ктo стрeмится oбнoвить кoжy, yспoкouть ee, сдeлaть бoлee глaдкoй и рoвнoй.
Цeнa — oкoлo 350 р.
«Κaпсикaм»
Ρaзoгрeвaющaя мaзь пoмoжeт… спрятaть цeллюлит! Ηaнeси ee нa прoблeмный yчaстoк, oстaвь на 15−20 мuнут (почувствyeшь нeбольшоe жжeниe, кожа можeт покраснeть из-за притока крови) и смой тeплой водой. Для болee выражeнного эффeкта протри тe жe yчастки кубиками льда. Βизyально цeллюлит исчeзнeт на 3−4 часа!
Цeна — около 200 р.
Блeфарогeль
Οтличноe срeдство для нeжной кожи вeк с высоким содeржаниeм гиалyроновой кислоты. Πрощайтe, «гyсuныe лапки»!
Цeна — около 200 р.
Αрника
Βообщe прeдполагаeтся, что эта мазь yскорит рассасываниe гeматом и синяков. Что автоматичeски означаeт, что он yлyчшаeт циркyляцию крови и лимфы, обладаeт yспокаивающим, протuвоотeчным и рeгeнeрирyющим дeйствиeм. Ты навeрняка yжe догадалась: да,он отлично справляeтся с суxостью кожи, мимичeскими морщинами и потeрeй тонуса.
Цeна — около 150 р.
Αпилак
Βыпускаeтся эта мазь eщe с совeтских врeмeн и с тeх пор нe yтратила актуальности как срeдство для снижeния активности сальныx жeлeз,борьбы с акнe и yгрями. Β основe — пчeлиноe маточноe молочко,извeстноe своuми обeззараживающими и питатeльными свойствами.
Цeна — около 100 рyб.
Рeлиф
Ηy, уж eсли звeзды Γолливyда признаются, что используют мазь от гeморроя как уxод для кожи век, нам-то чего стесняться? Да, отеки снимает, морщины разглаживает и никакиx побочных эффектов!
Цена — около 300 р.
Так же мы собрали для вас список дешевых аналогов.
Списки приведенныx аналогов лексрств могyт быть неточными. Πоэтомy перед покyпкой yточняйте y специалиста аптеки или лечащего врача, возможна ли замена препарата на более дешевый и какие последствия это повлечет.
Белосалик (380рyб) и Αкридерм CΚ (40рyб)
Бепантен (250руб) и Декспантенол (100руб)
Бетасерк(600руб) и Бетагистин (250рyб)
Быстрyмгель (180руб) и Κетопрофен (60рyб)
Βольтарен (300рyб) и Дuклофенак (40руб)
Γастрозол (120рyб) и Οмепразол (50рyб)
Детралекс (580рyб) и Βенарyс (300руб)
Дифлюкан (400руб) и Φлуконазол (30рyб)
Длянос (100руб) и Ρиностоп(30рyб)
Зантак (280руб) и Ρанитидин (30руб)
Зиртeк (220рyб) и Цeтиринакс (80руб)
Зовиракс (240рyб) и Ацикловир (40руб)
Иммyнал (200руб) и Эxинацeи экстракт (50руб)
Имодиyм (300руб) и Лопeрамид (20 рyб)
Йодомарин (220рyб) и Κалия йодид (100руб)
Κавинтон (580руб) и Βинпоцeтин(200рyб)
Κларитин (180рyб) и Лорагeксал (60руб)
Κлацид (600рyб) и Κларuтромицин (180рyб)
Лазолван (320рyб) и Αмброксол (20рyб)
Ламизил (400руб) и Тeрбинафин (100рyб)
Лиотон-1000 (350рyб) и Γeпарин-акригeль 1000 (120рyб)
Ломилан (150руб) и Лорагeксал (50рyб)
Μаксидeкс (120рyб) и Дeксамeтазон (40рyб)
Μeзим(300рyб) и Πанкрeатин (30руб)
Μидриацил (360рyб) и Тропикамид (120руб)
Μирамистин (200руб) и Χлоргeксидин (10рyб)
Μовалис (410руб) и Μeлоксикам (80рyб)
Ηeйромyльтивит (250рyб) и Πeнтовит (50рyб)
Ηо-шпа (150рyб) и Дротавeрина гидрохлорид (30руб)
Ηормодипин (620рyб) и Амлодипин (40рyб)
Ηурофeн (120рyб) и Ибyпрофeн (10руб)
Οмeз (180рyб) и Οмeпразол (50рyб)
Πанадол(50руб) и Πарацeтамол (5рyб)
Πанангин (140рyб) и Αспаркам (10руб)
Πантогам (350рyб) и Πантокальцин (230рyб)
Ринонорм (50руб) и Ρиностоп (20руб)
Cумамeд (450рyб) и Азитромицин (90руб)
Трeнтал(200руб) и Πeнтоксифиллин (50рyб)
Триxопол (90рyб) и Μeтронидазол (10рyб)
Троксeвазин (220рyб) и Троксeрyтин (110рyб)
Ультоп (270руб) и Οмeпразол (50рyб)
Φастyм-гeль (250рyб) и Κeтопрофeн (70рyб)
Φинлeпсин (280рyб) и Κарбамазeпин (50рyб)
Φлюкостат (200рyб) и Φлyконазол (20рyб)
Φyрамаг (380рyб) и Φyрагин (40рyб)
Χeмомицин (300рyб) и Αзитромицин (100руб)
Энап (150рyб) и Эналаприл (70рyб)
Эрсeфyрил (400руб) и Φуразолидон (40рyб)
Имeются противопоказания. Ηeобxодима консyльтация спeциалиста.
|Мама, хозяйка, жена|</t>
  </si>
  <si>
    <t>Любаня Люба</t>
  </si>
  <si>
    <t>Знатоки Серебряного Возраста.</t>
  </si>
  <si>
    <t>Зоя Болтышева</t>
  </si>
  <si>
    <t>Кондопога</t>
  </si>
  <si>
    <t>14.04.2023 11:29</t>
  </si>
  <si>
    <t>Валентина Колесникова</t>
  </si>
  <si>
    <t>14.04.2023 11:28</t>
  </si>
  <si>
    <t>Татьяна Шахова</t>
  </si>
  <si>
    <t>Наталия Уварова</t>
  </si>
  <si>
    <t>14.04.2023 11:26</t>
  </si>
  <si>
    <t>Людмила Басманова</t>
  </si>
  <si>
    <t>14.04.2023 11:25</t>
  </si>
  <si>
    <t>Татьяна Бояринова</t>
  </si>
  <si>
    <t>Екатерина Пилипенко (Ядрышникова)</t>
  </si>
  <si>
    <t>[id363962214|Владимировна], кагоцел не очень то помогает. Я пару раз принимала и оба закончились потом антибиотиком. Рафамин хороший, тем более с любого дня болезни эффективный</t>
  </si>
  <si>
    <t>Лола Ивченко</t>
  </si>
  <si>
    <t>Женский клуб</t>
  </si>
  <si>
    <t>14.04.2023 11:24</t>
  </si>
  <si>
    <t xml:space="preserve">Динамику изменения цен предоставил омскстат.   Омские аналитики составили отчет, в котором показали изменение цен на лекарства за первый квартал 2023 года. На большую часть жизненно важных лекарств цены показали снижение на 0,2 – 5%. Больще всего подешевели супрастин (5%), амлодипин (4,6%), ксарелто (3,9%), натрия хлорид (3,7%), ацетилцистеин (АЦЦ) (3,4%), амбоксол (3,4%).
Некоторые препараты из этой категории подорожали, но рост был небольшим, в среднем всего 0,4%. Больше остальных подорожали фурасемид (12,5%), дротаверин (4,6%), аскорбиновую кислоту (3,5%).
От 6% до 3% по данным мониторинга подорожали за три месяца такие медикоменты как Йод, синупред, поливитамины, флуоцинолона ацетонид. А от 8,3% до 3,1% подешевели афобазол, аципол, таурин, комбинированные анальгетики, эссенциале форте, мидокалм, ренгалин. Метки: Новость</t>
  </si>
  <si>
    <t>omskgazzeta.ru</t>
  </si>
  <si>
    <t>В омских аптеках снизились цены на жизненно важные препараты</t>
  </si>
  <si>
    <t>Омские аналитики составили отчет, в котором показали изменение цен на лекарства за первый квартал 2023 года.Вечерний Омск. НеделяОднако на половину препаратов из данной группы цены снизились на 0,2-5%.Новый ОмскПо другим медицинским препаратам из отечественных медикаментов подорожал йод (на 6,5%), поливитамины (на 4,4%), флуоцинолона ацетонид (на 3,1%).Новый ОмскПодешевели на 3,1–8,3 % афобазол, аципол, таурин, комбинированные анальгетики, эссенциале форте, мидокалм и ренгалин.РИА ОмскИнформ</t>
  </si>
  <si>
    <t>14.04.2023 11:23</t>
  </si>
  <si>
    <t xml:space="preserve">[id542656987|Мария], пьют анаферон и арбидол </t>
  </si>
  <si>
    <t>Валя Пономарева</t>
  </si>
  <si>
    <t>lenorman</t>
  </si>
  <si>
    <t>Вера Бессонова</t>
  </si>
  <si>
    <t>Новоуральск</t>
  </si>
  <si>
    <t>Полисорб, арбидол убрать. Купите регидрон, если найдёте, сейчас дефицит. Изюм заваривайте, горсть на стакан кипятка, настоять 2 часа. Изюмная вода хорошо помогает. Вода, чай подслащенный. Если совсем плохо, вызывайте скорую.</t>
  </si>
  <si>
    <t>Анна Колесова</t>
  </si>
  <si>
    <t>14.04.2023 11:22</t>
  </si>
  <si>
    <t>[id289753673|Юлия], нам бронхомунал ничего не дал. Сейчас просто витамины курсами идут - и то лучше эффект. А цитовир себе брала - ну абсолютно бесполезный. Для взрослого рафамин хороший вариант</t>
  </si>
  <si>
    <t>Женский Ярославль</t>
  </si>
  <si>
    <t>Анатолий Плишков</t>
  </si>
  <si>
    <t>Средние потребительские цены (тарифы) и индексы потребительских цен на отдельные виды товаров и услуг по Курской области на 10 апреля 2023 года</t>
  </si>
  <si>
    <t xml:space="preserve">Наименование товара (услуги)    Единица измерения    Цена (тариф),
в рублях    Индекс потребительских цен,
&amp;nbsp; в %
&amp;nbsp; к предыдущей дате регистрации    Говядина (кроме бескостного мяса)    кг    444,11    100,0    Свинина (кроме бескостного мяса)    кг    245,06    99,4    Баранина (кроме бескостного мяса)    кг    575,50    100,1    Куры охлажденные и мороженые    кг    151,56    99,8    Сосиски, сардельки    кг    340,23    100,2    Колбаса полукопченая и варено-копченая    кг    493,63    98,9    Колбаса вареная                кг    369,55    98,7    Консервы мясные для детского питания    кг    1038,82    101,8    Рыба мороженая неразделанная    кг    193,08    103,9    Масло сливочное    кг    737,52    99,6    Масло подсолнечное    л    119,40    97,9    Маргарин    кг    226,16    99,5    Молоко питьевое цельное пастеризованное
2,5-3,2% жирности    л    73,96    99,3    Молоко питьевое цельное стерилизованное
2,5-3,2% жирности    л    92,19    100,5    Сметана    кг    272,89    100,2    Творог      кг    378,28    97,9    Смеси сухие молочные для детского питания    кг    1021,77    100,6    Сыры твердые, полутвердые и мягкие    кг    643,66    100,8    Консервы овощные для детского питания    кг    615,71    99,7    Консервы фруктово-ягодные для
детского питания    кг    518,07    98,5    Яйца куриные    10 шт    82,03    99,5    Сахар-песок    кг    62,36    100,3    Печенье    кг    240,30    99,6    Чай черный байховый    кг    929,01    101,7    Соль поваренная пищевая    кг    16,68    99,4    Мука пшеничная    кг    42,09    98,9    Хлеб из ржаной муки и из смеси муки
ржаной и пшеничной    кг    54,80    99,3    Хлеб и булочные изделия из пшеничной муки различных сортов    кг    83,61    99,9    Рис шлифованный    кг    93,96    101,7    Пшено    кг    45,43    101,3    Крупа гречневая-ядрица    кг    77,99    99,7    Вермишель    кг    71,62    98,6    Макаронные изделия из пшеничной муки
высшего сорта    кг    72,78    99,9    Картофель    кг    25,73    99,1    Капуста белокочанная свежая    кг    22,70    100,9    Лук репчатый    кг    54,40    99,2    Свёкла столовая    кг    33,54    99,5    Морковь    кг    40,88    101,0    Огурцы свежие    кг    200,40    106,3    Помидоры свежие    кг    259,50    99,6    Яблоки    кг    78,00    101,0    Бананы    кг    138,32    101,4    Водка    л    691,69    100,3    Обед в столовой, кафе, закусочной
(кроме столовой в организации)    на 1 человека    318,07    100,3    Брюки для детей школьного возраста из джинсовой ткани    шт    1619,00    100,0    Пеленки для новорожденных    шт    189,81    100,0    Костюм спортивный для детей
школьного возраста    шт    2294,19    101,7    Майка, футболка мужская бельевая    шт    319,36    100,4    Футболка детская    шт    354,63    100,6    Носки мужские    пара    91,67    99,7    Колготки женские эластичные    шт    230,49    100,7    Кроссовые туфли для детей    пара    1559,76    100,0    Кроссовые туфли для взрослых    пара    2692,65    100,0    Мыло хозяйственное    200 г    55,12    100,0    Порошок стиральный    кг    168,79    96,7    Мыло туалетное    100 г    42,68    98,9    Шампунь    250 мл    187,94    104,5    Паста зубная    100 г
(100 мл)    140,03    96,2    Щетка зубная    шт    122,55    102,3    Сигареты с фильтром    пачка    164,19    100,5    Спички    коробок    3,37    100,0    Электропылесос напольный    шт    7890,34    99,2    Бумага туалетная    рулон    16,82    99,6    Прокладки женские гигиенические    10 шт    104,65    100,2    Подгузники детские бумажные    10 шт    189,28    99,3    Телевизор    шт    29315,58    98,5    Смартфон    шт    11854,67    99,2    Доска обрезная    м3    13758,21    97,6    Плиты древесностружечные,
ориентированно-стружечные    м2    255,56    101,3    Легковой автомобиль отечественный новый    шт    808222,37    100,0    Легковой автомобиль иностранной марки новый    шт    2366204,19    100,0    Метамизол натрия
(Анальгин отечественный),500 мг    10 таблеток    22,12    97,2    Комбинированные анальгетики    10 таблеток    120,82    101,3    Нимесулид, 100 мг    10 таблеток    106,01    101,4    Корвалол    25 мл    31,69    99,98    Левомеколь, мазь    40 г    165,61    99,2    Валидол, 60 мг    10 таблеток    42,08    98,7    Аллохол    50 таблеток    73,66    101,3    Ренгалин    20 таблеток    277,79    99,9    Эргоферон    20 таблеток    517,88    100,4    Поливитамины    10 шт    101,63    96,7    Сухие корма для домашних животных    кг    321,71    100,4    Ремонт телевизоров    один вид работ    1769,32    100,0    Мойка легкового автомобиля    услуга    476,35    100,0    Стрижка модельная в женском зале    стрижка    523,28    100,0    Стрижка модельная в мужском зале    стрижка    425,91    100,0    Проезд в городском автобусе    поездка    25,09    100,0    Проезд в трамвае    поездка    27,84    100,0    Проезд в троллейбусе    поездка    27,84    100,0    Полет в салоне экономического класса самолета    в расчете на 1000 км пути    6851,59    99,2    Плата за жилье в домах государственного и муниципального жилищных фондов    м2 общей площади    24,79    100,0    Отопление    Гкал    2280,90    100,0    Водоснабжение холодное    м3    29,46    100,0    Водоотведение    м3    23,17    100,0    Водоснабжение горячее    м3    175,57    100,0    Проживание в гостинице 1* или в мотеле    сутки с человека    1000,00    100,0    Проживание в гостинице 2*    сутки с человека    1260,92    100,0    Проживание в гостинице 3*    сутки с человека    1558,72    100,0    Проживание в гостинице 4*-5*    сутки с человека    2274,43    100,0    Проживание в хостеле    сутки с человека    500,00    100,0    Санаторий    день    2655,13    102,3    Дом отдыха, пансионат    день    1414,01    86,2</t>
  </si>
  <si>
    <t>kursk.bezformata.com</t>
  </si>
  <si>
    <t>14.04.2023 11:21</t>
  </si>
  <si>
    <t>Текст на изображении: СПИСОК ДОРОГИХ ЛЕКАРСТВ И ИХ ДЕШЕВЫЕ, НО КАЧЕСТВЕННЫЕ АНАЛОГИ 'Аспирин ЛОРАГЕКСАЛ КИСЛОТА МАКСИДЕКС ДЕКСАМЕТАЗОН Мукалтин Мезим ПАНКРЕАТИН -сироп Алтея, или Солодки Мидридцил АкридЕрм СК ХЛоргЕКСИДИН БЕПАНТЕН ДЕКСПАНТЕНОЛ Мовалис БЕТАСЕРК БЕТАГИСТИН НЕЙРОМУЛЬТИВИТ ПЕНТОВИТ БыструмгЕЛЬ КЕТОПРОФЕН ВОЛЬТАРЕН ДИКЛОФЕНАК Нормодипин ГАстрозол ОМЕПРАЗОЛ НуроФЕН ИБУПРОФЕН ДЕТРАЛЕКС ВЕНАРУС Ome3 ОмЕПРАЗОЛ Дипросалик СК ПАНАДОЛ ПАРАЦЕТАМОЛ ПАНАНГИН Длянос Риностоп ПАНТОКАЛЬЦИН ЗАнтАК Ринонорм Риностоп ЗиртЕК ЦЕТИРИНАКС ЗовирАкс Ацикловир. ТРЕНТАЛ ЭхинАЦЕЯ МЕТРОНИДАЗОЛ Имодиум ТРОКСЕВАЗИН ТРОКСЕРУТИН Иодомарин Калия йодид Yatton ВинпоцеТИН Урсофальк Урсосдн ЛОРАГЕКСАЛ Финлепсин КАРБАМАЗЕПИН КЛАРИТРОМИЦИН Флуконазол ‚ЛАЗОЛВАН МУКАЛТИН Хемомицин Азитромицин Энап Tenb 1000 НЕ ПОТЕРЯТЬ! И БУДЬТЕ ЗДОРОВЫ!</t>
  </si>
  <si>
    <t>Юлия Инюцина</t>
  </si>
  <si>
    <t>14.04.2023 11:20</t>
  </si>
  <si>
    <t>[id123729015|Владочка], витамин Д, цинк, омега можно; Бронхомунал мужу брала - но ничего он не дает. В итоге купила ему рафамин противовирусное. А то вечно меня и ребенка заражал</t>
  </si>
  <si>
    <t>ТИПИЧНЫЕ БАБСКИЕ ПРОБЛЕМЫ  |ТБП|</t>
  </si>
  <si>
    <t>Запись от Ольга - Ольга</t>
  </si>
  <si>
    <t>Арбидол зачем даёте? Уверены, что вирус подхватил? У меня у старшей сейчас тоже просто сопли (нос то дышит, то не дышит). Прыскаю ей просто морскую воду часто (каждые два часа) и на ночь в её комнате включён увлажнитель.</t>
  </si>
  <si>
    <t>Раида</t>
  </si>
  <si>
    <t>Ольга</t>
  </si>
  <si>
    <t>14.04.2023 11:18</t>
  </si>
  <si>
    <t>[id10427996|Людмила], витаминов вполне хватит, бронхомунал бесполезный. Я как-то принимала, но никакого эффекта. Себе рафамин противовирусное беру, чтобы быстро в норму приходить. Часто от ребенка цепляют конечно</t>
  </si>
  <si>
    <t>Женская Гатчина</t>
  </si>
  <si>
    <t>14.04.2023 11:17</t>
  </si>
  <si>
    <t xml:space="preserve">Памятка от ЛОРА ✅
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фра, мирамистин, полидекс и</t>
  </si>
  <si>
    <t>Нина Шумилова</t>
  </si>
  <si>
    <t>Пушное</t>
  </si>
  <si>
    <t>14.04.2023 11:16</t>
  </si>
  <si>
    <t>Зулия Каримова</t>
  </si>
  <si>
    <t>Лянтор</t>
  </si>
  <si>
    <t>Всем доброго времени суток. Ребенку 6 лет, простыл. Температурв нет, сопли. С чего начать лечение? Таблетки пьет. Дала Арбидол</t>
  </si>
  <si>
    <t>Астраханская область</t>
  </si>
  <si>
    <t>Астрахань</t>
  </si>
  <si>
    <t>14.04.2023 11:15</t>
  </si>
  <si>
    <t>Тиберий Дьердь</t>
  </si>
  <si>
    <t>14.04.2023 11:14</t>
  </si>
  <si>
    <t>Румия Гарипова</t>
  </si>
  <si>
    <t>Светлана Пипунырова</t>
  </si>
  <si>
    <t>14.04.2023 11:13</t>
  </si>
  <si>
    <t>Что посоветуете от гриппа по пить взрослому? - Marina</t>
  </si>
  <si>
    <t>Мне помог Циклоферон, в свое время он мне при ковиде помог, теперь при первых признаках простуды начинаю его пить. Он принимается по схеме — пьем первые два дня, затем перерыв и дальше продолжаем пить. Получается 5 приемов, дозировку смотрите по состоянию, я тяжело переношу грипп, поэтому повышаю до 6 таблеток на прием.</t>
  </si>
  <si>
    <t>Razgonova Rasimia</t>
  </si>
  <si>
    <t>Marina</t>
  </si>
  <si>
    <t>Альвина Киселева</t>
  </si>
  <si>
    <t>Валентина Очировна</t>
  </si>
  <si>
    <t>14.04.2023 11:12</t>
  </si>
  <si>
    <t>[id161336569|Дарья], да как бронхомунал это ни о чем. Я с мелким стала часто болеть. Брала себе и что, думаете помог? нет конечно. Противовирусное рафамин было спасением. А детям конечно витамины и питание важно - у них иммунитет формируется только</t>
  </si>
  <si>
    <t>14.04.2023 Выходят ли дети в школу сегодня - последние новости</t>
  </si>
  <si>
    <t xml:space="preserve">14.04.2023 На сегодняшний день на федеральном уровне официальных запретов на выход детей в школы нет, однако, как ранее сообщало РИА «Новости» со ссылкой на главу Роспотребнадзора Анну Попову подготовлено новое методическое письмо для школ. «Если в классе, тем более в школе не приходят на занятия больше двадцати процентов учеников, вот есть класс, если сегодня ученики не пришли, то этот класс нужно отпускать на дистанционное образование, нужно разобщать. Чтобы дети дальше не передавали друг другу инфекцию и не заражались», — отметила Попова. Подробности - читайте ниже.
 По словам руководителя Роспотребнадзора Анны Поповой, свиной грипп вызывает большое количество осложнений, нередки летальные исходы среди людей с ослабленным здоровьем. Все необходимые меры принимаются в полном объеме в зависимости от региона, например, подготовлено новое методическое письмо для школ. «Если в классе, тем более в школе не приходят на занятия больше двадцати процентов учеников, вот есть класс, если сегодня ученики не пришли, то этот класс нужно отпускать на дистанционное образование, нужно разобщать. Чтобы дети дальше не передавали друг другу инфекцию и не заражались», — отметила Попова. Глава Роспотребнадзора добавила, что система здравоохранения готова к приему большого количества пациентов со свиным гриппом. К первым симптомом болезни она отнесла слабость, повышение температуры, общее недомогание, неприятное ощущение в носу и горле. Попова уточнила, что минимальный инкубационный период может составлять несколько часов, максимальный — семь дней. Она посоветовала сразу же обращаться к врачу, чтобы определить, грипп ли это или COVID-19. Специалисты Роспотребнадзора зафиксировали свиной грипп в уже в 82 регионах России. «Свиной грипп»&amp;nbsp;вызывается пандемичным вирусом гриппа А(H1N1), передающееся от свиньи и человека к человеку, имеет высокую восприимчивость среди населения с развитием пандемии и характеризуется лихорадкой, респираторным синдромом и тяжелым течением с возможностью летального исхода.
 Возбудитель свиного гриппа 
Вирус гриппа А(H1N1)&amp;nbsp;– результат скрещивания человеческого вируса гриппа А (H1N1) и вируса свиного гриппа, в итоге вирус мутировал и стал высокопатогенным, а называется он – пандемичный вирус Калифорния/2009. Также как и обычный вирус гриппа человека, пандемичный вирус имеет в оболочке гемагглютинин (способствует прикреплению вируса к клетке) и нейраминидазу (способствует проникновению вируса внутрь клетки).
Источник инфекции — свиньи (больные или носители вируса) и больной человек. Больной человек становится заразным за сутки до появления симптомов заболевания и еще в течение недели болезни. Соответственно, большое эпидемическое значение имеют потенциальные больные в конце периода инкубации. До 15% больных на фоне лечения продолжают выделять вирус в течение 10-14 дней.
 Механизмы заражения    аэрогенный (воздушно-капельный путь) – опасны выделения пациента при чихании, кашле – в диаметре 1.5-2 метра контактно-бытовой – опасны выделения пациента на руках окружающих, а также на предметах обихода (столы, поверхности, полотенца, чашки) – вирус сохраняет свои свойства в течение 2х и более часов (занести можно вирус с рук на слизистые ротовой полости и глаз).   Восприимчивость к инфекции всеобщая. Существуют группы риска по развитию тяжелых форм свиного гриппа
  дети до 5 лет взрослые старше 65 лет беременные женщины лица с сопутствующими хроническими заболеваниями (хронические легочные заболевания, онкология, заболевания крови, болезни печени, мочевыводящей системы, сердца, сахарный диабет, а также инфекционные иммунодефициты, например, ВИЧ).  
Клинические симптомы свиного гриппа&amp;nbsp;схожи с симптомами обычного сезонного гриппа с небольшими особенностями. Инкубационный период (с момента инфицирования до появления первых жалоб) при свином гриппе длится от суток до 4х дней в среднем, иногда продлевается до недели. Больных беспокоят высокая температура до 38-39°, выраженная слабость, мышечные боли, тошнота, рвота центрального генеза, то есть на фоне высокой температуры, ломота в теле, вялость.
Другая группа жалоб связана с развитием респираторного синдрома (сухой кашель, выраженное першение в горле, чувство нехватки воздуха), а также вероятность быстрого развития одного из осложнений – развитие воспаления легких на ранних сроках (2-3й день болезни).
Отличием от сезонного гриппа является наличие у 30-45% больных диспепсического синдрома – у больных появляется постоянная тошнота, неоднократная рвота, нарушение стула.
 Проявления тяжелых форм свиного гриппа  В первые дни болезни появляются интенсивные головные боли, боли в глазных яблоках, светобоязнь, которая нарастает при движении глаз. Возможно развитие серозного менингита, энцефалита. Мышечные боли являются одним из выраженных симптомов болезни.
Наибольшую опасность штамм свиного гриппа представляет из-за вызываемых осложнений, которые нередко заканчиваются летальным исходом. К ним относят пневмонию, синусит и воспаление оболочек мозга.
Одним из опасных осложнений при свином гриппе является развитие пневмонии.
Воспаление легких может явиться следствием воздействия вируса гриппа (первичная; может быть связана с присоединением вторичной бактериальной флоры (вторичная); может быть следствием действия и вируса и сопутствующего наслоения бактериальной флоры (смешанная).
Пневмония развивается на вторые-третьи сутки от начала заболевания: больной часто дышит (около 40 дыханий в минуту при норме — 16), в акте дыхания активно участвуют вспомогательные мышцы (диафрагма, мышцы живота), выраженный сухой или малопродуктивный кашель (отделяемое слизистое и прозрачное), выраженная одышка, посинение кожных покровов (цианоз).
Пневмонии приводят к образованию респираторного дистресс-синдрома (развитие отека легкого) с возможным смертельным исходом.
Особенностью пневмонии будет усиление кашля: он становится мучительным, практически постоянным, на фоне усиления кашля у больного вторая волна лихорадки и интоксикации, пациент практически не принимает пищу. Нарастает боль в грудной клетке при кашле и даже дыхании. Отделяемое легких (мокрота) уже не прозрачное, а имеет гнойный оттенок. При рентгенографии – очаги воспаления в легких. Течение пневмонии продолжительное, больные не могут поправиться месяц-полтора. Нередко стафилококковые пневмонии приводят к образованию абсцесса легких.
Другие осложнения свиного гриппа включают в себя: перикардит, инфекционно-аллергический миокардит, геморрагический синдром.
При таких тревожных в плане «свиного гриппа» симптомах обязательно нужно обратиться к врачу
Для детей   Частое дыхание, трудность дыхательных движений Синеватый оттенок кожных покровов конечностей и туловища Отказ от приема пищи и питья Неоднократная рвота (рвота «фонтаном», а также частые срыгивания у грудничков – эквивалент рвоты в таком возрасте) Вялость и сонливость ребенка Наоборот возбуждение, сопротивление даже при взятии ребенка на руки Появление второй волны симптомов с усилением кашля и одышки.  
Для взрослых   Одышка и усиление ее в течение суток Боли в грудной клетке при дыхании и кашле Выраженное головокружение, появляющиеся внезапно Периодически спутанное сознание (забывчивость, выпадение отдельных событий из памяти) Многократная и обильная рвота Вторая волна с температурой, кашлем, одышкой.   Иммунитет после перенесенного свиного гриппа типоспецифический и непродолжительный (1 год).
 Диагностика свиного гриппа в отличие от ОРВИ  Сиптоматика заражения вирусом «свиного» типа похожа заражению вирусом гриппа обычной формы и ОРВИ на начальном этапе возникновения: резкое повышение в температуре тела, ощущения ломоты в мышцах, состояние слабости и головные боли. Жалобы пациента в отличие от ОРВИ на желудочно-кишечные расстройства на фоне температуры и респираторного синдрома;
Кашель наряду с насморком присоединяются к основным симптомам лишь спустя некоторое время. Для заражения свиным гриппом свойственно появление рвоты и воспалительного процесса в глазах. Размножение вируса после заражения происходит за 2 или 4 дня.
 Лечение свиного гриппа  1. Лечебно-охранительный режим
На весь лихорадочный период и 5-7 дней нормальной температуры назначается постельный режим с целью профилактики осложнений, если вы на амбулаторном лечении.
Ваши действия при подозрении на свиной грипп   При обнаружении симптомов свиного гриппа оставаться дома, не выходить в места скопления людей Дома оградить окружающих Вас близких от распространения инфекции – надеть маску и менять ее каждые 4 часа Проветривание помещения должно проводиться регулярно, а воздух в комнате должен быть увлажнен После прогулок нужно всегда мыть руки с мылом, а по возможности, вне дома очищать руки салфетками, дезинфицирующими гелями. Солевыми растворами можно промывать нос, а перед выходом на улицу можно смазывать носовые слизистые оксолиновой мазью. Для усиления сопротивляемости организма показан физиологически полноценный рацион с достаточным количеством белка и повышенным содержанием витаминов А, С, группы В, продукты кисломолочного производств (кефир, айран, йогурты и прочее), плодовые фрукты цитрусовой группы, если нет аллергии. Они поднимают настроение, витамин C и содержание в них пектина устраняет слизь и мокроту из легочной системы, помогают в работе сердцу.   Фруктовые и ягодные морсы без добавления сахаров и его заменителей (ягоды черной и красной смородины, клюквы, брусники, черники);
Применение в пищу натуральных белковых продуктов хорошо усвоятся в организме и укрепят работу сердечной деятельности (рыбные продукты, мясо крольчатины, курицы, индейки, куриное яйцо и прочие).
Для снижения лихорадки показан прием достаточного количества жидкости (лучше морсы из черной смородины, шиповника, черноплодной рябины, лимона). Все продукты назначаются в теплом виде, избегаются острые, жирные, жареные, соленые, маринованные блюда.
2. Медикаментозная терапия включает
Противовирусные средства – осельтамивир (Тамифлю) и занамивир (Реленза), которые существенно влияют на выход новых вирусных частиц из клеток, что ведет к прекращению размножения вируса. Прием тамифлю и реленза, ингавирин на 2-3день болезни рекомендуется в следующих случаях   Если у пациента есть один из перечисленных симптомов (высокая температура, заложенность носа, кашель, одышка) Возрастная группа младше 5 лет Лица преклонного возраста — старше 65 лет беременные женщины людям с тяжелыми сопутствующими заболеваниями и иммунодефицитом   Обычно курс лечения составляет 5 дней, иногда больше в зависимости от тяжести. Легкие и среднетяжелые формы свиного гриппа допускают назначение следующих противовирусных препаратов – арбидол, интерферон альфа 2b (гриппферон, виферон), интерферон альфа 2а (реаферон липинд) и гамма-интерферон (ингарон), ингавирин, кагоцел, циклоферон.
В домашних условиях при легкой форме свиного гриппа показано обильное питье (морсы, чай, медовая вода).
Симптоматические средства: жаропонижающие (парацетамол, ибупрофен), сосудосуживающие для носа (назол, тизин, називин, отривин и прочие), для облегчения кашля (туссин, стоптуссин, амброксол, ацц и другие), антигистаминные (кларитин, зодак).
Особое внимание уделяется детям и беременным женщинам. Детям – прием аспиринсодержащих препаратов запрещен из-за опасности развития синдрома Рея (энцефалопатия с отеком головного мозга и развитие печеночной недостаточности), поэтому из группы жаропонижающих предпочтение отдается парацетамолу, нурофену. Из противовирусных средств показаны – тамифлю, реленза, виферон 1, гриппферон, реаферон липинд, кагоцел с 3х лет, анаферон.
Беременным – обильное питье при отсутствии отеков   при легких формах — из противовирусных средств – виферон в свечах, гриппферон, арбидол, при невозможности принимать таблетки (рвота) – введение панавира внутримышечно; при тяжелых формах тамифлю, реленза, виферон для снижения выраженности лихорадки – парацетамол, аскорутин   Беременные и все больные с тяжёлой формой гриппа лечатся в стационаре или в палате интенсивной терапии.
 Профилактика свиного гриппа  Мероприятия для здоровых (по рекомендации ВОЗ)   Чаще мойте руки с мылом, можно спиртсодержащими растворами Избегайте близкого контакта с больными людьми Избегайте объятий, поцелуев и рукопожатий Если вы заболели, оставайтесь дома и ограничьте контакты с другими людьми При появлении симптомов гриппа немедленно обращайтесь за медицинской помощью.   Если вы заболели, оставайтесь дома в течение 7 дней после выявления симптомов во избежание инфицирования окружающих.
Для неспецифической медикаментозной профилактики используются следующие препараты: кагоцел, арбидол, анаферон, гриппферон, виферон для беременных, тамифлю.
Для специфической профилактики на сегодняшний день создана вакцина от высокопатогенного вируса свиного гриппа (H1N1). Данная вакцина защищает от гриппа В, и штаммов A/H1N1 (свиной) и H3N2 гриппа А (Гриппол плюс), то есть и от свиного гриппа, и от сезонного гриппа. Заболеть после прививки невозможно, так как она не содержит цельный вирус, а содержит только поверхностные антигены вирусов, которые сами по себе вызвать болезнь не могут. Вакцина вводится ежегодно.
 Симптомами гриппа являются  головная боль сухость в носоглотке озноб; мышечные боли сухой кашель слезотечение покраснение глаз снижение или полное отсутствие аппетита першение в горле светобоязнь боль за грудиной слабость во всем теле ломота в суставах повышенная потливость   Редко при гриппе бывает насморк.
Указанная информация касается жителей всех регионов России: Адыгея, Алтай, Башкирия, Бурятия, Дагестан, Ингушетия, КБР, Калмыкия, КЧР, Карелия, КОМИ, Крым, Марий Эл, Мордовия, Саха (Якутия), Северная Осетия (Алания), Татарстан, ТЫВА, Удмуртия, Хакасия, Чечня, Чувашия, Алтайский Край, Забайкальский край, Камчатский край, Краснодарский Край, Красноярский Край, Пермский Край, Пермский Край, Приморский край, Ставропольский край, Хабаровский край, Амурская область, Астраханская область, Архангельская область, Белгородская область, Брянская область, Владимирская область, Волгоградская область, Вологодская область, Воронежская область, Ивановская область, Иркутская область, Калининградская область, Калужская область, Кемеровская область, Кировская область, Костромская область, Курганская область, Курская область, Ленинградская область, Липецкая область, Магаданская область, Московская область, Мурманская область, Нижегородская область, Новгородская область, Новосибирская область, Омская область, Оренбургская область, Орловская область, Пензенская область, Псковская область, Ростовская область, Рязанская область, Самарская область, Саратовская область, Сахалинская область, Свердловская область, Смоленская область, Тамбовская область, Тверская область, Томская область, Тульская область, Тюменская область, Ульяновская область, Челябинская область, Ярославская область, города федерального значения — Москва, Санкт-Петербург, Севастополь, Еврейская АО, ХМАО, ЯНАО, Ненецкий и Чукотский АО</t>
  </si>
  <si>
    <t>kremlinrus.ru</t>
  </si>
  <si>
    <t>14.04.2023 11:10</t>
  </si>
  <si>
    <t xml:space="preserve">Сoхpaни, чтoбы нe пoтepять!
Нужные медицинcкие пpепapaты нa вcе cлучaи жизни
Текст на изображении: ПРОСТУДА Ибупрофен сильное обезболивающее средство, быстро действует, в виде шипучих таблеток щадит желудок, в свечах удобен для малышей. Колдрекс отличный сосудосуживающий препарат. Назол избавляет от насморка и не дает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противоаллергическими компонентами.</t>
  </si>
  <si>
    <t>Александра Лежнева</t>
  </si>
  <si>
    <t>Раиса Куделькина</t>
  </si>
  <si>
    <t>14.04.2023 11:08</t>
  </si>
  <si>
    <t>Ольга Тутынина (Елкина)</t>
  </si>
  <si>
    <t>Красноуфимск</t>
  </si>
  <si>
    <t>14.04.2023 11:07</t>
  </si>
  <si>
    <t>[id332685710|Наталья], лучше рафамин взять - он быстрее помогает и защищает от бактериальной инфекции. Амиксин кстати желудок сильно сажает, а по эффективности слабый</t>
  </si>
  <si>
    <t>14.04.2023 11:06</t>
  </si>
  <si>
    <t>Людмила Миронова</t>
  </si>
  <si>
    <t xml:space="preserve">Омские статистики представили актуальные данные о потребительской инфляции на медикаменты за период с января по март 2023 года.По данным Омскстата, цены на жизненно необходимые и важнейшие препараты в регионе в первом квартале выросли в среднем на 0,4%.Заметнее всего за три месяца подорожали фуросемид -на 12,5%, дротаверин - на 4,6%, аскорбиновая кислота - на 3,5%, цефтриаксон - на 3,1%.В то же время, статистики отмечают: на многие препараты из списка ЖНВЛП цены снизились на 0,2−5%. Так, дешевле стали на супрастин - на 5%, амлодипин - на 4,6%, ксарелто - на 3,9%, натрия хлорид - на 3,7%, ацетилцистеин - на 3,4%, амброксол - на 3,4%.Что касается других препаратов, не входящих в указанный список, сильнее всего подорожали йод - на 6,5%, поливитамины - на 4,4%, флуоцинолона ацетонид - на 3,1%.На препараты зарубежного производства цены выросли в среднем от 2,6 до 6%, здесь сильнее всего подорожал синупрет. Одновременно, такие препараты, как афобазол, аципол, таурин, комбинированные анальгетики, эссенциале форте, мидокалм, ренгалин подешевели на 3,1−8,3%, отметили статистики.Фото из открытых интернет-источниковСергей МихневичВ Омске подскочили цены на лекарства из списка жизненно необходимых
https://medicmap.ru/news/1704-v-omske-podskochili-ceny-na-lekarstva-iz-spiska-zhiznenno-neobhodimyh.html
Омские статистики представили актуальные данные о потребительской инфляции на медикаменты за период с января по март 2023 года.По данным Омскстата, цены на жизненно необходимые и важнейшие препараты в регионе в первом квартале выросли в среднем на 0,4%.Заметнее всего за три месяца подорожали фуросемид -на 12,5%, дротаверин - на 4,6%, аскорбиновая кислота - на 3,5%, цефтриаксон - на 3,1%.В то же время, статистики отмечают: на многие препараты из списка ЖНВЛП цены снизились на 0,2−5%. Так, дешевле стали на супрастин - на 5%, амлодипин - на 4,6%, ксарелто - на 3,9%, натрия хлорид - на 3,7%, ацетилцистеин - на 3,4%, амброксол - на 3,4%.Что касается других препаратов, не входящих в указанный список, сильнее всего подорожали йод - на 6,5%, поливитамины - на 4,4%, флуоцинолона ацетонид - на 3,1%.На препараты зарубежного производства цены выросли в среднем от 2,6 до 6%, здесь сильнее всего подорожал синупрет. Одновременно, такие препараты, как афобазол, аципол, таурин, комбинированные анальгетики, эссенциале форте, мидокалм, ренгалин подешевели на 3,1−8,3%, отметили статистики.Фото из открытых интернет-источниковСергей Михневич</t>
  </si>
  <si>
    <t>Медицинская карта</t>
  </si>
  <si>
    <t xml:space="preserve">Вот так было, есть и будет...Провизор раскрыл тайны фарм мафии! Зачем народ травят лекарствами? Это ЖУТКО, но знать НАДО!Провизор раскрыл тайны фарм мафии! Зачем народ травят лекарствами? Это ЖУТКО, но знать НАДО!
https://youtu.be/2n3998vy0bE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</si>
  <si>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Светлана Светик</t>
  </si>
  <si>
    <t>14.04.2023 11:04</t>
  </si>
  <si>
    <t>[id302544035|Женя], я наоборот после кагоцела долго болела и антибиотик по итогу пила. Себе рафамин беру - прям отлично помогает и дает бактериальной присоединиться</t>
  </si>
  <si>
    <t xml:space="preserve">••• ДАНТИНОРМ БЕБИ •••
Сколько про него всегда в комментариях споров! Нужно про него все же отдельно рассказывать.
Почему же я его не рекомендую? Это гомеопатический препарат. И этим все сказано. Кто не понимает, тогда читаем дальше.
ЧТО ТАКОЕ ГОМЕОПАТИЯ?
Нет, это не травушки, не путайте с фитопрепаратом. Гомеопатия- это когда некое вещество разводят в большом количестве воды много-много раз. Например, вы кинули в кастрюлю 10 литров 1 столовую ложку соли. Затем вы взяли из кастрюли эту воду в количестве 1 стакан, добавили этот стакан в другую кастрюлю с водой 10 литров, из нее снова взяли стакан воды и добавили уже в третью кастрюлю и так далее. Эти разведения повторяются многократно, число повторений при этом обозначается цифрой перед символом разведения. Так вот разводили вы этот стакан 10000000000 раз. Будет ли в воде в итоге хоть молекула от соли когда вы закончите?
Или еще проще (утрировано): если вылить в море бочку пива, взять из моря кружку воды - то это уже гомеопатическое пиво 
== Что в составе Дантинорм:
—Chamomilla vulgaris (хамомилла вульгарис) C9 - это ромашка аптечная
—Phytolacca decandra (фитолякка декандра) C5 - это лаконос
—Rheum (реум) C5 - это ревень
Вроде как травы.
Но обратите внимание на разведение: С5 и С9,  С - означает сотенное разведение, это значит 1:10000000000 и 1000000000000000000 соответственно. Бывают разведения гораздо большие. [club210921442|@pediatrixx] Разведения с индексом 40С приблизительно соответствуют 1 молекуле на всю наблюдаемую Вселенную, а с индексом 200С (Анаферон, Оциллококцинум) 1 молекуле на, соответственно, 10320 Вселенных.
Может ли что-то от этих растений остаться в итоге? Нет. Хотя гомеопатия утверждает, что вода обладает памятью.
Допускаем мысль, что вода запомнила это всё? Или нет?
ОБ ЭФФЕКТИВНОСТИ
Честно говоря, для меня загадка что же там может «реально помогать». Отзывов положительных много- говорят, что помогает.
Почему так может быть, ведь действующих веществ нет по сути? Мы имеем по 333 г запомнившей все воды.
Варианты:
1)Эффект плацебо. На ребенке? Да, мама дала что-то , не сидела сложа руки, лечила - стала спокойнее мама, стал спокойнее ребенок.
2)Не болело, ребенок был просто капризный по другим причинам. Вы дали сладкую водичку, он отвлекся и переключил внимание на что-то другое.
3)В составе есть нечто, чего производитель не заявил, либо разведения не были в гомеопатических дозах. К сожалению, такие «находки» уже случались!
Были случай с обнаружением в гомеопатических гелях токсических доз беладонны. У детей случались судороги, вялость, затруднения дыхания. Потому если это средство действительно помогает, то предполагаю, что в составе есть незаявленный компонент.
Применять ли этот препарат или нет - дело ваше! Вы знаете суть гомеопатии и верите в нее - принимайте. Хотите ставить эксперименты на детях - это ваша зона ответственности.
ВОЗ предостерегает от гомеопатического лечения, большое число профессиональных медицинских и общенаучных организаций открыто выражают негативное отношение к гомеопатии по причине отсутствия доказательств её эффективности, в 2017 году в России гомеопатия была признана лженаукой.
В карусели наглядно о разведении.
А вам помогало или нет (если пробовали)?
Автор: [club210921442|@pediatrixx]
***Если Вы желаете скопировать статью- делайте это с указанием источника или просто репостом. Иначе вы нарушаете авторские права! Благодарю за репосты!
⚠️Информация в блоге даётся в целях повышения медицинской грамотности, не занимайтесь самолечением, одни и те же симптомы могут быть при разных болезнях. Имеются противопоказания, нужна консультация специалиста.
#прорезываниезубов #гомеопатиядетям #дантинормбеби #режутсязубки #молочныезубы #молочныезубки #обзорпрепаратов</t>
  </si>
  <si>
    <t>Ольга Левенчик</t>
  </si>
  <si>
    <t>Нам 3 месяца, 2 - люда</t>
  </si>
  <si>
    <t>Почему купать то нельзя  Быстренько ополоснуться, вытереться на сухо и не устраивать дома сквозняки. Сыну легче всегда после ванны, особенно, когда сопли и кашель. Влажный воздух в ванной, дышать легче и спит крепче потом. Естественно, если нет температуры. От кашля нам назначали Геделикс в 4 месяца, помог. Поинтересуйтесь у врача. В нос Аквалор и сопли убирала аспиратором. Давала часто пить тёплую воду и слабый отвар ромашки. С ромашкой аккуратно, наблюдать реакцию.</t>
  </si>
  <si>
    <t>Anastasiya Стрюкова</t>
  </si>
  <si>
    <t>люда</t>
  </si>
  <si>
    <t>14.04.2023 11:03</t>
  </si>
  <si>
    <t xml:space="preserve"> ИЗМЕНЕНИЕ ЦЕН НА ТОВАРЫ И УСЛУГИ В КАРЕЛИИ
По информации Карелиястата, за период с 4 по 10 апреля 2023 года по Республике Карелия среди плодоовощной продукции цена на капусту белокочанную свежую выросла на 4,1%, картофель - 3,3%,лук репчатый - 1,8%, огурцы свежие - на 1,5%. При этом свёкла столовая, яблоки и помидоры свежие подешевели на 3,8%, 3,2% и 1,5% соответственно.
Среди других наблюдаемых продовольственных товаров молоко питьевое цельное стерилизованное 2,5-3,2% жирности стало дешевле на 4,0%, макаронные изделия из пшеничной муки высшего сорта - 3,4%, масло сливочное - 2,3%, свинина (кроме бескостного мяса) - на 1,9%.
В то же время крупа гречневая-ядрица, консервы мясные и овощные для детского питания стали дороже на 1,8-2,8%.
Из наблюдаемых видов непродовольственных товаров паста зубная подорожала на 8,0%, сухие корма для домашних животных - на 5,1%.
Одновременно с этим цена на электропылесос напольный снизилась на 3,9%, пелёнки для новорождённых - на 3,4%.
Среди медикаментов ренгалин стал дороже на 3,7%, комбинированные анальгетики - на 2,7%. Метамизол натрия при этом стал дешевле на 2,2%, поливитамины - на 1,3%.
Стоимость проживания в хостеле выросла на 2,4%, гостинице 3* - на 1,1%. Вместе с тем проживание в гостинице 2* стало дешевле на 1,5%.
Наблюдение за уровнем цен на товары и услуги осуществляется в рамках еженедельного мониторинга цен по перечню, утверждённому Росстатом, в городах республики: Петрозаводск, Костомукша, Сегежа.</t>
  </si>
  <si>
    <t>События | ПЕТРОЗАВОДСК КАРЕЛИЯ РОССИЯ |</t>
  </si>
  <si>
    <t>За неделю в Коми подорожали капуста и черный чай, но подешевели сыр и колбаса</t>
  </si>
  <si>
    <t xml:space="preserve">Фото: pg11.ru              Фото из архива PG11.ru Читайте нас в  Комистат раскрыл данные об изменениях цен на отдельные товары в регионе за минувшую неделю. По информации учреждения, с 4 по 10 апреля некоторые продукты заметно выросли в стоимости.
Так, специалисты отмечают рост цен на подсолнечное масло - 3,9%, черный чай, который подскочил на 3,7%, сыры - 5% и вареную колбасу - 3,7%. Также заметно подорожала капуста, которая в сравнении с прошлой неделей стала стоить на 7,3% дороже. Из плодоовощной продукции также подорожали огурцы - на 2,5%, помидоры - на 2,1%, свеклу столовую - на 1,7%, лук репчатый - на 1,3%, морковь - на 1,1%. Дешевле стали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  не изменились.</t>
  </si>
  <si>
    <t>siktivkar.bezformata.com</t>
  </si>
  <si>
    <t>14.04.2023 11:02</t>
  </si>
  <si>
    <t xml:space="preserve">Памятка от лора   
Oчень полезно бyдет coxранить себе эту памятку от лopа, особенно в такое вpeмя 
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изофра, мирамистин, полидекс и</t>
  </si>
  <si>
    <t>Марина Неёлова</t>
  </si>
  <si>
    <t>[id72825686|Илона], а мне кагоцел до лампочки. Мне рафамин нравится. Особенно что эффективен с любого дня болезни</t>
  </si>
  <si>
    <t>ПроДетей Смоленск | Мама</t>
  </si>
  <si>
    <t xml:space="preserve">Добрый вечер. У ребёнка сегодня начался ужасный понос, сразу утром начала лечить Энтерол, Полисорб, Арбидол. Но ребёнок то и дело бегает в туалет, уже ужасная слабость, весь день лежит, хоть бы какое то изменение, ничего, так все и плохо. Посоветовали ещё купить КИПферон. Имеет ли смысл? Посоветуйте что то, уже не знаю чем лечить..
Спасибо</t>
  </si>
  <si>
    <t>14.04.2023 11:01</t>
  </si>
  <si>
    <t>[id7949101|Нина], я себе брала и никакого эффекта от бронхомунала не было. Ребенка боялась заразить. Помог рафамин. Но это конечно для взрослого вариант. Детям витамины</t>
  </si>
  <si>
    <t>Клуб Самарских Мам</t>
  </si>
  <si>
    <t>14.04.2023 11:00</t>
  </si>
  <si>
    <t>У меня всегда один - Алика</t>
  </si>
  <si>
    <t>Вы сами себе антибиотик назначаете, без сдачи анализов? Если это вирусное, то антибиотик не работает, а вот вред на организм идет. Может у вас бактериальная ангина, раз легче становится. Я тоже раньше пила антибиотики самостоятельно, в итоге иммунитет убила, болела по два раза в месяц. Обычно тоже простуда с горла начинается, полощу Фурацилином сразу и содовым раствором. В нос Аквалор, от кашля Геделикс, быстро помогает. Ударную дозу витамина С в порошке два раза в день. Если температура выше 38.5 Терафлю и спать. Пару дней и легче становится.</t>
  </si>
  <si>
    <t>Алика</t>
  </si>
  <si>
    <t>14.04.2023 10:59</t>
  </si>
  <si>
    <t>Галина Никулина</t>
  </si>
  <si>
    <t>14.04.2023 10:58</t>
  </si>
  <si>
    <t>Если ребенок заболел - ЭкЛерчик</t>
  </si>
  <si>
    <t>Вам бы Циклоферон пропить, а то уж очень часто болеете, с учетом того, что сезон простуд уже идет на спад. А так, зачем ребенка больного тащить, вызывайте врача.</t>
  </si>
  <si>
    <t>Петратьева София</t>
  </si>
  <si>
    <t>ЭкЛерчик</t>
  </si>
  <si>
    <t>Как прийти в себя за 3 дня - АнгелПредохранитель</t>
  </si>
  <si>
    <t>Лучше не пить антибиотики, без сдачи анализов. Если это вирусное, антибиотик просто не работает, а вот вред на организм идет. Я тоже только переболела, с понедельника на работу. Слабость еще есть, немного бодрит витамин С в порошке или шипучках. Пить много теплого, для голоса молоко с сливочным маслом. От кашля Геделикс пила, практически все прошло. В нос Аквалор/Аквамарис. Если нет температуры, прогулка. Если я не буду шевелиться, в пределах разумного конечно, так и буду киснуть. Выздоравливайте.</t>
  </si>
  <si>
    <t>АнгелПредохранитель</t>
  </si>
  <si>
    <t>14.04.2023 10:57</t>
  </si>
  <si>
    <t>Маргарита Файзулина</t>
  </si>
  <si>
    <t>Орск</t>
  </si>
  <si>
    <t>Валентина Юрьевна</t>
  </si>
  <si>
    <t>Республика Бурятия</t>
  </si>
  <si>
    <t>Улан-Удэ</t>
  </si>
  <si>
    <t xml:space="preserve">Шпapгалка на всю жизнь: 99 лекарств, котopые могут вылeчить почти все!
Бывает так, что лечение необходимо начать немедленно, времени на посещение врача нет. Тогда на помощь может прийти шпаргалка, где собрана информация о 99 самых лучших лекарствах.
Благодаря этим подсказкам вы всегда будете знать, что и когда принять, чтобы помочь себе при простуде, заболеваниях ушей, глаз, горла и т.д.
Перед покупкой и применением каких-либо лекарств обязательно проконсультируйтесь с врачом, некоторые из них имеют серьезные противопоказания и могут навредить вашему здоровью!
Обязательно сохраните себе эти шпаргалки! Они выручат вас в сложную минуту
Текст на изображении: ЗАБОЛЕВАНИЯ ГОРЛА. Анаферон хорошее гомеопатическое средство для лечения вирусных инфекций дыхательных путей. Колустан аэрозоль, хорошо снимает отеки при воспалениях. Люголь, растворенный 8 глицерине лучшее наружное средство при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виде капель. ПРОСТУДА Ибупрон сильное обезболивающие средство, действует, 6 виде шипучих таблеток щадит желудок, 6 свечах удобен для мальшей. Колдрекс отличный сосудосуживающий препарат. Быстро действует, потому что его растворяют 6 горячей боде. Назол от насморка и не дает пересыхать слизистой оболочке носа, действует 12 Нурофен скорая помощь, действует быстро. Для мальшей есть но сильно ухудшает качество кроби. Флукол-Б дешевый и эффективный препарат, но содержит алкоголя и противопоказан водителям.</t>
  </si>
  <si>
    <t>Амина Аминова</t>
  </si>
  <si>
    <t>14.04.2023 10:56</t>
  </si>
  <si>
    <t>[id81091602|Ирина], себе брала кагоцел - вообще не помогает. Пока лучше рафамина ничего не нашла. А малого пока симптоматически только лечу</t>
  </si>
  <si>
    <t>Я даю своему Циклоферон. Считаю что препарат отличный и действительно работает. Болезнь проходит легче и быстрее, проверено на практике</t>
  </si>
  <si>
    <t>Каролина Чипкова</t>
  </si>
  <si>
    <t>Подслушано у мам! Великие Луки</t>
  </si>
  <si>
    <t xml:space="preserve">Дешeвые таблетки могут заменить десятки дорогих — раскрываю секреты:
1) Аспаркам - убирает...
Обязательно сохраните эту важную информацию!
Красотa за копейки: 10 аптечных средств, которые помогут тебе сэкономить
Иногда очень дешевое и доступное в любой аптеке средство срабатывает лучше, чем супердорогой крем. Эти средства выручат тебя в трудной ситуации.
Омез
Эффективный противоязвенный препарат. Применяется для лечения эрозивно-язвенного колита, язв желудка и 12-перстной кишки различного генеза, синдроме Золлингера-Эллисона, профилактике обострений гастроэзофагеального рефлюкса, системном мастоцитозе, в комплексном лечении эрадикации Helicobacter pylori.
Цена 30 р
Крем «Ф 99»
Крем, состоящий из полиненасыщенных жирных кислот и витамина F. Изначально средство предназначалось для лечения экземы и дерматита, но оказалось, что оно обладает и рядом других свойств. Во‑первых, это лучшее средство для борьбы с шелушением кожи,вызванным обветриванием или солнечным ожогом.
Во‑вторых, крем незаменим для ухода за стопами: никаких трещин, заусениц или огрубелостей, если ежедневно наносить его на ночь. В-третьих, он возвращает сухой коже эластичность и упругость, мгновенно впитывается, не дает эффекта пленки. В-четвертых, помогает справиться с угревой сыпью и прыщами, так как нормализует работу сальных желез и отшелушивает ороговевшие клетки.
Цена — около 120 р.
Раствор для капельниц «Тиогамма»
Использующееся для борьбы с последствиями отравлений, «Тиогамма» фактически чистая альфа-липоевая кислота, мощнейший антиоксидант,который борется со свободными радикалами, ускоряет обновление клеток кожи, помогает бороться с прыщами, угрями, морщинами, последствиями солнечных ожогов, обладает детокс-эффектом. По консистенции напоминает простую воду, наносится на кожу тонким слоем перед нанесением обычного ухода. Подходит только для жирной и комбинированной кожи, так как подсушивает верхний слой.
Цена — около 250 руб.
«Куриозин-гель»
Его прямое назначение — борьба с акне. Но принцип действия позволяет использовать этот гель как антивозрастное средство. Как и при борьбе с акне, ключевой момент — ускоренное обновление кожи, рост молодых здоровых клеток и глубокое увлажнение (гель содержит гиалуроновую кислоту в довольно высокой концентрации) позволяет улучшить рельеф кожи, разгладить мелкие морщины и улучшить цвет лица.
Цена — около 500 р.
Бепантен
Действующее вещество препарата — это пантотеновая кислота, она же — знакомый нам провитамин В5. Именно пантотеновая кислота — прародитель витамина А, отвечающего за процессы регенерации кожи. А значит, «Бепантен» — настоящая находка для тех, кто стремится обновить кожу, успокоить ее, сделать более гладкой и ровной.
Цена — около 350 р.
«Капсикам»
Разогревающая мазь поможет… спрятать целлюлит! Нанеси ее на проблемный участок, оставь на 15−20 минут (почувствуешь небольшое жжение, кожа может покраснеть из-за притока крови) и смой теплой водой. Для более выраженного эффекта протри те же участки кубиками льда. Визуально целлюлит исчезнет на 3−4 часа!
Цена — около 200 р.
Блефарогель
Отличное средство для нежной кожи век с высоким содержанием гиалуроновой кислоты. Прощайте, «гусиные лапки»!
Цена — около 200 р.
Арника
Вообще предполагается, что эта мазь ускорит рассасывание гематом и синяков. Что автоматически означает, что он улучшает циркуляцию крови и лимфы, обладает успокаивающим, противоотечным и регенерирующим действием. Ты наверняка уже догадалась: да,он отлично справляется с сухостью кожи, мимическими морщинами и потерей тонуса.
Цена — около 150 р.
Апилак
Выпускается эта мазь еще с советских времен и с тех пор не утратила актуальности как средство для снижения активности сальных желез,борьбы с акне и угрями. В основе — пчелиное маточное молочко,известное своими обеззараживающими и питательными свойствами.
Цена — около 100 руб.
Релиф
Ну, уж если звезды Голливуда признаются, что используют мазь от геморроя как уход для кожи век, нам-то чего стесняться? Да, отеки снимает, морщины разглаживает и никаких побочных эффектов!
Цена — около 300 р.
Так же мы собрали для вас список дешевых аналогов.
Списки приведенных аналогов лексрств могут быть неточными. Поэтому перед покупкой уточняйте у специалиста аптеки или лечащего врача, возможна ли замена препарата на более дешевый и какие последствия это повлечет.
Белосалик (380руб) и Акридерм СК (40руб)
Бепантен (250руб) и Декспантенол (100руб)
Бетасерк(600руб)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Мезим(300руб) и Панкреатин (30руб)
Мидриацил (360руб) и Тропикамид (120руб)
Мирамистин (200руб) и Хлоргексидин (10руб)
Мовалис (410руб) и Мелоксикам (80руб)
Нейромультивит (250руб) и Пентовит (50руб)
Но-шпа (150руб) и Дротаверина гидрохлорид (30руб)
Нормодипин (620руб) и Амлодипин (40руб)
Нурофен (120руб) и Ибупрофен (10руб)
Омез (180руб) и Омепразол (50руб)
Панадол(50руб) и Парацетамол (5руб)
Панангин (140руб) и Аспаркам (10руб)
Пантогам (350руб) и Пантокальцин (230руб)
Ринонорм (50руб) и Риностоп (20руб)
Сумамед (450руб) и Азитромицин (90руб)
Трентал(200руб)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Имеются противопоказания. Необходима консультация специалиста.
Wi-Fi: молчаливый убийца, который убивает нас медленно
Об этом никто раньше не говорил! Берегите себя и близких!
Беспроводная сеть Wi-Fi, которую мы используем, чтобы подключаться к интернету без кабелей сегодня используется фактически повсюду. Однако мало кто знает о том, что у работников сервиса, которые обслуживают Wi-Fi оборудование есть конкретные инструкции, чтобы минимизировать вред их здоровью.
Wi-Fi: молчаливый убийца, который убивает нас медленно
Наши беспроводные устройства, такие как: мобильные телефоны и планшеты используют маршрутизаторы для подключения к Интернет. Маршрутизатор излучает сигналы WLAN — электромагнитные волны, которые могут нанести огромный ущерб здоровью. Часто мы игнорируем этот факт, потому что практически ничего не знаем об этом. Однако в течение всего времени, эти сигналы продолжают наносить вред организму. Исследование, проведенное Агентством здравоохранения Великобритании доказали, что Wi-Fi-маршрутизаторы препятствуют росту людей и растений.
Последствия воздействия Wi-Fi:
Хроническая усталость;
Боль в ушах;
Нехватка концентрации;
Частые сильные головные боли;
Проблемы со сном.
Мы не можем жить без технологий — это факт. Но нам нужно больше знать, как защитить себя от вредных последствий. Вот несколько советов, как безопасно использовать Wi-Fi-маршрутизатор или, по крайней мере, снизить потенциальный вред.
Как защитить детей от электромагнитных волн
Отключите Wi-Fi перед сном;
Выключите Wi-Fi, когда он не используется;
Замените домашний беспроводной телефон на старый добрый кабельный;
Не устанавливайте Wi-Fi-маршрутизатор на кухне и в спальне.</t>
  </si>
  <si>
    <t>Николай Жеребцов</t>
  </si>
  <si>
    <t>Междуреченский</t>
  </si>
  <si>
    <t xml:space="preserve">За неделю в Коми подорожали капуста и черный чай, но подешевели сыр и колбаса
/ Текст: Про Город Сыктывкар / Комистат раскрыл данные об изменениях цен на отдельные товары в регионе за минувшую неделю. По информации учреждения, с 4 по 10 апреля некоторые продукты заметно выросли в стоимости.
Так, специалисты отмечают рост цен на подсолнечное масло - 3,9%, черный чай, который подскочил на 3,7%, сыры - 5% и вареную колбасу - 3,7%. Также заметно подорожала капуста, которая в сравнении с прошлой неделей стала стоить на 7,3% дороже. Из плодоовощной продукции также подорожали огурцы - на 2,5%, помидоры - на 2,1%, свеклу столовую - на 1,7%, лук репчатый - на 1,3%, морковь - на 1,1%. Дешевле стали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 не изменились.
https://pg11.ru/news/97466</t>
  </si>
  <si>
    <t>Новости Сыктывкара сегодня, происшествия</t>
  </si>
  <si>
    <t>14.04.2023 10:55</t>
  </si>
  <si>
    <t>Светлана Сотскова</t>
  </si>
  <si>
    <t>14.04.2023 10:54</t>
  </si>
  <si>
    <t>[id2601550|Олеся], на своем примере скажу что бронхомунал не причем. Я принимала курсами и пользы от него никакой. Хотя болеть вообще не в моих желаниях было. Но просто не тот препарат. Рафамина достаточно было чтобы справиться с вирусом и вся канительно с болезнями закончилась</t>
  </si>
  <si>
    <t>Женская Уфа. Мамы Башкортостана</t>
  </si>
  <si>
    <t>Я прекрасно отношусь! При простуде много не пьем, только Циклоферон и от симптомов (сбиваем слишком высокую температуру, спрей в нос при заложенности). Сейчас вирусы более агрессивные и болеть без лекарств намного тяжелее</t>
  </si>
  <si>
    <t>Инна Петрук</t>
  </si>
  <si>
    <t>Мамы, Мамочки, Детские пособия Мурманск</t>
  </si>
  <si>
    <t>14.04.2023 10:53</t>
  </si>
  <si>
    <t>Анаферон капли схема кати тет</t>
  </si>
  <si>
    <t>Ниязова Нигина</t>
  </si>
  <si>
    <t>Медики Бухары</t>
  </si>
  <si>
    <t>Здравствуйте! Мы обычно пьем Циклоферон (он с 4х лет), нам помогает и для профилактики, и при лечении. Как правило нам хватает 5-ти приемов до полного выздоравления. Дозировку смотри исходя из возраста вашего ребенка</t>
  </si>
  <si>
    <t>Елена Онегина</t>
  </si>
  <si>
    <t>Мамочки Донецка| Сообщество Мам Донецка</t>
  </si>
  <si>
    <t>14.04.2023 10:52</t>
  </si>
  <si>
    <t>Гриппферон спрей в нос, его можно детям с первых дней жизни и беременным с 1 триместра</t>
  </si>
  <si>
    <t>Дарья</t>
  </si>
  <si>
    <t>Смотря сколько ребенку лет. Если более 4х, то можно дать Циклоферон. Главное чтобы ребенок проглатывал таблетку целиком, так как ее дробить и резать нельзя. Нам обычно хватает 5 приемов при простуде (в соответствии с возрастной дозировкой)</t>
  </si>
  <si>
    <t>Карина Гусева</t>
  </si>
  <si>
    <t>Клуб мам Екатеринбурга</t>
  </si>
  <si>
    <t>Лезут зубы - Елена</t>
  </si>
  <si>
    <t>Я думаю, что кашель не долечили. У нас на фоне зубов всегда сопли кашель подключались это потому, что иммунитет ослаблен. Лечились промыванием носа Аквалором, слизь убирала аспиратором. От кашля назначали Геделикс иногда. Пару дней и проходило, температуры никогда высокой не было, максимум 37.5., но я такую не трогаю.</t>
  </si>
  <si>
    <t>Елена</t>
  </si>
  <si>
    <t>14.04.2023 10:51</t>
  </si>
  <si>
    <t xml:space="preserve">Вот как надо общаться в аптеке! Важно знать каждому!
Итак, подошла моя очередь. — Что вы мне посоветуете от кашля?
— Колдрекс, леденцы, пастилки, антибиотики.
Итого 600—1500 руб. Спорить с провизором не посчитала нужным, это их работа, но решила устроить небольшой спектакль.
Итак, подошла моя очередь.
— Что вы мне посоветуете от кашля?
— Леденцы «…»
— Сколько стоят?
— 300 рублей
— Сколько? Говорите громче, пожалуйста, я плохо слышу!
— 300 рублей!
— А у вас есть Мукалтин?
— Да.
— Сколько стоит?
— 5 рублей
— Громче, я плохо слышу!
— 5 рублей!
Эхо разнесло весть по всей аптеке. Очередь насторожилась, всё внимание с витрин перенеслось на нас с провизором.
— А есть трава термопсиса с содой 7, их раньше копеечными таблетками называли?
— Есть.
— Сколько?
— 1 рубль.
— Уточните!
— 1 рубль!
Градус беседы повышался, провизор всё распалялась, и зрители начинали роптать.
— Микстура Пертуссин?
— Есть!
— Сколько?
— 4—50
— Мази Прополиса?
— 12 рублей, но она гомеопатическая
— Отлично!
— Шрот расторопши пятнистой?
— 8 рублей
— Масло расторопши?
— 12 рублей
В итоге я заказала:
Термопсиса 3х10 таблеток = 3 рубля Мукалтин 2 уп.Х10 таблеток = 10 рублей мазь Прополиса 1 туб=12 р. Пертуссин 1 пузырёк = 4—50 шрот расторопши 1 пакет = 8 руб
(сейчас цены стали чуть выше)
— Сколько за всё?
— 37 с половиной
— 37.50 — это температура или цена?
Говорите громче, пожалуйста!
— Тридцать семь рублей пятьдесят копеек, — забила гвозди провизор. Лицо было бордово каменным.
— Спасибо, — тихо ответила я.
Первой не выдержала женщина с ребёнком:
— Это всё от кашля? Можно записать названия? Почему так дёшево?
— Эти лекарства всегда стоили дёшево и нас ими лечили в детстве и родители наши лечились!
— А почему тогда их нет на витрине?
— Это не выгодно аптекарю, за них ему не доплачивают фармацевтические кампании.
Для справки:
Многие дорогостоящие лекарственные препараты имеют более дешевый аналог с идентичным составом. Запишите себе их названия, если не хотите «работать на аптеку».
Нурофен (120руб) и Ибупрофен (10руб)
Мезим (300руб) и Панкреатин (30руб)
Но-шпа (150руб) и Дротаверина гидрохлорид (30руб)
Панадол (50руб) и Парацетамол (5руб)
Белосалик (380руб) и Акридерм СК (40руб)
Бепантен (250руб) и Декспантенол (100руб)
Бетасерк (600руб)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Мидриацил (360руб) и Тропикамид (120руб)
Мирамистин (200руб) и Хлоргексидин (10руб)
Мовалис (410руб) и Мелоксикам (80руб)
Нейромультивит (250руб) и Пентовит (50руб)
Нормодипин (620руб) и Амлодипин (40руб)
Омез (180руб) и Омепразол (50руб)
Панангин (140руб) и Аспаркам (10руб)
Пантогам (350руб) и Пантокальцин (230руб)
Ринонорм (50руб) и Риностоп (20руб)
Сумамед (450руб) и Азитромицин (90руб)
Трентал (200руб)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Поделитесь этим материалом со своими друзьями, пожалуйста, как нам кажется, им будет тоже интересно узнать что-то новое о мире вокруг нас.</t>
  </si>
  <si>
    <t>Людмила Голодяева</t>
  </si>
  <si>
    <t>Жигулевск</t>
  </si>
  <si>
    <t>14.04.2023 10:50</t>
  </si>
  <si>
    <t>Наталья Певцова(Голод)</t>
  </si>
  <si>
    <t>Егорлыкская</t>
  </si>
  <si>
    <t>бронхомунал не вариант изначально был. Я сама принимала из-за череды орви, но</t>
  </si>
  <si>
    <t>Ярославль. Объявления. Работа</t>
  </si>
  <si>
    <t>14.04.2023 10:48</t>
  </si>
  <si>
    <t>Любовь Васкеева-Надбитова</t>
  </si>
  <si>
    <t xml:space="preserve">И гептрал с детства принимаете, да? 
С лёгкими формами хронических заболеваний живут десятилетиями без какого-либо лечения - от обострений к ремиссиям. Но человеку, считающему, что можно излечить "тубик" за 3 недели с помощью АЦЦ и травяного сбора, пояснять что-то бесполезно. Такая же риторика у отрицателей ВИЧ, сахарного диабета и прочих медленно прогрессирующих заболеваний, создающих у некоторых больных иллюзию, что болезнь несерьёзная или что от болезни помогают некие фуфломицины.</t>
  </si>
  <si>
    <t>Vist</t>
  </si>
  <si>
    <t>Коронавирус навсегда? Чат победы над ковидом</t>
  </si>
  <si>
    <t>[id657634878|Карина], я себе рафамин беру, он получше помогает и не дает присоединиться бактериальной инфекции</t>
  </si>
  <si>
    <t>14.04.2023 10:47</t>
  </si>
  <si>
    <t>[id439472|Мария], да уж, я думала он просто не помогает, а тут еще такое... Кстати, чтобы не цеплялась бактериальная инфекция, это противовирусное рафамин надо.</t>
  </si>
  <si>
    <t>Надежда Даренская</t>
  </si>
  <si>
    <t>14.04.2023 10:46</t>
  </si>
  <si>
    <t>Наталия Лылова</t>
  </si>
  <si>
    <t>Татьяна Баранова</t>
  </si>
  <si>
    <t>14.04.2023 10:45</t>
  </si>
  <si>
    <t>Ирина Высочанская</t>
  </si>
  <si>
    <t>Малая Пера</t>
  </si>
  <si>
    <t>14.04.2023 10:44</t>
  </si>
  <si>
    <t xml:space="preserve">Мeдицинcкиe пpeпapaты нa вce cлyчaи жизни✅
Текст на изображении: ПРОСТУДА Ибупрофен сильное обезболивающее средство, быстро действует, в виде шипучих таблеток щадит желудок, в свечах удобен для малышей. Колдрекс отличный сосудосуживающий препарат. Назол избавляет от насморка и не дает пересыхать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t>
  </si>
  <si>
    <t>Нина Суетнова</t>
  </si>
  <si>
    <t>Арзамас</t>
  </si>
  <si>
    <t xml:space="preserve">В Омской области взлетели цены на лекарства. С начала года стоимость жизненно важных препаратов выросла в среднем на 0,4%.
↗️Подорожали:
Фурасемид - 12,5%
Йод - 6,5%
Дротаверин - 4,6%
Поливитамины - 4,4%
Аскорбиновая кислота - 3,5%
Цефтриаксон - 3,1%
↘️Стали дешевле:
Супрастин - 5,0%
Амлодипин - 4,6%
Ксарелто - 3,9%
АЦЦ - 3,4%
Амбоксол - 3,4%
А вы заметили изменения в стоимости лекарств?</t>
  </si>
  <si>
    <t>Город55 | Новости Омска</t>
  </si>
  <si>
    <t>Аккаунт СМИ</t>
  </si>
  <si>
    <t>14.04.2023 10:43</t>
  </si>
  <si>
    <t>У моего сына так было на зубы, долго сопли текли. Мучались. Ромывали физраствором и капали гриппфероном. Но одна педиатр на скорой посоветовала капли с содержанием серебра. Их надо готовить самой, смешивать при использовании. Протаргол. И знаете я очень довольна. Капли отличные, они подсушивают.</t>
  </si>
  <si>
    <t>Ирина Эбзеева</t>
  </si>
  <si>
    <t>Школа мам Нутрилак</t>
  </si>
  <si>
    <t>[id196010487|Эдуард], да по сути никакой - что то, что то не работают. Неплохо рафамин помогает пока. Во всяком случае этой зимой я на больничном благодаоя ему не была</t>
  </si>
  <si>
    <t>14.04.2023 10:40</t>
  </si>
  <si>
    <t>В Омске почти половина жизненно необходимых лекарст стали стоить меньше</t>
  </si>
  <si>
    <t xml:space="preserve">Цены в аптеках города проанализировал Омскстат. Омскстат представил статистику изменения цен на лекарства в январе-марте 2023 года. Так, за эти три месяца средняя стоимость жизненно необходимых препаратов выросла на 0,4%. Сильнее всего подорожал фурасемид — на 12,5%, дротаверин — на 4,6%, аскорбиновую кислоту — на 3,5% и цефтриаксон — на 3,1%.
При этом почти на половину важнейших препаратов цены снизились на 0,2-5%. Доступнее стали супрастин — на 5%, амлодипин — на 4,6%, ксарелто — на 3,9%, натрия хлорид — на 3,7%, ацетилцистеин (АЦЦ) — на 3,4%, амбоксол — на 3,4%.
Среди отечественных лекарств, не относящихся к жизненно необходимым, больше всего подорожал йод — на 6,5%, поливитамины — на 4,4%, флуоцинолона ацетонид — на 3,1%. Из этой же категории зарубежных лекарств ощутимее всего цена выросла на синупрет — на 6%. Подешевели при этом афобазол, аципол, таурин, комбинированные анальгетики, эссенциале форте, мидокалм, ренгалин — на 3,1-8,3 процента.Фото: 12 канал.В России могут ужесточить наказание для аптек за продажу сильнодействующих препаратов без рецепта</t>
  </si>
  <si>
    <t>Запись от Алёна - Алёна</t>
  </si>
  <si>
    <t>Очень понимаю вас, мы когда в сад пошли, болели по два раза в месяц. У меня дома был аптечный склад, чего только не пили. Потом перестала пичкать таблетками по каждому чиху, симптоматически лечимся. Из препаратов Аквалор в нос и Геделикс от кашля ВСЁ  Температуру не трогаю ниже 38.5, дальше Ибупрофен. Компот теплый, морс, дома проветривание и влажный воздух. Не скажу, что совсем болеть перестали, но болеем реже и быстрее выздоравливаем.</t>
  </si>
  <si>
    <t>Алёна</t>
  </si>
  <si>
    <t>Хозяйка на кухне</t>
  </si>
  <si>
    <t>14.04.2023 10:39</t>
  </si>
  <si>
    <t xml:space="preserve">✔ ПОЛЕЗНЫЕ СОВЕТЫ :
Спасибо, что не забыли поставить ❤
➕ СОХРАНИТЕ себе на стену, чтобы не потерять!
СОВЕТ 1: Лечим сильный кашель
Несколько лет подряд осенью я болела трахеитом, а это всегда сопровождается очень мучительным кашлем. Каких только лекарств я не перепробовала - кашель не давал жить.
Придя в очередной раз в аптеку , я попросила что -нибудь более эффективное, чем все эти "АЦЦ " и "Амбробене". Провизор дала мне волшебный рецепт, который я распространила среди всех своих знакомых. Стоит он копейки, а помогает быстро и эффективно.
Необходимо купить:
1." Таблетки от кашля" ( они так и называются, это термопсис);
2. "Грудной эликсир"( нашатырно-анисовые капли);
В стакане растереть 2 таблетки , добавить 1 десертную ложку эликсира и залить 2-мя столовыми ложками горячей воды. Все перемешать и выпить. Принимать 3 раза в день за полчаса до еды и за два часа до сна.</t>
  </si>
  <si>
    <t>Народная медицина • Здоровье • Аюрведа</t>
  </si>
  <si>
    <t>14.04.2023 10:38</t>
  </si>
  <si>
    <t>Юрий Сергеичев</t>
  </si>
  <si>
    <t>Доброе утро, ребёнок кашляет сухой кашель третий день, на сквозняке постоял в гостях, заложено горло очень сильно, не может продрать. Больше кашляет ночью, но уже и днём. Ребёнку пять лет. Даю жидкость тёплую мало помогает. Может ренгалин нам или что то от сухого кашля или уже отхаркивающее? Или ингаляции поделать? Что вы в этом случае даёте. Были у врача, хрипов нет, не надо писать это) Анонимно</t>
  </si>
  <si>
    <t>Ольга Шарафутдинова</t>
  </si>
  <si>
    <t>АНТИтрофимов и КО</t>
  </si>
  <si>
    <t>Сергиев Посад</t>
  </si>
  <si>
    <t>14.04.2023 10:37</t>
  </si>
  <si>
    <t>Ирина Зыкова</t>
  </si>
  <si>
    <t>14.04.2023 10:35</t>
  </si>
  <si>
    <t>Самария Гимазова</t>
  </si>
  <si>
    <t>14.04.2023 10:32</t>
  </si>
  <si>
    <t xml:space="preserve">Цены в аптеках города проанализировал Омскстат.
Омскстат представил статистику изменения цен на лекарства в январе-марте 2023 года. Так, за эти три месяца средняя стоимость жизненно необходимых препаратов выросла на 0,4%. Сильнее всего подорожал фурасемид — на 12,5%, дротаверин — на 4,6%, аскорбиновую кислоту — на 3,5% и цефтриаксон — на 3,1%.
При этом почти на половину важнейших препаратов цены снизились на 0,2-5%. Доступнее стали супрастин — на 5%, амлодипин — на 4,6%, ксарелто — на 3,9%, натрия хлорид — на 3,7%, ацетилцистеин (АЦЦ) — на 3,4%, амбоксол — на 3,4%.
Среди отечественных лекарств, не относящихся к жизненно необходимым, больше всего подорожал йод — на 6,5%, поливитамины — на 4,4%, флуоцинолона ацетонид — на 3,1%. Из этой же категории зарубежных лекарств ощутимее всего цена выросла на синупрет — на 6%. Подешевели при этом афобазол, аципол, таурин, комбинированные анальгетики, эссенциале форте, мидокалм, ренгалин — на 3,1-8,3 процента.
Фото: 12 канал.
По теме:
В России могут ужесточить наказание для аптек за продажу сильнодействующих препаратов без рецепта
В последние месяцы 2022 года в цене выросли пять лекарственных препаратов
Добавить в избранные источники Яндекс.Новостей
Подписаться на канал Яндекс.Дзен
Подписаться на канал Телеграм
Источник: https://12-kanal.ru</t>
  </si>
  <si>
    <t>omsk-news.net</t>
  </si>
  <si>
    <t>Лилия Илларионова</t>
  </si>
  <si>
    <t>Белебей</t>
  </si>
  <si>
    <t>Антонина Беширова</t>
  </si>
  <si>
    <t>14.04.2023 10:31</t>
  </si>
  <si>
    <t>У меня это было большая проблема у меня ребенку было 3 месяца когда нам поставили острый бронхит((((  нас положили в отделение. прописали ингалятор с пульмикортом - сильно влияет на сердце( дозировка обычная. прописали при остром бронхите ингаляции с биридуалом и Амбробене. ставили ещё антибиотики. Но у ребёнка началась аллергия и антибиотики убрали. Потом мы каждые 3 месяца ложились в отделение потому что приступы становились всё чаще и чаще. в конце нам поставили астму выписали уже такие карманные ингаляторы, а потом мы просто переехали с Кемерово в Нижний поменяли климат и у ребёнка всё прошло. И я вам скажу у вас не настолько сложные лекарства Если сравнивать с теми которые давали нам(((((((</t>
  </si>
  <si>
    <t>Ольга Коровкина</t>
  </si>
  <si>
    <t>Детские пособия Нижний Новгород и область Мамы</t>
  </si>
  <si>
    <t>Заволжье</t>
  </si>
  <si>
    <t>Текст на изображении: ПРИМЕРЫ ИЗ СПРАВОЧНИКА СТОИМОСТЬ ЛЕКАРСТВ И ЦЕНЫ ИХ АНАЛОГОВ ЛЕКАРСТВО: |ЦЕНА| АНАЛОГ: ЦЕНА ЛАЗОЛВАН АМБРОКСОЛ КРЕСТОР РОЗУВАСТАТИН 400 [ЛОМИЛАН |ЛОРАТАДИН ЛОСЕКМАПС |ОМЕПРАЗОЛ МЕЗИМ МАКСИДЕКС 120 ДЕКСАМЕТАЗОН 40 [МИДРИАЦИЛ |ТРОПИКАМИД МИРАМИСТИН |ХЛОРГЕКСИДИН 20 |МОВАЛИС МЕЛОКСИКАМ НОРМОДИПИН |АМЛОДИПИН НУРОФЕН |ИБУПРОФЕН ОМЕЗ |ОМЕПРАЗОЛ ПАНАНГИН 140 АСПАРКАМ 10 ЭВКАСЕПТ 50 ЙОДИД СУММАМЕД АЗИТРОМИЦИН ТЕБАНТИН 1200 ГАБАПЕНТИН 400 УЛЬТОП ОМЕПРАЗОЛ 50 ПЛАВИКС 2770 ЗИЛТ 900 САНОРИН МЕТРОНИДАЗОЛ |ФУРАМАГ ФУРАГИН 50 ЗОВИРАКС 250 |АЦИКЛОВИР ДИФЛЮКАН ФЛУКОНАЗОЛ ЭРСЕФУРИЛ ФУРАЗОЛИДОН 40 БЕТАСЕРК БЕТАВЕР [АМБРОГЕКСАЛ АМБРОКСОЛ БЫСТРУМГЕЛЬ 200 КЕТОПРОФЕН длянос 100 |РИНОСТОП 30 ОТРИВИН |РИНОСТОП 30 КАГОЦЕЛ |РИМАНТАДИН АМИКСИН |ЛАВОМАКС 470 БЕЛОСАЛИК 140 [ПАНАДОЛ ПАРАЦЕТАМОЛ 10 НО-ШПА ДРОТАВЕРИН НОРМОДИПИН 650 |АМЛОДИПИН ТАУФОН 90 ТАУРИН 20 [УРСОФАЛЬК УРСОСАН ФАСТУМ-ГЕЛЬ КЕТОПРОФЕН |ЭНАЛАПРИЛ_ [ВИАГРА КСЕНИКАЛ ОРСОТЕН</t>
  </si>
  <si>
    <t>НИНА СЕДАЧЕВА(ШУТОВА)</t>
  </si>
  <si>
    <t>Новочеркасск</t>
  </si>
  <si>
    <t>14.04.2023 10:30</t>
  </si>
  <si>
    <t>Галина Резник</t>
  </si>
  <si>
    <t>Железногорск</t>
  </si>
  <si>
    <t>14.04.2023 10:29</t>
  </si>
  <si>
    <t xml:space="preserve">Лекарства которые должны быть в каждой аптечке
Текст на изображении: ЛЕКАРСТВА, КОТОРЫЕ ВСЕГДА ДОЛЖНЫ БЫТЬ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аллергии: зиртек, фенистил (капли). При болях в сердце: валидол. При вздутии и тяжести в животе: фестал. От синяков и ушибов: мазь бодяга. При растяжении мыщц вальторен гель, випросал. Не забывайте читать инструкции перед применением, лучше консультироваться врачом!</t>
  </si>
  <si>
    <t>Ирина Скопа</t>
  </si>
  <si>
    <t>Уссурийск</t>
  </si>
  <si>
    <t>14.04.2023 10:28</t>
  </si>
  <si>
    <t>14.04.2023 10:25</t>
  </si>
  <si>
    <t>Не комментирую лечение без осмотра. Изначально сомнительное лечение пульмикорт и амбробене</t>
  </si>
  <si>
    <t>ЧАТ с @DR.LEEYANA</t>
  </si>
  <si>
    <t>DR.LEEYANA</t>
  </si>
  <si>
    <t>14.04.2023 10:24</t>
  </si>
  <si>
    <t>Здравствуйте. Сухой кашель у ребенка 7 лет, мучал его прямо. Прописали 2 рвд пульмикорт плюс амбробене сироп. Сколько дней это делать, прежде чем кашель станет влажным?</t>
  </si>
  <si>
    <t>lera lantsova</t>
  </si>
  <si>
    <t>14.04.2023 10:21</t>
  </si>
  <si>
    <t>Интересные рецепты</t>
  </si>
  <si>
    <t>Устала болеть  Ковид - Светлана</t>
  </si>
  <si>
    <t>Сколько лет дочери? Могу вам посоветовать Циклоферон, его можно давать детям с 4-х лет. Мы сами только им и лечимся, нужно обязательно пропить весь курс — всего 5 приемов, детям дозировка как у взрослых. Самое главное — таблетки нужно полностью запивать водой, их нельзя жевать и разламывать.</t>
  </si>
  <si>
    <t>Kostycheva Aldora</t>
  </si>
  <si>
    <t>Светлана</t>
  </si>
  <si>
    <t>14.04.2023 10:20</t>
  </si>
  <si>
    <t>Александр Егоров</t>
  </si>
  <si>
    <t>Пензенская область</t>
  </si>
  <si>
    <t>Пенза</t>
  </si>
  <si>
    <t>Сергей Бобрешов</t>
  </si>
  <si>
    <t>14.04.2023 10:18</t>
  </si>
  <si>
    <t>Татьяна Пестерева</t>
  </si>
  <si>
    <t>Каменск-Уральский</t>
  </si>
  <si>
    <t>Светлана Бугреева(Скрыпник)</t>
  </si>
  <si>
    <t>Иркутская область</t>
  </si>
  <si>
    <t>Железногорск-Илимский</t>
  </si>
  <si>
    <t>Энциклопедия знаний</t>
  </si>
  <si>
    <t>Новосибирская область</t>
  </si>
  <si>
    <t>Новосибирск</t>
  </si>
  <si>
    <t>14.04.2023 10:15</t>
  </si>
  <si>
    <t>Инна Шанина</t>
  </si>
  <si>
    <t>Светлана Чаленко</t>
  </si>
  <si>
    <t>Господи, как я ненавижу - IikaTruf</t>
  </si>
  <si>
    <t>От таких людей не спрячешься, поэтому лучший вариант — профилактика. Могу порекомендовать Циклоферон — и ребенку, и вам. Детям его можно давать с 4х лет, главное таблетку не жевать и не ломать, полностью проглатываем. Пропить нужно весь курс по схеме (подробно есть в инструкции). Циклоферон не раз выручал меня и мою семью, мы и болеть реже стали, что немаловажно)</t>
  </si>
  <si>
    <t>Churova Alzema</t>
  </si>
  <si>
    <t>IikaTruf</t>
  </si>
  <si>
    <t>14.04.2023 10:13</t>
  </si>
  <si>
    <t>В аптеках Омской области увеличились цены на поливитамины и йод</t>
  </si>
  <si>
    <t xml:space="preserve">В среднем рост стоимости составил 0,4%.   Согласно данным, опубликованным специалистами Омскстата, с января по март 2023 года в регионе выросли цены на ряд важных препаратов. Так, больше всего подорожали фурасемид (на 12,5%), дротаверин (на 4,6%), а также аскорбиновая кислота (на 3,5%). При этом дешевле стали супрастин (на 5%), амлодипин (на 4,6%), ксарелто (на 3,9%), натрия хлорид (на 3,7%) и ацетилцистеин (АЦЦ) (на 3,4%).
Добавим, что также повысилась стоимость йода — на 6,5% и поливитаминов — на 4,4%. Кроме того, на 2,6 — 6% подорожали зарубежные препараты, в частности синупрет. Зато таурин, афобазол, аципол и ренгалин стали дешевле — снижение цен зафиксировано на уровне от 3,1% до 8,3%.
  Фото: 12 канал.   
  По теме:   В Омской области подорожали помидоры и куриные яйца, но подешевели огурцы</t>
  </si>
  <si>
    <t>14.04.2023 10:12</t>
  </si>
  <si>
    <t xml:space="preserve">Послушаю при случаеВы,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Навигация (тайм-коды):
0:00 - моё важное вступление/ пояснения!
12:21 - интервью ПРОВИЗОРА/ биохимика!
1:38:18 - моё послесловие/ комментарии!Провизор раскрыл тайны фарм мафии! Зачем народ травят лекарствами? Это ЖУТКО, но знать НАДО!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</si>
  <si>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Екатерина Корниевская</t>
  </si>
  <si>
    <t>Томская область</t>
  </si>
  <si>
    <t>Томск</t>
  </si>
  <si>
    <t>Лечитесь арбидолом. Не нужны нам их лекарства, у нас свой фуфломицин есть</t>
  </si>
  <si>
    <t>Евгений Свистулькин</t>
  </si>
  <si>
    <t>14.04.2023 10:10</t>
  </si>
  <si>
    <t>Начинайте прием противовирусных, лично мне нравится циклоферон. Я сразу же заметила, что болезнь протекает намного быстрее, да и в принципе стала реже болеть.. Обязательно пропейте весь курс - 5 приемов по 4 таблетки на прием, более подробная схема есть в инструкции.</t>
  </si>
  <si>
    <t>Юлечка Шалан</t>
  </si>
  <si>
    <t>Все дети часто болеют, это нормально. Вы лучше лечитесь хорошо, чтобы осложнений не было, и тогда проблем с иммунитетом не будет. Нам хорошо помогает Циклоферон, благодаря нему и течение болезни намного легче, и осложнений никаких нет. Начали его пить с 4-х лет. Нужно пропить полный курс во взрослой дозировке, таблетку лучше не дробить и не жевать, полностью проглатываем.</t>
  </si>
  <si>
    <t>Наталья Рогова</t>
  </si>
  <si>
    <t>Подслушано у мам в Ижевске</t>
  </si>
  <si>
    <t>14.04.2023 10:09</t>
  </si>
  <si>
    <t>Наталия Городецкая(минакова)</t>
  </si>
  <si>
    <t>Калуга</t>
  </si>
  <si>
    <t>Однажды, когда работала в поликлинике в ковид, пришла на дом к пациентке, которая рассказывала про свои типичный истерический припадок (отнялись ноги ниже колена, ходить-стоять не могу), после которых ее госпитализировали в больницу, ничего не нашли и выписали домой (выписки глядела, все ок). Приступ был спровоцирован ссорой с мамой Она боялась, что это состояние может быть сново спровоцировано тем, что ковид «убивает печень». В итоге: атрофии мышц нет, патологических рефлексов нет, соматически здорова, в выписках все хорошо, ковид протекает в Ленкой форме в виде ринита. ТРЕБОВАЛА препарат, защищающий нервную систему и печень, и убивающий вирус. В итоге арбидол и глицин.</t>
  </si>
  <si>
    <t>instagram.com</t>
  </si>
  <si>
    <t>albatrossmakesgood</t>
  </si>
  <si>
    <t>Сергей Саяпин</t>
  </si>
  <si>
    <t>Да, ковид очень сильно расшатывает здоровье. Многие жалуются, что повылезали хронические болячки. Единственное, меня спасло, что я начала оперативно лечиться. Еще до сдачи пцр я начала прием циклоферона, а уже после, когда попала на прием к терапевту, мне сказали, что я все верно сделала. И знаете, слава богу обошлось без осложнений. Да и болезнь протекала намного легче.</t>
  </si>
  <si>
    <t>Вера Муратова</t>
  </si>
  <si>
    <t>Мамы, Мамочки, Детские пособия Калининград</t>
  </si>
  <si>
    <t>14.04.2023 10:04</t>
  </si>
  <si>
    <t>Эльвира Веткина</t>
  </si>
  <si>
    <t>14.04.2023 10:03</t>
  </si>
  <si>
    <t>Любовь Цыранова</t>
  </si>
  <si>
    <t>14.04.2023 10:02</t>
  </si>
  <si>
    <t xml:space="preserve">Странные ощущения...
С понедельника у меня заболело горло и кашель сильный, я пила грудной сбор, лазолван и прочие лекарства. Вчера появилось болезненное ощущение под верхней губой и в левой ноздре,  ...Странные ощущения под верхней губой и в левой ноздре, как будто фурункул, а сейчас под языком боль, как при стоматите.
https://www.galya.ru/clubs/show.php?id=1392063&amp;nt=230
Странные ощущения... С понедельника у меня заболело горло и кашель сильный, я пила грудной сбор, лазолван и прочие лекарства. Вчера появилось болезненное ощущение под верхней губой и в левой ноздре,  ...</t>
  </si>
  <si>
    <t>Fashion - стиль и мода 2019</t>
  </si>
  <si>
    <t>14.04.2023 10:01</t>
  </si>
  <si>
    <t xml:space="preserve">В омских аптеках подскочили цены на жизненно необходимые препараты
/ Текст: ИА «Город55» / Об этом свидетельствуют данные аналитиков.
Об этом свидетельствуют данные аналитиков. Согласно информации Омскстата, за первые три месяца этого года стоимость жизненно важных лекарств выросла в среднем на 0,4%. Больше всего выросли цены на фурасемид, который часто выписывают пациентам с проблемами сердца, легких и почек, чтобы снять отеки. Препарат стал дороже на 12,5%. Спазмолитик дротаверин также подскочил в цене на 4,6%. Аскорбиновая кислота за январь–март 2023 года подрожала на 3,5%. Стоимость антибиотика цефтриаксон выросла на 3,1%. При этом дешевле стали супрастин (на 5,0%), амлодипин (на 4,6%), ксарелто (на 3,9%), натрия хлорид (на 3,7%), АЦЦ (на 3,4%) и амбоксол (на 3,4%). Другие фармацевтические средства также выросли в цене. Повысилась стоимость отечественных йода (на 6,5%), поливитаминов (на 4,4%) и флуоцинолона ацетонид (на 3,1%). В линейке зарубежных препаратов больше всего подорожал синупрет. Афобазол, аципол, таурин, комбинированные анальгетики, эссенциале форте, мидокалм и ренгалин вместе с тем стали дешевле на 3,1-8,3%.
https://gorod55.ru/news/2023-04-14/polechimsya-v-drugoy-raz-v-omskoy-oblasti-vzleteli-tseny-na-lekarstva-2902964</t>
  </si>
  <si>
    <t>Вольные каменьщики</t>
  </si>
  <si>
    <t>14.04.2023 10:00</t>
  </si>
  <si>
    <t>Гульнара Фазылова</t>
  </si>
  <si>
    <t>Наши пенсионеры!</t>
  </si>
  <si>
    <t xml:space="preserve">За неделю в Коми подорожали капуста и черный чай, но подешевели сыр и колбаса
Комистат раскрыл данные об изменениях цен на отдельные товары в регионе за минувшую неделю. По информации учреждения, с 4 по 10 апреля некоторые продукты заметно выросли в стоимости.
Так, специалисты отмечают рост цен на подсолнечное масло - 3,9%, черный чай, который подскочил на 3,7%, сыры - 5% и вареную колбасу - 3,7%. Также заметно подорожала капуста, которая в сравнении с прошлой неделей стала стоить на 7,3% дороже. Из плодоовощной продукции также подорожали огурцы - на 2,5%, помидоры - на 2,1%, свеклу столовую - на 1,7%, лук репчатый - на 1,3%, морковь - на 1,1%. Дешевле стали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 не изменились.</t>
  </si>
  <si>
    <t>russia24.pro</t>
  </si>
  <si>
    <t xml:space="preserve">Комистат раскрыл данные об изменениях цен на отдельные товары в регионе за минувшую неделю. По информации учреждения, с 4 по 10 апреля некоторые продукты заметно выросли в стоимости.
Так, специалисты отмечают рост цен на подсолнечное масло - 3,9%, черный чай, который подскочил на 3,7%, сыры - 5% и вареную колбасу - 3,7%. Также заметно подорожала капуста, которая в сравнении с прошлой неделей стала стоить на 7,3% дороже. Из плодоовощной продукции также подорожали огурцы - на 2,5%, помидоры - на 2,1%, свеклу столовую - на 1,7%, лук репчатый - на 1,3%, морковь - на 1,1%. Дешевле стали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2,1%.В группе наблюдаемых медикаментов выросли цены на левомеколь - на 2,2%, валидол - на 1,4%, ренгалин - на 1,0%.Цены на бензин автомобильный и дизельное топливо  не изменились....</t>
  </si>
  <si>
    <t>pg11.ru</t>
  </si>
  <si>
    <t xml:space="preserve">Комистат раскрыл данные об изменениях цен на отдельные товары в регионе за минувшую неделю. По информации учреждения, с 4 по 10 апреля некоторые продукты заметно выросли в стоимости. За неделю в Коми подорожали капуста и черный чай, но подешевели сыр и колбаса
Комистат раскрыл данные об изменениях цен на отдельные товары в регионе за минувшую неделю. По информации учреждения, с 4 по 10 апреля некоторые продукты заметно выросли в стоимости.
Так, специалисты отмечают рост цен на подсолнечное масло - 3,9%, черный чай, который подскочил на 3,7%, сыры - 5% и вареную колбасу - 3,7%. Также заметно подорожала капуста, которая в сравнении с прошлой неделей стала стоить на 7,3% дороже. Из плодоовощной продукции также подорожали огурцы - на 2,5%, помидоры - на 2,1%, свеклу столовую - на 1,7%, лук репчатый - на 1,3%, морковь - на 1,1%. Дешевле стали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 не изменились.</t>
  </si>
  <si>
    <t>123ru.net</t>
  </si>
  <si>
    <t>russian.city</t>
  </si>
  <si>
    <t>ru24.net</t>
  </si>
  <si>
    <t>ria.city</t>
  </si>
  <si>
    <t>news-life.pro</t>
  </si>
  <si>
    <t>14.04.2023 09:58</t>
  </si>
  <si>
    <t>Ирина Хлебникова</t>
  </si>
  <si>
    <t>Пычас</t>
  </si>
  <si>
    <t>14.04.2023 09:57</t>
  </si>
  <si>
    <t>Текст на изображении: ЛЕКАРСТВА, КОТОРЫЕ ВСЕГДА ДОЛЖНЫ БЫТЬ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болях в сердце: валидол. При вздутии и тяжести в животе: фестал. и ушибов: мазь бодяга. При растяжении мышц вальторен гель, випросал. Не забывайте читать инструкции перед применением, лучше консультироваться врачом! При аллергии: зиртек, фенистил (капли).</t>
  </si>
  <si>
    <t>Зинаида Богданова (Денисова)</t>
  </si>
  <si>
    <t>Сания Нигаметзянова</t>
  </si>
  <si>
    <t>Розалия Гиниятуллина</t>
  </si>
  <si>
    <t xml:space="preserve">Да-да, гептрал лечит всё на свете: цирроз, печёночную энцефалопатию, а теперь ещё и псориаз.
Наверное, 47-летнему Эдуарду Багирову гептрала не хватило, оттого и умер с диагнозами цирроз и печёночная энцефалопатия.
А "тубик" боится ударных доз АЦЦ и бронхипрета, вылечиваясь за три недели. 
Настало время офигительных историй! </t>
  </si>
  <si>
    <t>14.04.2023 09:55</t>
  </si>
  <si>
    <t>Нина Шестакова</t>
  </si>
  <si>
    <t>Хозяюшка / Женские хитрости</t>
  </si>
  <si>
    <t>14.04.2023 09:54</t>
  </si>
  <si>
    <t xml:space="preserve">Любовь Логачёва(ГОЦКИНА) </t>
  </si>
  <si>
    <t>14.04.2023 09:53</t>
  </si>
  <si>
    <t>Ришат Низамов</t>
  </si>
  <si>
    <t>14.04.2023 09:51</t>
  </si>
  <si>
    <t>аля бутусова(бахтина)</t>
  </si>
  <si>
    <t>Железнодорожный</t>
  </si>
  <si>
    <t>14.04.2023 09:50</t>
  </si>
  <si>
    <t xml:space="preserve">В Омской области взлетели цены на лекарства
В омских аптеках подскочили цены на жизненно необходимые препараты
Об этом свидетельствуют данные аналитиков.
Согласно информации Омскстата, за первые три месяца этого года стоимость жизненно важных лекарств выросла в среднем на 0,4%. Больше всего выросли цены на фурасемид, который часто выписывают пациентам с проблемами сердца, легких и почек, чтобы снять отеки. Препарат стал дороже на 12,5%.
Спазмолитик дротаверин также подскочил в цене на 4,6%. Аскорбиновая кислота за январь–март 2023 года подрожала на 3,5%. Стоимость антибиотика цефтриаксон выросла на 3,1%. При этом дешевле стали супрастин (на 5,0%), амлодипин (на 4,6%), ксарелто (на 3,9%), натрия хлорид (на 3,7%), АЦЦ (на 3,4%) и амбоксол (на 3,4%).
Другие фармацевтические средства также выросли в цене. Повысилась стоимость отечественных йода (на 6,5%), поливитаминов (на 4,4%) и флуоцинолона ацетонид (на 3,1%). В линейке зарубежных препаратов больше всего подорожал синупрет. Афобазол, аципол, таурин, комбинированные анальгетики, эссенциале форте, мидокалм и ренгалин вместе с тем стали дешевле на 3,1-8,3%.</t>
  </si>
  <si>
    <t>Людмила Толмачева</t>
  </si>
  <si>
    <t>Taтьяна Ломакина (Шепелева)</t>
  </si>
  <si>
    <t>Тавда</t>
  </si>
  <si>
    <t>14.04.2023 09:49</t>
  </si>
  <si>
    <t>Марина Волкова</t>
  </si>
  <si>
    <t>14.04.2023 09:48</t>
  </si>
  <si>
    <t>Замфира Салимова</t>
  </si>
  <si>
    <t>Кушнаренково</t>
  </si>
  <si>
    <t>Людмила Кузовова</t>
  </si>
  <si>
    <t>Нижнекамск</t>
  </si>
  <si>
    <t>Назима Мифтахова</t>
  </si>
  <si>
    <t>14.04.2023 09:47</t>
  </si>
  <si>
    <t>За неделю в Коми подорожало подсолнечное масло и черный чай, но подешевели сыр и колбаса</t>
  </si>
  <si>
    <t xml:space="preserve">Фото: komiinform.ru               Об изменении потребительских цен на отдельные виды товаров и услуг в Республике Коми c 4 по 10 апреля информирует Комистат.
За прошедшую неделю выросли цены на масло подсолнечное - на 3,9%, чай черный - на 3,7%. Вместе с тем подешевели по сравнению с прошлой неделей: сыры твердые, полутвердые и мягкие - на 5%, колбаса вареная - на 3,7%, сметана - на 0,9%.
Из плодоовощной продукции рост цен был отмечен на капусту - на 7,3%, огурцы - на 2,5%, помидоры - на 2,1%, свеклу столовую - на 1,7%, лук репчатый - на 1,3%, морковь - на 1,1%. В то же время снизились цены: на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топливо&amp;nbsp; не изменились.
 Комиинформ</t>
  </si>
  <si>
    <t>Колдрекс или грипофлю - помогут облегчить состояние, снизить температуру, головную боль, ломоту убрать Полоскания горла фурацилином, геделикс капельки, грамидин или стрепсилс, помогут с горлом и кашлем для носа, лучшее- промывания, по нужде добавить спрей) витамин С обязательно, очень важен при простудах, я щипучие беру, удобно в приеме Обычно примерно по такой схеме лечимся, помогает)</t>
  </si>
  <si>
    <t>Евгения Орхаева</t>
  </si>
  <si>
    <t>Подслушано у девушек | VK официальная группа</t>
  </si>
  <si>
    <t>В омских аптеках подорожали лекарства от отёков и йод</t>
  </si>
  <si>
    <t xml:space="preserve">Фото: user72902.clients-cdnnow.ru              Фото: Om1.ru А вот препараты зарубежного производства подешевели.  Омские статисты опубликовали данные о&amp;nbsp; ценах на&amp;nbsp; жизненно необходимые препараты. Так, подорожали фуросемид (на&amp;nbsp; 12,5%), дротаверин (на&amp;nbsp; 4,6%), аскорбиновую кислоту (на&amp;nbsp; 3,5%), цефтриаксон (на&amp;nbsp; 3,1%). Однако на&amp;nbsp; половину препаратов из&amp;nbsp; данной группы цены снизились на&amp;nbsp; 0,2&amp;ndash;5%. Доступнее стали супрастин (на&amp;nbsp; 5%), амлодипин (на&amp;nbsp; 4,6%), ксарелто (на&amp;nbsp; 3,9%), натрия хлорид (на&amp;nbsp; 3,7%), ацетилцистеин (АЦЦ) (на&amp;nbsp; 3,4%), амбоксол (на&amp;nbsp; 3,4%).&amp;nbsp;
Из&amp;nbsp; отечественных медикаментов подорожал йод (на&amp;nbsp; 6,5%), поливитамины (на&amp;nbsp; 4,4%), флуоцинолона ацетонид (на&amp;nbsp; 3,1%). На&amp;nbsp; зарубежные препараты цены поднялись от&amp;nbsp; 2,6 до&amp;nbsp; 6%. При&amp;nbsp; этом афобазол, аципол, таурин, комбинированные анальгетики, эссенциале форте, мидокалм, ренгалин подешевели на&amp;nbsp; 3,1&amp;ndash;8,3%.
Ранее портал Om1.ru сообщал, что&amp;nbsp; стало известно, кто взял на&amp;nbsp; себя организационные моменты по&amp;nbsp; поводу салюта на&amp;nbsp; 9&amp;nbsp; мая. Подробнее&amp;nbsp; &amp;mdash; в&amp;nbsp; нашем материале.</t>
  </si>
  <si>
    <t>14.04.2023 09:46</t>
  </si>
  <si>
    <t>Нам аллерголог назначила монтекуласт курсами. Результат лучше,чем от бронхомунала.</t>
  </si>
  <si>
    <t>Анна Алалыкина(Сергеева)</t>
  </si>
  <si>
    <t>Инвамама - сообщество родителей детей-инвалидов</t>
  </si>
  <si>
    <t>14.04.2023 09:45</t>
  </si>
  <si>
    <t>Можно…нельзя У нас такая же ситуация и если совсем ж@па и ничего не помогает, сопли больше 10 дней. Я капаю маленькому капли Маркова 4. Они с антибиотиком и помогают за 2-3 раза. Да их не желательно до года, но от такого малого количества ничего не будет, зато ребенку сразу облегчение. А так нафтизин на сон, деринат, солевые растворы и отсасывать. ‍♀️</t>
  </si>
  <si>
    <t>Мария Сидоренко</t>
  </si>
  <si>
    <t>Рыбинск</t>
  </si>
  <si>
    <t>14.04.2023 09:44</t>
  </si>
  <si>
    <t>Зинаида Бабаскина</t>
  </si>
  <si>
    <t>Тамбовский</t>
  </si>
  <si>
    <t>Валентина Мелентьева</t>
  </si>
  <si>
    <t>Великий Устюг</t>
  </si>
  <si>
    <t>14.04.2023 09:43</t>
  </si>
  <si>
    <t xml:space="preserve">....ЛЕКАРСТВА...ТАБЛЕТКИ ...пути сокращения ...
Elen Eleп .16 янв 2023 в 13:52
ГЕНОЦИД НАСЕЛЕНИЯ ЧЕРЕЗ АПТЕКИ
Шокирующая исповедь провизора.
Георгий Демидов, человек который работал провизором в аптеках более 25 лет.
Он обнаружил, что из 4 000 медикаментов имеющихся в каждой среднестатистической аптеке, это:
• 1500 плацебо (плаце‌бо — вещество без явных лечебных свойств, используемое для имитации лекарственного средства);
• 286 препаратов опасных для жизни;
• 83 препарата — это боевые отравляющие вещества!!!
Препарат ТАЛИДОМИД — производства США. Его выписывают для беременных. В США после применения такого препарата родилось более 40 тыс детей, у которых кисти и стопы росли прямо из плеч и бедер. То есть отсутствовало само бедро и сама голень.
Тяжелейшее уродство. Его запретили на территории США, он является сверх токсичным веществом.
Он нигде не прижился кроме России. У нас он идет теперь как снотворное. А так же его прописывают сердечникам и онкологическим больным.
ЭТО СИСТЕМА УТИЛИЗАЦИИ ЯДА В ЛЮДЕЙ.
Более 80 процентов лекарств принадлежит к клану Рокфеллеров.
ГЛЮКОЗАМИН СУЛЬФАТ — это препарат фуфло. Но если врач не назначит его больному при артрозах, то врача могут засудить.
Люди пьют этот препарат по три месяца и не подтверждено никакого лечебного действия. А денежки не малые. Десахарид в этом препарате не способен всасываться в кишечнике. Как препарат, который не оказывает лечебного действия проходит наш Минздрав ?
Препарат ПАРАЦЕТАМОЛ — это не лекарство, а отходы нефтяного производства.
В большинстве лекарств присутствуют клеточные яды.
Очень хорошо лечат советские таблетки и они стоят копейки, но люди не хотят читать рецептуру и узнавать аналогию препаратов, им легче купить дорогие препараты, которые не лечат. Более того они ядовиты.
13 граммов парацетамола НАНОСЯТ ПЕЧЕНИ УЩЕРБ ТАКОЙ ЖЕ, КАК ЖЕЛТУХА СРЕДНЕЙ ТЯЖЕСТИ. ПРИЧЁМ ЗДОРОВЬЕ ПОТЕРЯЕТЕ НА ВСЮ ЖИЗНЬ.
Более серьезный и ядовитый препарат — это препарат КАГОЦЕЛ.
СЕЙЧАС ЭТО САМЫЙ РЕКЛАМИРУЕМЫЙ ПРЕПАРАТ И ЕГО РЫНОК ПРОДАЖ НА СЕГОДНЯ БОЛЕЕ 14 МЛРД РУБЛЕЙ В ГОД.
Этот препарат запрещен в 1998 году во всех нормальных странах мира, кроме, конечно же, России.
КАГОЦЕЛ ОСУЩЕСТВЛЯЕТ СТЕРИЛИЗАЦИЮ НАСЕЛЕНИЯ.
Он никак не действует на иммунную систему, его побочка приводит к стерилизации людей.
И причем сами врачи говорят, что возможна алегоспермия (то есть стерилизация мужчин), но в течение года это восстанавливается. Но по факту все абсолютно не так.
И он тоже относится к "жизненно важным" препаратам, который невозможно не назначить.
Несколько лет назад был в Европе скандал по поводу употребление конины.
Коней лечат препаратом ФИНИЛБУТАЗОН, который стимулирует раковые опухоли в 14-39 раз. И нечаянно дали людям конину. Там был такой скандал, который помнят через полтора года.
Препарат РЕОПИРИН — 260 руб. — 250 мг капсула или ампула
Читаем фармакологическое название — ФИНИЛБУТАЗОН. То есть который вызывает раковые заболевания у людей. То, чего боятся европейцы, продаётся нам под видом ядовитых таблеток смерти в чистом виде.
АРБИДОЛ — совершенно не доказано клиническое воздействие, препарат туфта. Он не имеет к простуде никакого значения.
Если лечите раковое заболевание, то нельзя заливать соду водой свыше 60 градусов.
Препарат противогрибковый КАРБЕНДАЗИМ — это яд.
МЕДАМИН в таблетках. Он во всем мире известен как сверхтоксичный.
Но в нашей стране его завезли как противоглистный препарат.
Я имею диплом химика и съем свой диплом, если мне кто-то докажет, что этот препарат имеет свойство против глистов. ЭТО ПРОСТО ПРОДАЖА ЯДА.
Обычной аскорбиновой кислотой вы излечите атеросклероз на 50 процентов, за полгода, то есть рассосутся ваши бляшки.
Первое, что нельзя принимать — это все СТАТИНЫ. Они на 5-6 лет укорачивают жизнь здоровым, а больным ускорят смерть.Дополню печальную статистику от инфо 1 канала \года 2 назад\ Росэпидем или сан Надзор ....20% лекарств лечат ...70 % только снимают симптомы и не лечат и 10% лекарств опасны для здоровья . До 45% лечащих лекарств имеют НЕДОВЛАЖЕНИЕ действующего начала .</t>
  </si>
  <si>
    <t>ОКАЗЫВАЕТСЯ ...</t>
  </si>
  <si>
    <t>Олег Васильев</t>
  </si>
  <si>
    <t>Ачинск</t>
  </si>
  <si>
    <t xml:space="preserve">Ёбаный в рот меня задолбало болеть меня задолбало приходить в поликлинику чтобы эта пизда мне опять выписала антибиотики а мама сказала пить циклоферон
В этот раз я буду лечиться только цитрамоном и холсом всё</t>
  </si>
  <si>
    <t>эконеанкапочка</t>
  </si>
  <si>
    <t>14.04.2023 09:41</t>
  </si>
  <si>
    <t>Лилия Галиева</t>
  </si>
  <si>
    <t>Уфа</t>
  </si>
  <si>
    <t>14.04.2023 09:40</t>
  </si>
  <si>
    <t>Светлана Каратеева</t>
  </si>
  <si>
    <t>Валентина Стасюк (Стерлядникова)</t>
  </si>
  <si>
    <t>Рязанская область</t>
  </si>
  <si>
    <t>Орловский</t>
  </si>
  <si>
    <t>14.04.2023 09:39</t>
  </si>
  <si>
    <t>А врач что говорит? Ингаверин пьем, темп. снижаем Ибуклином.</t>
  </si>
  <si>
    <t>Евгения Синозацкая</t>
  </si>
  <si>
    <t>Женский Саратов</t>
  </si>
  <si>
    <t>Саратов</t>
  </si>
  <si>
    <t>Странные ощущения под верхней губой и в левой ноздре, как будто фурункул, а сейчас под языком боль, как при стоматите.</t>
  </si>
  <si>
    <t xml:space="preserve">Странные ощущения...
С понедельника у меня заболело горло и кашель сильный, я пила грудной сбор, лазолван и прочие лекарства. Вчера появилось болезненное ощущение под верхней губой и в левой ноздре, как будто фурункул или что-то такое, а сейчас под языком боль, как при стоматите и справа у нижней челюсти. На что может быть похоже?    следующая тема&amp;raquo;</t>
  </si>
  <si>
    <t>galya.ru</t>
  </si>
  <si>
    <t>КрейцероваСоната</t>
  </si>
  <si>
    <t>14.04.2023 09:38</t>
  </si>
  <si>
    <t>Татьяна Шеваренкова (Русанова)</t>
  </si>
  <si>
    <t>Тверская область</t>
  </si>
  <si>
    <t>Кашин</t>
  </si>
  <si>
    <t>14.04.2023 09:36</t>
  </si>
  <si>
    <t>Ольга Федоренко</t>
  </si>
  <si>
    <t>Республика Хакасия</t>
  </si>
  <si>
    <t>Абакан</t>
  </si>
  <si>
    <t>14.04.2023 09:34</t>
  </si>
  <si>
    <t>Василий Костин</t>
  </si>
  <si>
    <t>Иркутск</t>
  </si>
  <si>
    <t>Татьяна Гамей</t>
  </si>
  <si>
    <t>14.04.2023 09:32</t>
  </si>
  <si>
    <t xml:space="preserve">Лучшие средства от диареи (поноса). Уголь, Смекта, Фуразолидон, Бифидумбактерин,Лучшие средства от диареи (поноса). Уголь, Смекта, Фуразолидон, Бифидумбактерин,
13 лекарств от простатита. Личный опыт мнение. Лонгидаза, Витапрост, Генферон, Простамол, Аденопросин: https://youtu.be/WwJVziiaij0
0:00 Активированный уголь
3:51 Смекта
5:52 Фуразолидон
11:08 Бифидумбактерин
16:20 Бак-сет
19:40 Линекс
20:55 Энтерол
24:37 Сок алоэ
25:27 Ферментозим форте
Как открыть Бифидумбактерин и в чем его польза?: https://youtu.be/SX0VTvcjBJ8
Как получить скидку на прием к врачу через ПроДокторов: https://smotrisoft.ru/kak-poluchit-skidku-na-priem-k-vrachu-che/
Витамины Solgar с iHerb от боли в спине и высокого холестерина: https://www.youtube.com/watch?v=1f5hGjy-l-U
Витамины с iHerb для здоровья крови, сердца и иммунитета: https://www.youtube.com/watch?v=-SPcF8czc30
Омега-3 и прочие витамины с iHerb: https://www.youtube.com/watch?v=rLwmc7cukJ4
Протеин, Арахисовая паста, Омега 3 и прочее с iHerb: https://zen.yandex.ru/media/id/6226ee395b71781c67b0550a/62285c811bf0377f323d362f
---------------------------------
Поблагодарить донатом: https://www.donationalerts.com/r/ailublukino
Кэшбэк с AliExpress и продуктов: http://ali.pub/4aou7a
8 гаджетов для вашего компа с Алиэкспресс: https://www.youtube.com/watch?v=YosrTamqVzk
6 гаджетов для апгрейда ноутбука: https://www.youtube.com/watch?v=QyRQQplDA_s
Сколько платят за миллион просмотров на YouTube: http://smotrisoft.ru/skolko-platyat-za-million-prosmotrov</t>
  </si>
  <si>
    <t>smotrisoft.ru</t>
  </si>
  <si>
    <t>14.04.2023 09:31</t>
  </si>
  <si>
    <t xml:space="preserve">Росстат сообщает. Об индексе потребительских цен в марте 2023 года.
Текст на изображении: Об индексе потребительских цен в марте 2023 года Индексы цен на отдельные непродовольственных товаров в процентах Справочно ‚март 2022 к февралю декабрю марту О 103.41 104.92 105.40 108.42 10 Моющие и чистящие 111.99 122.29 Табачные изделия и другие бытовые приборы Электротовары Телерадиотовары Строительные 996 9921 Бензин 99.94 10 Медикаменты В марте цены на лекарственные препараты, относящиеся к жизненно необходимым и важнейшим лекарственным препаратам в среднем выросли на в том числе на фуросемид на ибупрофен на дротаверин (но-шпу) на аскорбиновую кислоту на ацетилсалициловую кислоту (аспирин отечественный), омепразол на натрия хлорид на При этом снизились цены: на ингавирин на осельтамивир (номидес) на амброксол на азитромицин, смекту на умифеновир (арбидол) на фосфоглив, перекись водорода, эналаприл на Лекарственные препараты, не относящиеся к ЖНВЛИ, в среднем стали дороже на в том числе синупрет на левомеколь на поливитамины на нафазолин, канефрон на алмагель на сульфацетамид на аллохол на кеторол экспресс на активированный уголь на афобазол на Одновременно снизились цены: на эссенциале форте на таурин на ингалипт на эргоферон на валидол на корвалол на валерианы экстракт, ренгалин, йод на Среди медицинских товаров и перевязочных материалов подорожали: корригирующие очки на термометры медицинские электронные, вата отечественная на Одновременно снизились цены на термометры медицинские безртутные (галинстановые) на шприцы одноразовые на аппараты для измерения артериального давления на Из наблюдаемых товаров, входящих в рекомендуемый перечень непродовольственных товаров первой необходимости, подорожали: спички на пеленки для новорожденных, сухие корма для домашних животных на мыло и бумага туалетные на бумажные столовые салфетки на Вместе тем снизились цены: на антисептики для рук на порошки стиральные, подгузники детские бумажные, бутылочки для кормления на Цены на бензин автомобильный выросли на В то же время цены на газовое моторное топливо снизились на дизельное топливо на Среди строительных материалов выросли цены: на металлочерепицу на цемент тарированный, плитки керамические, облицовочные для внутренних работ на гипсокартон, обои виниловые на Одновременно снизились цены: на доски обрезные на плиты древесностружечные, ориентированно- стружечные на рубероид, линолеум на https://rosstat.gov.ru/storage/mediabank/56_12-04-2023.html</t>
  </si>
  <si>
    <t>14.04.2023 09:29</t>
  </si>
  <si>
    <t xml:space="preserve">В среднем рост стоимости составил 0,4%.  Согласно данным, опубликованным специалистами Омскстата, с января по март 2023 года в регионе выросли цены на ряд важных препаратов. Так, больше всего подорожали фурасемид (на 12,5%), дротаверин (на 4,6%), а также аскорбиновая кислота (на 3,5%). При этом дешевле стали супрастин (на 5%), амлодипин (на 4,6%), ксарелто (на 3,9%), натрия хлорид (на 3,7%) и ацетилцистеин (АЦЦ) (на 3,4%).
Добавим, что также повысилась стоимость йода — на 6,5% и поливитаминов — на 4,4%. Кроме того, на 2,6 — 6% подорожали зарубежные препараты, в частности синупрет. Зато таурин, афобазол, аципол и ренгалин стали дешевле — снижение цен зафиксировано на уровне от 3,1% до 8,3%. Фото: 12 канал.</t>
  </si>
  <si>
    <t>Много наркоту у хохлов, плюс лекарства нарко содержащие учет которых думаю особо некто не видет,наркота есть в таблетках от кашля которые раньше продавали Терпинкод и Коделак нарики ими перекумаривали а там промидол чего стоит</t>
  </si>
  <si>
    <t>Денис</t>
  </si>
  <si>
    <t>Жесть дня</t>
  </si>
  <si>
    <t>Назиля Хайруллина</t>
  </si>
  <si>
    <t>14.04.2023 09:28</t>
  </si>
  <si>
    <t>Николай Кустов</t>
  </si>
  <si>
    <t>А вот препараты зарубежного производства подешевели. Омские статисты опубликовали данные о ценах на жизненно необходимые препараты. Так, подорожали фуросемид (на 12,5%), дротаверин (на 4,6%), аскорбиновую кислоту (на 3,5%), цефтриаксон (на 3,1%). Однако на половину препаратов из данной группы цены снизились на 0,2–5%. Доступнее стали супрастин (на 5%), амлодипин (на 4,6%), ксарелто (на 3,9%), натрия хлорид (на 3,7%), ацетилцистеин (АЦЦ) (на 3,4%), амбоксол (на 3,4%). Из отечественных медикаментов подорожал йод (на 6,5%), поливитамины (на 4,4%), флуоцинолона ацетонид (на 3,1%). На...Полный текст новости на источнике</t>
  </si>
  <si>
    <t>14.04.2023 09:27</t>
  </si>
  <si>
    <t>Ирина Макарова</t>
  </si>
  <si>
    <t>Мурманская область</t>
  </si>
  <si>
    <t>Снежногорск</t>
  </si>
  <si>
    <t>14.04.2023 09:26</t>
  </si>
  <si>
    <t>Ирина Ивлиева</t>
  </si>
  <si>
    <t xml:space="preserve">СПРАВОЧНИК ЛЕКАРСТВ
ПРОСТУДА
1. Арбидол – повышает противовирусную активность всех систем организма.
2. Ибупрон – сильное обезболивающие средство, быстро действует, в виде шипучих таблеток щадит желудок, а в свечах удобен для малышей.
3. Колдрекс – отличный сосудосуживающий препарат. Быстро действует, потому что его растворяют в горячей воде.
4. Назол – избавляет от насморка и не дает пересыхать слизистой оболочке носа, действует 12 часов.
5. Нурофен – скорая помощь, действует быстро. Для малышей есть свечи, но сильно ухудшает качество крови.
6. Парацетамол (панадол, эффералган) – великолепное жаропонижающее, незаменим для астматиков.
7. Полиоксидоний – стимулирует иммунную систему, назначают детям, пригоден для экстренной помощи и для профилактики во время эпидемии ОРВИ.
8. Рибомунил – восстанавливает иммунитет, рекомендован детям как самое эффективное средство.
9. Санорин – самое быстрое средство от насморка с противоаллергическими компонентами.
10. Флукол–Б – дешевый и эффективный препарат, но содержит 8% алкоголя и противопоказан водителям.
ПЕЧЕНЬ
1. Антраль – отечественный оригинальный препарат, ему нет аналогов в мире, защищает клетки печени от любой микробной агрессии.
2. Галстена – капли, незаменимое лекарство для маленьких детей.
3. Лиолив – улучшает состояние печени при желтухах (пониженный билирубин).
4. Липоферон – препарат принимают через рот, он дешевле инъекционных интерферонов в 5 раз!
5. Оротат калия – улучшает работу печени, синтез белка, общий обмен веществ.
6. Силимарин – гексал. Растительный препарат. В нем содержится намного больше действующего вещества, чем в его аналогах: карсиле, силиборе, гепабене.
7. Холензим – желчегонный недорогой препарат, помогает перевариванию пищи, улучшает выработку ферментов.
8. Холивер – желчегонный препарат растительного происхождения.
9. Хепель – гомеопатическое немецкое средство без побочных действий.
10. ЭСсенциале – уже 20 лет нет более действенного препарата для лечения печени.
ЖЕЛУДОК
1. Альтан – растительный препарат отечественного производства, незаменим при язвенной болезни.
2. Ацидин-пепсин. Препарат повышает кислотность в желудке.
3. Гастритол – капли растительного происхождения, хороши для малышей.
4. Мотилиум – нормализует моторику желудка, улучшает продвижение пищи по желудку.
5. Облепиховое масло – уменьшает воспалительные процессы в желудке.
6. Париет – из последнего поколения препаратов, которые хорошо снижают кислотность в желудке.
7. Пилобакт – новейшее средство от хеликобактера.
8. Ренорм – отечественный фитоконцентрат с сильным противовоспалительным действием, нормализует пищеварение.
9. Риабал – хорошо снимает спазмы в желудке, его назначают детям. Есть в виде сиропа и в каплях.
10. Фосфалюгель – гель, хорошо снимает приступы изжоги, менее токсичен, чем его аналоги.
ГЛАЗА
1. Зовиракс – глазная мазь, незаменима при конъюнктивитах вирусной природы.
2. Квинакс – лучшее профилактическое средство при катаракте.
3. Корнерегель – гель, хорошо восстанавливает слезную пленку на роговице глаза.
4. Ксалаком – в нем соединены два препарата ксалатан и тималол. Они усиливают действие друг друга.
5. Ксалатан (траватан) – эффективен при глаукоме, можно капать один раз в сутки.
6. Систейн – искусственная слеза, преимущество – можно капать раз в сутки.
7. Униклофен – хорошее нестероидное противовоспалительное средство в каплях.
8. Флоксал – капли, антибиотик, действует на широкий спектр микроорганизмов.
9. Флоксаловая мазь – незаменима при бактериальных конъюнктивитах.
10. Циклоксан – сильный антибиотик в каплях, панацея от острых конъюнктивитов.
УШИ
1. Амоксицилин – антибиотик, активно борется с основными возбудителями, вызывающими ЛОР-заболевания.
2. клавициллин-Амоксициллин + клавулановая кислота. Помимо чувствительных к амоксицилину микроорганизмов, препарат активно действует и на некоторые виды бактерий.
3. Отофа – ушные капли, антибиотик применяют при воспалительных заболеваниях среднего уха.
4.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 оказывает одновременно обезболивающее, противовоспалительное и жаропонижающее действие.
6.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 это цефалоспорины второго и третьего поколения. Их назначают тем, на кого не действует ампициллин.
9. Эдас-125 тонзиллин – гомеопатические капли, назначают детям с 2-х лет при отитах, аденоидах, хроническом тонзиллите с водой или на кусочке сахара.
10. Эритромицин – назначают тем, у кого аллергия на препараты пенициллинового ряда.
НЕРВЫ
1. Венлаксор – антидепрессант практически без побочных эффектов, быстро выводит из тяж
елой депрессии.
2. Бусперон – сильное противотревожное средство, не создает эффекта заторможенности. Можно применять водителям и студентам перед экзаменом.
3. Гидазепам – мягкое снотворное, не влияет на реакцию водителя. Но к нему можно привыкнуть – больше месяца пить нельзя!
4. Зипрекса – не имеет серьезных побочных действий, оказывает помощь мгновенно.
5. Имован (сонап, сомнол, сонаван) – самые современные снотворные средства.
6. Паксил – антидепрессант хорошо устраняет панику, страх, навязчивые состояния (фобии), помогает от анорексии, а также побочно удлиняет течение полового акта.
7. Праместар – улучшает память вообще и упрощает запоминание информации.
8. Рисполепт – действует долго, удобен – растворяется во рту как конфета.
9. Сульпирид (эгланил) – одновременно лечит нервы и желудок. Еще плюс: сегодня выпил – сегодня результат.
10. Финлепсин – лечит судороги и невриты, а также стабилизирует настроение.
ПОЧКИ
1. Аксеф – антибиотик, удобен тем, что можно принимать как таблетки, а можно вводить инъекционно. Он продается поштучно в комплекте с растворителем.
2. Блемарен – самый эффективный растворитель камней в почках.
3. Канефрон – растительный препарат без побочных действий.
4. Мовалис – свечи, негормональное противовоспалительное средство, которое не раздражает слизистую оболочку прямой кишки.
5. Нефрофит – комбинированный фитопрепарат с противовоспалительным и мочегонным действием. Без побочных эффектов, назначают детям с 5 лет и беременным.
6. Офлоксин – не агрессивен для желудка, редко вызывает аллергии.
7. Уросепт – свечи, действуют только на мочевыводящую систему.
8. Уролесан – растительный препарат, хорошо выводит песок из почек, часто назначают детям. Есть в виде сиропа.
9. Флемоклав солютаб – широкий спектр антимикробного действия, рекомендуют ослабленным больным.
10. Цефтриаксон – антибиотик широкого спектра действия с минимумом побочных эффектов, разрешен для применения даже беременным.
СУСТАВЫ
1. Аспирин – незаменим при подагре.
2. Алфлутоп – улучшает обмен крови и активизирует процессы обмена в мышцах.
3. Дона – укрепляет хрящевую ткань.
4. Диклоберл – негормональный противовоспалительный препарат. Применяют в свечах, но можно делать и уколы.
5. Диклофен – меньше других дает побочных эффектов.
6. Диклофенак – эффективный, но влияет на состояние крови.
7. Кетанов – эффективный инъекционный препарат.
8. Олфен – удобен тем, что есть в свечах, не страдает слизистая желудка.
9. Остеогенон – эффективный хондопротектор, избавляет суставы от разболтанности.
10. Ретаболил – улучшает периферическое кровообращение.
ГОРЛО
1. Анаферон – хорошее гомеопатическое средство для лечения вирусных инфекций верхних дыхательных путей.
2. Колустан – аэрозоль, хорошо снимает отеки при воспалениях.
3. Люголь, растворенный в глицерине – лучшее наружное средство при ларингите.
4. Пропосол–Н – имеет выраженные антимикробные и противовоспалительные свойства, не оказывает раздражающего действия на организм.
5. Синупрет – обладает антибактериальным и антиотечным действием, может назначаться детям – есть в виде капель.
6. Тонзилгон – противовоспалительное и обезболивающее средство, способствует уменьшению отека слизистой оболочки дыхательных путей.
7. Тонзилотрен – повышает активность слизистой оболочки.
8. Флемоксин солютаб – эффективный быстрорастворимый антибиотик при гнойной ангине, применяют как вовнутрь, так и для полоскания.
9. Фарингосепт – антисептическое средство, приятное на вкус (рассасывается во рту). Не влияет на кишечную микрофлору.
10. Фалиминт – средство с охлаждающим действием для лечения заболеваний полости рта и глотки. Незаменим накануне операций, при протезировании зубов и для лекторов.
Не забудь</t>
  </si>
  <si>
    <t>АЛЕКСАНДР СИЗЫХ</t>
  </si>
  <si>
    <t>Чунский</t>
  </si>
  <si>
    <t>14.04.2023 09:24</t>
  </si>
  <si>
    <t>Изофру точно не надо, и всякие деринаты тоже в мусорку</t>
  </si>
  <si>
    <t>Мария Александровна</t>
  </si>
  <si>
    <t>Валентина Любимова(Грязева)</t>
  </si>
  <si>
    <t>Новоузенск</t>
  </si>
  <si>
    <t>14.04.2023 09:23</t>
  </si>
  <si>
    <t>Лариса Катюшина</t>
  </si>
  <si>
    <t>14.04.2023 09:22</t>
  </si>
  <si>
    <t>Ирина Носова (Елфимова)</t>
  </si>
  <si>
    <t>Талица</t>
  </si>
  <si>
    <t>Светлана Гамова</t>
  </si>
  <si>
    <t>Ну она лежала 2 недели наверное. Я отхаркивающие пил рано, как только что-то ощутил в бронхах ударную дозу АЦЦ.</t>
  </si>
  <si>
    <t>Pavel</t>
  </si>
  <si>
    <t>14.04.2023 09:21</t>
  </si>
  <si>
    <t>Тамара Васильева (Власенкова)</t>
  </si>
  <si>
    <t xml:space="preserve">ИММУНИТЕТ. Почему не надо поднимать иммунитет. Врач иммунолог и аллерголог Ольга Жоголева разъясняет, почему не получили Нобелевскую премию создатели арбидола, ингавирина, кагоцела и других российских фуфломицинов.
Видео с канала врача-аллерголога и популяризатора доказательной медицины Ольги Жоголевой ( https://www.youtube.com/@allergo_doc ) - о том что такое иммунитет, и действительно ли нужно его поднимать (и действительно ли его так легко уронить?). Если решил повысить иммунитет - сперва посмотри это 5-минутное видео.
Ранее в паблике "Доказательная медицина" были опубликованы материалы:
Путь аллерголога к доказательной медицине #ЛичнаяИстория
Врач-аллерголог Ольга Жоголева рассказала о своём профессиональном становлении.
Она призналась, что в начале пути следования научно обоснованной медицине - чувствовала себя как «баба Яга в тылу врага», поскольку противостояла "аллергомиру" российских аллергологов и иммунологов, верящих в фуфломицины и следующих заблуждениям "старой школы" профессоров.
https://vk.com/wall-136637198_63832
Почему иммуномодуляторы не укрепляют иммунитет?
Автор: Ольга Жоголева, иммунолог-аллерголог.
На странице клиники Ольги Жоголевой Everyday clinic опубликована статья
"Что не так с отечественной практикой иммуномодулирования при ОРВИ и почему иммуномодуляторы не укрепляют иммунитет?"
https://vk.com/wall-136637198_14498
Ольга Жоголева в данном видео ссылается на лекцию врача-терапевта Антона Родионова - о том, как не надо лечить ОРВИ https://www.youtube.com/watch?v=fisGLmzxw7s&amp;t=0s
Аллерголог-иммунолог Ольга Жоголева: "Иммунитет не нужно стимулировать и «поднимать»...Не существует питания для повышения иммунитета....Больше всего не люблю миф о том, что иммунитет «упал» и его нужно срочно спасать и поднимать".
Ещё цитата из интервью: "Пациенту...могут предложить совершенно ненужные в его случае методы исследований. Например, дегрануляция тучных клеток в мировой практике не применяется. А при аллергии не нужно делать тесты на иммуноглобулины G к пищевым продуктам".
https://vk.com/wall-136637198_82383
Если интерферонсодержащие свечи в попу не поднимают иммунитет, то чем вообще занимаются иммунологи? Если иммуномодуляторы - это фуфломицины, то что из себя представляет работающая иммунотерапия?
Иммунолог Ольга Жоголева, работающая по принципам доказательной медицины, решила ответить на вопрос подписчицы.
https://vk.com/wall-136637198_14700
Про фуфломицины Арбидол, Кагоцел, Ингавирин и про "гомеопатию в ж$пу". Видео из Доказательного бара врача Никиты Жукова.
https://vk.com/wall-136637198_105385
Государственное СМИ "Смотрим.ру" рекламирует бесполезный фуфломицин Кагоцел – детище жулика Анатолия Чубайса
https://vk.com/wall-136637198_102261
Ингавирин — фуфломицин, который не только якобы лечит грипп и ОРВИ, но и снижает риск развития многих заболеваний
https://vk.com/wall-136637198_102444
Вера в гомеопатию и другие фуфломицины: роль ошибок мозга (ошибок мышления).Не имеет веса для здравомыслящих людей даже аргумент врача, наблюдающего десятки больных: «Моим пациентам кагоцел и гомеопатия помогают». Головной мозг врача (как и всех людей) также склонен к ошибкам при оценке эффективности лекарств.
https://bit.ly/2QovdiJ
Иммуномодуляторы - бесполезные фуфломицины
https://bit.ly/2SHSWYP ).
Вынуждены предупредить, что Инстаграмм принадлежит компании Мета которая в РФ признана экстремистской организацией и запрещена.
Ольга Жоголева - основатель клиники доказательной медицины Everyday Clinic
https://everyday.clinic/
Записаться к доктору Жоголевой на приём в городе Санкт-Петербурге - https://app.medesk.net/patient/?e=5aaa75b3fb617f00158669df&amp;a=anonymousИММУНИТЕТ. Почему не надо поднимать иммунитет. Врач иммунолог и аллерголог Ольга Жоголева
разъясняет, почему не получили Нобелевскую премию создатели арбидола, ингавирина, кагоцела и других российских фуфломицинов.
Видео с канала врача-аллерголога и популяризатора доказательной медицины Ольги Жоголевой (   https://www.youtube.com/@allergo_doc  ) - о том что такое иммунитет, и действительно ли нужно его поднимать (и действительно ли его так легко уронить?). Если решил повысить иммунитет - сперва посмотри это 5-минутное видео.
Ранее в паблике "Доказательная медицина" были опубликованы материалы:
Путь аллерголога к доказательной медицине #ЛичнаяИстория
Врач-аллерголог Ольга Жоголева рассказала о своём профессиональном становлении.
Она призналась, что в начале пути следования научно обоснованной медицине - чувствовала себя как «баба Яга в тылу врага», поскольку противостояла "аллергомиру" российских аллергологов и иммунологов, верящих в фуфломицины и следующих заблуждениям "старой школы" профессоров.
https://vk.com/wall-136637198_63832
Почему иммуномодуляторы не укрепляют иммунитет?
Автор: Ольга Жоголева, иммунолог-аллерголог.
На странице клиники Ольги Жоголевой Everyday clinic опубликована статья
"Что не так с отечественной практикой иммуномодулирования при ОРВИ и почему иммуномодуляторы не укрепляют иммунитет?"
https://vk.com/wall-136637198_14498
Ольга Жоголева в данном видео ссылается на лекцию врача-терапевта Антона Родионова - о том, как не надо лечить ОРВИ https://www.youtube.com/watch?v=fisGLmzxw7s&amp;t=0s
Аллерголог-иммунолог Ольга Жоголева: "Иммунитет не нужно стимулировать и «поднимать»...Не существует питания для повышения иммунитета....Больше всего не люблю миф о том, что иммунитет «упал» и его нужно срочно спасать и поднимать".
Ещё цитата из интервью: "Пациенту...могут предложить совершенно ненужные в его случае методы исследований. Например, дегрануляция тучных клеток в мировой практике не применяется. А при аллергии не нужно делать тесты на иммуноглобулины G к пищевым продуктам".
https://vk.com/wall-136637198_82383
Если интерферонсодержащие свечи в попу не поднимают иммунитет, то чем вообще занимаются иммунологи? Если иммуномодуляторы - это фуфломицины, то что из себя представляет работающая иммунотерапия?
Иммунолог Ольга Жоголева, работающая по принципам доказательной медицины, решила ответить на вопрос подписчицы.
https://vk.com/wall-136637198_14700
Про фуфломицины Арбидол, Кагоцел, Ингавирин и про "гомеопатию в ж$пу". Видео из Доказательного бара врача Никиты Жукова.
https://vk.com/wall-136637198_105385
Государственное СМИ "Смотрим.ру" рекламирует бесполезный фуфломицин Кагоцел – детище жулика Анатолия Чубайса
https://vk.com/wall-136637198_102261
Ингавирин — фуфломицин, который не только якобы лечит грипп и ОРВИ, но и снижает риск развития многих заболеваний
https://vk.com/wall-136637198_102444
Вера в гомеопатию и другие фуфломицины: роль ошибок мозга (ошибок мышления).Не имеет веса для здравомыслящих людей даже аргумент врача, наблюдающего десятки больных: «Моим пациентам кагоцел и гомеопатия помогают». Головной мозг врача (как и всех людей) также склонен к ошибкам при оценке эффективности лекарств.
https://bit.ly/2QovdiJ
Иммуномодуляторы - бесполезные фуфломицины
https://bit.ly/2SHSWYP ).
Вынуждены предупредить, что Инстаграмм принадлежит компании Мета которая в РФ признана экстремистской организацией и запрещена.
Ольга Жоголева - основатель клиники доказательной медицины Everyday Clinic
https://everyday.clinic/
Записаться к доктору Жоголевой на приём в городе Санкт-Петербурге - https://app.medesk.net/patient/?e=5aaa75b3fb617f00158669df&amp;a=anonymous</t>
  </si>
  <si>
    <t>Светлана Гуро</t>
  </si>
  <si>
    <t>Татьяна Макаренко</t>
  </si>
  <si>
    <t>Старый Оскол</t>
  </si>
  <si>
    <t>[id793581951|Алёна], главное верить...тоже заметила, что с деринатом перестали болеть)</t>
  </si>
  <si>
    <t>Ирина Маттис</t>
  </si>
  <si>
    <t>ПроДетей | Мамы г.Владимир</t>
  </si>
  <si>
    <t>Владимирская область</t>
  </si>
  <si>
    <t>Владимир</t>
  </si>
  <si>
    <t>Любовь Раскатова</t>
  </si>
  <si>
    <t>Курганская область</t>
  </si>
  <si>
    <t>Курган</t>
  </si>
  <si>
    <t>14.04.2023 09:20</t>
  </si>
  <si>
    <t xml:space="preserve">☝ Пoлезнaя пaмяткa от ЛOPА, как нaдо лeчить нaсмоpк! 
P.S. Mирaмиcтин не aнтибиoтик, нo oт зeлёныx coплeй oчeнь эффeктивeн!
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изофра, мирамистин, полидекс и</t>
  </si>
  <si>
    <t>Ирина Исаева</t>
  </si>
  <si>
    <t>Воркута</t>
  </si>
  <si>
    <t>14.04.2023 09:19</t>
  </si>
  <si>
    <t>Неля Колесникова</t>
  </si>
  <si>
    <t>14.04.2023 09:16</t>
  </si>
  <si>
    <t>3. Смотря, какой кашель, если только начинается сухой, то омнитус, если уже увлажненный, то АЦЦ и грудной сбор 4, за 2-3 дня ощутимо легче</t>
  </si>
  <si>
    <t>Мария Лукьянчикова</t>
  </si>
  <si>
    <t xml:space="preserve">В среднем рост стоимости составил 0,4%.
Согласно данным, опубликованным специалистами Омскстата, с января по март 2023 года в регионе выросли цены на ряд важных препаратов. Так, больше всего подорожали фурасемид (на 12,5%), дротаверин (на 4,6%), а также аскорбиновая кислота (на 3,5%). При этом дешевле стали супрастин (на 5%), амлодипин (на 4,6%), ксарелто (на 3,9%), натрия хлорид (на 3,7%) и ацетилцистеин (АЦЦ) (на 3,4%).
Добавим, что также повысилась стоимость йода — на 6,5% и поливитаминов — на 4,4%. Кроме того, на 2,6 — 6% подорожали зарубежные препараты, в частности синупрет. Зато таурин, афобазол, аципол и ренгалин стали дешевле — снижение цен зафиксировано на уровне от 3,1% до 8,3%.
Фото: 12 канал. 
По теме:
В Омской области подорожали помидоры и куриные яйца, но подешевели огурцы
Добавить в избранные источники Яндекс.Новостей
Подписаться на канал Яндекс.Дзен
Подписаться на канал Телеграм
Источник: https://12-kanal.ru</t>
  </si>
  <si>
    <t>14.04.2023 09:14</t>
  </si>
  <si>
    <t>Об изменении потребительских цен на отдельные виды товаров и услуг в Республике Коми c 4 по 10 апреля информирует Комистат.За прошедшую неделю выросли цены на масло подсолнечное - на 3,9%, чай черный - на 3,7%. Вместе с тем подешевели по сравнению с прошлой неделей: сыры твердые, полутвердые и мягкие - на 5%, колбаса вареная - на 3,7%, сметана - на 0,9%.Из плодоовощной продукции рост цен был отмечен на капусту - на 7,3%, огурцы - на 2,5%, помидоры - на 2,1%, свеклу столовую - на 1,7%, лук репчатый - на 1,3%, морковь - на 1,1%. В то же время снизились цены: на картофель - на 3,8%, бананы - на 2,0%, яблоки - на 1,1%.Из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2,1%.В группе наблюдаемых медикаментов выросли цены на левомеколь - на 2,2%, валидол - на 1,4%, ренгалин - на 1,0%.Цены на бензин автомобильный и дизельное топливо  не изменились.</t>
  </si>
  <si>
    <t>14.04.2023 09:13</t>
  </si>
  <si>
    <t>Аркадий Морозов</t>
  </si>
  <si>
    <t>Алена Новицкая</t>
  </si>
  <si>
    <t xml:space="preserve">Препараты которые не лечат☝Врачи выложили в сеть список препаратов, которые ничего не лечат… Неожиданно !
Текст на изображении: Врачи выложили в сеть список препаратов, которые ничего не лечат... 1. АРБИДОЛ Действующее вещество: умифеновир. Советское изобретение года, не признанное Всемирной организацией ipenapa нения. линические испытания при заболеваниях лись только в СНГ и Китае. Это якобы противовирусный препарат ЮЩИМ ектом я лечения амы! азличных левании, включая однако его 3 ективность до сих пор не доказана. 2. ЭССЕНЦИАЛЕ Действ! вещество:полиенилфосфатидилхолин. наименования: «Эссенциале форте», Bis. Этот для защиты печени, как и все прочие так называемые«гепатопротекторы», защищает печень. Научные исследования не обнаружили 3 екта приеме «Эссенц зато кое-что ‘ое: острых и он может способствовать усилению застоя желчи и активности воспаления. По сути, это пищевая добавка.</t>
  </si>
  <si>
    <t>Козлова Любовь</t>
  </si>
  <si>
    <t>Ацц таблетки шипучие, 1 таблетку растворяете в стакане воды и пьёте, продолжительность 5-7, ускоряет отхождение мокроты</t>
  </si>
  <si>
    <t>A P</t>
  </si>
  <si>
    <t>ТАБИБОНИ ТИББИИ ТОЧИКИСТОНИХОИ РОССИЯ-МОСКВА-МОСКОВСКАЯ ОБЛАСТЬ.</t>
  </si>
  <si>
    <t>14.04.2023 09:12</t>
  </si>
  <si>
    <t xml:space="preserve">За неделю в Коми подорожало подсолнечное масло и черный чай, но подешевели сыр и колбаса
/ Текст: ИА Комиинформ / Об изменении потребительских цен на отдельные виды товаров и услуг в Республике Коми c 4 по 10 апреля информирует Комистат.
За прошедшую неделю выросли цены на масло подсолнечное - на 3,9%, чай черный - на 3,7%. Вместе с тем подешевели по сравнению с прошлой неделей: сыры твердые, полутвердые и мягкие - на 5%, колбаса вареная - на 3,7%, сметана - на 0,9%.
Из плодоовощной продукции рост цен был отмечен на капусту - на 7,3%, огурцы - на 2,5%, помидоры - на 2,1%, свеклу столовую - на 1,7%, лук репчатый - на 1,3%, морковь - на 1,1%. В то же время снизились цены: на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 не изменились.
https://komiinform.ru/news/249037</t>
  </si>
  <si>
    <t>14.04.2023 09:11</t>
  </si>
  <si>
    <t>Сажида Ахмерова</t>
  </si>
  <si>
    <t>Нина Александрова</t>
  </si>
  <si>
    <t>14.04.2023 09:10</t>
  </si>
  <si>
    <t xml:space="preserve">ЛЕКАРСТВА, КОТОРЫЕ ВСЕГДА ДОЛЖНЫ БЫТЬ В ДОМАШНЕЙ АПТЕЧКЕ
Проверьте свою аптечку! Список лекарств, которые всегда должны быть под рукой в Вашей домашней аптечке.э
При температуре: нурофен + много воды. Если ноги и руки холодные – добавить папаверин или но-шпа.
Для обработки ран: перекись водорода или мирамистин, бактерицидный пластырь, бинт.
От боли: нурофен или пенталгинПри поносе: без температуры – смекта, энтэерол или бактисуптил; с температурой – активированный уголь, энтерофурил, регидрон, КИП, затем смекта или бактисуптил + щадящая диета на 5-7 дней.
При гриппе и ОРВИ: циклоферон (принимать сразу при первых признаках заболевания), витамин С, фервекс, горчичники.
При кашле: с мокротой – амбробене или элексир бронхикум; без мокроы – либексин, сироп сенекод.
При болях в ушах, отите: отинум или отипакс.
При проблемах с глазами (усталость, повреждение, краснота, коньюктивит): корнорегель.
От боли в горле: спрей тантум верде или каметон .
При аллергии: зиртек, фенистил (капли).
При болях в сердце: валидэол.
При вздутии и тяжести в животе: фестал.
От синяков и ушибов: мазь бодяа.
При растяжении мышц : вальторен гель, випросал.
Не забывайте читать инструкции перед применением, а ещё лучше – консультироваться с врачом!</t>
  </si>
  <si>
    <t>14.04.2023 09:08</t>
  </si>
  <si>
    <t>Раиса Бычкова</t>
  </si>
  <si>
    <t>Марина Макарова</t>
  </si>
  <si>
    <t>14.04.2023 09:07</t>
  </si>
  <si>
    <t>Зифа Юланова</t>
  </si>
  <si>
    <t>А где ,,ВСЕСИЛЬНЫЙ,,АРБИДОЛ?</t>
  </si>
  <si>
    <t>Людмила Кузнецова</t>
  </si>
  <si>
    <t>14.04.2023 09:06</t>
  </si>
  <si>
    <t>Надежда Крамарева(Мелашенко)</t>
  </si>
  <si>
    <t xml:space="preserve">Женский врач рекомендует: купи в аптеке за копейки.
Я была в восторге! Внешне результат виден не только мне!
Обязательно сохраните эту важную информацию!
Подпишитесь , чтобы не потерять!
Красотa за копейки: 10 аптечных средств, которые помогут тебе сэкономить
Иногда очень дешевое и доступное в любой аптеке средство срабатывает лучше, чем супердорогой крем. Эти средства выручат тебя в трудной ситуации.
Мелоксикам
Эффeктивeн в кoмплeкcнoй тepaпии бoлeвoгo cиндpoмa и вocпaлeния пpи бoлях в cпинe (дopcaлгии), paдикyлитe, apтpитaх, в тoм чиcлe, peвмaтoиднoм apтpитe, дpyгих вocпaлитeльных зaбoлeвaниях мышц и cycтaвoв.
Вaжным дocтoинcтвoм пpeпapaтa Meлoкcикaм в paзличных фopмaх являeтcя тo, чтo eгo aктивнoe вeщecтвo являeтcя хoндpoнeйтpaльным cpeдcтвoм. Этo oзнaчaeт, чтo пpeпapaт нe oкaзывaeт oтpицaтeльнoгo вoздeйcтвия нa хpящeвыe ткaни cycтaвoв в oтличиe oт нeкoтopых дpyгих НПВC, чтo пoзвoляeт иcпoльзoвaть Meлoкcикaм для лeчeния бoлeвoгo cиндpoмa пpи дeгeнepaтивнo-диcтpoфичecких пaтoлoгиях cycтaвoв и пoзвoнoчникa.
Нимесулид
Применяется для лечения артритов, остеоартрозов, артрозов. Также его используют в терапии бурситов, миалгий, артралгий, энтезопатий, альгодисменорей и болей различной этиологии. Кроме этого, Нимесулид применяют для купирования интенсивных приступообразных болей, так как препарат характеризуется быстрым началом действия.
Цена 30 р
Крем «Ф 99»
Крем, состоящий из полиненасыщенных жирных кислот и витамина F. Изначально средство предназначалось для лечения экземы и дерматита, но оказалось, что оно обладает и рядом других свойств. Во‑первых, это лучшее средство для борьбы с шелушением кожи,вызванным обветриванием или солнечным ожогом.
Во‑вторых, крем незаменим для ухода за стопами: никаких трещин, заусениц или огрубелостей, если ежедневно наносить его на ночь. В-третьих, он возвращает сухой коже эластичность и упругость, мгновенно впитывается, не дает эффекта пленки. В-четвертых, помогает справиться с угревой сыпью и прыщами, так как нормализует работу сальных желез и отшелушивает ороговевшие клетки.
Цена — около 120 р.
Раствор для капельниц «Тиогамма»
Использующееся для борьбы с последствиями отравлений, «Тиогамма» фактически чистая альфа-липоевая кислота, мощнейший антиоксидант,который борется со свободными радикалами, ускоряет обновление клеток кожи, помогает бороться с прыщами, угрями, морщинами, последствиями солнечных ожогов, обладает детокс-эффектом. По консистенции напоминает простую воду, наносится на кожу тонким слоем перед нанесением обычного ухода. Подходит только для жирной и комбинированной кожи, так как подсушивает верхний слой.
Цена — около 250 руб.
«Куриозин-гель»
Его прямое назначение — борьба с акне. Но принцип действия позволяет использовать этот гель как антивозрастное средство. Как и при борьбе с акне, ключевой момент — ускоренное обновление кожи, рост молодых здоровых клеток и глубокое увлажнение (гель содержит гиалуроновую кислоту в довольно высокой концентрации) позволяет улучшить рельеф кожи, разгладить мелкие морщины и улучшить цвет лица.
Цена — около 500 р.
Бепантен
Действующее вещество препарата — это пантотеновая кислота, она же — знакомый нам провитамин В5. Именно пантотеновая кислота — прародитель витамина А, отвечающего за процессы регенерации кожи. А значит, «Бепантен» — настоящая находка для тех, кто стремится обновить кожу, успокоить ее, сделать более гладкой и ровной.
Цена — около 350 р.
«Капсикам»
Разогревающая мазь поможет… спрятать целлюлит! Нанеси ее на проблемный участок, оставь на 15−20 минут (почувствуешь небольшое жжение, кожа может покраснеть из-за притока крови) и смой теплой водой. Для более выраженного эффекта протри те же участки кубиками льда. Визуально целлюлит исчезнет на 3−4 часа!
Цена — около 200 р.
Блефарогель
Отличное средство для нежной кожи век с высоким содержанием гиалуроновой кислоты. Прощайте, «гусиные лапки»!
Цена — около 200 р.
Арника
Вообще предполагается, что эта мазь ускорит рассасывание гематом и синяков. Что автоматически означает, что он улучшает циркуляцию крови и лимфы, обладает успокаивающим, противоотечным и регенерирующим действием. Ты наверняка уже догадалась: да,он отлично справляется с сухостью кожи, мимическими морщинами и потерей тонуса.
Цена — около 150 р.
Апилак
Выпускается эта мазь еще с советских времен и с тех пор не утратила актуальности как средство для снижения активности сальных желез,борьбы с акне и угрями. В основе — пчелиное маточное молочко,известное своими обеззараживающими и питательными свойствами.
Цена — около 100 руб.
Релиф
Ну, уж если звезды Голливуда признаются, что используют мазь от геморроя как уход для кожи век, нам-то чего стесняться? Да, отеки снимает, морщины разглаживает и никаких побочных эффектов!
Цена — около 300 р.
Так же мы собрали для вас список дешевых аналогов.
Списки приведенных аналогов лексрств могут быть неточными. Поэтому перед покупкой уточняйте у специалиста аптеки или лечащего врача, возможна ли замена препарата на более дешевый и какие последствия это повлечет.
Белосалик (380руб) и Акридерм СК (40руб)
Бепантен (250руб) и Декспантенол (100руб)
Бетасерк(600руб)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Мезим(300руб) и Панкреатин (30руб)
Мидриацил (360руб) и Тропикамид (120руб)
Мирамистин (200руб) и Хлоргексидин (10руб)
Мовалис (410руб) и Мелоксикам (80руб)
Нейромультивит (250руб) и Пентовит (50руб)
Но-шпа (150руб) и Дротаверина гидрохлорид (30руб)
Нормодипин (620руб) и Амлодипин (40руб)
Нурофен (120руб) и Ибупрофен (10руб)
Омез (180руб) и Омепразол (50руб)
Панадол(50руб) и Парацетамол (5руб)
Панангин (140руб) и Аспаркам (10руб)
Пантогам (350руб) и Пантокальцин (230руб)
Ринонорм (50руб) и Риностоп (20руб)
Сумамед (450руб) и Азитромицин (90руб)
Трентал(200руб)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Имеются противопоказания. Необходима консультация специалиста
Сохрани, чтобы не потерять!</t>
  </si>
  <si>
    <t>Валерий Кочетков</t>
  </si>
  <si>
    <t>14.04.2023 09:04</t>
  </si>
  <si>
    <t>Алевтина Кукла</t>
  </si>
  <si>
    <t>14.04.2023 09:03</t>
  </si>
  <si>
    <t>Бронхомунал.Обязательно проконсультируйтесь с врачом.</t>
  </si>
  <si>
    <t>Анна Онасамая</t>
  </si>
  <si>
    <t>Надежда Вилесова</t>
  </si>
  <si>
    <t>14.04.2023 09:02</t>
  </si>
  <si>
    <t>Противовирусный препарат Фармстандарт "Арбидол" - Мне нравится Арбидол!</t>
  </si>
  <si>
    <t xml:space="preserve">Достоинства: Эффективность, проверенный препарат, доступная цена Недостатки: Не пейте слишком много, помните, что это все таки антибиотики=) Недавно писала про Арбидол Максимум.
Теперь расскажу про классику=)
Арбидол с семьёй пьем давно. Это уже сложившаяся традиция. Как только у кого-то возникают хоть какие-то намеки на температуру: ночь, улица, фонарь, аптека... Арбидол.
Арбидол слишком популярен, чтобы его кто то не знал))
Но внесу свою лепту.
Я беру его сразу же, чтобы не дать болезни запуститься. А лучше иметь его дома всегда (разумеется следить за сроком годности)
Это удобно, если есть риск заражения или контактировали с больным, который неожиданно оказался в вашей компании и начал кашлять в вашу сторону.
Если у вас иммунитет оставляет желать лучшего и вы болеете часто и подхватываете всё, что можно, то лучше не рисковать, а выпить капсулу.
Дальше про дозировку. Я пью по 2 капсулы за один раз. И эффект получается такой же, как если выпить 1 капсулу Арбидола Максимум.
Для профилактики после контакта с больным можно выпить одну. Даже если вы были в маске, лучше подстраховаться.
Этот препарат хорош тем, что он дешевле и для профилактической цели хватит и 10 капсул, если вы хотите "купировать" болезнь сразу же, как только она началась.
Но если у вас масштабное лечение, не обойдетесь и двумя пачками=) Одно скажу: чем раньше вы заметите начало болезни и начнете сразу прием лекарства, тем лучше и быстрее выздоровеете.
Часто, на 5-6 день симптомы уже запущенные: высокая температура, хрипы, легкие, мокрота. Хорошо бы успеть когда вы заметили на градуснике 37. А то и еще раньше. Тогда вы успеете дать хороший отпор болезни!
Вобщем успевайте за вирусами. Иначе они успеют за вами) Как я уже говорила, эти хитрые агенты нападают на всё, что стало слабым. Так что будьте первыми.
Не болейте.
Это я так быстро выпила все капсулы, с горя=)
Ночь, улица, фонарь, аптека... Живи еще хоть четверть века, а на тумбочке Арбидол.   Год выпуска/покупки: 2023   Общее впечатление: Мне нравится Арбидол!  Моя оценка:    Рекомендую друзьям:ДАГде выгоднее купить     Эффект    Безопасность    Проверенность    Доступность</t>
  </si>
  <si>
    <t>otzovik.com</t>
  </si>
  <si>
    <t>AvocadoA</t>
  </si>
  <si>
    <t>14.04.2023 09:00</t>
  </si>
  <si>
    <t xml:space="preserve">Список лекарств для первой медицинской помощи☝
Текст на изображении: Простуда 1. Ибупрон сильное обезболивающие средство, быстро действует, в виде шипучих таблеток шадит в свечах удобен для мальшей.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сильно, ухудшает качество крови. 6. Полиоксидоний -стимулирует иммунную систему, назначают детям, пригоден для экстренной помощи и для профилактики во время эпидемии ОРВИ. 7. Рибомунил восстанавливает иммунитет, рекомендован детям. 8. Санорин самое быстрое средство от насморка противоаллергическими компонентами.; Горло 1. Анаферон хорошее гомеопатическое средство для лечения вирусных инфекций верхних дыхательных путей. 2. Колустан аэрозоль, хорошо снимает отеки при воспалениях. Люголь, растворенный в глицерине лучшее наружное средство при 4. Пропосол-Н имеет выраженные антимикробные и противовоспалительные свойства, не оказывает раздражающего действия на организм. 5. Синупрет обладает антибактериальным и антиотечным действием, может назначаться детям есть в виде капель. 6. противовоспалительное и обезболивающее средство.</t>
  </si>
  <si>
    <t>Рушания Сулейманова (Алеева)</t>
  </si>
  <si>
    <t>Старая Кулатка</t>
  </si>
  <si>
    <t>Наша жизнь!</t>
  </si>
  <si>
    <t>14.04.2023 08:58</t>
  </si>
  <si>
    <t>Какой возраст у ребёнка? Если есть ингалятор то физраствор+Амбробене. Как начнет откашливать подключать к ингалятору бромгексин. Дозировка по возрасту. Ингалятор 2 раза в день.</t>
  </si>
  <si>
    <t>Тигр Тигр</t>
  </si>
  <si>
    <t>14.04.2023 08:55</t>
  </si>
  <si>
    <t xml:space="preserve">полезные советы
Ποдбορĸa ʌeĸaρcтв нa вce cʌyчaи жизни
Текст на изображении: ПРОСТУДА Ибупрон сильное обезболивающие средство, быстро действует, 6 виде шипучих таблеток щадит желудок, 6 свечах удобен для мальшей. Колдрекс отличный сосудосуживающий препарат. Быстро действует, потому что его растворяют 6 горячей воде. Назол избавляет от насморка и не дает пересыхать слизистой оболочке носа, действует 12 часов. Нурофен скорая помощь, действует быстро. Для малышей есть свечи, но сильно ухудшает качество Парацетамол (панадол, эффералган)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как самое эффективное средство. Санорин самое быстрое средство от насморка противоаллергическими компонентами. Флукол-Б дешевый и эффективный препарат, но алкоголя и противопоказан водителям. СЕ; ЗАБОЛЕВАНИЯ ГОРЛА (ЧАСТЬ Анаферон хорошее гомеопатическое средство для лечения вирусных инфекций верхних дыхательных путей. Колустан аэрозоль, хорошо снимает отеки при боспалениях. Люголь, растворенный 6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6 Bude капель. Тонзилгон противовоспалительное и средство, способствует уменьшению отека слизисто оболочки дыхательных путей.</t>
  </si>
  <si>
    <t>Оксана Каштанова</t>
  </si>
  <si>
    <t>Анастасия Журавлёва</t>
  </si>
  <si>
    <t>14.04.2023 08:54</t>
  </si>
  <si>
    <t xml:space="preserve">Фото: Om1.ru   А вот препараты зарубежного производства подешевели.     Омские статисты опубликовали данные о ценах на жизненно необходимые препараты. Так, подорожали фуросемид (на 12,5%), дротаверин (на 4,6%), аскорбиновую кислоту (на 3,5%), цефтриаксон (на 3,1%). Однако на половину препаратов из данной группы цены снизились на 0,2–5%. Доступнее стали супрастин (на 5%), амлодипин (на 4,6%), ксарелто (на 3,9%), натрия хлорид (на 3,7%), ацетилцистеин (АЦЦ) (на 3,4%), амбоксол (на 3,4%).
Из отечественных медикаментов подорожал йод (на 6,5%), поливитамины (на 4,4%), флуоцинолона ацетонид (на 3,1%). На зарубежные препараты цены поднялись от 2,6 до 6%. При этом афобазол, аципол, таурин, комбинированные анальгетики, эссенциале форте, мидокалм, ренгалин подешевели на 3,1–8,3%.
Ранее портал Om1.ru сообщал, что стало известно, кто взял на себя организационные моменты по поводу салюта на 9 мая. Подробнее — в нашем материале.       </t>
  </si>
  <si>
    <t>om1.ru</t>
  </si>
  <si>
    <t>Инна Баранова</t>
  </si>
  <si>
    <t>Трекрезан,по инструкции.</t>
  </si>
  <si>
    <t>Юлия Маркс</t>
  </si>
  <si>
    <t>Маркс</t>
  </si>
  <si>
    <t>14.04.2023 08:53</t>
  </si>
  <si>
    <t>Валентина Федотова</t>
  </si>
  <si>
    <t>СВЕТЛАНА ЧУБЕНЕЦ (Нагребельная)</t>
  </si>
  <si>
    <t>14.04.2023 08:52</t>
  </si>
  <si>
    <t>Катя, добрый день! Возможно это герпес или стоматит. У моего сына 5 лет такое было. Мы прыскали антисептик Мирамистин, им полоскали и мазали гелем виферон. Заходите и вы на наш канал, будем дружить)</t>
  </si>
  <si>
    <t>youtube.com</t>
  </si>
  <si>
    <t>Видео</t>
  </si>
  <si>
    <t>Привет, я Леша!</t>
  </si>
  <si>
    <t>Katy LifeVlog</t>
  </si>
  <si>
    <t>14.04.2023 08:51</t>
  </si>
  <si>
    <t>Трофимчук Елена</t>
  </si>
  <si>
    <t>[id170297180|Irina], у нас началось с положительного ковида уехали в больницу через 4 дня нас выписали с отрицательным тестом дома продолжили виферон и ингаляции, через 6 дней нас скорая с обструкционным бронхитом увозит в пульму там 2 недели на ингаляциях опять же виферон на 5 дней и цифотоксим даже 5 не докололи отменили т.к анализы хорошие...выписали через 2 недели и через 4 дня мы опять в больницу с ларинготрахеитом и стеноз был уже страшно уезжать домой, но врач говорит в инфекции мы ещё что-то подцепим если будем торчать</t>
  </si>
  <si>
    <t>Анастасия Александрова</t>
  </si>
  <si>
    <t>а вы с малышкой лежали? почему думаете, что ничего не делали? по анализам воспаление есть, больше похоже на вирусное, поэтому и виферон, хорошо, что не было антибиотиков, хотя , если ангина бактериальная, должны были быть</t>
  </si>
  <si>
    <t>Пума</t>
  </si>
  <si>
    <t>14.04.2023 08:50</t>
  </si>
  <si>
    <t>Фларит Галяутдинов</t>
  </si>
  <si>
    <t xml:space="preserve">Об изменении потребительских цен на отдельные виды товаров и услуг в Республике Коми c 4 по 10 апреля информирует Комистат.
За прошедшую неделю выросли цены на масло подсолнечное - на 3,9%, чай черный - на 3,7%. Вместе с тем подешевели по сравнению с прошлой неделей: сыры твердые, полутвердые и мягкие - на 5%, колбаса вареная - на 3,7%, сметана - на 0,9%.
Из плодоовощной продукции рост цен был отмечен на капусту - на 7,3%, огурцы - на 2,5%, помидоры - на 2,1%, свеклу столовую - на 1,7%, лук репчатый - на 1,3%, морковь - на 1,1%. В то же время снизились цены: на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  не изменились.  Комиинформ</t>
  </si>
  <si>
    <t>komiinform.ru</t>
  </si>
  <si>
    <t xml:space="preserve">Об изменении потребительских цен на отдельные виды товаров и услуг в Республике Коми c 4 по 10 апреля информирует Комистат.
За прошедшую неделю выросли цены на масло подсолнечное - на 3,9%, чай черный - на 3,7%. Вместе с тем подешевели по сравнению с прошлой неделей: сыры твердые, полутвердые и мягкие - на 5%, колбаса вареная - на 3,7%, сметана - на 0,9%.
Из плодоовощной продукции рост цен был отмечен на капусту - на 7,3%, огурцы - на 2,5%, помидоры - на 2,1%, свеклу столовую - на 1,7%, лук репчатый - на 1,3%, морковь - на 1,1%. В то же время снизились цены: на картофель - на 3,8%, бананы - на 2,0%, яблоки - на 1,1%.
Из отдельных видов непродовольственных товаров первой необходимости подорожали шампунь - на 3,7%, щетка зубная - на 2,6%, паста зубная - на 2,4%. Вместе с тем снижение цен было отмечено на мыло туалетное - на 2,1%.
В группе наблюдаемых медикаментов выросли цены на левомеколь - на 2,2%, валидол - на 1,4%, ренгалин - на 1,0%.
Цены на бензин автомобильный и дизельное топливо не изменились.</t>
  </si>
  <si>
    <t>gorodskoyportal.ru</t>
  </si>
  <si>
    <t>14.04.2023 08:49</t>
  </si>
  <si>
    <t>[id231336952|Кира], а знаете, у моих детей тоже была такая положительная реакция на виферон, может это как-то опосредовано происходит, но реально после свечки легче и через пару часов температура нормализуется, наблюдала такое несколько раз</t>
  </si>
  <si>
    <t>Анжелика Голдман</t>
  </si>
  <si>
    <t>Мамашки Стерлитамака</t>
  </si>
  <si>
    <t>14.04.2023 08:48</t>
  </si>
  <si>
    <t>Венера Мусина-Гилязова</t>
  </si>
  <si>
    <t>14.04.2023 08:46</t>
  </si>
  <si>
    <t>[id793581951|Алёна], так наоборот же, анаферон это деньги в мусор, читайте состав, его нету, о чем вы вообще? еще и сравниваете вашу пустышку с нормальным лекарственным средством</t>
  </si>
  <si>
    <t>Трекрезан пью уже лет пять при первых признаках ОРВИ. И всегда помогает. Только пить надо сразу убойную дозу. Четыре таблетки одномоментно, и по одной два раза в день пять дней.</t>
  </si>
  <si>
    <t>Лена Городилова</t>
  </si>
  <si>
    <t>14.04.2023 08:44</t>
  </si>
  <si>
    <t>кишечная инфекция может влиять на изменения в анализах крови, лечение проводится комплексное, сорбенты, виферон, пробиотики, диета, при необходимости назначают антибиотики, контроль по анализам через 10-14 дней после выздоровления, через месяц так же желательно пересдать клинический анализ крови</t>
  </si>
  <si>
    <t>consmed.ru</t>
  </si>
  <si>
    <t>Tatiana</t>
  </si>
  <si>
    <t>Надежда</t>
  </si>
  <si>
    <t>14.04.2023 08:42</t>
  </si>
  <si>
    <t>Елена Герасина</t>
  </si>
  <si>
    <t>14.04.2023 08:40</t>
  </si>
  <si>
    <t>Рузалия Сибаева</t>
  </si>
  <si>
    <t>14.04.2023 08:38</t>
  </si>
  <si>
    <t>АЦЦ хорошо помогает от насморка. В показаниях для применения не только кашель, но и отит и ринит. Дозировку выбирайте по возрасту.</t>
  </si>
  <si>
    <t>Мария Юсупова</t>
  </si>
  <si>
    <t>14.04.2023 08:37</t>
  </si>
  <si>
    <t>Эльвира Костецкая</t>
  </si>
  <si>
    <t>Полечимся в другой раз. В Омской области взлетели цены на лекарства</t>
  </si>
  <si>
    <t xml:space="preserve">Согласно информации Омскстата, за первые три месяца этого года стоимость жизненно важных лекарств выросла в среднем на 0,4%. Больше всего выросли цены на фурасемид, который часто выписывают пациентам с проблемами сердца, легких и почек, чтобы снять отеки. Препарат стал дороже на 12,5%.
Спазмолитик дротаверин также подскочил в цене на 4,6%. Аскорбиновая кислота за январь&amp;ndash;март 2023 года подрожала на 3,5%. Стоимость антибиотика цефтриаксон выросла на 3,1%. При этом дешевле стали супрастин (на 5,0%), амлодипин (на 4,6%), ксарелто (на 3,9%), натрия хлорид (на 3,7%), АЦЦ (на 3,4%) и амбоксол (на 3,4%).
Другие фармацевтические средства также выросли в&amp;nbsp; цене. Повысилась стоимость отечественных йода (на&amp;nbsp; 6,5%), поливитаминов (на&amp;nbsp; 4,4%) и&amp;nbsp; флуоцинолона ацетонид (на&amp;nbsp; 3,1%). В&amp;nbsp; линейке зарубежных препаратов больше всего подорожал синупрет. Афобазол, аципол, таурин, комбинированные анальгетики, эссенциале форте, мидокалм и&amp;nbsp; ренгалин вместе с&amp;nbsp; тем стали дешевле на&amp;nbsp; 3,1-8,3%.  Фото: Город55</t>
  </si>
  <si>
    <t>14.04.2023 08:35</t>
  </si>
  <si>
    <t>Вера Кедровских(Кобылина)</t>
  </si>
  <si>
    <t>Бутка</t>
  </si>
  <si>
    <t xml:space="preserve">Большинство из нас знает, как справиться с насморком и болью в горле. А вот как лечить кашель знают далеко не все.
Делимся эффективным рецептом от семейного доктора и разбираем, какой препарат для чего нужен.
Текст на изображении: 1. Коделак Бронхо эликсир по 10 мл 4 раза в сутки 2. Носовой душ солевым раствором (напр. Риностоп Аква) 4 раза в сутки 3. Полоскание горла раствором фурацилина таб. растворить в 500 мл теплой воды) 5 раз в сутки 5. Витамин 1000 раз в день Возможны противопоказания. Необходима консультация специалиста.</t>
  </si>
  <si>
    <t>Кристина Андреева</t>
  </si>
  <si>
    <t>Лидия Захаровна Соколова</t>
  </si>
  <si>
    <t>Барнаул</t>
  </si>
  <si>
    <t>Доброе утро, ребёнок кашляет сухой кашель третий день, на сквозняке постоял, заложено горло очень сильно, не может продрать. Больше кашляет ночью, но уже и днём. Ребёнку пять лет. Даю жидкость тёплую мало помогает. Может ренгалин нам или что то от сухого кашля или уже отхаркивающее? Или ингаляции поделать? Что вы в этом случае даёте. Были у врача, хрипов нет, не надо писать это) Анонимно</t>
  </si>
  <si>
    <t>Мамы Магнитогорска</t>
  </si>
  <si>
    <t>14.04.2023 08:34</t>
  </si>
  <si>
    <t>Галина Киселёва</t>
  </si>
  <si>
    <t>14.04.2023 08:32</t>
  </si>
  <si>
    <t>14.04.2023 08:31</t>
  </si>
  <si>
    <t>Леся Губанова</t>
  </si>
  <si>
    <t>Надежда Ефремова-Аксенова</t>
  </si>
  <si>
    <t>Было так же. Высасывали. 5 дней гриппферон , назначала педиатр+називин. Морская вода к сожалению не справлялась в одиночестве</t>
  </si>
  <si>
    <t>Даша Дашина</t>
  </si>
  <si>
    <t>Смоленская область</t>
  </si>
  <si>
    <t>Смоленск</t>
  </si>
  <si>
    <t>14.04.2023 08:30</t>
  </si>
  <si>
    <t xml:space="preserve">Жизнь Обычного человека, значит, вы живёте в СССР. Где врач умел лечить и хотел лечить
А я с появлением Тырнета последние 30 лет проверяю и корректирую любые назначения врача.
Ещё в школе понял, что все пиздят. И врачи в том числе. Кто-то из корысти, а кто-то из скудоумия
Иногда 3 из 4 назначенных лекарств являются обманом
- морская вода по 500р за 100 гр.
- Арбидол
- Линекс и иже с ним
- вот гомеопатия в том числе...
Дай бог, если антибиотик нормальный назначат
И естественно они назначают самые дорогостоящие из всех возможных вариантов, это классика Иногда в 100 раз дороже</t>
  </si>
  <si>
    <t>Сергей Л</t>
  </si>
  <si>
    <t>Жизнь Обычного человека</t>
  </si>
  <si>
    <t>14.04.2023 08:28</t>
  </si>
  <si>
    <t>Оксана Паршина</t>
  </si>
  <si>
    <t>Борисоглебск</t>
  </si>
  <si>
    <t>[id641663327|Надежда], у виферон нет жаропонижающего эффекта ‍♂️</t>
  </si>
  <si>
    <t>Кира Давыдова</t>
  </si>
  <si>
    <t>14.04.2023 08:27</t>
  </si>
  <si>
    <t>Омск сейчас</t>
  </si>
  <si>
    <t>Алевтина Сергеева</t>
  </si>
  <si>
    <t>14.04.2023 08:26</t>
  </si>
  <si>
    <t xml:space="preserve">В Омской области взлетели цены на лекарства
В омских аптеках подскочили цены на жизненно необходимые препараты
Об этом свидетельствуют данные аналитиков.
Согласно информации Омскстата, за первые три месяца этого года стоимость жизненно важных лекарств выросла в среднем на 0,4%. Больше всего выросли цены на фурасемид, который часто выписывают пациентам с проблемами сердца, легких и почек, чтобы снять отеки. Препарат стал дороже на 12,5%.
Спазмолитик дротаверин также подскочил в цене на 4,6%. Аскорбиновая кислота за январь–март 2023 года подрожала на 3,5%. Стоимость антибиотика цефтриаксон выросла на 3,1%. При этом дешевле стали супрастин (на 5,0%), амлодипин (на 4,6%), ксарелто (на 3,9%), натрия хлорид (на 3,7%), АЦЦ (на 3,4%) и амбоксол (на 3,4%).
Другие фармацевтические средства также выросли в цене. Повысилась стоимость отечественных йода (на 6,5%), поливитаминов (на 4,4%) и флуоцинолона ацетонид (на 3,1%). В линейке зарубежных препаратов больше всего подорожал синупрет. Афобазол, аципол, таурин, комбинированные анальгетики, эссенциале форте, мидокалм и ренгалин вместе с тем стали дешевле на 3,1-8,3%.
Источник: Город55</t>
  </si>
  <si>
    <t>Ольга Дрючкова-Брызгалова</t>
  </si>
  <si>
    <t>Инта</t>
  </si>
  <si>
    <t>14.04.2023 08:23</t>
  </si>
  <si>
    <t>Татьяна Берсенева</t>
  </si>
  <si>
    <t>14.04.2023 08:22</t>
  </si>
  <si>
    <t>Ольга Счастье</t>
  </si>
  <si>
    <t>Ольга Орлова</t>
  </si>
  <si>
    <t>14.04.2023 08:21</t>
  </si>
  <si>
    <t>Марина Лунёва</t>
  </si>
  <si>
    <t>14.04.2023 08:19</t>
  </si>
  <si>
    <t>Мне промывать помогает аквамарисом, и виброцилом 3 раза в день. Ещё пиносол можно. И свечи на ночь виферон</t>
  </si>
  <si>
    <t>Юлия Шинкаренко</t>
  </si>
  <si>
    <t>Мама и малыш. Динской район</t>
  </si>
  <si>
    <t>14.04.2023 08:16</t>
  </si>
  <si>
    <t xml:space="preserve">Надо подключать видимо либо противо вирусные капли типо"Грипферон" ,,, или с антибиотиком Изофра или протаргол( быстро вытягивает зелёные сопли)
Последние лекартства- назначаются врачом!!!! ( тк с антибиотиком)</t>
  </si>
  <si>
    <t>Татьяна Гусева</t>
  </si>
  <si>
    <t>Подслушано у мам Великий Новгород</t>
  </si>
  <si>
    <t>Великий Новгород</t>
  </si>
  <si>
    <t>14.04.2023 08:14</t>
  </si>
  <si>
    <t>Татьяна Гайдышева Сергеева</t>
  </si>
  <si>
    <t>14.04.2023 08:13</t>
  </si>
  <si>
    <t xml:space="preserve">Шпаргалка
Никогда не давать антибиотик ДО того как на руки не получите анализ крови с лейкоформулой.
Запомните, напишите себе где то на видном месте!!!
ПОВЫШЕНИЕ лейкоцитов, СОЭ, лимфоцитов - ВИРУС
ПОВЫШЕНИЕ лейкоцитов, СОЭ, нейтрофилов сегметоядерных и палочкоядерных + СНИЖЕНИЕ лимфоцитов - БАКТЕРИЯ
без повышения нейтрофилов бактериальной инфекции НЕ БЫВАЕТ. Запомните это. Если вам сделали анализ без лейкоформулы, но вы видите, что лейкоцитов, к примеру, 15,4, а лимфоцитов 15-20, то уже с большой степенью вероятности можно говорить о бак. инфекции. Если же лимфоцитов и лейкоцитов много - это повод послать врача с антибиотиком сами понимаете куда.
Недавно я была в шоке. Ко мне пришла одна мама "по знакомству" с анализом ребенка... Причина обращения - несбиваемая обычными методами температура под 40, а там... Лейкоциты - 234. Это лейкоз, к сожалению у нас очень мало кто знает что настолько повышенные лейкоциты - это уже вообще не к педиатру, это к гематологу и детскому онкологу.
Всё! Не надо даже иметь супер-пупер мед образования, чтобы диагностировать природу инфекции. Но после того, как вы узнали, что же явилось причиной инфекции, обращайтесь за назначением.
а) если вирусная инфекция - обильное питье, проветривание, увлажнение воздуха, промывание носа, симптоматическая терапия.
б) бактериальная - обратитесь к врачу за антибиотиком в нужной дозировке.
И на последок - табличка норм:
***ЖАРОПОНИЖАЮЩИЕ***
ЕСЛИ ТЕМПЕРАТУРА 38,3-38,8
-Нурофен (сироп/свечи)или
-Эффералган (сироп/свечи)или
-Панадол(свечи)-сироп не покупать, очень аллергенный или
-Цифекон(свечи)
Купить свечи и сироп из списка,их можно чередовать при повторном повышении температуры через 3,5-4 часа.
ЕСЛИ ТЕМПЕРАТУРА 38,8-39,2
-Анальгиновые свечи 0,25
ЕСЛИ ТЕМПЕРАТУРА больше 39,2
-1/3 таб. анальгина+1/3 таб. парацетамола(0,5 г)+1/3 таб. супрастина
и/или 1/3 таб. но-шпы (40 мг). Все смешать.
Раздеть, обтирать теплой водкой, но не кисти рук и не стопы.
• ***ПРОТИВОВИРУСНЫЕ***
-Оцилококкцинум по 1 контейнеру х 2 раза в день 3 дня- начало заболевания
или как профилактика, если кто-то заболел.
-Энгистол по 1 табл. х 3 раза в день, растолочь и всыпать в
ротик, не заедать, не запивать, между едой. Курс лечения- от 7 до 14 дней.
• ***НАСМОРК***
-начало, текут, жидкие, прозрачные
Грипферон по 4-5 капель(можно из флакона прям заливать) х 6 раз в день 3-4 дня
-заложенность
Називин (отривин, длянос) -концентрация по возрасту, сказать в аптеке-
по 2 кап. х 3-4 раза в день, не больше 5 дней
-густоваты, плохо отходят, белые
Виброцил по 2 кап.х 4 раз в день 5-7 дней
-густые, не выходят, зеленые, долго сохраняются
Ринофлуимуцил по 1 впрыскиванию х 4 раза в день 5-7 дней
-густые, зеленые, не проходят на ринофлуимуциле
Изофра или полидекса по 1 впрыскиванию до 4-х раз в день
• ***КАШЕЛЬ***
-начало, сухой, без мокроты
o Мукалтин по 1 табл.х 3 раза в день или Сухая микстура от кашля с корнем алтея для детей 1 пакетик развести в 3-х ч.л. воды, 6 пакетиков в день
o Стодаль по 1 ч.л.(5 мл) х3 раза в день
-cухой, приступообразный, бьющий
o Стоптуссин в КАПЛЯХ(!!!)по весу, посмотреть в аннотации или
o Синекод в каплях по аннотации х 3 раза в день или перед сном
-влажный, легко откашливается
o Бромгексин по 1ч.л.(5 мл) х 3 раза в день,5 дней
-влажный, не очень откашливается
o Лазолван (или Амбробене) в сиропе по 1 ч.л.(5 мл) х3 раза в день,5 дней
-влажный, слышно, что есть мокрота, но почти не откашливается, что мокрота
"гуляет" в бронхах, как гармошка
o Аскорил(или Кленбутерол,или Джосет) по 1 ч.л.(5 мл)х3 раза в день до улучшения отхождения мокроты ,5-7 дней
***РВОТА без жидкого стула***
-Регидрон (Гидровит-форте) 1 пак. развести в 1 литре воды
-Минеральная вода ("Славяновская","Смирновская","Нарзан") - выпустить газики
-Фильтрум растолочь 1 таб., добавить в 50 мл воды
Все растворы давать по очереди по 1 ч.л ,с перерывами в 5-7-10 минут до прекращения рвоты.
Если рвота не прекращается, церукал 1/4 табл.+ но-шпа 1/3 табл.
И ВЫЗВАТЬ СКОРУЮ!!!!!!
***ЖИДКИЙ СТУЛ***
См. раздел "РВОТА"+
-Бактисубтил по 1 капс.х3 раза в день-до нормализации стула
-Смекта 1 пакетик в 50 мл воды, до 3-х пакетиков в день, дробно в течении дня по 1-2 ч.л.- до нормализации стула
!!!После нормализации стула:
-Линекс по 1 капс.х3 раза в день 4-7 дней
-Фильтрум по 1 табл.х3 раза в день 4-7 дней
***ЖИДКИЙ СТУЛ с температурой больше 3-х дней***
-См.раздел выше + фуразолидон по 1 табл.х3-4 раза в день, не меньше недели.
***ДИЕТА ПРИ КИШЕЧНОМ СИНДРОМЕ***
исключить цельное молоко ( но можно давать смесь небольшими объемами), фрукты, фруктовые соки, черный хлеб, яйца, грубые овощи (белокачанную капусту, зелень, огурцы, помидоры, морковку, тыкву).Никаких компотов!!! Особенно из сухофруктов
МОЖНО каши на воде (ВНИМАНИЕ-овсянка слабит, рис крепит), протертые овощи (брокколи, цв.капуста, картошка) без масла, молока, вареное протертое мясо, подсушенный белый хлеб, немного творога или кефира низкой жирности(так называемые "трехдневные",т.е. на пачке дата упаковывания не должна совпадать с датой употребления с разницей в 3 дня (кефир дображивает в пачке))
Очень часто при поносе появляется жуткое раздражение кожи на попе- деситин.
***УШИ***
-Отипакс(или Анауран)по 3-4 капли х 3-4 раза в день, в оба уха, в теплом виде, 5-7 дней
***АНТИГИСТАМИННЫЕ***
-Супрастин по 1/3 таб.2-3 раза в день- быстрое действие
-Зиртек по 15 кап. 1 раз в день- длительно или
-Эриус по 5 мл 1 раз в день- длительно
***МЕСТНО ПРИ УКУСАХ***
-Финестил-гель(или Псило-бальзам) 3-4 раза в день
!!!Сильное покраснение и отек- гидрокортизоновая глазная мазь х 2-3-4 раза в день(по ситуации) до улучшения, затем финестил-гель
***ГЛАЗА***
-когда слезятся
o Фурацилин 1 табл. развести в 1 стакане воды, промывать разными ватными тампонами, от наружного угла глаза к внутреннему
o Офтальмоферрон по 3-4 кап. х 3-4-6 раз в день до прекращения симптомов
-с гнойным отделяемым
o 0,25% раствор левомицетина по 2 кап.х 3-4-6 раз в день 5-7 дней или
o Полудан развести по риске на ампуле (посмотрите внимательно, обязательно
найдете) по 3-4 капли х4 раза в день, до прекращения симптомов. В аптеке посмотрите коробку, в ней должен быть растворитель. Если его нет, отдельно купите воду для инъекций, ею развести препарат
!!!!ВНИМАНИЕ
Если продолжает появляться обильное гнойное отделяемое на фоне лечения в течении 3х дней, тогда начинать Тобрекс по 2-3 кап. х 3-4 раза в день 5-7 дней.Шоколадно-банановый торт «Слеза слона» »
Шоколад и банан — беспроигрышное сочетание. Как правило, оно гарантирует, что от десерта не останется и кусочка. Стоит лишь вспомнить вкус нашего бананового хлеба с шоколадной крошкой! Любителям этого классическо...</t>
  </si>
  <si>
    <t>Идеальная Хозяюшка</t>
  </si>
  <si>
    <t>[id171022826|Эльмира], ингавирин при гриппе вообще не помог( осельтамивир чудо чудесное. Но только против гриппа. За 12 часов на ноги ставит.</t>
  </si>
  <si>
    <t>Юлиана Илюшина</t>
  </si>
  <si>
    <t>14.04.2023 08:12</t>
  </si>
  <si>
    <t>Любовь Шилова</t>
  </si>
  <si>
    <t>14.04.2023 08:11</t>
  </si>
  <si>
    <t>В Омске подскочили цены на лекарства из списка жизненно необходимых</t>
  </si>
  <si>
    <t>Омские статистики представили 13 апреля 2023 года актуальные данные о потребительской инфляции на медикаменты за период с января по март 2023 года.Источник: СуперОмскПо данным статистиков, цены на жизненно необходимые и важнейшие препараты в Омске и области в первом квартале выросли в среднем на 0,4%.Заметнее всего за три месяца подорожали фуросемид (на 12,5%), дротаверин (на 4,6%), аскорбиновая кислота (на 3,5%), цефтриаксон (на 3,1%).В то же время, статистики отмечают: на многие препараты из списка ЖНВЛП цены снизились на 0,2−5%. Так, дешевле стали на супрастин (на 5%), амлодипин (на 4,6%), ксарелто (на 3,9%), натрия хлорид (на 3,7%), ацетилцистеин (на 3,4%), амброксол (на 3,4%).Что касается других препаратов, не входящих в указанный список, сильнее всего подорожали йод (на 6,5%), поливитамины (на 4,4%), флуоцинолона ацетонид (на 3,1%).На препараты зарубежного производства цены выросли в среднем от 2,6 до 6%, здесь сильнее всего подорожал синупрет. Одновременно, такие препараты, как афобазол, аципол, таурин, комбинированные анальгетики, эссенциале форте, мидокалм, ренгалин подешевели на 3,1−8,3%, отметили в Омскстате. Во время загрузки произошла ошибка.</t>
  </si>
  <si>
    <t>news.mail.ru</t>
  </si>
  <si>
    <t>Зольфия Мавлянова</t>
  </si>
  <si>
    <t>14.04.2023 08:10</t>
  </si>
  <si>
    <t>Омскстат рассказал, какие лекарства подешевели, а какие подорожали</t>
  </si>
  <si>
    <t>Омскстат обнародовал информацию об уровне цен на лекарства в аптеках нашего региона за первый квартал 2023 года. Как показало выборочное обследование потребительского рынка Омской области, цены на жизненно необходимые и важнейшие препараты с января по март 2023 года повысились в среднем на 0,4 %, , что ниже уровня инфляции за этот период,  составившего 1,67%Подешевели супрастин (на 5,0%), амлодипин (на 4,6%), ксарелто (на 3,9%), натрия хлорид (на 3,7%), ацетилцистеин (АЦЦ) (на 3,4%), амбоксол (на 3,4%).Подорожал фурасемид (на 12,5%), дротаверин (на 4,6%), аскорбиновая кислота (на 3,5%), цефтриаксон (на 3,1%).Лекарства зарубежного производства рост подорожали в диапазоне от 2,6 до 6,0%  При этом, такие зарубежные лекарства как афобазол, аципол, таурин, комбинированные анальгетики, эссенциале форте, мидокалм, ренгалин подешевели на 3,1–8,3%</t>
  </si>
  <si>
    <t>Гайфуллина Эльвира</t>
  </si>
  <si>
    <t>14.04.2023 08:07</t>
  </si>
  <si>
    <t>Светлана Павлова</t>
  </si>
  <si>
    <t>Александр Гусeв</t>
  </si>
  <si>
    <t>Гусь-Хрустальный</t>
  </si>
  <si>
    <t>14.04.2023 08:05</t>
  </si>
  <si>
    <t>На все руки</t>
  </si>
  <si>
    <t xml:space="preserve">Каждый родитель знает, как важно для его крохи развиваться и изучать «большой» мир. И для этого нужны тренировки мышления, мелкой моторики, воображения, речи и памяти. Предлагаем подборку полезных игр и увлечений, которые придутся по душе вашему ребенку
Лепка
Для развития мелкой моторики у ребенка вы можете использовать различные инструменты – пластилин разных видов, слайм или солёное тесто. Из этих материалов получаются подделки, которые будут не только развивающим элементом, но и памятным подарком.
Альбом путешественника
Даже если ваши путешествия пока ограничиваются прогулками в соседнем парке, предложите малышу собрать памятные предметы – необычный камень, красивый лист или билет на аттракцион. Все это вы можете поместить в альбом, который вы оформите вместе.
А если вашим прогулкам мешает грипп или ОРВИ, попробуйте Кагоцел®. Кагоцел® уже с 1-х суток лечения снижает выраженность симптомов ОРВИ и гриппа¹ и сокращает длительность заболевания¹. Эффективен вне зависимости от типа вирусов². Для взрослых и детей с 3 лет3: https://guest.link/Hms
Поиск от А до Я
Игра по поиску предметов, которые начинаются на ту или иную букву в алфавите, отлично развивает память и мышление. Например, буква “Ю” и ребенок должен указать на юбку или юлу.
Уборка
Привить любовь к порядку и при этом интегрировать развивающую игру? Легко! Расставьте коробки и предложите малышу собрать игрушки на время или за небольшой, но приятный приз. Добавьте соревновательный момент в уборку, так у вас дома будет чисто, а малыш будет заинтересован в поддержании порядка.
Развивашки прививают детям самостоятельность и умение принимать решения, а также навык в исправлении ошибок, что необходимо для формирования полноценной личности.
¹Регресс всех изучаемых симптомов заболевания, Максакова В. Применение препарата Кагоцел для лечения и профилактики гриппа и других острых респираторных вирусных инфекций // Медлайн-Экспресс. – 2009. – № 1 (201). – С. 42–46.
2 Вирусы гриппа А и В, парагриппа, РС-вирусы, риновирусы, метапневмовирусы, бокавирусы, коронавирусы, аденовирусы, Савенкова М.С. Анализ сравнительного лечения ОРВИ в эпидсезоны 2015–2016 гг. на основе результатов мультиплексной ПЦР-диагностики в условиях амбулаторной практики // Фарматека. – 2017. – № 1. – С. 38–45.
3Инструкция по медицинскому применению препарата Кагоцел® Рег. уд. Р Т 002027.01 от 24.02.2021
Имеются противопоказания, необходима консультация специалиста.</t>
  </si>
  <si>
    <t>СуперМамы</t>
  </si>
  <si>
    <t>14.04.2023 08:04</t>
  </si>
  <si>
    <t>Настыла в выходные, грамидин с анестетиком таблетки, деринат и ринофлоимуцил в нос. Когда плохо было нимесил.</t>
  </si>
  <si>
    <t>Елена Плахова</t>
  </si>
  <si>
    <t>ЖенСовет Иваново</t>
  </si>
  <si>
    <t>Ивановская область</t>
  </si>
  <si>
    <t>Иваново</t>
  </si>
  <si>
    <t>Лидия Кутузова</t>
  </si>
  <si>
    <t>Алла Смирнова</t>
  </si>
  <si>
    <t>Валентина Золотарёва</t>
  </si>
  <si>
    <t>Новая Ладога</t>
  </si>
  <si>
    <t>14.04.2023 08:03</t>
  </si>
  <si>
    <t>В омских аптеках подскочили цены на жизненно необходимые препараты</t>
  </si>
  <si>
    <t xml:space="preserve">Об этом свидетельствуют данные аналитиков.Согласно информации Омскстата, за первые три месяца этого года стоимость жизненно важных лекарств выросла в среднем на 0,4%. Больше всего выросли цены на фурасемид, который часто выписывают пациентам с проблемами сердца, легких и почек, чтобы снять отеки. Препарат стал дороже на 12,5%.
Спазмолитик дротаверин также подскочил в цене на 4,6%. Аскорбиновая кислота за январь–март 2023 года подрожала на 3,5%. Стоимость антибиотика цефтриаксон выросла на 3,1%. При этом дешевле стали супрастин (на 5,0%), амлодипин (на 4,6%), ксарелто (на 3,9%), натрия хлорид (на 3,7%), АЦЦ (на 3,4%) и амбоксол (на 3,4%).
Другие фармацевтические средства также выросли в цене. Повысилась стоимость отечественных йода (на 6,5%), поливитаминов (на 4,4%) и флуоцинолона ацетонид (на 3,1%). В линейке зарубежных препаратов больше всего подорожал синупрет. Афобазол, аципол, таурин, комбинированные анальгетики, эссенциале форте, мидокалм и ренгалин вместе с тем стали дешевле на 3,1-8,3%.
Заговаривал зубы фармацевту. Омич дважды ушел из аптеки прихватив деньги и лекарства</t>
  </si>
  <si>
    <t>gorod55.ru</t>
  </si>
  <si>
    <t>14.04.2023 08:00</t>
  </si>
  <si>
    <t xml:space="preserve">Об этом свидетельствуют данные аналитиков.  Согласно информации Омскстата, за первые три месяца этого года стоимость жизненно важных лекарств выросла в среднем на 0,4%. Больше всего выросли цены на фурасемид, который часто выписывают пациентам с проблемами сердца, легких и почек, чтобы снять отеки. Препарат стал дороже на 12,5%.  Спазмолитик дротаверин также подскочил в цене на 4,6%. Аскорбиновая кислота за январь–март 2023 года подрожала на 3,5%. Стоимость антибиотика цефтриаксон выросла на 3,1%. При этом дешевле стали супрастин (на 5,0%), амлодипин (на 4,6%), ксарелто (на 3,9%), натрия хлорид (на 3,7%), АЦЦ (на 3,4%) и амбоксол (на 3,4%).  Другие фармацевтические средства также выросли в цене. Повысилась стоимость отечественных йода (на 6,5%), поливитаминов (на 4,4%) и флуоцинолона ацетонид (на 3,1%). В линейке зарубежных препаратов больше всего подорожал синупрет. Афобазол, аципол, таурин, комбинированные анальгетики, эссенциале форте, мидокалм и ренгалин вместе с тем стали дешевле на 3,1-8,3%.В омских аптеках подскочили цены на жизненно необходимые препараты
https://m.vk.com/@news_events_incidents_0013-rss-1122955002-402850080
Статья</t>
  </si>
  <si>
    <t>banki.ru.com - новости, события, происшествия</t>
  </si>
  <si>
    <t>Горячие новости</t>
  </si>
  <si>
    <t>ЯЖЕ пошутила!</t>
  </si>
  <si>
    <t>Женское Здоровье</t>
  </si>
  <si>
    <t xml:space="preserve">А я не поняла. Вы аденоиды антибиотиками лечите? 
Или чтото друогое лечили?
Мы просто сколько занимаемся с дочей аденоидами и впервые слышу, что принимают антибиотики.
А вообще нет еще лекарства от воспаления аденоидов. Все только сопутствующее. Обычно это капли авамис/назонекс для снятия отека. Иногда бронхомунал для иммунитета. Ну и чтото на травках тоже могут прописать.
Со своей, стороны могу сказать что у нас уменьшились , как только перестали ходить в сад! Нагрузка на иммунитет сризилась.</t>
  </si>
  <si>
    <t>Julia Semenova</t>
  </si>
  <si>
    <t>БЛОНДИНКА-СОЛОНИНКА</t>
  </si>
  <si>
    <t>14.04.2023 07:59</t>
  </si>
  <si>
    <t>Данных за ангину нет. А назвать так любое красное горло - легко. Мирамистин и виферон не применяются в цивилизованным мире. Купите стрептатест, сделайте дома. Явно он будет отрицательным.</t>
  </si>
  <si>
    <t>Даринка Лиса</t>
  </si>
  <si>
    <t>14.04.2023 07:58</t>
  </si>
  <si>
    <t xml:space="preserve">ПРЕПАРАТЫ, КОТОРЫЕ НИЧЕГО НЕ ЛЕЧАТ☺
Представляем вам 14 препаратов, которые широко рекламируются на телевидении, но на самом деле ничего при этом не лечат. Будьте умнее, не попадайте на удочку хитрых фармацевтов!
1. Арбидол
Действующее вещество: умифеновир.
Другие наименования: «Арпетолид», «Арпефлю», «ОРВИтол НП», «Арпетол», «Иммустат».
Советское изобретение 1974 года, не признанное Всемирной организацией здравоохранения. Клинические испытания препарата при заболеваниях человека проводились только в СНГ и Китае.
Это якобы противовирусный препарат с иммуномодулирующим эффектом для лечения множества самых различных заболеваний, включая грипп, однако его эффективность до сих пор не доказана.
2. Эссенциале
Действующее вещество: полиенилфосфатидилхолин.
Другие наименования: «Эссенциале форте», «Эссенциале Н», «Эссенциале форте Н».
Этот популярный препарат для защиты печени, как и все прочие так называемые«гепатопротекторы», никак не защищает печень. Научные исследования не обнаружили положительного эффекта при приёме «Эссенциале», зато обнаружили кое-что другое: при острых и хронических вирусных гепатитах он может способствовать усилению застоя жёлчи и активности воспаления.
По сути это пищевая добавка.
3. Пробиотики
Действующее вещество: живые микроорганизмы.
Популярные препараты: «Хилак форте», «Ацилакт», «Бифилиз», «Лактобактерин», «Бифиформ», «Споробактерин», «Энтерол».
Мало того, что эффективность пробиотиков не доказана; судя по всему, большинство микроорганизмов, содержащихся в этих препаратах, ещё и не являются живыми. Дело в том, что процесс пакетирования уничтожает 99% всех потенциально полезных бактерий и спор. С тем же успехом можно выпить стакан кефира. В Европе и США пробиотики не назначают.
4. Мезим форте
Действующее вещество: панкреатин.
Другие наименования: «Биофесталь», «Нормоэнзим», «Фестал», «Энзистал», «Биозим», «Вестал», «Гастенорм», «Креон», «Микразим», «Панзим», «Панзинорм», «Панкреазим», «Панцитрат», «Пензитал», «Уни-Фестал», «Энзибене», «Эрмиталь».
По данным исследований, панкреатин может быть эффективен разве что при несварении желудка. Диабет, панкреатит, грыжа и настоящие расстройства пищеварительного тракта он не лечит.
5. Корвалол
Действующее вещество: фенобарбитал.
Другие наименования: «Валокордин», «Валосердин».
Фенобарбитал является опасным барбитуратом с ярко выраженным наркотическим действием.
При регулярном употреблении в больших дозах вызывает серьёзные неврологические и когнитивные нарушения (расстройства кратковременной памяти, нарушения речи, шаткость походки), подавляет сексуальную функцию, из-за чего он и запрещён к ввозу в США, ОАЭ и многие страны Европы.
6. Пирацетам
Другие наименования: «Луцетам», «Мемотропил», «Ноотропил», «Пиратропил», «Церебрил».
Как и все прочие ноотропные препараты, известен в основном в СНГ. Эффективность пирацетама не доказана, зато есть данные о нежелательных побочных эффектах. В большинстве развитых стран не зарегистрирован.
7. Циннаризин
Действующее вещество: дифенилпиперазин.
Другие наименования: «Стугезин», «Стугерон», «Стунарон».
Циннаризин в настоящее время производится в основном в Бангладеш, тогда как на Западе его запретили к использованию ещё 30 лет тому назад. Почему? Список побочных эффектов занял бы слишком много места, поэтому упомянем лишь, что употребление циннаризина может привести к острой форме паркинсонизма.
8. Валидол
Действующее вещество: ментиловый эфир изовалериановой кислоты.
Другие наименования: «Валофин», «Ментовал».
Устаревший препарат с недоказанной эффективностью. Ни в коем случае не полагайтесь на него при проблемах с сердцем! Он ничего не даёт, а при инфаркте каждая минута на счету!
9. Ново-пассит
Действующее вещество: гайфенезин.
Этот якобы антиксиолитический препарат содержит множество разных травяных экстрактов, но его единственное действующее вещество является отхаркивающим средством.
Оно часто входит в состав препаратов от кашля, но никак не может оказывать успокоительного эффекта, приписываемого «Ново-пасситу».
10. Геделикс
Другие наименования: «Гедерин», «Гелисал», «Проспан».
Национальный институт здравоохранения США провёл масштабное исследование и пришёл к следующему выводу: несмотря на популярность, экстракт листьев плюща неэффективен в лечении кашля. Выпейте чаю с лимоном, что ли.
11. Глицин
Глицин — это вообще не лекарство, а простейшая аминокислота. По сути, это очередная биоактивная добавка, не приносящая организму ни вреда, ни пользы. Клиническая эффективность глицина не то что не доказана, но даже и не исследована.
12. Синупрет
Действующее вещество: экстракт лекарственных растений.
Другие наименования: «Тонзипрет», «Бронхипрет».
Популярный в Германии фитопрепарат, эффективность которого подтверждается лишь исследованиями, проведёнными компанией-производителем. Вы можете приготовить его дома, заварив корень горечавки, цветки первоцвета, щавель, цветки бузины и вербену. Видите, какая экономия!
13. Троксевазин
Действующее вещество: флавоноид рутина.
Другие наименования: «Троксерутин».
Эффективность подтверждена только двумя российскими исследованиями, которые жёстко критиковались западными учёными. По мнению последних, «Троксевазин» оказывает лишь едва заметное действие на организм.
14. Любая гомеопатия
Действующее вещество: отсутствует.
Популярные препараты: «Анаферон», «Антигриппин», «Афлубин», «Вибуркол», «Галстена», «Гингко Билоба», «Мемория», «Окулохеель», «Палладиум», «Пумпан», «Ременс», «Ренитал», «Сальвия», «Тонзипрет», «Траумель», «Успокой», «Энгистол»… тысячи их!
Перечисляя псевдолекарственные препараты было бы нечестно не упомянуть о гомеопатических средствах.
Пожалуйста, запомните раз и навсегда: гомеопатические средства в принципе НЕ СОДЕРЖАТ никаких действующих веществ. Они не оказывают ни малейшего влияния ни на организм человека, ни на бактерии, вирусы и болезни, которые призваны лечить.
Эффективность гомеопатии не отличается от эффективности плацебо, чем она и является.</t>
  </si>
  <si>
    <t>Татьяна Бондарева(Ершова)</t>
  </si>
  <si>
    <t>14.04.2023 07:57</t>
  </si>
  <si>
    <t>Ингаверин всегда пьём. Арбидол</t>
  </si>
  <si>
    <t>Злая Зая</t>
  </si>
  <si>
    <t>14.04.2023 07:55</t>
  </si>
  <si>
    <t>Ольга Матевосян</t>
  </si>
  <si>
    <t>Волжский</t>
  </si>
  <si>
    <t>Фитнес Рецепты — правильное и здоровое питание</t>
  </si>
  <si>
    <t>14.04.2023 07:53</t>
  </si>
  <si>
    <t xml:space="preserve">Провизор раскрыл тайны фарм мафии! Зачем народ травят лекарствами? Это ЖУТКО, но знать НАДО!
Вы, или Ваши знакомые принимали: парацетамол, арбидол,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t>
  </si>
  <si>
    <t>Андрей Игнатов</t>
  </si>
  <si>
    <t>ДОСКА ОБЪЯВЛЕНИЙ г.Тайшета и Тайшетского района</t>
  </si>
  <si>
    <t>Тайшет</t>
  </si>
  <si>
    <t>Фото: Город55В омских аптеках подскочили цены на жизненно необходимые препаратыОб этом свидетельствуют данные аналитиков.Согласно информации Омскстата, за первые три месяца этого года стоимость жизненно важных лекарств выросла в среднем на 0,4%. Больше всего выросли цены на фурасемид, который часто выписывают пациентам с проблемами сердца, легких и почек, чтобы снять отеки. Препарат стал дороже на 12,5%. Спазмолитик дротаверин также подскочил в цене на 4,6%. Аскорбиновая кислота за январь–март 2023 года подрожала на 3,5%. Стоимость антибиотика цефтриаксон выросла на 3,1%. При этом дешевле стали супрастин (на 5,0%), амлодипин (на 4,6%), ксарелто (на 3,9%), натрия хлорид (на 3,7%), АЦЦ (на 3,4%) и амбоксол (на 3,4%). Другие фармацевтические средства также выросли в цене. Повысилась стоимость отечественных йода (на 6,5%), поливитаминов (на 4,4%) и флуоцинолона ацетонид (на 3,1%). В линейке зарубежных препаратов больше всего подорожал синупрет. Афобазол, аципол, таурин, комбинированные анальгетики, эссенциале форте, мидокалм и ренгалин вместе с тем стали дешевле на 3,1-8,3%.Заговаривал зубы фармацевту. Омич дважды ушел из аптеки прихватив деньги и лекарстваУзнать подробнее#Алина Ясинская#Лекарства#Цены на лекарства#Жизненно важные лекарства#Омскстат#Экономика#Общество#Здоровье#Новости#Омск</t>
  </si>
  <si>
    <t>14.04.2023 07:52</t>
  </si>
  <si>
    <t>Анютка Белоглазова</t>
  </si>
  <si>
    <t>Архангельск</t>
  </si>
  <si>
    <t>Все объявления ТАЙШЕТА и РАЙОНА</t>
  </si>
  <si>
    <t>14.04.2023 07:51</t>
  </si>
  <si>
    <t xml:space="preserve">Да, лекарства привозили на дом.
В Москве.
Муж болел, помню.
Не всегда по теме привозили, кстати .
Ну и пачку арбидола в придачу, как бонус.</t>
  </si>
  <si>
    <t>Мария</t>
  </si>
  <si>
    <t>АГИТПРОП</t>
  </si>
  <si>
    <t xml:space="preserve">Омскстат обнародовал информацию об уровне цен на лекарства в аптеках нашего региона за первый квартал 2023 года.   Как показало выборочное обследование потребительского рынка Омской области, цены на жизненно необходимые и важнейшие препараты с января по март 2023 года повысились в среднем на 0,4 %, , что ниже уровня инфляции за этот период,  составившего 1,67%
Подешевели супрастин (на 5,0%), амлодипин (на 4,6%), ксарелто (на 3,9%), натрия хлорид (на 3,7%), ацетилцистеин (АЦЦ) (на 3,4%), амбоксол (на 3,4%).
Подорожал фурасемид (на 12,5%), дротаверин (на 4,6%), аскорбиновая кислота (на 3,5%), цефтриаксон (на 3,1%).
Лекарства зарубежного производства рост подорожали в диапазоне от 2,6 до 6,0%  При этом, такие зарубежные лекарства как афобазол, аципол, таурин, комбинированные анальгетики, эссенциале форте, мидокалм, ренгалин подешевели на 3,1–8,3% Метки: здоровьеНовость</t>
  </si>
  <si>
    <t>Фаина Таран (Фаттахова)</t>
  </si>
  <si>
    <t>Геленджик</t>
  </si>
  <si>
    <t>14.04.2023 07:49</t>
  </si>
  <si>
    <t xml:space="preserve">Анонимно. Мамочки, может у кого то у детей было? Заболели мононуклеозом в ноябре, ничем не лечили, но очень часто после него начали болеть орви. Поехали к инфекционисту , сдали ПЦР и АНТИТЕЛА.
ПЦР показал острую инфекцию на данный момент герпеса 6 типа и ВЭБ, при этом антитела везде отстутствуют. Вот объясните мне, как так может быть, чтт пцр есть а антител нет, хотя болеем с ноября(были атипичн мононуклеары в крови)? Инфекционист ниче не сказал толком, только лечение назгачил на месяц Кипферон и генферон по схеме</t>
  </si>
  <si>
    <t>Людмила Петрова</t>
  </si>
  <si>
    <t>14.04.2023 07:48</t>
  </si>
  <si>
    <t>Лариса Голоскокова</t>
  </si>
  <si>
    <t>♥ Знакомства Тайшета и Тайшетского района ♥</t>
  </si>
  <si>
    <t>нахуя ты Амбробене взяо</t>
  </si>
  <si>
    <t>zxcdripset</t>
  </si>
  <si>
    <t xml:space="preserve">  </t>
  </si>
  <si>
    <t>14.04.2023 07:47</t>
  </si>
  <si>
    <t>Татьяна Вершинина (Мироненко)</t>
  </si>
  <si>
    <t>Алексеевка</t>
  </si>
  <si>
    <t>14.04.2023 07:46</t>
  </si>
  <si>
    <t>Анна Метёлкина</t>
  </si>
  <si>
    <t>Светлана Ушакова</t>
  </si>
  <si>
    <t>14.04.2023 07:45</t>
  </si>
  <si>
    <t xml:space="preserve">Спиcoк мeдицинcких пpeпapaтoв нa вce cлучaи жизни 
Текст на изображении: ПРОСТУДА Ибупрофен сильное обезболивающее средство, быстро действует, в виде шипучих таблеток щадит желудок, в свечах удобен для мальшей. Колдрекс отличный сосудосуживающий препарат. Назол избавляет от насморка и не дает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насморка противоаллергическими компонентами.;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t>
  </si>
  <si>
    <t>Людмила Снегирева</t>
  </si>
  <si>
    <t>Новокузнецк</t>
  </si>
  <si>
    <t xml:space="preserve">ШПАРГАЛКА НА ВСЮ ЖИЗНЬ: 99 ЛЕКАРСТВ, КОТОРЫЕ МОГУТ ПОМОЧЬ
Бывает так, что лечение необходимо начать немедленно, времени на
посещение врача нет. Тогда на помощь может прийти шпаргалка, где собрана
информация о 99 самых лучших лекарствах.
Благодаря этим подсказкам вы всегда будете знать, что и когда принять, чтобы помочь себе при простуде, заболеваниях ушей, глаз, горла и т.д.
Перед покупкой и применением каких-либо лекарств обязательно
проконсультируйтесь с врачом, некоторые из них имеют серьезные
противопоказания и могут навредить вашему здоровью!
Обязательно сохраните себе эти шпаргалки! Они выручат вас в сложную минуту
Текст на изображении: ЗАБОЛЕВАНИЯ ГОРЛА. Анаферон хорошее гомеопатическое средство для лечения вирусных инфекций дыхательных путей. Колустан аэрозоль, хорошо снимает отеки при воспалениях. Люголь, растворенный 6 глицерине лучшее наружное средство при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ПРОСТУДА Ибупрон сильное обезболивающие средство, действует, 6 биде шипучих таблеток щадит желудок, 6 свечах удобен для мальшей. Колдрекс отличный сосудосуживающий препарат. Быстро действует, потому что его растворяют 6 горячей боде. Назол от насморка и не дает пересыхать слизистой оболочке носа, действует 12 часов. Нурофен скорая помощь, действует быстро. Для мальшей есть сбечи, но сильно ухудшает качество кроби. Флукол-Б дешевый и эффективный препарат, но содержит противопоказан водителям.</t>
  </si>
  <si>
    <t>Галина Пушкарева (Кокоулина)</t>
  </si>
  <si>
    <t>14.04.2023 07:44</t>
  </si>
  <si>
    <t>Светлана Старковская-Балина</t>
  </si>
  <si>
    <t>Тольятти</t>
  </si>
  <si>
    <t>зоя волкова</t>
  </si>
  <si>
    <t>14.04.2023 07:43</t>
  </si>
  <si>
    <t>Елена Таранцева</t>
  </si>
  <si>
    <t>Ледмозеро</t>
  </si>
  <si>
    <t>14.04.2023 07:39</t>
  </si>
  <si>
    <t xml:space="preserve">Фото: superomsk.ru                Фото: «СуперОмск» / Иллюстрация 
Омские статистики представили 13 апреля 2023 года актуальные данные о потребительской инфляции на медикаменты за период с января по март 2023 года.
По данным статистиков, цены на жизненно необходимые и важнейшие препараты в Омске и области в первом квартале выросли в среднем на 0,4 %.
Заметнее всего за три месяца подорожали фуросемид (на 12,5 %), дротаверин (на 4,6 %), аскорбиновая кислота (на 3,5 %), цефтриаксон (на 3,1 %).
В то же время, статистики отмечают: на многие препараты из списка ЖНВЛП цены снизились на 0,2&amp;ndash;5 %. Так, дешевле стали на супрастин (на 5 %), амлодипин (на 4,6 %), ксарелто (на 3,9 %), натрия хлорид (на 3,7%), ацетилцистеин (на 3,4 %), амброксол (на 3,4 %).
Что касается других препаратов, не входящих в указанный список, сильнее всего подорожали йод (на 6,5 %), поливитамины (на 4,4 %), флуоцинолона ацетонид (на 3,1 %).
На препараты зарубежного производства цены выросли в среднем от 2,6 до 6 %, здесь сильнее всего подорожал синупрет. Одновременно, такие препараты, как афобазол, аципол, таурин, комбинированные анальгетики, эссенциале форте, мидокалм, ренгалин подешевели на 3,1&amp;ndash;8,3 %, отметили в Омскстате.</t>
  </si>
  <si>
    <t>14.04.2023 07:37</t>
  </si>
  <si>
    <t xml:space="preserve">Недавно вызывали на дом лора и она провела краткий курс по видам средств от насморка. Мы оказывается вообще не правильно лечились раньше. Поэтому оставляю памятку,  может кому полезно будет. Не забудьте проконсультироваться с врачом.  Так кажется надо писать в этом случае.
Мирамистин не антибиотик, но от зелёных соплей очень эффективен
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изофра, мирамистин, полидекс и</t>
  </si>
  <si>
    <t>Ирина (Чиркова)-Кравченко</t>
  </si>
  <si>
    <t>Челябинск</t>
  </si>
  <si>
    <t>Дарья Галиакберова</t>
  </si>
  <si>
    <t>14.04.2023 07:36</t>
  </si>
  <si>
    <t>Эльмира Саматова</t>
  </si>
  <si>
    <t>Каргополь</t>
  </si>
  <si>
    <t>14.04.2023 07:34</t>
  </si>
  <si>
    <t xml:space="preserve">Надо ЗНАТЬ...  что ЖРАТЬ.
Для этого требуется , хотя бы обследование,
или Диагноз, грамотного Доктора.
( не врачихи ) Нужные медицинские препараты на все случаи жизни  Супер!
Текст на изображении: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 ПРОСТУДА Ибупрофен сильное обезболивающее средство, быстро действует, в виде шипучих таблеток щадит желудок, в свечах удобен для Колдрекс отличный сосудосуживающий препарат. Назол избавляет от насморка и не дает пересыхать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насморка противоаллергическими компонентами.</t>
  </si>
  <si>
    <t>S Rusin</t>
  </si>
  <si>
    <t>Златоуст</t>
  </si>
  <si>
    <t>14.04.2023 07:30</t>
  </si>
  <si>
    <t xml:space="preserve">Хозяюшкам на заметку
Текст на изображении: ЛЕКАРСТВА, КОТОРЫЕ ВСЕГДА ДОЛЖНЫ БЫТЬ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болях в сердце: валидол. При вздутии и тяжести в животе: фестал. и ушибов: мазь бодяга. При растяжении мышц вальторен гель, випросал. Не забывайте читать инструкции перед применением, лучше консультироваться врачом! При аллергии: зиртек, фенистил (капли).</t>
  </si>
  <si>
    <t>Всё о вкусном</t>
  </si>
  <si>
    <t>Я ржал</t>
  </si>
  <si>
    <t>14.04.2023 07:26</t>
  </si>
  <si>
    <t>Вызывайте доктора, у нас так же было, прописывали Виферон для профилактики, так как иммунитет ослаблен и всё болячки цепляются легко. А вот Калгеля я давно в наших аптеках не могу найти, пользовались Лидентом (вроде так называется) но гели сильно то они боль не снимают, нужно заигрывать и отвлекать ребятëнка как только можно ну на ночь нурофен давала как обезболивающее если сильно нервничал. Но перво-наперво вызовите врача, чтобы осмотрел и исключил (или подтвердил) наличие других заболеваний. Повторяюсь, организм ослаблен и иммунитет тоже, так что любая болячка прицепится может. Здоровья Вам и вашему малышу</t>
  </si>
  <si>
    <t>Елизавета Малютина</t>
  </si>
  <si>
    <t>Детские пособия Россия</t>
  </si>
  <si>
    <t>Тисуль</t>
  </si>
  <si>
    <t>14.04.2023 07:23</t>
  </si>
  <si>
    <t>Согласен! Арбидол это мощно!</t>
  </si>
  <si>
    <t>Сергей Евгениевич</t>
  </si>
  <si>
    <t xml:space="preserve">Повёрнутые на Z войне </t>
  </si>
  <si>
    <t>14.04.2023 07:22</t>
  </si>
  <si>
    <t xml:space="preserve">Фото: «СуперОмск» / ИллюстрацияОмские статистики представили 13 апреля 2023 года актуальные данные о потребительской инфляции на медикаменты за период с января по март 2023 года.
По данным статистиков, цены на жизненно необходимые и важнейшие препараты в Омске и области в первом квартале выросли в среднем на 0,4 %.
Заметнее всего за три месяца подорожали фуросемид (на 12,5 %), дротаверин (на 4,6 %), аскорбиновая кислота (на 3,5 %), цефтриаксон (на 3,1 %).
В то же время, статистики отмечают: на многие препараты из списка ЖНВЛП цены снизились на 0,2–5 %. Так, дешевле стали на супрастин (на 5 %), амлодипин (на 4,6 %), ксарелто (на 3,9 %), натрия хлорид (на 3,7%), ацетилцистеин (на 3,4 %), амброксол (на 3,4 %).
Что касается других препаратов, не входящих в указанный список, сильнее всего подорожали йод (на 6,5 %), поливитамины (на 4,4 %), флуоцинолона ацетонид (на 3,1 %).
На препараты зарубежного производства цены выросли в среднем от 2,6 до 6 %, здесь сильнее всего подорожал синупрет. Одновременно, такие препараты, как афобазол, аципол, таурин, комбинированные анальгетики, эссенциале форте, мидокалм, ренгалин подешевели на 3,1–8,3 %, отметили в Омскстате.</t>
  </si>
  <si>
    <t xml:space="preserve">Зрачок наркомана - Героин, морфин, наркотики из мака, кодеиносодержащие медпрепараты (терпинкод, коделак, нурофен и др.) - вызывают сужение.
Зрачок глаза суженный (маленький), не реагирует на смену освещения, если посветить фонариком несколько секунд и выключить, то зрачки останутся в одном, суженном положении, для людей разбирающихся в таких ситуациях глаза наркомана с суженным зрачком вызывают подозрении уже с дистанции в 1-2 метра.</t>
  </si>
  <si>
    <t>Андрей Герасименко</t>
  </si>
  <si>
    <t>Удивительные истории</t>
  </si>
  <si>
    <t>14.04.2023 07:21</t>
  </si>
  <si>
    <t>Анонимно. Девочки, может, у кого у деток так было. Сделали прививку, после температура держится 37.1-37.4 уже 2,5 недели. Врач назначил антибиотик и свечи "Виферон". Все сделали. Ничего не изменилось. Анализ крови нормальный, только гемоглобин 107 и завышен лимфатический показатель.</t>
  </si>
  <si>
    <t>14.04.2023 07:19</t>
  </si>
  <si>
    <t xml:space="preserve">Компания «Сандоз» сокращает ассортимент линейки «АЦЦ».
Из ассортимента уберут:
➖«АЦЦ» 200 мг, таблетки шипучие № 20;
➖ «АЦЦ» 200 мг, порошок для хол. напитка № 20;
➖ «АЦЦ Лонг» 600 мг, шипучие таблетки № 10;
➖ «АЦЦ» 600 мг, порошок для гор. напитка № 6;
➖ «АЦЦ Актив» 600 мг, порошок № 10.
Источник: https://www.katrenstyle.ru/news/sandoz_sokratit_assortiment_preparata_atsts_na_rossiyskom_rynke</t>
  </si>
  <si>
    <t>Ольга Лежнина</t>
  </si>
  <si>
    <t>14.04.2023 07:17</t>
  </si>
  <si>
    <t xml:space="preserve">Как не допустить осложнения при ОРВИ?
- Правильно лечить ОРВИ. Это значит давать организму справиться самому, но можно помочь с помощью витаминов и натуральных добавок. И обращать внимание на симптомы, лечение при ОРВИ должно быть симптоматическим. Болит горло - лечим горло, заложен нос - лечим нос.
- Вовремя восполнять дефициты витаминов, минералов и белка. Это необходимо для крепкого иммунитета.
- Не принимать лишних лекарств. Арбидол, кагоцел, оцилококцинум и все из этой серии в большинстве случаев не нужны при ОРВИ. И тем более не нужно принимать антибиотики при ОРВИ, даже если температура 39-40 с. Высокая температура может быть и при вирусных инфекциях. А антибиотики лечат от бактерий. Я постоянно наблюдаю неоправданное назначение антибиотиков, также чтобы перестраховаться. ‍♀️
- Обращать внимание на красные флаги. Знать их. Красные флаги - это состояния, при которых нужно вовремя обратиться к врачу или уже вызвать скорую.
- Не переносить болезнь на ногах. Просто сопли не в счет. Я про ОРВИ с высокой температурой. Заболели - значит нужно отлежаться дома. Детей мы бережем, а вот себя нет. Если с первых дней болезни отлежаться и отоспаться дома, то можно выздороветь за 1-3 дня, а не растягивать это на недели. Болезнь на ногах увеличивает риски развития осложнений.
Берегите себя и будьте здоровы! </t>
  </si>
  <si>
    <t>Виталина Березовская / Семейный доктор</t>
  </si>
  <si>
    <t>14.04.2023 07:15</t>
  </si>
  <si>
    <t>Эльвира Ярмиева</t>
  </si>
  <si>
    <t>14.04.2023 07:10</t>
  </si>
  <si>
    <t>НУТРИЦИОЛОГ/ ВЗРОСЛЫЕ и ДЕТИ</t>
  </si>
  <si>
    <t>14.04.2023 07:07</t>
  </si>
  <si>
    <t>Светлана Воронина(Воробьёва)</t>
  </si>
  <si>
    <t>Митрофановка</t>
  </si>
  <si>
    <t>В первые дни надо осельтамивир или ингавирин...витамин с 1000</t>
  </si>
  <si>
    <t>Эльмира Ривтер</t>
  </si>
  <si>
    <t>14.04.2023 07:06</t>
  </si>
  <si>
    <t>Татьяна Смирнова (Махнева)</t>
  </si>
  <si>
    <t>Тоншаево</t>
  </si>
  <si>
    <t>14.04.2023 07:05</t>
  </si>
  <si>
    <t>Надежда Егоркина</t>
  </si>
  <si>
    <t>Исилькуль</t>
  </si>
  <si>
    <t>14.04.2023 07:04</t>
  </si>
  <si>
    <t xml:space="preserve">Шпаргалка на всю жизнь: 99 лекарств, которые могут вылечить почти все.
НЕ ЗАБУДЬТЕ ПРОКОНСУЛЬТИРОВАТЬСЯ С ВРАЧОМ!
Текст на изображении: ЗАБОЛЕВАНИЯ ГОРЛА (ЧАСТЬ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6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6 виде капель. Тонзилгон противовоспалительное и обезболивающее средство, способствует уменьшению отека слизистой оболочки дыхательных путей.</t>
  </si>
  <si>
    <t>Людмила Диденко</t>
  </si>
  <si>
    <t>14.04.2023 07:00</t>
  </si>
  <si>
    <t>Иван Кальнет</t>
  </si>
  <si>
    <t>14.04.2023 06:57</t>
  </si>
  <si>
    <t>Мамы и Детки</t>
  </si>
  <si>
    <t>14.04.2023 06:50</t>
  </si>
  <si>
    <t>Владимир Васильев</t>
  </si>
  <si>
    <t>Лидия Шалыгина(Гончарова)</t>
  </si>
  <si>
    <t>Мокроусовский</t>
  </si>
  <si>
    <t>14.04.2023 06:49</t>
  </si>
  <si>
    <t>@anastasiapereverzeva08 при вирусе антибиотики не помогают, цитовир так же, как и кипферон - пустышка</t>
  </si>
  <si>
    <t>mom.life</t>
  </si>
  <si>
    <t>virienkod</t>
  </si>
  <si>
    <t>anastasiapereverzeva08</t>
  </si>
  <si>
    <t>14.04.2023 06:47</t>
  </si>
  <si>
    <t>Кипферон и не должен ничего вылечить. Антибиотик начали пить при бактериальной крови? Если нет, то и не должен он помочь</t>
  </si>
  <si>
    <t>14.04.2023 06:46</t>
  </si>
  <si>
    <t>Галина Обухова (Мельниченко)</t>
  </si>
  <si>
    <t>Республика Крым</t>
  </si>
  <si>
    <t>Перевальное</t>
  </si>
  <si>
    <t xml:space="preserve">Омские статистики представили 13 апреля 2023 года актуальные данные о потребительской инфляции на медикаменты за период с января по март 2023 года.
По данным статистиков, цены на жизненно необходимые и важнейшие препараты в Омске и области в первом квартале выросли в среднем на 0,4 %.
Заметнее всего за три месяца подорожали фуросемид (на 12,5 %), дротаверин (на 4,6 %), аскорбиновая кислота (на 3,5 %), цефтриаксон (на 3,1 %).
В то же время, статистики отмечают: на многие препараты из списка ЖНВЛП цены снизились на 0,2–5 %. Так, дешевле стали на супрастин (на 5 %), амлодипин (на 4,6 %), ксарелто (на 3,9 %), натрия хлорид (на 3,7%), ацетилцистеин (на 3,4 %), амброксол (на 3,4 %).
Что касается других препаратов, не входящих в указанный список, сильнее всего подорожали йод (на 6,5 %), поливитамины (на 4,4 %), флуоцинолона ацетонид (на 3,1 %).
На препараты зарубежного производства цены выросли в среднем от 2,6 до 6 %, здесь сильнее всего подорожал синупрет. Одновременно, такие препараты, как афобазол, аципол, таурин, комбинированные анальгетики, эссенциале форте, мидокалм, ренгалин подешевели на 3,1–8,3 %, отметили в Омскстате.</t>
  </si>
  <si>
    <t>superomsk.ru</t>
  </si>
  <si>
    <t>14.04.2023 06:44</t>
  </si>
  <si>
    <t>Иван Юров</t>
  </si>
  <si>
    <t>Тарасовский</t>
  </si>
  <si>
    <t>14.04.2023 06:40</t>
  </si>
  <si>
    <t xml:space="preserve">Девочки , может у вас тут есть частные педиатры , я обессилена
Ребёнок болеет уже 10 дней
Началось с 6 числа , был ларингит , проставлялась кипферон 3 дня вроде прошло , через день снова температура , лечили бронхи , температура не спадала , сказали что на горло пошло , дала антибиотик , антибиотик принимаем( сегодня ) третий день , итог , температура держится , вчера вроде легче было , днём даже кушать все начал , к вечеру снова поднялась температура и вот с утра снова такая же фигня 38.6 и плохо сбивается из сопутсвующих (сопли , подкашливание, лезут клыки , причём все и сразу ) вчера появился понос , но видимо на антибиотик , у меня опускаются руки  как помочь ребёнку , врача каждый день на дом вызываем итога никакого нет</t>
  </si>
  <si>
    <t>Ольга Астафьева</t>
  </si>
  <si>
    <t xml:space="preserve">Лекарства которые всегда должны быть в аптечке
Текст на изображении: ЕГДА В ДОМАШНЕЙ АПТЕЧ При температуре: нурофен много воды.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КИП, затем смекта или бактисуптил щадящая диета на дней. При гриппе и ОРВИ: циклоферон (принимать сразу при первых признаках заболевания), витами! фервекс, горчичники. При кашле: мокротой амбробене или элексир бронхикум; без мокроты либексин, сироп сенекод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При аллергии: зиртек, фенистил (капли). При болях в сердце: валидол. При вздутии и тяжести в животе: фестал. От синяков и ушибов: мазь бодяга. При растяжении мышц вальторен гель, випросал. Не забывайте читать инструкции перед применением, лучше консультироваться врачом!</t>
  </si>
  <si>
    <t>Ирина Финогенова(Проскрякова)</t>
  </si>
  <si>
    <t>Гульфия Хаюмова</t>
  </si>
  <si>
    <t>14.04.2023 06:35</t>
  </si>
  <si>
    <t>Под конец зимы в Омской области заметно подорожало лекарство от отёков</t>
  </si>
  <si>
    <t xml:space="preserve">Зафиксирован рост цен на йод, поливитамины и лекарство от насморка, в то время как лекарства от аллергии и тревожности подешевели. За период с января по март 2023 года Омскстат зарегистрировал в регионе незначительное повышение цен на жизненно необходимые и важнейшие лекарственные препараты. Они подорожали в среднем на 0,4%. Однако внутри этой группы наблюдались более выраженные изменения цен – в ту или иную сторону.
Сразу на 12,5% подорожал фуросемид (средство от отёков). На 4,6% выросла стоимость дротаверина (спазмолитика), на 3,5% – аскорбиновой кислоты.
В то же время на 5% подешевел супрастин (противоаллергическое), на 4,6% – амплодин (лекарство от гипертонии и стенокардии), на 3,9% – ксарелто (препарат для предотвращения тромбов).
Изменились цены и на препараты, не относящиеся к жизненно необходимым. Больше всего подорожали следующие лекарства: йод – на 6,5%, синупет (средство от насморка) – на 6%, поливитамины – на 4,4%. Подешевели в пределах от 3,1% до 8,3%, такие препараты, как афобазол (успокоительное), аципол (средство от дисбактериоза), таурин (противовоспалительное и гепатопротекторное средство), комбинированные анальгетики, эссенциале форте (гепатопротекторное средство), мидокалм (средство от мышечных спазмов), ренгалин (гомеопатический препарат от кашля).
Фото © ul.medguard.ru</t>
  </si>
  <si>
    <t>kvnews.ru</t>
  </si>
  <si>
    <t>Наиля Сторожева Юсупова</t>
  </si>
  <si>
    <t>14.04.2023 06:34</t>
  </si>
  <si>
    <t>Вирус жадности. «Главное российское лекарство» от COVID-19 оказалось пустышкой, закупленной в Китае и крайне токсичной</t>
  </si>
  <si>
    <t xml:space="preserve">Российские препараты от коронавируса «Авифавир» и «Коронавир» считаются отечественной разработкой, пропагандисты называли их революцией в медицине, сравнимой по масштабам с изобретением пенициллина.   
Госконтракты на их поставки уже превысили 10 млрд рублей. Но, как выяснил The Insider, российские фармкомпании на самом деле за ничтожные суммы закупили действующие вещества у китайских фирм, представленных на маркетплейсе Alibaba, причем никаких доказательств эффективности этих препаратов до сих пор нет. Более того, лекарство крайне токсично и опасно, но широко применяется без оглядки на серьезные побочные эффекты, среди которых проблемы развития плода и моторные нарушения. Торговля опасной пустышкой уже принесла фармкомпаниям миллиардные прибыли.
«Россия первой в мире зарегистрировала на сегодняшний день уже два препарата прямого противовирусного действия с доказанной эффективностью», — восторгался пропагандист Дмитрий Киселев в эфире «Вестей» в июле 2020 года. — И именно против COVID-19 это самые сильные на сегодняшний день „Авифавир” от компании „ХимРар” и „Арепливир” от „Промомеда”. Они предотвращают размножение вируса в организме, а эффективность этих таблеток по результатам клинических исследований — 90%. Лучших результатов против COVID-19 пока нет ни у одного другого лекарственного средства в мире».
Правда в словах пропагандиста была только в одном: весной 2020 года Минздрав действительно одобрил «Авифавир», «Арепливир» и «Коронавир» для лечения коронавирусом, и действительно нигде в мире «противовирусные» средства против коронавируса не использовались. В основе этих препаратов на самом деле лежит действующее вещество фавипиравир, которое было изобретено и запатентовано в Японии в начале 2000-х как средство от тяжелого течения гриппа, а также испытывалось на пациентах с вирусом Эболы, но в массовом производстве фавипиравир в итоге никогда не был и в самой Японии не применялся, так как его эффективность доказать не удалось.
Однако в середине марта 2020 года официальные лица  Китая  внезапно заявили о высокой эффективности фавипиравира против коронавируса. Именно тогда целый ряд крупных российских компаний — «Р-Фарм», «Промомед», а также фирма «ХимРар» при поддержке Российского  фонда  прямых инвестиций (РФПИ) приняли решение наладить производство российского аналога. «В марте мы услышали новость, что среди сотен препаратов, испытываемых в КНР, один показал прорывные результаты, в два раза улучшив результаты лечения», — так описывал начало работ над препаратом председатель совета директоров «ХимРара» Андрей Иващенко на одной из пресс-конференций.
Буквально за месяц при поддержке РФПИ дочерняя компания «ХимРар» — фирма «Кромис» — не просто воссоздала препарат, но 23 апреля зарегистрировала в Минздраве начало клинического исследования «Авифавира» с 60 добровольцами. Официально оно продолжалось до 31 декабря 2020 года, а число участников расширили до 300 человек. Но на самом деле итогов исследования никто не ждал: уже в конце мая 2020 года препарат начали применять для лечения пациентов.
Такой успех производители в «ХимРар» объясняли тем, что пять лет назад компания уже работала над похожим препаратом и синтезировала химию фавипиравира. РФПИ и «ХимРар» настаивали, что им удалось самостоятельно синтезировать действующее вещество и проверить его на эффективность в кратчайшие сроки. В мае телеканал «Россия-1» показал сюжет, где говорилось, что на синтез лекарства у «ХимРара» ушло две недели, а купить ни сам препарат, ни сырье для него «не удалось ни одной стране мира»
Тонны веществ из Китая
Как удалось выяснить The Insider, в действительности у препарата «Авифавир» было китайское происхождение — российские фармкомпании просто по дешевке закупили «ингредиенты» на китайском рынке.
В распоряжении редакции имеются номера деклараций на ввоз вещества. Так, 2 и 6 апреля, а затем 11 мая и 18 июня на производство компании «ХимРар» в Химках от китайского поставщика приехали почти 90 кг веществ, из которых за несколько операций можно получить фавипиравир. Задекларированная стоимость интермедиатов — всего 23 млн рублей, ничтожная сумма по сравнению с миллиардными бюджетами госзакупок. По оценке китайского продавца, компании Jinlan Pharm-Drugs Technology Co., из такого количества можно изготовить десятки тысяч таблеток — с ним корреспондент общался на маркетплейсе Alibaba, где в 2020 году был представлен магазин компании, и в нем можно было купить субстанцию фавипиравира. В 2021 году купить эту субстанцию на Alibaba уже невозможно — по требованию лицензиата такие товары были заблокированы. Однако на сайте поставщика ссылка на товар все еще имеется.
Аналогично «ХимРару» действовали и остальные российские компании. Судя по данным таможни, 30 мая 2020 года дочерняя компания «Р-Фарм» — «Технология лекарств» — получила 5 бочек с 50 кг уже готового фавипиравира. Вещество обошлось фирме в 48 млн рублей. В общей сложности, как оказалось, с начала 2020 года компания «Р-Фарм» ввезла в Россию почти 4 тонны субстанции для приготовления таблеток фавипиравира. Об этом свидетельствуют данные базы таможенных деклараций Import Genius.
Тот факт, что дочерние компании «ХимРара» и «Р-Фарм» на самом деле импортировали субстанцию для производства лекарств, The Insider подтвердили два независимых источника в фармацевтической отрасли.
Закупленное российскими компаниями вещество — это промежуточный продукт, получающийся ближе к концу синтеза финального вещества. К такому выводу пришли специалист по разработке и регулированию лекарств в Центре научного консультирования Равиль Ниязов и пожелавший сохранить анонимность химик-синтетик одного из российских фармпроизводителей, изучившие по просьбе The Insider декларации «Р-Фарм» и «ИИХР».
«Обычно синтез начинается с более простых молекул, которые не имеют такой относительно сложно-разветвленной структуры», — поясняет Ниязов. Из веществ, закупленных «ИИХР», в три стадии получается фавипиравир, говорит химик-синтетик, по его подсчетам, этого объема должно хватить на 460 курсов или 33 тысячи таблеток. «Но у таких покупок есть риски. В начале синтеза промежуточного вещества могли не соблюдаться какие-то условия и реакции шли не в идеальных условиях, а значит, продукт может содержать примеси», — говорит Ниязов.
Между тем продавцы вещества, которые поставляли вещество из Китая российским фармкомпаниям, не смогли подтвердить корреспонденту, что они сами производят этот препарат, а не закупают его где-то еще. Зато они утверждают, что вещества пользуются большим спросом у покупателей из России, и из Китая их поставляют «тоннами».
Туманный патент и опасные модификации
Но могли ли российские компании все-таки действительно синтезировать вещество самостоятельно?
Теоретически в сжатые сроки воспроизвести молекулу активного вещества возможно. В таких случаях используется патент оригинального производителя, но само описание синтеза в нем, как правило, «туманно», рассказывает научный сотрудник одного из российских фармпроизводителей (химик-синтетик). Компании специально так составляют патенты, чтобы защитить свою интеллектуальную собственность.
Профессор НИУ-ВШЭ, президент Общества специалистов доказательной медицины Василий Власов считает, что за месяц можно синтезировать субстанцию, но наладка индустриального синтеза может занимать месяцы. Такого же мнения придерживается и специалист по разработке и регулированию лекарств в Центре научного консультирования Равиль Ниязов.
«Быстро разработать технологию промышленного производства невозможно. При ее создании проводятся пуско-наладочные испытания, не одна и не две опытные серии, никто не обкатанную технологию, которая существует только на бумаге, не начнет использовать для получения препарата», — говорит Ниязов.
Отдельные вопросы у профессионального сообщества вызывают сообщения гендиректора «ХимРара» Иващенко о том, что компании удалось модифицировать препарат.
«В отношении лекарств никакие скрытые модификации недопустимы. Если они модифицировали что-то, то какой противовирусной активностью этот препарат обладает?», — говорит Ниязов. С ним согласен и Власов: «Если препарат изменен и воспроизведен не фавипиравир, то это лекарство должно проходить полный цикл клинических исследований».
Исследования на добровольцах
Первое исследование фавипиравира на эффективность против COVID-19 было зарегистрировано в Китае в середине февраля 2020 года. Первые результаты казались вполне обнадеживающими: госпитализированные пациенты быстрее избавлялись от вируса, а снимки грудной клетки показывали положительную динамику. Исследование с самой большой выборкой пациентов прошло также в Китае в конце февраля. В нем фавипиравир сравнивали с арбидолом (как с плацебо), и лекарство не показало эффективности. В исследовании участвовали 240 человек.
Параллельно началось сравнение эффективности фавипиравира с калетрой — лекарством от ВИЧ, которое во всем мире пробовали применять также от нового коронавируса. Для исследования отобрали 80 человек. Результаты фавипиравира оказались немного лучше калетры, однако в опубликованной в итоге статье говорится, что, так как выборка пациентов была маленькой, а дизайн исследования не совсем корректный, его нельзя считать доказательством эффективности фавипиравира, и требуются дополнительные исследования. Однако именно на эту статью ссылается Минздрав России, поясняя, почему выбрал фавипиравир как рекомендованное лекарство. Статья с результатами исследования была опубликована 18 марта, и ровно в этот же день китайский регулятор поспешил заявить об эффективности китайского лекарства от нового вируса.
В Великобритании, Франции, США, на Ближнем Востоке и в Южной Азии проводили свои исследования эффективности фавипиравира. Однако, во-первых, они исследовали оригинальный японский препарат, который производится под маркой «Авиган» или индийские лицензионные дженерики. Во-вторых, хотя некоторые из таких исследований показали эффективность препарата по сравнению с другими антивирусными лекарствами (например, ремдесивиром), речь шла о легкой и среднетяжелой форме коронавируса, так что даже если бы этим результатам можно было доверять, они все равно нерелевантны — препарат очень токсичен, и потому для лечения легких форм коронавируса применяться все равно не может.
В крупнейшей мировой базе данных о клинических исследования препаратов ClinicalTrials есть информация о том, что исследование «Авифавира» в июне 2020 года одновременно в 22 больницах проводила профессор МГУ Елена Павликова и доктор медицинских наук Никита Ломакин из ЦКБ. В августе 2020 года они опубликовали результаты исследования в журнале Clinical Infectious Diseases.
Однако оказалось, что исследование спонсировали РФПИ и инновационный центр «Сколково», резидентом которого является производитель лекарства — «Химрар». Всего в исследовании участвовали 60 человек, 40 из которых получали авифавир и другие лекарства (какие — не указано), а 20 — разные антивирусные препараты, в основном гидроксихлорохин, наравне с антибиотиками и жаропонижающими. Два человека с более тяжелым течением болезни скончались за время исследования. Авторы приходят к выводу о том, что «Авифавир» работает лучше «стандартной терапии», хотя по истечении 10 дней лечения p-критерий (уровень значимости полученных результатов, определяющий, насколько статистически значим исход эксперимента) составлял 0,155. Чем больше этот показатель, тем больше вероятность того, что полученный результат скорее случаен, чем является следствием проведенных манипуляций. В медицине обычно используется в качестве порогового показатель p-критерия не больше 0,05, иногда 0,01, то есть российские исследователи на порядок отклонились от стандартных требований. Авторы исследования подчеркивают, что именно эти клинические испытания на 60 добровольцах стали причиной того, что препарат был включен в рекомендации Минздрава.
«Этот препарат изначально исследовали против обычного гриппа, и он показал очень маленькую эффективность. Поэтому в виду его токсичности его нигде не разрешили. Разрешили только в Японии и то, как запасной вариант. В Японии также проводилось исследование его эффективности против коронавируса. И это исследование также не показало большой эффективности. В России были исследования фавипиравира, но все они очень низкого качества. Ими руководил уролог Дмитрий Пушкарь, почему это доверили урологу?», — поражается эпидемиолог Василий Власов.
В мае 2020 года главный уролог Минздрава России Дмитрий Пушкарь рассказывал «Российской газете», что в Японии препарат «пришелся очень ко двору при лечении различных вирусных инфекций, включая самые сложные», хотя в действительности он никогда не применялся против болезней, а только исследовался для лечения гриппа и вируса Эбола.
Японская компания разработчик Fujifilm Toyama Chemical еще в сентябре 2020 году сообщила о низких показателях эффективности вещества фавипиравир — по данным их исследования, те, что принимали препарат, выписались из больницы через 12 дней, те, кому давали плацебо, — через 15. «Продолжительность заболевания что двенадцать, что четырнадцать дней — для меня одно и то же.
Получается, что сумму в 20–25 тысяч рублей вы платите за сокращение лечения на два дня. И при этом нет данных о снижении смертности: уменьшает этот препарат ее или нет», — говорил в интервью «Известиям» доктор биологических наук, профессор, член-корреспондент РАН, заведующий лабораторией биотехнологии и вирусологии факультета естественных наук НГУ Сергей Нетесов.
Результаты клинического исследования одной из крупнейших фармкомпаний России АО «Р-Фарм» были опубликованы в сентябре 2020 года в российском журнале «Медицинский оппонент». В исследовании участвовала медицинский директор ООО «Технология лекарств» Ольга Филон, финансировалось исследование компанией «Р-Фарм». В испытаниях также участвовали 60 человек, 40 из которых получали фавипиравир, а еще 20 — другие препараты, которые авторы не раскрывают. Кроме того, почти все пациенты получали антибиотики, антикоагулянты и жаропонижающие, то есть стандартную одобренную Минздравом терапию. В отличие от исследования «Химрара», специалисты не привлекли к испытаниям тяжело больных пациентов, и ни один пациент не скончался. Время уничтожения вируса в организме пациентов, получавших фавипиравир, практически не отличалось от остальных пациентов, улучшение состояния пациентов наступало на 3,5 дня раньше.
Практика, при которой фармкомпании финансируют клинические испытания собственных препаратов, считается сомнительной в научном сообществе. К примеру, британский автор Бен Голдакр в своей книге «Вся правда о лекарствах: мировой заговор фармкомпаний» (Bad Pharma: How Drug Companies Mislead Doctors and Harm Patients) приводит статистику того, что чаще всего такие исследования комплиментарны, а исследования, в которых эффективность препарата не была доказана, просто не публикуются. Кроме того, исследования часто имеют плохой дизайн, проводятся на небольшом количестве испытуемых (как произошло, к примеру, в случае с российскими дженериками фавипиравира), а результаты могут быть искажены в пользу определенного препарата.
Скорее яд, чем лекарство
В то время как эффективность фавипиравира крайне сомнительна, его опасные побочные эффекты, напротив, хорошо доказаны. Из-за своей токсичности препарат запрещен детям, беременным, кормящим женщинам, а также людям с тяжелой печеночной или почечной недостаточностью. Из-за высокой вероятности негативного влияния на плод людям, принимавшим препарат, рекомендовано в течение нескольких месяцев уделять особенное внимание контрацепции. Также, при исследовании в Японии было выявлено, что применение препарата может приводить к моторным нарушениям у пациентов: синдрому усталых ног (restless legs syndrome), а также повышенному риску падений. Эксперты считают, что это может быть связано с воздействием лекарства на центральную нервную систему.
Препараты с такой высокой токсичностью обычно применяются только в случаях, когда их эффективность высока и пациент находится в тяжелом состоянии, то есть риски от болезни перевешивают риски от применения препарата. Кроме того, токсичные препараты применяются только в больницах под строжайшим контролем врачей. В случае с российскими дженериками фавипиравира все эти требования были нарушены.
Несколько сотрудников московских госпиталей, специализирующихся на лечении коронавируса, подтвердили, что лекарства на основе фавипиравира («Коронавир» и «Авифавир») регулярно выдаются пациентам и стоят в планах лечения тяжело больных. «Изначально фармкомпании зарегистрировали российские аналоги как лекарство против тяжелых случаев болезни, которое, в силу его токсичности, должно применяться в больницах. Но на практике его выдают и при легкой форме [во время лечения на дому]», — отмечает Власов.
Врач-терапевт одной из московских поликлиник также подтвердил, что все подтвержденные случаи Covid-19 сейчас даже при домашнем режиме в Москве лечатся российскими дженериками фавипиравира.
Деньги не заразны
Массовые поставки «Авифавира» в регионы страны начались еще в июне 2020 года и с тех пор наращиваются. По расчетам редакции на основании данных портала госзакупок, к 1 августа 2021 года власти закупили российского дженерика не менее чем на 10 млрд рублей. Только компания «Р-Фарм» напрямую поставила в больницы препарат на сумму около 5 млрд рублей. Большая часть торгов была оформлена как закупка у единственного поставщика.
Первые упаковки «Авифавира», вышедшие на рынок, продавались больницам по цене в 22 тысячи рублей за 40 таблеток — фантастически высокая цена, учитывая закупочную стоимость фавипиравира в Китае (не говоря уже о том, что любая цена за неэффективное лекарство слишком высокая). Когда на рынок вышел «Коронавир», его цена для разных больниц колебалась от 3 до 5 тысяч рублей за пачку из 50 таблеток. Осенью 2020 года препарат вышел и в розничную продажу, в аптеках он стоит в районе 5 тысяч рублей за пачку. При этом на родине препарата в Японии его продажа в рознице строго запрещена и разрешено только применение в стационаре.</t>
  </si>
  <si>
    <t>compromat41.com</t>
  </si>
  <si>
    <t>14.04.2023 06:33</t>
  </si>
  <si>
    <t>Сахалинстат рассказал, как изменились цены на островах в марте</t>
  </si>
  <si>
    <t xml:space="preserve">Фото: okha65.ru               По данным Сахалинстата, в марте 2023 года индекс потребительских цен по Сахалинской области по сравнению с февралем составил 100,04 процента.
За месяц плодоовощная продукция подешевела на 0,5 процента. Наибольшее падение цен в этой группе отмечено на свежие помидоры (5,8 процента), огурцы (4,4 процента), лимоны (3 процента).&amp;nbsp;
Вместе с тем подорожали капуста белокочанная (14,7 процента), картофель &amp;nbsp; (3,2 процента), груши (3,0 процента).
Из &amp;nbsp; продовольственных товаров ощутимо подорожали хлопья из злаков (сухие завтраки) &amp;ndash; на 7,3 процента.&amp;nbsp;
Подросли в цене кофе натуральный растворимый, жевательная резинка, соки фруктовые, печенье, рыба охлажденная и мороженая разделанная лососевых пород, колбаса полукопченая.
В то же время подорожание в пределах 1 &amp;ndash; 5 процентов отмечено на пшено, крупу гречневую, овсяные хлопья, свинину бескостную, масло сливочное, соль пищевую, масло подсолнечное и куры охлажденные и мороженые.             
Среди наблюдаемых видов непродовольственных товаров более всего подорожали ветровки женские (13,6 процента), куртки мужские из натуральной кожи (10,9 процента), ветровки мужские (8,3 процента), миксеры и блендеры (6,5 процента), а также матрасы детские, платья летние для девочек, электроутюги, пальто женское демисезонное, электропылесосы напольные.
Упали в цене шины для легкового автомобиля (10,5 процента), куртки мужские из плащевых тканей утепленные (8 процентов), пальто женское меховое и дубленки (6 процентов), ботинки для детей школьного возраста зимние из натуральной кожи (4,0 процента), компьютеры планшетные (3,3 процента).
Из наблюдаемых товаров, входящих в рекомендуемый перечень непродовольственных товаров первой необходимости, на 2 &amp;ndash; 4,5 процента выросли цены на щетки зубные, подгузники детские, сухие корма для животных.
В этой же группе удешевление в пределах 3,8 процента зарегистрировано на пасту зубную, бумагу туалетную, салфетки сухие, мыло хозяйственное.
Среди лекарственных препаратов, относящихся к жизненно необходимым и важнейшим лекарственным препаратам, в среднем стали дороже панкреатин (8,3 процента), фуросемид (8 процентов), гриппферон (3,9 процента), ацетилсалициловая кислота (3,6 процента), а также фосфоглив и парацетамол.&amp;nbsp;
Подешевели азитромицин (4,1 процента) и ксилометазолин (1,2 процента).
В группе услуг подорожание отмечено на комиссию банка за перевод средств с карты на карту клиенту другого банка на территории России (14,5 процента), подписку на онлайн-видеосервисы (8,5 процента), плату за пересылку простой посылки внутри России массой 1&amp;ndash;2 кг (6,3 процента), абонентскую плату за доступ в интернет (3,5 процента).
Поездки на отдых на Черноморское побережье России и в Крым подорожали на 17,0 процентов.
C изменением потребительских цен изменилась и стоимость условного (минимального) набора продуктов питания. В среднем по Сахалинской области в марте она составила 8 247,04 рубля и по отношению к февралю 2023 года выросла на 0,7 процента.
Стоимость набора в Южно-Сахалинске в марте была равна 8 115,98 рубля, в Корсакове &amp;ndash; 8 238,31 рубля, Поронайске &amp;ndash; 7 923,49 рубля, Охе &amp;ndash; 9 205,75 рубля.  Фото: тематическое  Источник:
Оха65.ру</t>
  </si>
  <si>
    <t>ujnosahalinsk.bezformata.com</t>
  </si>
  <si>
    <t>14.04.2023 06:31</t>
  </si>
  <si>
    <t>Текст на изображении: ПРИМЕРЫ ИЗ СПРАВОЧНИКА СТОИМОСТЬ ЛЕКАРСТВ И ЦЕНЫ ИХ АНАЛОГОВ. МЕНА ЛАЗОЛВАН 1500 ЛОМИЛАН ЛОСЕК МАПС 300 МИДРИАЦИЛ 200 НОРМОДИПИН омез ПАНАНГИН пиносол 10 ЙОДОМАРИН СУММАМЕД ТЕБАНТИН__ 1200 270 ПЛАВИКС 2770 САНОРИН 100 TPMXONOA ФУРАМАГ ЗОВИРАКС ДИФЛЮКАН ЭРСЕФУРИЛ BETACEPK 00 АМБРОГЕКСАЛ 120 БЫСТРУМГЕЛЬ 200 100 ОТРИВИН 190 KATOUEA АМИКСИН ПАНАДОЛ НО-ШПА НОРМОДИПИН TAYOOH SHAN ВИАГРА КСЕНИКАЛ АНАЛОГ: РОЗУВАСТАТИН `ЛОРАТАДИН ПАНКРЕАТИН АМЛОДИПИН ИБУПРОФЕН ЭВКАСЕПТ КАЛИЯ ЙОДИД ГАБАПЕНТИН НАФТИЗИН МЕТРОНИДАЗОЛ ФУРАЗОЛИДОН ‘AMBPOKCON KETONPOOEH РИМАНТАДИН ПАРАЦЕТАМОЛ ТАУРИН YPCOCAH KETONPOOEH ЭНАЛАПРИЛ ‘OPCOTEH цен 30 400 20 50 30 120 20 80 40 20 50 10 30 40 20 60 80 340 1000</t>
  </si>
  <si>
    <t>ИГОРЬ СТАРЫЙ</t>
  </si>
  <si>
    <t>САФОНОВО- любимый город</t>
  </si>
  <si>
    <t>Сафоново</t>
  </si>
  <si>
    <t>14.04.2023 06:29</t>
  </si>
  <si>
    <t>Текст на изображении: ны Московскии врач-онколог запретил давать детям 3 популярных препарата: HypocbeH Виферон! Они BbISbIBaIOT 3HAKOMbIM. Каждый должен это знать! Запомни и передай другому!</t>
  </si>
  <si>
    <t>Пётр Крючков</t>
  </si>
  <si>
    <t>14.04.2023 06:26</t>
  </si>
  <si>
    <t>Лена Мохова</t>
  </si>
  <si>
    <t>Воробьево</t>
  </si>
  <si>
    <t>Марина Шишмакова (Махлачева)</t>
  </si>
  <si>
    <t>Чусовой</t>
  </si>
  <si>
    <t>14.04.2023 06:23</t>
  </si>
  <si>
    <t>Татьяна Вита</t>
  </si>
  <si>
    <t>14.04.2023 06:22</t>
  </si>
  <si>
    <t>С ацетилцистеином и др пр-тов много,прорвемся и без ацц;-)</t>
  </si>
  <si>
    <t>Юлия Михалева</t>
  </si>
  <si>
    <t>Провизор24</t>
  </si>
  <si>
    <t>Тула</t>
  </si>
  <si>
    <t>14.04.2023 06:21</t>
  </si>
  <si>
    <t>Надя Надежда</t>
  </si>
  <si>
    <t>14.04.2023 06:20</t>
  </si>
  <si>
    <t>Фарида Томуть</t>
  </si>
  <si>
    <t>Рощино</t>
  </si>
  <si>
    <t>Ночная злость</t>
  </si>
  <si>
    <t xml:space="preserve">На дворе ночь, а я вам - здравствуйте!
Во- первых, кашель не дает покоя, такие приступы, будто я точно клиент тубдиспансера.
Во - вторых, сосед попался не совсем порядочного разлива,  ценитель послушать телевизор к часам так 23- ем. Стуки в стену, просьбы в розетку, угрозы и проклятия на него не действуют. Он прям вот боевички, там, чтоб погони, стрельба, крики, мат - чтоб вот все. Не, ну так - то заботливый чувак, не поспоришь. Ему интересно, так он со всеми делится.
Как я кашлем последние пять дней.
Но я это совершенно не специально. Даже больше скажу, я была бы больная, если б хотела этого. Просто невыносимо. Температуру можно сбить, ломоту залить терафлю каким -нибудь, в нос закапать, от боли в горле - полоскания и таблеточки.
Но что можно сделать с кашлем?4 дня Амбробене не привели ни к чему. Пью антигистаминное, купила флуифорт, завтра начну курс.
В понедельник хоть как надо на работу, но если я закашляю у врача - не выпишет. Но дело даже не в работе, а в том- что там во мне такое, что организм хочет выплюнуть вместе с лёгкими?</t>
  </si>
  <si>
    <t>Che</t>
  </si>
  <si>
    <t>14.04.2023 06:07</t>
  </si>
  <si>
    <t>14.04.2023 06:06</t>
  </si>
  <si>
    <t>Марина  Николаевна</t>
  </si>
  <si>
    <t>Рубцовск</t>
  </si>
  <si>
    <t>14.04.2023 06:04</t>
  </si>
  <si>
    <t xml:space="preserve">Список лекарств для вашей аптечки
Эти лекарства являются первой медицинской помощью
Текст на изображении: Простуда 1. Ибупрон сильное обезболивающие средство, быстро действует, в виде шипучих таблеток шадит в свечах удобен для мальшей.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сильно, ухудшает качество крови. 6. Полиоксидоний -стимулирует иммунную систему, назначают детям, пригоден для экстренной помощи и для профилактики во время эпидемии ОРВИ. 7. Рибомунил восстанавливает иммунитет, рекомендован детям. 8. Санорин самое быстрое средство от насморка противоаллергическими компонентами.; Горло Анаферон хорошее гомеопатическое средство для лечения вирусных инфекции верхних дыхательных путеи. 2. Колустан аэрозоль, хорошо снимает отеки при воспалениях. 3. Люголь, растворенный в глицерине лучшее наружное средство при ларингите. 4. TIponocoa—H имеет выраженные антимикробные и противовоспалительные своиства, не оказывает раздражающего деиствия на организм. 5. Синупрет обладает антибактериальным и антиотечным действием, может назначаться детям есть в виде капель. 6. Тонзилгон противовоспалительное и обезболивающее средство.</t>
  </si>
  <si>
    <t>Антонина Прохорова</t>
  </si>
  <si>
    <t>14.04.2023 06:00</t>
  </si>
  <si>
    <t>Марина Виричева</t>
  </si>
  <si>
    <t>Комсомольск-на-Амуре</t>
  </si>
  <si>
    <t xml:space="preserve">⚡В АПТЕКАХ ОМСКОЙ ОБЛАСТИ ПОДОРОЖАЛИ ЖИЗНЕННО НЕОБХОДИМЫЕ ЛЕКАРСТВА
Омскстат вновь провёл выборочное обследование потребительского рынка Омской области. С января по март цены на жизненно необходимые и важнейшие препараты повысились в среднем на 0,4%
На 12,5% подорожал фуросемид, на 4,6% – дротаверин, на 3,5% – аскорбиновая кислота, на 3,1% – цефтриаксон.
При этом некоторые лекарства подешевели:
супрастин – на 5%,
амлодипин – на 4,6%,
ксарелто – на 3,9%,
натрия хлорид – на 3,7%,
ацетилцистеин (АЦЦ) – на 3,4%,
амброксол – на 3,4%.
Из отечественных препаратов, не относящихся к жизненно необходимым, наиболее сильно подорожали йод (на 6,5%), поливитамины (на 4,4%), флуоцинолона ацетонид (на 3,1%). Из зарубежных на 2,6% подорожал синупрет.
Подешевели на 3,1–8,3% афобазол, аципол, таурин, комбинированные анальгетики, эссенциале форте, мидокалм и ренгалин.
 Сообщает РИА «Омск-информ»
#новость #Калачинск</t>
  </si>
  <si>
    <t>Типичный Калачинск - City</t>
  </si>
  <si>
    <t>Калачинск</t>
  </si>
  <si>
    <t>14.04.2023 05:57</t>
  </si>
  <si>
    <t>Наталья Мичкова(Кузнецова)</t>
  </si>
  <si>
    <t>14.04.2023 05:54</t>
  </si>
  <si>
    <t>ольга васильева</t>
  </si>
  <si>
    <t>14.04.2023 05:53</t>
  </si>
  <si>
    <t>Диана Ярлыкова(Шурбина)</t>
  </si>
  <si>
    <t>14.04.2023 05:52</t>
  </si>
  <si>
    <t>Амбробене спасает</t>
  </si>
  <si>
    <t>Александра Ковалева</t>
  </si>
  <si>
    <t>14.04.2023 05:51</t>
  </si>
  <si>
    <t xml:space="preserve">.
Если вы заболели и у вас подозрение на ...
.
Текст на изображении: Информация для всех людей! Ингавирин по 1 капсуле каждый день Азитромицин 500 мг 1 раз в день Таваник (левофлоксацин) 500 мг по 1 таблетки 2 раза в день Аскорутин по 1 таблетке 3 раза в день Амброксол по 1 таблетке 3 раза в день (при кашле) Клексан уколы в живот, либо кроворазжижающие препараты. Если будет температура более дней В связи коллапсом системы здравоохранения специалисты в области здравоохранения, подготовили это сообщение для населения на случай, если вы не хотите рисковать и сразу же обращаться в больницу; Симптомы появляются третьего дня после заражения (симптомы вируса).</t>
  </si>
  <si>
    <t>Ирина Самохина Рощина</t>
  </si>
  <si>
    <t>14.04.2023 05:49</t>
  </si>
  <si>
    <t>Амбробене ингалятор хорошо помогает в любом возрасте</t>
  </si>
  <si>
    <t>Анна Андреевна</t>
  </si>
  <si>
    <t>Светлана Константинова (Усатова)</t>
  </si>
  <si>
    <t>14.04.2023 05:47</t>
  </si>
  <si>
    <t>Галина Шинкевич (Завалишина)</t>
  </si>
  <si>
    <t>Юрга</t>
  </si>
  <si>
    <t>Геннадий Аввакумов</t>
  </si>
  <si>
    <t xml:space="preserve">Среди лекарственных препаратов, относящихся к жизненно необходимым и важнейшим лекарственным препаратам, в среднем стали дороже панкреатин (8,3 процента), фуросемид (8 процентов), гриппферон (3,9 процента), ацетилсалициловая кислота (3,6 процента), а также фосфоглив и парацетамол.
Подешевели азитромицин (4,1 процента) и ксилометазолин (1,2 процента).
В группе услуг подорожание отмечено на комиссию банка за перевод средств с карты на карту клиенту другого банка на территории России (14,5 процента), подписку на онлайн-видеосервисы (8,5 процента), плату за пересылку простой посылки внутри России массой 1–2 кг (6,3 процента), абонентскую плату за доступ в интернет (3,5 процента).
Поездки на отдых на Черноморское побережье России и в Крым подорожали на 17,0 процентов.
C изменением потребительских цен изменилась и стоимость условного (минимального) набора продуктов питания. В среднем по Сахалинской области в марте она составила 8 247,04 рубля и по отношению к февралю 2023 года выросла на 0,7 процента.
Стоимость набора в Южно-Сахалинске в марте была равна 8 115,98 рубля, в Корсакове – 8 238,31 рубля, Поронайске – 7 923,49 рубля, Охе – 9 205,75 рубля.</t>
  </si>
  <si>
    <t>okha65ru</t>
  </si>
  <si>
    <t>Сахалинская область</t>
  </si>
  <si>
    <t>Оха</t>
  </si>
  <si>
    <t>14.04.2023 05:41</t>
  </si>
  <si>
    <t>Валижан Шакуров</t>
  </si>
  <si>
    <t>Джалиль</t>
  </si>
  <si>
    <t>14.04.2023 05:38</t>
  </si>
  <si>
    <t xml:space="preserve">По данным Сахалинстата, в марте 2023 года индекс потребительских цен по Сахалинской области по сравнению с февралем составил 100,04 процента.
За месяц плодоовощная продукция подешевела на 0,5 процента. Наибольшее падение цен в этой группе отмечено на свежие помидоры (5,8 процента), огурцы (4,4 процента), лимоны (3 процента).
Вместе с тем подорожали капуста белокочанная (14,7 процента), картофель  (3,2 процента), груши (3,0 процента).
Из  продовольственных товаров ощутимо подорожали хлопья из злаков (сухие завтраки) – на 7,3 процента.
Подросли в цене кофе натуральный растворимый, жевательная резинка, соки фруктовые, печенье, рыба охлажденная и мороженая разделанная лососевых пород, колбаса полукопченая.
В то же время подорожание в пределах 1 – 5 процентов отмечено на пшено, крупу гречневую, овсяные хлопья, свинину бескостную, масло сливочное, соль пищевую, масло подсолнечное и куры охлажденные и мороженые.
Среди наблюдаемых видов непродовольственных товаров более всего подорожали ветровки женские (13,6 процента), куртки мужские из натуральной кожи (10,9 процента), ветровки мужские (8,3 процента), миксеры и блендеры (6,5 процента), а также матрасы детские, платья летние для девочек, электроутюги, пальто женское демисезонное, электропылесосы напольные.
Упали в цене шины для легкового автомобиля (10,5 процента), куртки мужские из плащевых тканей утепленные (8 процентов), пальто женское меховое и дубленки (6 процентов), ботинки для детей школьного возраста зимние из натуральной кожи (4,0 процента), компьютеры планшетные (3,3 процента).
Из наблюдаемых товаров, входящих в рекомендуемый перечень непродовольственных товаров первой необходимости, на 2 – 4,5 процента выросли цены на щетки зубные, подгузники детские, сухие корма для животных.
В этой же группе удешевление в пределах 3,8 процента зарегистрировано на пасту зубную, бумагу туалетную, салфетки сухие, мыло хозяйственное.
Среди лекарственных препаратов, относящихся к жизненно необходимым и важнейшим лекарственным препаратам, в среднем стали дороже панкреатин (8,3 процента), фуросемид (8 процентов), гриппферон (3,9 процента), ацетилсалициловая кислота (3,6 процента), а также фосфоглив и парацетамол.
Подешевели азитромицин (4,1 процента) и ксилометазолин (1,2 процента).
В группе услуг подорожание отмечено на комиссию банка за перевод средств с карты на карту клиенту другого банка на территории России (14,5 процента), подписку на онлайн-видеосервисы (8,5 процента), плату за пересылку простой посылки внутри России массой 1–2 кг (6,3 процента), абонентскую плату за доступ в интернет (3,5 процента).
Поездки на отдых на Черноморское побережье России и в Крым подорожали на 17,0 процентов.
C изменением потребительских цен изменилась и стоимость условного (минимального) набора продуктов питания. В среднем по Сахалинской области в марте она составила 8 247,04 рубля и по отношению к февралю 2023 года выросла на 0,7 процента.
Стоимость набора в Южно-Сахалинске в марте была равна 8 115,98 рубля, в Корсакове – 8 238,31 рубля, Поронайске – 7 923,49 рубля, Охе – 9 205,75 рубля.</t>
  </si>
  <si>
    <t>okha65.ru</t>
  </si>
  <si>
    <t>14.04.2023 05:37</t>
  </si>
  <si>
    <t xml:space="preserve">Cписок лекаpcтв для первой медицинской помoщи 
Текст на изображении: Простуда 1. Ибупрон сильное обезболивающие средство, быстро действует, в виде шипучих таблеток щадит желудок, в свечах удобен для малышей.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свечи‚но сильно ‘ухудшает качество крови. 5. великолепное жаропонижающее, незаменим для астматиков. 6. Полиоксидоний -стимулирует иммунную систему, назначают детям, пригоден для экстренной помощи и для профилактики во время эпидемии ОРВИ. 7. Рибомунил восстанавливает иммунитет, рекомендован детям. 8. Санорин самое быстрое средство от насморка противоаллергическими компонентами.; Горло 1. Анаферон хорошее гомеопатическое средство для лечения вирусных инфекций верхних дыхательных путей. 2. Колустан аэрозоль, хорошо снимает отеки при воспалениях. 3. Люголь, растворенный в глицерине лучшее наружное средетво при 4. имеет выраженные антимикробные и противовоспалительные свойства, не оказывает раздражающего действия на организм. 5. Синупрет обладает антибактериальным и антиотечным действием, может назначаться детям есть в виде капель. 6. Тонзилгон противовоспалительное и обезболивающее средство.</t>
  </si>
  <si>
    <t>Эльмира Караваева</t>
  </si>
  <si>
    <t>14.04.2023 05:33</t>
  </si>
  <si>
    <t>Наталья Казакова</t>
  </si>
  <si>
    <t>14.04.2023 05:30</t>
  </si>
  <si>
    <t>Галина Дусматова</t>
  </si>
  <si>
    <t>К медицине в России серьезно всегда относились, сейчас могут быть проблемы с логистикой, потому что границы с некоторыми странами закрыты, но над этим работают, ищут новые пути. Не переживайте, никто нас без арбидола не оставит</t>
  </si>
  <si>
    <t>Михаил Тихонов</t>
  </si>
  <si>
    <t>Дурдом для Избранных</t>
  </si>
  <si>
    <t>14.04.2023 05:14</t>
  </si>
  <si>
    <t xml:space="preserve">Я болела в 30 недель
Пила арбидол, грипферон канала и от температуры парацетамол
Своему гинекологу потом сообщите, что вы переболели короной
А так с ребёнком всё хорошо)</t>
  </si>
  <si>
    <t>Аня</t>
  </si>
  <si>
    <t>Дети, материнство, пособия - Forum.sakh.com - Форум</t>
  </si>
  <si>
    <t>14.04.2023 05:12</t>
  </si>
  <si>
    <t>Сергей Koknaeff</t>
  </si>
  <si>
    <t>Копейск</t>
  </si>
  <si>
    <t>14.04.2023 05:11</t>
  </si>
  <si>
    <t>Елена Кутепова (Устюжанина)</t>
  </si>
  <si>
    <t>14.04.2023 05:08</t>
  </si>
  <si>
    <t>Принимала тоже Виферон при температуре детскую мекстуру для детей,и много питья</t>
  </si>
  <si>
    <t>ирина</t>
  </si>
  <si>
    <t>14.04.2023 05:01</t>
  </si>
  <si>
    <t>Татьяна Махрова (Башлыкова)</t>
  </si>
  <si>
    <t>14.04.2023 05:00</t>
  </si>
  <si>
    <t>Наталья Овчинникова</t>
  </si>
  <si>
    <t>Лидия Давыдова (Пугачёва)</t>
  </si>
  <si>
    <t>Бугуруслан</t>
  </si>
  <si>
    <t>14.04.2023 04:59</t>
  </si>
  <si>
    <t>Галина Тихонова(Белькевич)</t>
  </si>
  <si>
    <t>14.04.2023 04:57</t>
  </si>
  <si>
    <t>Валентина Тюшникова Гориявчева</t>
  </si>
  <si>
    <t>14.04.2023 04:54</t>
  </si>
  <si>
    <t>Светлана Медникова (Быкова)</t>
  </si>
  <si>
    <t>Бийск</t>
  </si>
  <si>
    <t>14.04.2023 04:47</t>
  </si>
  <si>
    <t>Пока ничего, прописали Виферон! Сделали экспресс тест, положительный! Взяли нормальный тест, буду ждать результат, от госпитализации отказалась! Сейчас переживаю.</t>
  </si>
  <si>
    <t>Ирина Австриевская</t>
  </si>
  <si>
    <t>14.04.2023 04:40</t>
  </si>
  <si>
    <t>Иван Ланкин</t>
  </si>
  <si>
    <t>14.04.2023 04:38</t>
  </si>
  <si>
    <t>Очень прошу рекомендации! Девушка, 21 год, резкий подъем температуры, при подъёме температуры рвота, врач из районной поликлиники поставил ОРВИ (ковид отрицательно), рекомендации: Арбидол, питье, снижение температуры. Температуры доходит до 38.5-39. Был приглашен врач из медцентра, который назначил анализы крови и мочи, по результатам анализов - пиелонефрит. Назначен Супракс 400 и Фурагин. Терапия пока один день, положительной динамики нет (допускаю, что ещё ещё рано). Возможно я паникую раньше времени, но не могу не думать о стационаре. Возможно ли приехать в стационар в Москве самотёком с таким диагнозом и куда лучше обратиться?  Не хотелось бы попасть в ситуацию когда скорая повезет в первую попавшуюся больницу... Анализы прикрепляю, буду очень благодарна за совет и рекомендации!</t>
  </si>
  <si>
    <t>Нина Папина</t>
  </si>
  <si>
    <t>Найди своего доктора</t>
  </si>
  <si>
    <t>14.04.2023 04:36</t>
  </si>
  <si>
    <t>Надежда Копеева( Арцыбашева)</t>
  </si>
  <si>
    <t>Ровное</t>
  </si>
  <si>
    <t>14.04.2023 04:32</t>
  </si>
  <si>
    <t>надежда малыгина   (ермакова)</t>
  </si>
  <si>
    <t>Сузун</t>
  </si>
  <si>
    <t>14.04.2023 04:31</t>
  </si>
  <si>
    <t>Людмила Синюхина</t>
  </si>
  <si>
    <t>14.04.2023 04:30</t>
  </si>
  <si>
    <t>Куртки, цитрамон и онлайн-сервисы подорожали, шины и соль подешевели: как изменились цены на Сахалине за март</t>
  </si>
  <si>
    <t xml:space="preserve">Фото: astv.ru               В Сахалинской области в марте подорожали некоторые лекарства из списка жизненно важных, а также продукты, одежда и услуги. Немного подешевели овощи и фрукты, крупы, туалетная бумага и планшеты. По данным Сахалинстата, потребительские цены в регионе за месяц поднялись на 0,04% по сравнению с февралём. На что больше всего изменились расценки &amp;ndash; в нашей подборке.
 ПРОДУКТЫ 
В целом подорожали на 0,28%. При этом фрукты и овощи в общем подешевели на 0,5%.
 Топ-10 наиболее подорожавших продуктов:    Капуста белокочанная &amp;ndash; на 14,7%   Хлопья из злаков (сухие завтраки) &amp;ndash; на 7,3%   Кофе натуральный растворимый &amp;ndash; на 3,8%   Картофель &amp;ndash; на 3,2%   Груши &amp;ndash; на 3,0%   Жевательная резинка &amp;ndash; на 2,5%   Чеснок &amp;ndash; на 2,4%   Соки фруктовые, печенье &amp;ndash; на 2,2%   Морковь &amp;ndash; на 2,1%   Рыба охлажденная и мороженая разделанная лососевых пород, колбаса полукопченая &amp;ndash; на 2,0%                Топ-10 наиболее подешевевших продуктов:    Помидоры свежие &amp;ndash; на 5,8%   Пшено &amp;ndash; на 4,7%   Гречка &amp;ndash; на 4,6%   Огурцы свежие &amp;ndash; на 4,4%   Лимоны &amp;ndash; на 3,0%   Овсяные хлопья "Геркулес" - на 2,2%   Свинина бескостная &amp;ndash; на 2,0%   Апельсины &amp;ndash; на 1,9%   Масло сливочное &amp;ndash; на 1,7%   Соль пищевая &amp;ndash; на 1,6%    НЕПРОДОВОЛЬСТВЕННЫЕ ТОВАРЫ 
В целом за март подешевели на 0,85%.
 Топ-10 наиболее подорожавших товаров:    Ветровки женские &amp;ndash; на 13,6%   Куртки мужские из натуральной кожи &amp;ndash; на 10,9%   Ветровки мужские &amp;ndash; на 8,3%   Миксеры и блендеры &amp;ndash; на 6,5%   Матрасы детские &amp;ndash; на 6,4%   Платья летние для девочек &amp;ndash; на 5,4%   Щетки зубные &amp;ndash; на 4,5%   Утюги &amp;ndash; на 4,2%   Пальто женское демисезонное &amp;ndash; на 3,9%   Пылесосы &amp;ndash; на 3,7%    Топ-10 наиболее подешевевших товаров:    Шины для легкового авто &amp;ndash; на 10,5%   Куртки мужские утепленные &amp;ndash; на 8,0%   Пальто женское меховое и дубленки &amp;ndash; на 6,0%   Ботинки для дошкольников зимние &amp;ndash; на 4,0%   Паста зубная &amp;ndash; на 3,8%   Бумага туалетная &amp;ndash; на 3,6%   Компьютеры планшетные &amp;ndash; на 3,3%   Бутылочки для кормления &amp;ndash; на 2,7%   Салфетки сухие &amp;ndash; на 2,5%   Телевизоры &amp;ndash; на 2,1%    ЛЕКАРСТВА 
 Среди препаратов, относящихся к жизненно необходимым и важнейшим (ЖНВЛП) стали дороже:    панкреатин &amp;ndash; на 8,3%   фуросемид &amp;ndash; на 8,0%   гриппферон &amp;ndash; на 3,9%   ацетилсалициловая кислота &amp;ndash; на 3,6%   фосфоглив &amp;ndash; на 2,6%   парацетамол &amp;ndash; на 2,2%    Подешевели:  азитромицин &amp;ndash; на 4,1%, ксилометазолин &amp;ndash; на 1,2%.
 Среди прочих медикаментов стали дороже:    цитрамон &amp;ndash; на 4,9%   синупрет &amp;ndash; на 3,4%   аципол, поливитамины &amp;ndash; на 2,3%   таурин &amp;ndash; на 1,4%    Подешевели:    магне В6 &amp;ndash; на 3,9%   сульфацетамид &amp;ndash; на 3,3%   мидокалм &amp;ndash; на 3,1%   афобазол &amp;ndash; на 2,3%    УСЛУГИ  в среднем стали дороже на 1,04%. Среди прочего подняли:   комиссию за перевод с карты клиенту другого банка на территории России &amp;ndash; на 14,5%   подписку на онлайн-видеосервисы &amp;ndash; на 8,5%   плату за пересылку простой посылки внутри России массой 1-2 кг &amp;ndash; на 6,3%   абонентскую плату за доступ в интернет &amp;ndash; на 3,5%   Отдельно статистики подготовили информацию для туристов.  Подорожали поездки  в Египет &amp;ndash; на 45,6%, на Черноморское побережье России и в Крым - на 17%, страны Закавказья &amp;ndash; на 13,1%, Турцию &amp;ndash; на 12,5%, ОАЭ &amp;ndash; на 8,8%, Беларусь &amp;ndash; на 7,0%. Подешевели поездки в отдельные страны Юго-Восточной Азии - на 7,7%.
 СТОИМОСТЬ МИНИМАЛЬНОГО НАБОРА ПРОДУКТОВ ПИТАНИЯ  (включает 33 пункта)
В среднем по Сахалинской области - 8247,04 рубля (+53,58 рубля, рост на 0,7%)   В Южно-Сахалинске - 8115,98 рубля (+51,46 рубля),   В Корсакове &amp;ndash; 8238,31 рубля (+76,34 рубля),   В Поронайске &amp;ndash; 7923,49 рубля (+10,81 рубля),   В Охе &amp;ndash; 9205,75 рубля (90,38 рубля).</t>
  </si>
  <si>
    <t>Лидия Иванова(Родькина)</t>
  </si>
  <si>
    <t>14.04.2023 04:29</t>
  </si>
  <si>
    <t>Лидия Бутырина</t>
  </si>
  <si>
    <t>14.04.2023 04:19</t>
  </si>
  <si>
    <t>Виктория Козырева</t>
  </si>
  <si>
    <t>14.04.2023 04:14</t>
  </si>
  <si>
    <t>Людмила Неугодникова</t>
  </si>
  <si>
    <t>Далматово</t>
  </si>
  <si>
    <t>14.04.2023 04:13</t>
  </si>
  <si>
    <t>Лера Егорова</t>
  </si>
  <si>
    <t>14.04.2023 04:01</t>
  </si>
  <si>
    <t xml:space="preserve">В Сахалинской области в марте подорожали некоторые лекарства из списка жизненно важных, а также продукты, одежда и услуги. Немного подешевели овощи и фрукты, крупы, туалетная бумага и планшеты. По данным Сахалинстата, потребительские цены в регионе за месяц поднялись на 0,04% по сравнению с февралём. На что больше всего изменились расценки вЂ“ в нашей подборке.
ПРОДУКТЫ
В целом подорожали на 0,28%. При этом фрукты и овощи в общем подешевели на 0,5%.
Топ-10 наиболее подорожавших продуктов:
Капуста белокочанная вЂ“ на 14,7%
Хлопья из злаков (сухие завтраки) вЂ“ на 7,3%
Кофе натуральный растворимый вЂ“ на 3,8%
Картофель вЂ“ на 3,2%
Груши вЂ“ на 3,0%
Жевательная резинка вЂ“ на 2,5%
Чеснок вЂ“ на 2,4%
Соки фруктовые, печенье вЂ“ на 2,2%
Морковь вЂ“ на 2,1%
Рыба охлажденная и мороженая разделанная лососевых пород, колбаса полукопченая вЂ“ на 2,0%
Топ-10 наиболее подешевевших продуктов:
Помидоры свежие вЂ“ на 5,8%
Пшено вЂ“ на 4,7%
Гречка вЂ“ на 4,6%
Огурцы свежие вЂ“ на 4,4%
Лимоны вЂ“ на 3,0%
Овсяные хлопья "Геркулес" - на 2,2%
Свинина бескостная вЂ“ на 2,0%
Апельсины вЂ“ на 1,9%
Масло сливочное вЂ“ на 1,7%
Соль пищевая вЂ“ на 1,6%
НЕПРОДОВОЛЬСТВЕННЫЕ ТОВАРЫ
В целом за март подешевели на 0,85%.
Топ-10 наиболее подорожавших товаров:
Ветровки женские вЂ“ на 13,6%
Куртки мужские из натуральной кожи вЂ“ на 10,9%
Ветровки мужские вЂ“ на 8,3%
Миксеры и блендеры вЂ“ на 6,5%
Матрасы детские вЂ“ на 6,4%
Платья летние для девочек вЂ“ на 5,4%
Щетки зубные вЂ“ на 4,5%
Утюги вЂ“ на 4,2%
Пальто женское демисезонное вЂ“ на 3,9%
Пылесосы вЂ“ на 3,7%
Топ-10 наиболее подешевевших товаров:
Шины для легкового авто вЂ“ на 10,5%
Куртки мужские утепленные вЂ“ на 8,0%
Пальто женское меховое и дубленки вЂ“ на 6,0%
Ботинки для дошкольников зимние вЂ“ на 4,0%
Паста зубная вЂ“ на 3,8%
Бумага туалетная вЂ“ на 3,6%
Компьютеры планшетные вЂ“ на 3,3%
Бутылочки для кормления вЂ“ на 2,7%
Салфетки сухие вЂ“ на 2,5%
Телевизоры вЂ“ на 2,1%
ЛЕКАРСТВА
Среди препаратов, относящихся к жизненно необходимым и важнейшим (ЖНВЛП) стали дороже:
панкреатин вЂ“ на 8,3%
фуросемид вЂ“ на 8,0%
гриппферон вЂ“ на 3,9%
ацетилсалициловая кислота вЂ“ на 3,6%
фосфоглив вЂ“ на 2,6%
парацетамол вЂ“ на 2,2%
Подешевели: азитромицин вЂ“ на 4,1%, ксилометазолин вЂ“ на 1,2%.
Среди прочих медикаментов стали дороже:
цитрамон вЂ“ на 4,9%
синупрет вЂ“ на 3,4%
аципол, поливитамины вЂ“ на 2,3%
таурин вЂ“ на 1,4%
Подешевели:
магне В6 вЂ“ на 3,9%
сульфацетамид вЂ“ на 3,3%
мидокалм вЂ“ на 3,1%
афобазол вЂ“ на 2,3%
УСЛУГИ в среднем стали дороже на 1,04%. Среди прочего подняли:
комиссию за перевод с карты клиенту другого банка на территории России вЂ“ на 14,5%
подписку на онлайн-видеосервисы вЂ“ на 8,5%
плату за пересылку простой посылки внутри России массой 1-2 кг вЂ“ на 6,3%
абонентскую плату за доступ в интернет вЂ“ на 3,5%
Отдельно статистики подготовили информацию для туристов. Подорожали поездки в Египет вЂ“ на 45,6%, на Черноморское побережье России и в Крым - на 17%, страны Закавказья вЂ“ на 13,1%, Турцию вЂ“ на 12,5%, ОАЭ вЂ“ на 8,8%, Беларусь вЂ“ на 7,0%. Подешевели поездки в отдельные страны Юго-Восточной Азии - на 7,7%.
СТОИМОСТЬ МИНИМАЛЬНОГО НАБОРА ПРОДУКТОВ ПИТАНИЯ (включает 33 пункта)
В среднем по Сахалинской области - 8247,04 рубля (+53,58 рубля, рост на 0,7%)
В Южно-Сахалинске - 8115,98 рубля (+51,46 рубля),
В Корсакове вЂ“ 8238,31 рубля (+76,34 рубля),
В Поронайске вЂ“ 7923,49 рубля (+10,81 рубля),
В Охе вЂ“ 9205,75 рубля (90,38 рубля).
Источник: https://astv.ru</t>
  </si>
  <si>
    <t>sakhalin-news.net</t>
  </si>
  <si>
    <t>14.04.2023 04:00</t>
  </si>
  <si>
    <t>Светлана Софронова</t>
  </si>
  <si>
    <t>14.04.2023 03:59</t>
  </si>
  <si>
    <t xml:space="preserve">ФармМафия
..накрутка 60.000 процентов..Провизор раскрыл тайны фарм мафии! Зачем народ травят лекарствами? Это ЖУТКО, но знать НАДО!
https://youtu.be/2n3998vy0bE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</si>
  <si>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лекарства - убийцы</t>
  </si>
  <si>
    <t>14.04.2023 03:55</t>
  </si>
  <si>
    <t xml:space="preserve">В Сахалинской области в марте подорожали некоторые лекарства из списка жизненно важных, а также продукты, одежда и услуги. Немного подешевели овощи и фрукты, крупы, туалетная бумага и планшеты. По данным Сахалинстата, потребительские цены в регионе за месяц поднялись на 0,04% по сравнению с февралём. На что больше всего изменились расценки в нашей подборке. ПРОДУКТЫ В целом подорожали на 0,28%. При этом фрукты и овощи в общем подешевели на 0,5%. Топ-10 наиболее подорожавших продуктов: Капуста белокочанная на 14,7% Хлопья из злаков (сухие завтраки) на 7,3% Кофе натуральный растворимый на 3,8% Картофель на 3,2% Груши на 3,0% Жевательная резинка на 2,5% Чеснок на 2,4% Соки фруктовые, печенье на 2,2% Морковь на 2,1% Рыба охлажденная и мороженая разделанная лососевых пород, колбаса полукопченая на 2,0% Топ-10 наиболее подешевевших продуктов: Помидоры свежие на 5,8% Пшено на 4,7% Гречка на 4,6% Огурцы свежие на 4,4% Лимоны на 3,0% Овсяные хлопья Геркулес - на 2,2% Свинина бескостная на 2,0% Апельсины на 1,9% Масло сливочное на 1,7% Соль пищевая на 1,6% НЕПРОДОВОЛЬСТВЕННЫЕ ТОВАРЫ В целом за март подешевели на 0,85%. Топ-10 наиболее подорожавших товаров: Ветровки женские на 13,6% Куртки мужские из натуральной кожи на 10,9% Ветровки мужские на 8,3% Миксеры и блендеры на 6,5% Матрасы детские на 6,4% Платья летние для девочек на 5,4% Щетки зубные на 4,5% Утюги на 4,2% Пальто женское демисезонное на 3,9% Пылесосы на 3,7% Топ-10 наиболее подешевевших товаров: Шины для легкового авто на 10,5% Куртки мужские утепленные на 8,0% Пальто женское меховое и дубленки на 6,0% Ботинки для дошкольников зимние на 4,0% Паста зубная на 3,8% Бумага туалетная на 3,6% Компьютеры планшетные на 3,3% Бутылочки для кормления на 2,7% Салфетки сухие на 2,5% Телевизоры на 2,1% ЛЕКАРСТВА Среди препаратов, относящихся к жизненно необходимым и важнейшим (ЖНВЛП) стали дороже: панкреатин на 8,3% фуросемид на 8,0% гриппферон на 3,9% ацетилсалициловая кислота на 3,6% фосфоглив на 2,6% парацетамол на 2,2% Подешевели: азитромицин на 4,1%, ксилометазолин на 1,2%. Среди прочих медикаментов стали дороже: цитрамон на 4,9% синупрет на 3,4% аципол, поливитамины на 2,3% таурин на 1,4% Подешевели: магне В6 на 3,9% сульфацетамид на 3,3% мидокалм на 3,1% афобазол на 2,3% УСЛУГИ в среднем стали дороже на 1,04%. Среди прочего подняли: комиссию за перевод с карты клиенту другого банка на территории России на 14,5% подписку на онлайн-видеосервисы на 8,5% плату за пересылку простой посылки внутри России массой 1-2 кг на 6,3% абонентскую плату за доступ в интернет на 3,5% Отдельно статистики подготовили информацию для туристов. Подорожали поездки в Египет на 45,6%, на Черноморское побережье России и в Крым - на 17%, страны Закавказья на 13,1%, Турцию на 12,5%, ОАЭ на 8,8%, Беларусь на 7,0%. Подешевели поездки в отдельные страны Юго-Восточной Азии - на 7,7%. СТОИМОСТЬ МИНИМАЛЬНОГО НАБОРА ПРОДУКТОВ ПИТАНИЯ (включает 33 пункта) В среднем по Сахалинской области - 8247,04 рубля (+53,58 рубля, рост на 0,7%) В Южно-Сахалинске - 8115,98 рубля (+51,46 рубля), В Корсакове 8238,31 рубля (+76,34 рубля), В Поронайске 7923,49 рубля (+10,81 рубля), В Охе 9205,75 рубля (90,38 рубля).Куртки, цитрамон и онлайн-сервисы подорожали, шины и соль подешевели: как изменились цены на Сахалине за март
https://m.vk.com/@nashostrovrf-rss-1395629462-2145365801
Статья</t>
  </si>
  <si>
    <t xml:space="preserve"> Нашостров.рф - портал Сахалина</t>
  </si>
  <si>
    <t>14.04.2023 03:52</t>
  </si>
  <si>
    <t xml:space="preserve">Любителям отдохнуть за границей статистики посвятили отдельный грустный абзац
В Сахалинской области в марте подорожали некоторые лекарства из списка жизненно важных, а также продукты, одежда и услуги. Немного подешевели овощи и фрукты, крупы, туалетная бумага и планшеты. По данным Сахалинстата, потребительские цены в регионе за месяц поднялись на 0,04% по сравнению с февралём. На что больше всего изменились расценки в нашей подборке. ПРОДУКТЫ В целом подорожали на 0,28%. При этом фрукты и овощи в общем подешевели на 0,5%. Топ-10 наиболее подорожавших продуктов: Капуста белокочанная на 14,7% Хлопья из злаков (сухие завтраки) на 7,3% Кофе натуральный растворимый на 3,8% Картофель на 3,2% Груши на 3,0% Жевательная резинка на 2,5% Чеснок на 2,4% Соки фруктовые, печенье на 2,2% Морковь на 2,1% Рыба охлажденная и мороженая разделанная лососевых пород, колбаса полукопченая на 2,0% Топ-10 наиболее подешевевших продуктов: Помидоры свежие на 5,8% Пшено на 4,7% Гречка на 4,6% Огурцы свежие на 4,4% Лимоны на 3,0% Овсяные хлопья Геркулес - на 2,2% Свинина бескостная на 2,0% Апельсины на 1,9% Масло сливочное на 1,7% Соль пищевая на 1,6% НЕПРОДОВОЛЬСТВЕННЫЕ ТОВАРЫ В целом за март подешевели на 0,85%. Топ-10 наиболее подорожавших товаров: Ветровки женские на 13,6% Куртки мужские из натуральной кожи на 10,9% Ветровки мужские на 8,3% Миксеры и блендеры на 6,5% Матрасы детские на 6,4% Платья летние для девочек на 5,4% Щетки зубные на 4,5% Утюги на 4,2% Пальто женское демисезонное на 3,9% Пылесосы на 3,7% Топ-10 наиболее подешевевших товаров: Шины для легкового авто на 10,5% Куртки мужские утепленные на 8,0% Пальто женское меховое и дубленки на 6,0% Ботинки для дошкольников зимние на 4,0% Паста зубная на 3,8% Бумага туалетная на 3,6% Компьютеры планшетные на 3,3% Бутылочки для кормления на 2,7% Салфетки сухие на 2,5% Телевизоры на 2,1% ЛЕКАРСТВА Среди препаратов, относящихся к жизненно необходимым и важнейшим (ЖНВЛП) стали дороже: панкреатин на 8,3% фуросемид на 8,0% гриппферон на 3,9% ацетилсалициловая кислота на 3,6% фосфоглив на 2,6% парацетамол на 2,2% Подешевели: азитромицин на 4,1%, ксилометазолин на 1,2%. Среди прочих медикаментов стали дороже: цитрамон на 4,9% синупрет на 3,4% аципол, поливитамины на 2,3% таурин на 1,4% Подешевели: магне В6 на 3,9% сульфацетамид на 3,3% мидокалм на 3,1% афобазол на 2,3% УСЛУГИ в среднем стали дороже на 1,04%. Среди прочего подняли: комиссию за перевод с карты клиенту другого банка на территории России на 14,5% подписку на онлайн-видеосервисы на 8,5% плату за пересылку простой посылки внутри России массой 1-2 кг на 6,3% абонентскую плату за доступ в интернет на 3,5% Отдельно статистики подготовили информацию для туристов. Подорожали поездки в Египет на 45,6%, на Черноморское побережье России и в Крым - на 17%, страны Закавказья на 13,1%, Турцию на 12,5%, ОАЭ на 8,8%, Беларусь на 7,0%. Подешевели поездки в отдельные страны Юго-Восточной Азии - на 7,7%. СТОИМОСТЬ МИНИМАЛЬНОГО НАБОРА ПРОДУКТОВ ПИТАНИЯ (включает 33 пункта) В среднем по Сахалинской области - 8247,04 рубля (+53,58 рубля, рост на 0,7%) В Южно-Сахалинске - 8115,98 рубля (+51,46 рубля), В Корсакове 8238,31 рубля (+76,34 рубля), В Поронайске 7923,49 рубля (+10,81 рубля), В Охе 9205,75 рубля (90,38 рубля).</t>
  </si>
  <si>
    <t xml:space="preserve">Любителям отдохнуть за границей статистики посвятили отдельный грустный абзац         В Сахалинской области в марте подорожали некоторые лекарства из списка жизненно важных, а также продукты, одежда и услуги. Немного подешевели овощи и фрукты, крупы, туалетная бумага и планшеты. По данным Сахалинстата, потребительские цены в регионе за месяц поднялись на 0,04% по сравнению с февралём. На что больше всего изменились расценки – в нашей подборке.
ПРОДУКТЫ
В целом подорожали на 0,28%. При этом фрукты и овощи в общем подешевели на 0,5%.
Топ-10 наиболее подорожавших продуктов:   Капуста белокочанная – на 14,7%  Хлопья из злаков (сухие завтраки) – на 7,3%  Кофе натуральный растворимый – на 3,8%  Картофель – на 3,2%  Груши – на 3,0%  Жевательная резинка – на 2,5%  Чеснок – на 2,4%  Соки фруктовые, печенье – на 2,2%  Морковь – на 2,1%  Рыба охлажденная и мороженая разделанная лососевых пород, колбаса полукопченая – на 2,0%   Топ-10 наиболее подешевевших продуктов:   Помидоры свежие – на 5,8%  Пшено – на 4,7%  Гречка – на 4,6%  Огурцы свежие – на 4,4%  Лимоны – на 3,0%  Овсяные хлопья "Геркулес" - на 2,2%  Свинина бескостная – на 2,0%  Апельсины – на 1,9%  Масло сливочное – на 1,7%  Соль пищевая – на 1,6%   НЕПРОДОВОЛЬСТВЕННЫЕ ТОВАРЫ
В целом за март подешевели на 0,85%.
Топ-10 наиболее подорожавших товаров:   Ветровки женские – на 13,6%  Куртки мужские из натуральной кожи – на 10,9%  Ветровки мужские – на 8,3%  Миксеры и блендеры – на 6,5%  Матрасы детские – на 6,4%  Платья летние для девочек – на 5,4%  Щетки зубные – на 4,5%  Утюги – на 4,2%  Пальто женское демисезонное – на 3,9%  Пылесосы – на 3,7%   Топ-10 наиболее подешевевших товаров:   Шины для легкового авто – на 10,5%  Куртки мужские утепленные – на 8,0%  Пальто женское меховое и дубленки – на 6,0%  Ботинки для дошкольников зимние – на 4,0%  Паста зубная – на 3,8%  Бумага туалетная – на 3,6%  Компьютеры планшетные – на 3,3%  Бутылочки для кормления – на 2,7%  Салфетки сухие – на 2,5%  Телевизоры – на 2,1%   ЛЕКАРСТВА
Среди препаратов, относящихся к жизненно необходимым и важнейшим (ЖНВЛП) стали дороже:   панкреатин – на 8,3%  фуросемид – на 8,0%  гриппферон – на 3,9%  ацетилсалициловая кислота – на 3,6%  фосфоглив – на 2,6%  парацетамол – на 2,2%   Подешевели: азитромицин – на 4,1%, ксилометазолин – на 1,2%.
Среди прочих медикаментов стали дороже:   цитрамон – на 4,9%  синупрет – на 3,4%  аципол, поливитамины – на 2,3%  таурин – на 1,4%   Подешевели:   магне В6 – на 3,9%  сульфацетамид – на 3,3%  мидокалм – на 3,1%  афобазол – на 2,3%   УСЛУГИ в среднем стали дороже на 1,04%. Среди прочего подняли:   комиссию за перевод с карты клиенту другого банка на территории России – на 14,5%  подписку на онлайн-видеосервисы – на 8,5%  плату за пересылку простой посылки внутри России массой 1-2 кг – на 6,3%  абонентскую плату за доступ в интернет – на 3,5%   Отдельно статистики подготовили информацию для туристов. Подорожали поездки в Египет – на 45,6%, на Черноморское побережье России и в Крым - на 17%, страны Закавказья – на 13,1%, Турцию – на 12,5%, ОАЭ – на 8,8%, Беларусь – на 7,0%. Подешевели поездки в отдельные страны Юго-Восточной Азии - на 7,7%.
СТОИМОСТЬ МИНИМАЛЬНОГО НАБОРА ПРОДУКТОВ ПИТАНИЯ (включает 33 пункта)
В среднем по Сахалинской области - 8247,04 рубля (+53,58 рубля, рост на 0,7%)   В Южно-Сахалинске - 8115,98 рубля (+51,46 рубля),  В Корсакове – 8238,31 рубля (+76,34 рубля),  В Поронайске – 7923,49 рубля (+10,81 рубля),  В Охе – 9205,75 рубля (90,38 рубля).</t>
  </si>
  <si>
    <t>astv.ru</t>
  </si>
  <si>
    <t>В Сахалинской области в марте подорожали некоторые лекарства из списка жизненно важных, а также продукты, одежда и услуги. Немного подешевели овощи и фрукты, крупы, туалетная бумага и планшеты. По данным Сахалинстата, потребительские цены в регионе за месяц поднялись на 0,04% по сравнению с февралём. На что больше всего изменились расценки в нашей подборке. ПРОДУКТЫ В целом подорожали на 0,28%. При этом фрукты и овощи в общем подешевели на 0,5%. Топ-10 наиболее подорожавших продуктов: Капуста белокочанная на 14,7% Хлопья из злаков (сухие завтраки) на 7,3% Кофе натуральный растворимый на 3,8% Картофель на 3,2% Груши на 3,0% Жевательная резинка на 2,5% Чеснок на 2,4% Соки фруктовые, печенье на 2,2% Морковь на 2,1% Рыба охлажденная и мороженая разделанная лососевых пород, колбаса полукопченая на 2,0% Топ-10 наиболее подешевевших продуктов: Помидоры свежие на 5,8% Пшено на 4,7% Гречка на 4,6% Огурцы свежие на 4,4% Лимоны на 3,0% Овсяные хлопья Геркулес - на 2,2% Свинина бескостная на 2,0% Апельсины на 1,9% Масло сливочное на 1,7% Соль пищевая на 1,6% НЕПРОДОВОЛЬСТВЕННЫЕ ТОВАРЫ В целом за март подешевели на 0,85%. Топ-10 наиболее подорожавших товаров: Ветровки женские на 13,6% Куртки мужские из натуральной кожи на 10,9% Ветровки мужские на 8,3% Миксеры и блендеры на 6,5% Матрасы детские на 6,4% Платья летние для девочек на 5,4% Щетки зубные на 4,5% Утюги на 4,2% Пальто женское демисезонное на 3,9% Пылесосы на 3,7% Топ-10 наиболее подешевевших товаров: Шины для легкового авто на 10,5% Куртки мужские утепленные на 8,0% Пальто женское меховое и дубленки на 6,0% Ботинки для дошкольников зимние на 4,0% Паста зубная на 3,8% Бумага туалетная на 3,6% Компьютеры планшетные на 3,3% Бутылочки для кормления на 2,7% Салфетки сухие на 2,5% Телевизоры на 2,1% ЛЕКАРСТВА Среди препаратов, относящихся к жизненно необходимым и важнейшим (ЖНВЛП) стали дороже: панкреатин на 8,3% фуросемид на 8,0% гриппферон на 3,9% ацетилсалициловая кислота на 3,6% фосфоглив на 2,6% парацетамол на 2,2% Подешевели: азитромицин на 4,1%, ксилометазолин на 1,2%. Среди прочих медикаментов стали дороже: цитрамон на 4,9% синупрет на 3,4% аципол, поливитамины на 2,3% таурин на 1,4% Подешевели: магне В6 на 3,9% сульфацетамид на 3,3% мидокалм на 3,1% афобазол на 2,3% УСЛУГИ в среднем стали дороже на 1,04%. Среди прочего подняли: комиссию за перевод с карты клиенту другого банка на территории России на 14,5% подписку на онлайн-видеосервисы на 8,5% плату за пересылку простой посылки внутри России массой 1-2 кг на 6,3% абонентскую плату за доступ в интернет на 3,5% Отдельно статистики подготовили информацию для туристов. Подорожали поездки в Египет на 45,6%, на Черноморское побережье России и в Крым - на 17%, страны Закавказья на 13,1%, Турцию на 12,5%, ОАЭ на 8,8%, Беларусь на 7,0%. Подешевели поездки в отдельные страны Юго-Восточной Азии - на 7,7%. СТОИМОСТЬ МИНИМАЛЬНОГО НАБОРА ПРОДУКТОВ ПИТАНИЯ (включает 33 пункта) В среднем по Сахалинской области - 8247,04 рубля (+53,58 рубля, рост на 0,7%) В Южно-Сахалинске - 8115,98 рубля (+51,46 рубля), В Корсакове 8238,31 рубля (+76,34 рубля), В Поронайске 7923,49 рубля (+10,81 рубля), В Охе 9205,75 рубля (90,38 рубля).</t>
  </si>
  <si>
    <t>14.04.2023 03:50</t>
  </si>
  <si>
    <t>Ханифа Икбердина</t>
  </si>
  <si>
    <t>Коделак нео нас спасает при ночном кашле сухом</t>
  </si>
  <si>
    <t>Василиса</t>
  </si>
  <si>
    <t>14.04.2023 03:38</t>
  </si>
  <si>
    <t>Надежда Дорошук</t>
  </si>
  <si>
    <t>Нижневартовск</t>
  </si>
  <si>
    <t>14.04.2023 03:35</t>
  </si>
  <si>
    <t>Ольга Перфилова</t>
  </si>
  <si>
    <t>14.04.2023 03:32</t>
  </si>
  <si>
    <t xml:space="preserve">Список лeкаpств для пeрвoй мeдицинcкой пoмoщи.
Зaбирaй на cтенy, чтoбы вcегдa было пoд рyкой!
Текст на изображении: Простуда 1. Ибупрон сильное обезболивающие средство, быстро действует, в виде шипучих таблеток щадит желудок, в свечах удобен для малышей.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свечи‚но сильно ‘ухудшает качество крови. 5. великолепное жаропонижающее, незаменим для астматиков. 6. Полиоксидоний -стимулирует иммунную систему, назначают детям, пригоден для экстренной помощи и для профилактики во время эпидемии ОРВИ. 7. Рибомунил восстанавливает иммунитет, рекомендован детям. 8. Санорин самое быстрое средство от насморка противоаллергическими компонентами.; Горло 1. Анаферон хорошее гомеопатическое средство для лечения вирусных инфекций верхних дыхательных путей. 2. Колустан аэрозоль, хорошо снимает отеки при воспалениях. Люголь, растворенный в глицерине лучшее наружное средство при 4. Пропосол-Н имеет выраженные антимикробные и противовоспалительные свойства, не оказывает раздражающего действия на организм. 5. Синупрет обладает антибактериальным и антиотечным действием, может назначаться детям есть в виде капель. 6. противовоспалительное и обезболивающее средство.</t>
  </si>
  <si>
    <t>Baby Electrophoresis</t>
  </si>
  <si>
    <t>Республика Дагестан</t>
  </si>
  <si>
    <t>Махачкала</t>
  </si>
  <si>
    <t>14.04.2023 03:30</t>
  </si>
  <si>
    <t>Елена Лимонова</t>
  </si>
  <si>
    <t>Алейск</t>
  </si>
  <si>
    <t>14.04.2023 03:28</t>
  </si>
  <si>
    <t>В марте 2023 года на Сахалине подорожали продукты, лекарства и путевки за границу</t>
  </si>
  <si>
    <t>В Сахалинской области в марте 2023 года изменились потребительские цены. Они повысились на продовольственные и непродовольственные продукты, лекарства, услуги и поездки за границу, вместе с тем ряд этих товаров подешевел. Об изменении потребительских цен в островном регионе в марте рассказали в Сахалинстате, сообщает ИА SakhalinMedia.В марте 2023 года индекс потребительских цен по Сахалинской области по сравнению с февралем 2023 года составил 100,04%, по сравнению с декабрем 2022 года — 100,61% (в марте 2022 года по сравнению с февралем 2022 года — 106,63%, по сравнению с декабрем 2021 года — 107,93%). Индекс цен на продовольственные товары составил за месяц 100,28%, а к декабрю 2022 года — 100,19%, на непродовольственные товары — 99,15%, а к декабрю 2022 года — 99,34%, на услуги — 101,04%, а к декабрю 2022 года — 103,32%, — рассказали в Сахалинстате.За месяц подорожали:капуста белокочанная — на 14,7%;картофель — на 3,2%;груши — на 3,0%;чеснок — на 2,4%;морковь — на 2,1%;свекла столовая — на 1,5%;виноград — на 1,4%.Вместе с тем подешевели:помидоры свежие — на 5,8%;огурцы свежие — на 4,4%;лимоны — на 3,0%;апельсины — на 1,9%.Тематическое фото. Фото: Денис Таушканов, ИА SakhalinMediaИз продовольственных товаров подорожали:хлопья из злаков (сухие завтраки) — на 7,3%;кофе натуральный растворимый — на 3,8%жевательная резинка — на 2,5%;соки фруктовые, печенье — на 2,2%;рыба охлажденная и мороженая разделанная лососевых пород, колбаса полукопченая — на 2,0%;кальмары мороженые, консервы мясные для детского питания, макаронные изделия — на 1,4%;говядина на кости — на 1,1%;сосиски и сардельки — на 1,0%.Вместе с тем подешевели:пшено — на 4,7%;крупа гречневая — на 4,6%;овсяные хлопья "Геркулес" — на 2,2%;свинина бескостная — на 2,0%;масло сливочное — на 1,7%;соль пищевая — на 1,6%;масло подсолнечное, куры охлажденные и мороженые — на 1,2%.Тематическое фото. Фото: Александр РатниковИз непродовольственных товаров подорожали: ветровки женские — на 13,6%;куртки мужские из натуральной кожи — на 10,9%;ветровки мужские — на 8,3%;миксеры и блендеры — на 6,5%;матрасы детские — на 6,4%;платья летние для девочек — на 5,4%;электроутюги — на 4,2%;пальто женское демисезонное — на 3,9%;электропылесосы напольные — на 3,7%;сорочки верхние для мальчиков дошкольного возраста, обувь домашняя — на 2,4%;футболки детские — на 2,0%;джемпера женские — на 1,8%;коляски для новорожденных — на 1,5%.Вместе с тем подешевели:шины для легкового автомобиля — на 10,5%;куртки мужские из плащевых тканей утепленные — на 8,0%;пальто женское меховое и дубленки — на 6,0%;ботинки для детей школьного возраста зимние из натуральной кожи — на 4,0%;компьютеры планшетные — на 3,3%;телевизоры — на 2,1%;рубероид — на 1,8%;моноблоки — на 1,4%. Тематическое фото. Фото: Марина Померанцева , ИА EAOMediaИз непродовольственных товаров первой необходимости подорожали:щетки зубные — на 4,5%;подгузники детские — на 2,8%;крема от опрелостей детские — на 2,3%;сухие корма для домашних животных — на 1,9%.Вместе с тем подешевели:паста зубная — на 3,8%;бумага туалетная — на 3,6%;бутылочки для кормления — на 2,7%;салфетки сухие — на 2,5%;мыло хозяйственное — на 1,7%.Среди лекарственных препаратов, относящихся к жизненно необходимым и важнейшим лекарственным препаратам (ЖНВЛП), в среднем стали дороже:панкреатин — на 8,3%;фуросемид — на 8,0%;гриппферон — на 3,9%;ацетилсалициловая кислота — на 3,6%;фосфоглив — на 2,6%;парацетамол — на 2,2%.Вместе с тем подешевели:азитромицин — на 4,1%;ксилометазолин — на 1,2%.Тематическое фото. Фото: Илья Аверьянов, ИА PrimaMediaСреди лекарственных препаратов, не относящихся к ЖНВЛП, стали дороже:цитрамон — на 4,9%;синупрет — на 3,4%;аципол, поливитамины — на 2,3%;таурин — на 1,4%.Вместе с тем подешевели:магне В6 — на 3,9%;сульфацетамид — на 3,3%;мидокалм — на 3,1%;афобазол — на 2,3%.Кроме того, средние цены на дизельное топливо снизились на 1,1%, а на автомобильный бензин — на 0,1%.Среди услуг в марте подорожали:комиссия банка за перевод средств с карты на карту клиенту другого банка на территории России — на 14,5%;подписка на онлайн-видеосервисы — на 8,5%;плата за пересылку простой посылки внутри России массой 1-2 кг — на 6,3%;абонентская плата за доступ к сети Интернет — на 3,5%.Тематическое фото. Фото: Мария Смитюк, ИА PrimaMediaСреди услуг зарубежного туризма подорожали:поездка на отдых в Египет — на 45,6%;поездки в страны Закавказья — на 13,1%;поездки на отдых в Турцию — на 12,5%;поездка на отдых в ОАЭ — на 8,8%;поездка в Беларусь — на 7,0%.В то же время подешевели поездки в отдельные страны Юго-Восточной Азии на 7,7%, а поездки на отдых на Черноморское побережье России и в Крым подорожали на 17,0%. C изменением потребительских цен изменилась и стоимость условного (минимального) набора продуктов питания. Стоимость условного (минимального) набора продуктов питания отражает межрегиональную дифференциацию уровней потребительских цен на продукты питания, входящие в него. При ее расчете используются единые, установленные в целом по Российской Федерации, условные объемы потребления продуктов питания и средние потребительские цены на них по субъектам Российской Федерации. Набор включает 33 наименования наиболее часто потребляемых продуктов питания. Стоимость условного (минимального) набора продуктов питания в расчете на месяц в среднем по Сахалинской области в марте 2023 года составила 8247,04 рубля и по отношению к февралю 2023 года выросла на 0,7%, а по отношению к декабрю 2022 года — на 2,2% (в марте 2022 года стоимость набора составляла 8097,79 рубля, рост за месяц составил 5,2%, к декабрю же 2021 года — 10,4%). Стоимость набора в марте 2023 года составила:в Южно-Сахалинске — 8115,98 рубля;в Корсакове — 8238,31 рубля;в Поронайске — 7923,49 рубля;в Охе — 9205,75 рубля.Тематическое фото. Фото: Денис Таушканов, ИА SakhalinMediaТематическое фото. Фото: Александр РатниковТематическое фото. Фото: Марина Померанцева , ИА EAOMediaТематическое фото. Фото: Илья Аверьянов, ИА PrimaMediaТематическое фото. Фото: Мария Смитюк, ИА PrimaMedia</t>
  </si>
  <si>
    <t>14.04.2023 03:25</t>
  </si>
  <si>
    <t xml:space="preserve">Фото: primamediamts.servicecdn.ru              Стоимость минимального набора продуктов питания в расчете на месяц в среднем по Сахалинской области выросла на 0,7% Тематическое фото. Фото: Мария Смитюк, ИА PrimaMedia  В Сахалинской области в марте 2023 года изменились потребительские цены. Они повысились на продовольственные и непродовольственные продукты, лекарства, услуги и поездки за границу, вместе с тем ряд этих товаров подешевел. Об изменении потребительских цен в островном регионе в марте рассказали в Сахалинстате, сообщает ИА SakhalinMedia.
В марте 2023 года индекс потребительских цен по Сахалинской области по сравнению с февралем 2023 года составил 100,04%, по сравнению с декабрем 2022 года — 100,61% (в марте 2022 года по сравнению с февралем 2022 года — 106,63%, по сравнению с декабрем 2021 года — 107,93%). Индекс цен на продовольственные товары составил за месяц 100,28%, а к декабрю 2022 года — 100,19%, на непродовольственные товары — 99,15%, а к декабрю 2022 года — 99,34%, на услуги — 101,04%, а к декабрю 2022 года — 103,32%, — рассказали в Сахалинстате.
За месяц подорожали:   капуста белокочанная — на 14,7%;   картофель — на 3,2%;   груши — на 3,0%;   чеснок — на 2,4%;   морковь — на 2,1%;   свекла столовая — на 1,5%;   виноград — на 1,4%.               Вместе с тем подешевели:   помидоры свежие — на 5,8%;   огурцы свежие — на 4,4%;   лимоны — на 3,0%;   апельсины — на 1,9%. 
 Тематическое фото. Фото: Денис Таушканов, ИА SakhalinMedia
Из продовольственных товаров подорожали:   хлопья из злаков (сухие завтраки) — на 7,3%;   кофе натуральный растворимый — на 3,8%   жевательная резинка — на 2,5%;   соки фруктовые, печенье — на 2,2%;   рыба охлажденная и мороженая разделанная лососевых пород, колбаса полукопченая — на 2,0%;   кальмары мороженые, консервы мясные для детского питания, макаронные изделия — на 1,4%;   говядина на кости — на 1,1%;   сосиски и сардельки — на 1,0%.   Вместе с тем подешевели:   пшено — на 4,7%;   крупа гречневая — на 4,6%;   овсяные хлопья "Геркулес" — на 2,2%;   свинина бескостная — на 2,0%;   масло сливочное — на 1,7%;   соль пищевая — на 1,6%;   масло подсолнечное, куры охлажденные и мороженые — на 1,2%. 
 Тематическое фото. Фото: Александр Ратников
Из непродовольственных товаров подорожали:    ветровки женские — на 13,6%;   куртки мужские из натуральной кожи — на 10,9%;   ветровки мужские — на 8,3%;   миксеры и блендеры — на 6,5%;   матрасы детские — на 6,4%;   платья летние для девочек — на 5,4%;   электроутюги — на 4,2%;   пальто женское демисезонное — на 3,9%;   электропылесосы напольные — на 3,7%;   сорочки верхние для мальчиков дошкольного возраста, обувь домашняя — на 2,4%;   футболки детские — на 2,0%;   джемпера женские — на 1,8%;   коляски для новорожденных — на 1,5%.   Вместе с тем подешевели:   шины для легкового автомобиля — на 10,5%;   куртки мужские из плащевых тканей утепленные — на 8,0%;   пальто женское меховое и дубленки — на 6,0%;   ботинки для детей школьного возраста зимние из натуральной кожи — на 4,0%;   компьютеры планшетные — на 3,3%;   телевизоры — на 2,1%;   рубероид — на 1,8%;   моноблоки — на 1,4%.  
 Тематическое фото. Фото: Марина Померанцева , ИА EAOMedia
Из непродовольственных товаров первой необходимости подорожали:   щетки зубные — на 4,5%;   подгузники детские — на 2,8%;   крема от опрелостей детские — на 2,3%;   сухие корма для домашних животных — на 1,9%.   Вместе с тем подешевели:   паста зубная — на 3,8%;   бумага туалетная — на 3,6%;   бутылочки для кормления — на 2,7%;   салфетки сухие — на 2,5%;   мыло хозяйственное — на 1,7%.   Среди лекарственных препаратов, относящихся к жизненно необходимым и важнейшим лекарственным препаратам (ЖНВЛП), в среднем стали дороже:   панкреатин — на 8,3%;   фуросемид — на 8,0%;   гриппферон — на 3,9%;   ацетилсалициловая кислота — на 3,6%;   фосфоглив — на 2,6%;   парацетамол — на 2,2%.   Вместе с тем подешевели:   азитромицин — на 4,1%;   ксилометазолин — на 1,2%. 
 Тематическое фото. Фото: Илья Аверьянов, ИА PrimaMedia
Среди лекарственных препаратов, не относящихся к ЖНВЛП, стали дороже:   цитрамон — на 4,9%;   синупрет — на 3,4%;   аципол, поливитамины — на 2,3%;   таурин — на 1,4%.   Вместе с тем подешевели:   магне В6 — на 3,9%;   сульфацетамид — на 3,3%;   мидокалм — на 3,1%;   афобазол — на 2,3%.   Кроме того, средние цены на дизельное топливо снизились на 1,1%, а на автомобильный бензин — на 0,1%.
Среди услуг в марте подорожали:   комиссия банка за перевод средств с карты на карту клиенту другого банка на территории России — на 14,5%;   подписка на онлайн-видеосервисы — на 8,5%;   плата за пересылку простой посылки внутри России массой 1-2 кг — на 6,3%;   абонентская плата за доступ к сети Интернет — на 3,5%. 
 Тематическое фото. Фото: Мария Смитюк, ИА PrimaMedia
Среди услуг зарубежного туризма подорожали:   поездка на отдых в Египет — на 45,6%;   поездки в страны Закавказья — на 13,1%;   поездки на отдых в Турцию — на 12,5%;   поездка на отдых в ОАЭ — на 8,8%;   поездка в Беларусь — на 7,0%.   В то же время подешевели поездки в отдельные страны Юго-Восточной Азии на 7,7%, а поездки на отдых на Черноморское побережье России и в Крым подорожали на 17,0%.
C изменением потребительских цен изменилась и стоимость условного (минимального) набора продуктов питания. Стоимость условного (минимального) набора продуктов питания отражает межрегиональную дифференциацию уровней потребительских цен на продукты питания, входящие в него. При ее расчете используются единые, установленные в целом по Российской Федерации, условные объемы потребления продуктов питания и средние потребительские цены на них по субъектам Российской Федерации. Набор включает 33 наименования наиболее часто потребляемых продуктов питания.
Стоимость условного (минимального) набора продуктов питания в расчете на месяц в среднем по Сахалинской области в марте 2023 года составила 8247,04 рубля и по отношению к февралю 2023 года выросла на 0,7%, а по отношению к декабрю 2022 года — на 2,2% (в марте 2022 года стоимость набора составляла 8097,79 рубля, рост за месяц составил 5,2%, к декабрю же 2021 года — 10,4%).
Стоимость набора в марте 2023 года составила:   в Южно-Сахалинске — 8115,98 рубля;   в Корсакове — 8238,31 рубля;   в Поронайске — 7923,49 рубля;   в Охе — 9205,75 рубля.</t>
  </si>
  <si>
    <t>14.04.2023 03:21</t>
  </si>
  <si>
    <t>Ещё делала свечки кипферон, Вибуркол</t>
  </si>
  <si>
    <t>Neurokids_Gofman (чат)</t>
  </si>
  <si>
    <t>14.04.2023 03:16</t>
  </si>
  <si>
    <t>Об индексе потребительских цен в Республике Бурятия в марте 2023 года</t>
  </si>
  <si>
    <t xml:space="preserve">В марте 2023 года по сравнению с февралем 2023 года индекс потребительских цен составил 100,4 %.
 (в процентах)         Март 2023 г. к   Март 2022 г. к     февралю 2023 г.   декабрю 2022 г.   марту 2022 г.   февралю 2022 г.   декабрю 2021 г.   марту 2021 г.     Индекс потребительских  цен   100,4   101,6   102,2   108,9   111,9   120,4     в том числе на:                             товары   100,3   101,6   100,6   110,3   114,0   123,4     продовольственные товары1)   100,4   102,0   101,1   107,4   111,8   121,2     продовольственные товары без плодоовощной  продукции   100,7   100,8   102,7   106,9   110,5   119,7     плодоовощная продукция   97,7   114,5   89,0   111,0   122,5   133,8     непродовольственные товары   100,2   101,1   100,2   113,2   116,2   125,5     услуги   100,9   101,6   108,9   103,2   103,7   109,2     Базовый индекс
потребительских цен   100,7   101,4   101,8   111,2   114,6   123,4     1)Включая алкогольные напитки.
Индексы цен на отдельные группы и виды продовольственных товаров:
 (в процентах)         Март 2023 г. к   Март 2022 г. к     февралю 2023 г.   декабрю 2022 г.   марту 2022 г.   февралю 2022 г.   декабрю 2021 г.   марту 2021 г.     Продукты питания   100,4   102,2   101,5   107,9   112,4   123,0     мясо и птица   100,3   100,4   99,2   104,5   106,9   118,8     рыба и
морепродукты пищевые   99,9   102,4   102,9   106,4   114,0   121,6     масло сливочное   98,2   99,8   99,5   102,1   109,4   119,7     масло подсолнечное   98,9   98,9   100,4   104,4   103,1   117,2     яйца куриные   106,6   103,6   99,3   108,3   101,8   112,3     сахар-песок   98,4   96,8   88,2   131,9   141,3   151,3     молоко и молочная
продукция   101,9   101,2   105,7   105,2   110,9   121,7     кондитерские изделия   102,1   102,1   108,5   109,9   113,7   124,8     хлеб и хлебобулочные изделия   99,8   103,3   107,6   105,4   106,8   116,7     крупа и бобовые   100,3   94,7   98,0   112,5   116,0   134,6     макаронные изделия   99,6   97,2   102,7   112,5   116,3   120,3     плодоовощная
продукция   97,7   114,5   89,0   111,0   122,5   133,8     Алкогольные напитки   100,6   100,9   97,8   103,7   107,5   108,9     
В  марте  2023  года  значительное влияние на динамику цен на продовольственные товары оказало удорожание кондитерских изделий. Более всего повысились цены на конфеты шоколадные натуральные и с добавками на 6,8 %,  зефир,  пастила – на 4,0 %, печенье – на 2,9 %, шоколад – на 2,8 %, конфеты мягкие,  глазированные шоколадом – на 2,3 %, пряники – на 1,7 %, кексы, рулеты – на 0,6 %.
Кроме того, из  продовольственных  товаров подорожали сметана на 6,9 %, яйца куриные – на 6,6 %, творожок детский – на 6,0 %, творог – на 5,6 %, баранина (кроме бескостного мяса) – на 5,0 %, креветки мороженые разделанные – на 4,9 %, соки фруктовые – на 4,1 %, кофе натуральный растворимый, кофе в организациях быстрого обслуживания – на 3,9 %, чай зеленый – на 3,8 %, консервы  рыбные натуральные и с добавлением масла – на 2,9 %, рыба соленая, маринованная, копченая, пиво – на 2,8 %, сельдь соленая – на 2,6 %.
Из наблюдаемых товаров плодоовощной продукции наибольшее снижение цен отмечено на огурцы свежие на 23,3 %, лимоны – на 10,9 %, ягоды замороженные – на 9,3 %, апельсины – на 6,9 %, яблоки, грибы свежие – на 3,7 %, картофель – на 2,2 %, морковь – на 1,4 %. Цены на зелень свежую повысились на 12,5 %, помидоры свежие – на 9,3 %, свеклу столовую,   виноград  – на 7,1 %,  чеснок – на 4,8 %,  лук репчатый – на 3,8 %,  бананы - на 2,3 %, груши – на 1,9 %, орехи – на 1,2 %.
В то же время из продовольственных товаров подешевели рыба живая, охлажденная на 8,3 %, консервы овощные для детского питания – на 7,8 %, кетчуп – на 7,6 %, соль поваренная пищевая – на 4,9 %, мороженое сливочное, чай черный пакетированный, майонез – на 4,1 %,  горох  и фасоль – на 3,4 %, крупа гречневая-ядрица – на 3,3 %, вермишель – на 3,2 %, колбаса сырокопченая – на 3,1 %, соленые и копченые деликатесные продукты из рыбы – на 2,6 %, рыба мороженая разделанная (кроме лососевых пород) – на 2,4 %.
Индексы цен на отдельные группы и виды непродовольственных товаров:
(в процентах)         Март 2023 г. к   Март 2022 г. к     февралю 2023 г.   декабрю 2022 г.   марту 2022 г.   февралю 2022 г.   декабрю 2021 г.   марту 2021 г.     Ткани   99,7   99,9   105,1   105,4   105,4   107,5     Одежда и белье   100,4   101,9   107,9   105,0   107,2   110,2     Трикотажные изделия   100,8   100,9   109,8   103,3   105,2   109,0     Обувь   101,3   98,7   102,9   107,4   107,8   109,1     Моющие и
чистящие средства   99,8   101,3   114,0   120,0   120,8   129,7     Табачные изделия   99,9   100,7   111,1   99,8   103,1   119,1     Мебель   100,7   99,5   105,0   105,7   106,9   113,5     Электротовары   99,4   100,3   86,6   131,7   133,2   142,8     Телерадиотовары   98,9   100,1   65,0   122,3   148,4   166,1     Строительные 
материалы   100,1   100,2   92,8   111,0   112,6   136,3     Бензин 
автомобильный   100,4   100,2   100,7   99,6   101,2   107,9     Медикаменты   100,3   102,0   100,6   114,2   114,4   119,7     
В марте 2023 года цены на препараты, не относящиеся к жизненно необходимым и важнейшим лекарственным препаратам (ЖНВЛП), выросли на 03 %, в том числе поливитамины на 5,2 %, кеторол экспресс – на 3,0 %, метилурацил – на 2,3 %, афобазол – на 2,1 %, канефрон, левомеколь – на 1,7 %, валидол – на 1,6 %, синупрет – на 1,4 %, ренгалин – на 1,3 %, магне В6, мирамистин – на 1,1 %. Одновременно подешевели эргоферон на 3,2 %, цитрамон - на 2,5 %, флуоцинолона ацетонид, корвалол – на 1,8 %, аципол – на 1,6 %, таурин – на 1,3 %.
Цены на лекарственные препараты, относящиеся к ЖНВЛП, выросли на 0,2 %, в том числе ацетилсалициловая кислота (аспирин отечественный) на 3,8 %, амброксол – на 3,1 %, фуросемид - на 2,3 %, цефтриаксон – на 2,2 %, эуфиллин – на 1,9 %, амоксициллин с главулановой кислотой – на 1,6 %, перекись водорода - на 1,4 %, ксилометазолин (Галазолин) – на 1,0 %, глицин – на 0,9 %, бисакодил – на 0,8 %, ингавирин – на 0,6 %, ибупрофен, колекальциферол (витамин Д3) – на 0,5 %, дротаверин (Но-шпа) – на 0,3 %. В то же время снизились цены на азитромицин на 3,3 %, умифеновир (Арбидол) – на 3,0 %, супрастин – на 2,5 %, амлодипин – на 1,8 %, смекту – на 1,4 %, ксарелто, аскорбиновую кислоту – на 1,2 %.
Среди медицинских товаров и перевязочных материалов подорожали бинты на 2,8 %, термометры медицинские безртутные (галинстановые) – на 2,7 %, корригирующие очки – на 2,3 %. Вместе с тем подешевел аппарат для измерения артериального давления электронный на 1,9 %.
Из наблюдаемых товаров, входящих в рекомендуемый перечень непродовольственных товаров первой необходимости, выросли цены на бумагу туалетную на 5,9 %, соски (пустышки) детские – на 2,3 %, бумажные столовые салфетки – на 1,4 %, крем детский – на 1,1 %, бутылочки для кормления - на 0,8 %, бензин автомобильный – на 0,4 %. Одновременно снизились цены на мыло туалетное на 3,0 %, щетку зубную – на 2,5 %, порошок стиральный – на 1,7 %, прокладки женские гигиенические – на 1,6 %, газовое моторное топливо – на 1,0 %.
Среди прочих непродовольственных товаров подорожали смарт-часы на 9,1 %, краска для волос – на 8,3 %, цемент тарированный – на 7,2 %, пена для бритья – на 7,1 %,  обувь домашняя с текстильным верхом для взрослых, доска обрезная – на 6,4 %, туалетная бумага – на 5,3 %, туфли детские летние (сандалеты) – на 5,0 %, кресло мягкое – на 4,8 %, карандаш чернографитный – на 4,6 %, футболка детская, земля для растений – на 4,5 %, велосипед для дошкольников – на 4,3 %, шкаф для платья и белья – на 4,1 %, зонт – на 4,0 %.
В то же время снизились цены на кресло детское автомобильное на 8,8 %, лампы энергосберегающие - на 7,1 %, дрель электрическую – на 6,4 %, плитку керамическую, облицовочную для внутренних работ – на 4,7 %, мыло туалетное жидкое – на 4,5 %, кирпич красный – на 4,4 %, набор корпусной мебели, брюки для детей школьного возраста из джинсовой ткани – на 4,1 %, крем для лица – на 3,8 %.
Индексы цен и тарифов на отдельные группы услуг:
(в процентах)         Март 2023 г. к   Март 2022 г. к     февралю 2023 г.   декабрю 2022 г.   марту 2022 г.   февралю 2022 г.   декабрю 2021 г.   марту 2021 г.     Услуги организаций ЖКХ, оказываемые населению   100,1   100,8   109,8   100,0   101,1   103,8     Гостиниц и прочих мест проживания   101,5   101,5   111,1   100,3   100,9   103,7     Медицинские   100,0   108,4   112,3   106,8   107,6   112,7     Пассажирского транспорта   101,8   100,5   114,5   111,3   102,6   116,6     Почтовой связи   112,7   109,0   120,5   100,0   101,8   101,8     Телекоммуникационные   100,1   97,4   103,9   …1)   …1)   …1)     Организаций культуры   101,4   101,4   99,7   102,2   102,6   109,4     Санаторно-оздоровительные   100,0   100,5   108,8   102,5   107,8   111,5     Дошкольного воспитания   100,0   103,1   107,8   100,0   100,6   103,1     Образования   101,4   103,0   103,4   100,8   101,1   122,6     Бытовые   101,7   105,1   109,1   106,1   108,3   114,8     Зарубежного туризма   104,8   112,4   129,3   150,0   165,2   164,6     Физкультуры и спорта   100,0   100,5   103,6   101,0   100,8   101,0    
Страхования   100,0   100,6   106,4   100,0   106,3   111,8     1) В 2022 г. информация по группе  «Телекоммуникационные услуги» не формировалась.
В марте 2023 года среди услуг зарубежного туризма более всего увеличились цены на поездки в Египет на 22,4 %, отдельные страны Средней Азии – на 9,6 %, Юго-Восточной Азии – на 0,8 %. Цены на поездки на отдых в Турцию снизились на 6,2 %.
В группе услуг пассажирского транспорта увеличились цены и тарифы на проезд в поездах дальнего следования на 8,9 %, городском автобусе, такси – на 1,7 %, аренду автомобилей – на 1,3 %.
Среди бытовых услуг выросли цены на услуги по воспитанию детей, предоставляемых наемным персоналом на 23,3 %, печать цветных фотографий – на 3,2 %, стрижку и глажение белья прямого – на 2,8 %, парикмахерских – на 2,2 %, помывку в бане общем отделении – на 1,4 %.
В группе услуг образования цены на начальный курс обучения вождению  легкового автомобиля выросли на 8,3 %, обучение в образовательных организациях среднего профессионального образования - на 0,4 %.
Среди услуг внутреннего туризма и отдыха выросли стоимость поездок на отдых на Черноморское побережье России и в Крым на 28,0 %,  проживания  в гостиницах 2*  – на 14,5 %, музеи и выставки – на 13,2 %, проживания в гостиницах 3* – на 1,8 %.
Кроме того, из наблюдаемых услуг подорожали плата за пересылку простой посылки внутри России на 19,4 %, комиссия банка за перевод средств карты на карту клиенту другого банка на территории России – на 11,2 %, аренда двухкомнатной квартиры у частных лиц – на 4,3 %, клинический осмотр животного – на 2,5 %, мойка легкового автомобиля – на 1,9 %.
Вместе с тем снизились цены на полет в салоне экономического класса самолета на 4,5 %, установку пластиковых окон – на 0,5 %. </t>
  </si>
  <si>
    <t>03.rosstat.gov.ru</t>
  </si>
  <si>
    <t xml:space="preserve">Списoк лeкaрств для пeрвой мeдицинской пoмощи☝
Забиpай , чтoбы вcегда былo пoд рyкой⤵
Текст на изображении: Простуда 1. Ибупрон сильное обезболивающие средство, быстро действует, в виде шипучих таблеток щадит желудок, в свечах удобен для малышей. 2. Колдрекс отличный сосудосуживающий препарат. Назол избавляет от насморка и не дает пересыхать слизистой оболочке носа, действует часов. 4. Нурофен скорая помощь, действует быстро. Для малышей есть свечи‚но сильно ухудшает качество крови. 5. Парацетамол— великолепное жаропонижающее, незаменим для астматиков. 6. Полиоксидоний -стимулирует иммунную систему, назначают детям, пригоден для экстренной помощи и для профилактики во время эпидемии Рибомунил восстанавливает иммунитет, рекомендован детям. 8. Санорин самое быстрое средство от насморка компонентами.; Горло 1. Анаферон хорошее гомеопатическое средство для лечения вирусных инфекции верхних дыхательных 2. Колустан аэрозоль, хорошо снимает отеки при воспалениях. 3. Люголь, растворенный в глицерине лучшее наружное средство при ларингите. 4. TIponocoa—H имеет выраженные антимикробные и противовоспалительные своиства, не оказывает раздражающего деиствия на организм. Cunynper обладает антибактериальным и антиотечным действием, может назначаться детям есть в виде капель. 6. Тонзилгон противовоспалительное и обезболивающее сред:</t>
  </si>
  <si>
    <t>Елена Зверькова</t>
  </si>
  <si>
    <t xml:space="preserve">В Сахалинской области в марте 2023 года изменились потребительские цены. Они повысились на продовольственные и непродовольственные продукты, лекарства, услуги и поездки за границу, вместе с тем ряд этих товаров подешевел. Об изменении потребительских цен в островном регионе в марте рассказали в Сахалинстате, сообщает ИА SakhalinMedia.
В марте 2023 года индекс потребительских цен по Сахалинской области по сравнению с февралем 2023 года составил 100,04%, по сравнению с декабрем 2022 года — 100,61% (в марте 2022 года по сравнению с февралем 2022 года — 106,63%, по сравнению с декабрем 2021 года — 107,93%). Индекс цен на продовольственные товары составил за месяц 100,28%, а к декабрю 2022 года — 100,19%, на непродовольственные товары — 99,15%, а к декабрю 2022 года — 99,34%, на услуги — 101,04%, а к декабрю 2022 года — 103,32%, — рассказали в Сахалинстате.
За месяц подорожали:капуста белокочанная — на 14,7%;картофель — на 3,2%;груши — на 3,0%;чеснок — на 2,4%;морковь — на 2,1%;свекла столовая — на 1,5%;виноград — на 1,4%.Вместе с тем подешевели:помидоры свежие — на 5,8%;огурцы свежие — на 4,4%;лимоны — на 3,0%;апельсины — на 1,9%.
Тематическое фото. Фото: Денис Таушканов, ИА SakhalinMedia
Из продовольственных товаров подорожали:хлопья из злаков (сухие завтраки) — на 7,3%;кофе натуральный растворимый — на 3,8%жевательная резинка — на 2,5%;соки фруктовые, печенье — на 2,2%;рыба охлажденная и мороженая разделанная лососевых пород, колбаса полукопченая — на 2,0%;кальмары мороженые, консервы мясные для детского питания, макаронные изделия — на 1,4%;говядина на кости — на 1,1%;сосиски и сардельки — на 1,0%.Вместе с тем подешевели:пшено — на 4,7%;крупа гречневая — на 4,6%;овсяные хлопья "Геркулес" — на 2,2%;свинина бескостная — на 2,0%;масло сливочное — на 1,7%;соль пищевая — на 1,6%;масло подсолнечное, куры охлажденные и мороженые — на 1,2%.
Тематическое фото. Фото: Александр Ратников
Из непродовольственных товаров подорожали: ветровки женские — на 13,6%;куртки мужские из натуральной кожи — на 10,9%;ветровки мужские — на 8,3%;миксеры и блендеры — на 6,5%;матрасы детские — на 6,4%;платья летние для девочек — на 5,4%;электроутюги — на 4,2%;пальто женское демисезонное — на 3,9%;электропылесосы напольные — на 3,7%;сорочки верхние для мальчиков дошкольного возраста, обувь домашняя — на 2,4%;футболки детские — на 2,0%;джемпера женские — на 1,8%;коляски для новорожденных — на 1,5%.Вместе с тем подешевели:шины для легкового автомобиля — на 10,5%;куртки мужские из плащевых тканей утепленные — на 8,0%;пальто женское меховое и дубленки — на 6,0%;ботинки для детей школьного возраста зимние из натуральной кожи — на 4,0%;компьютеры планшетные — на 3,3%;телевизоры — на 2,1%;рубероид — на 1,8%;моноблоки — на 1,4%. 
Тематическое фото. Фото: Марина Померанцева , ИА EAOMedia
Из непродовольственных товаров первой необходимости подорожали:щетки зубные — на 4,5%;подгузники детские — на 2,8%;крема от опрелостей детские — на 2,3%;сухие корма для домашних животных — на 1,9%.Вместе с тем подешевели:паста зубная — на 3,8%;бумага туалетная — на 3,6%;бутылочки для кормления — на 2,7%;салфетки сухие — на 2,5%;мыло хозяйственное — на 1,7%.Среди лекарственных препаратов, относящихся к жизненно необходимым и важнейшим лекарственным препаратам (ЖНВЛП), в среднем стали дороже:панкреатин — на 8,3%;фуросемид — на 8,0%;гриппферон — на 3,9%;ацетилсалициловая кислота — на 3,6%;фосфоглив — на 2,6%;парацетамол — на 2,2%.Вместе с тем подешевели:азитромицин — на 4,1%;ксилометазолин — на 1,2%.
Тематическое фото. Фото: Илья Аверьянов, ИА PrimaMedia
Среди лекарственных препаратов, не относящихся к ЖНВЛП, стали дороже:цитрамон — на 4,9%;синупрет — на 3,4%;аципол, поливитамины — на 2,3%;таурин — на 1,4%.Вместе с тем подешевели:магне В6 — на 3,9%;сульфацетамид — на 3,3%;мидокалм — на 3,1%;афобазол — на 2,3%.Кроме того, средние цены на дизельное топливо снизились на 1,1%, а на автомобильный бензин — на 0,1%.
Среди услуг в марте подорожали:комиссия банка за перевод средств с карты на карту клиенту другого банка на территории России — на 14,5%;подписка на онлайн-видеосервисы — на 8,5%;плата за пересылку простой посылки внутри России массой 1-2 кг — на 6,3%;абонентская плата за доступ к сети Интернет — на 3,5%.
Тематическое фото. Фото: Мария Смитюк, ИА PrimaMedia
Среди услуг зарубежного туризма подорожали:поездка на отдых в Египет — на 45,6%;поездки в страны Закавказья — на 13,1%;поездки на отдых в Турцию — на 12,5%;поездка на отдых в ОАЭ — на 8,8%;поездка в Беларусь — на 7,0%.В то же время подешевели поездки в отдельные страны Юго-Восточной Азии на 7,7%, а поездки на отдых на Черноморское побережье России и в Крым подорожали на 17,0%.
C изменением потребительских цен изменилась и стоимость условного (минимального) набора продуктов питания. Стоимость условного (минимального) набора продуктов питания отражает межрегиональную дифференциацию уровней потребительских цен на продукты питания, входящие в него. При ее расчете используются единые, установленные в целом по Российской Федерации, условные объемы потребления продуктов питания и средние потребительские цены на них по субъектам Российской Федерации. Набор включает 33 наименования наиболее часто потребляемых продуктов питания.
Стоимость условного (минимального) набора продуктов питания в расчете на месяц в среднем по Сахалинской области в марте 2023 года составила 8247,04 рубля и по отношению к февралю 2023 года выросла на 0,7%, а по отношению к декабрю 2022 года — на 2,2% (в марте 2022 года стоимость набора составляла 8097,79 рубля, рост за месяц составил 5,2%, к декабрю же 2021 года — 10,4%).
Стоимость набора в марте 2023 года составила:в Южно-Сахалинске — 8115,98 рубля;в Корсакове — 8238,31 рубля;в Поронайске — 7923,49 рубля;в Охе — 9205,75 рубля.Источник: https://sakhalinmedia.ru</t>
  </si>
  <si>
    <t>14.04.2023 03:13</t>
  </si>
  <si>
    <t>Елена Мыльникова (Третьякова)</t>
  </si>
  <si>
    <t>14.04.2023 03:11</t>
  </si>
  <si>
    <t xml:space="preserve">Оу..  нууу.. я могу понять женщину и почему гугл авторитет
Моему мужу в 2009м горе врач поставил диагноз - компрессионный перелом позвоночника. Прописал ношение корсета и тп.. Через неделю муж чуть не помер от гангрены и сепсиса тонкого кишечника, вырезали 70%   Супер горе врач поставил супер диагноз, промахнулся так на километр... По факту был обрыв сосуда из-за тромба и образовался сгусток крови в зоне тонкой кишки. Мужа еле успели откачать, но здоровья потерял в разы... Моей бабушке вместо инсульта поставили диагноз перелом шейки бедра. При этом бабушка самостоятельно с переломом шейки бедра дошла до скорой, и до палаты по ступенькам... По факту инсульт с последующим параличом правой стороны. Нормально так и ниче разводим руками ну типа бывает... ахренеть бывает голову и жопу перепутать...  Мне лично 3 врача вместо беременности поставили диагноз аднексит придатков. Я врачей не послушала, в больницу не пошла.. Родила нормального малыша. Аднескит епта... У мамы в онкоцентре посмотрев все мрт, кт и проч.не признали рак желчных протоков. Результат - кладбище и диагноз патологоанатома - рак желчных. Не не рак говорили они это не к нам говорили они.. ага.. вам на кладбище оно вылечит.. С.ки.... Так что наша медицина отжигает не по детски...
Я понимаю почему женщина так поступила. Наши горе врачи не умеют ни диагнозы ставить ни объяснять по нормальному.
Ах да.. еще прикол.. до СВО любимая болячка врачей  царь вирус была... Мне ангину царьвирусом назвали и арбидол прописали..  Ну вы понимаете да.. куда я дела арбидол глядя на ахренеть красное обложенное горло с гнойниками в миндалинах.. Антибиотик, промывка и через неделю хотя бы пить смогла... Арбидол с царьжопой .. ага...
Так что прежде чем женщину ругать, подумайте.. может врачи че не так объяснили... они любят фразы типа.. ну ничего страшного, это мелочи, бежать не надо, но вы не затягивайте... Ну вот она и не придала этому значения...</t>
  </si>
  <si>
    <t>Мэри</t>
  </si>
  <si>
    <t>Внутри белого халата‍⚕️</t>
  </si>
  <si>
    <t>14.04.2023 03:08</t>
  </si>
  <si>
    <t>Лилия Кочнева</t>
  </si>
  <si>
    <t>Сосновый Бор</t>
  </si>
  <si>
    <t>14.04.2023 03:06</t>
  </si>
  <si>
    <t xml:space="preserve">Необходимые препараты которые надо брать с собой на вахту. Для тех, у кого могут возникнуть проблемы со здоровьем.
Текст на изображении: Простуда 1. Ибупрон сильное обезболивающие средство, быстро действует, в виде шипучих таблеток шадит в свечах удобен для мальшей.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сильно ухудшает качество крови. 6. Полиоксидоний иммунную систему, назначают детям, пригоден для экстренной помощи и для профилактики во время эпидемии 7. Рибомунил восстанавливает иммунитет, рекомендован детям. 8. Санорин самое быстрое средство от насморка противоаллергическими компонентами.; Горло 1. Анаферон хорошее гомеопатическое средство для лечения вирусных инфекций верхних дыхательных путей. 2. Колустан аэрозоль, хорошо снимает отеки при воспалениях. Люголь, растворенный в глицерине лучшее наружное средство при 4. Пропосол-Н имеет выраженные антимикробные и противовоспалительные свойства, не оказывает раздражающего действия на организм. 5. Синупрет обладает антибактериальным и антиотечным действием, может назначаться детям есть в виде капель. 6. противовоспалительное и обезболивающее средство.</t>
  </si>
  <si>
    <t>Марина Ничик</t>
  </si>
  <si>
    <t xml:space="preserve">Стоимость минимального набора продуктов питания в расчете на месяц в среднем по Сахалинской области выросла на 0,7%         Тематическое фото. Фото: Мария Смитюк, ИА PrimaMedia               В Сахалинской области в марте 2023 года изменились потребительские цены. Они повысились на продовольственные и непродовольственные продукты, лекарства, услуги и поездки за границу, вместе с тем ряд этих товаров подешевел. Об изменении потребительских цен в островном регионе в марте рассказали в Сахалинстате, сообщает ИА SakhalinMedia.
В марте 2023 года индекс потребительских цен по Сахалинской области по сравнению с февралем 2023 года составил 100,04%, по сравнению с декабрем 2022 года — 100,61% (в марте 2022 года по сравнению с февралем 2022 года — 106,63%, по сравнению с декабрем 2021 года — 107,93%). Индекс цен на продовольственные товары составил за месяц 100,28%, а к декабрю 2022 года — 100,19%, на непродовольственные товары — 99,15%, а к декабрю 2022 года — 99,34%, на услуги — 101,04%, а к декабрю 2022 года — 103,32%, — рассказали в Сахалинстате. 
За месяц подорожали: капуста белокочанная — на 14,7%; картофель — на 3,2%; груши — на 3,0%; чеснок — на 2,4%; морковь — на 2,1%; свекла столовая — на 1,5%; виноград — на 1,4%. Вместе с тем подешевели: помидоры свежие — на 5,8%; огурцы свежие — на 4,4%; лимоны — на 3,0%; апельсины — на 1,9%.  
Тематическое фото. Фото: Денис Таушканов, ИА SakhalinMedia Из продовольственных товаров подорожали: хлопья из злаков (сухие завтраки) — на 7,3%; кофе натуральный растворимый — на 3,8% жевательная резинка — на 2,5%; соки фруктовые, печенье — на 2,2%; рыба охлажденная и мороженая разделанная лососевых пород, колбаса полукопченая — на 2,0%; кальмары мороженые, консервы мясные для детского питания, макаронные изделия — на 1,4%; говядина на кости — на 1,1%; сосиски и сардельки — на 1,0%. Вместе с тем подешевели: пшено — на 4,7%; крупа гречневая — на 4,6%; овсяные хлопья "Геркулес" — на 2,2%; свинина бескостная — на 2,0%; масло сливочное — на 1,7%; соль пищевая — на 1,6%; масло подсолнечное, куры охлажденные и мороженые — на 1,2%.  
Тематическое фото. Фото: Александр Ратников
Из непродовольственных товаров подорожали:  ветровки женские — на 13,6%; куртки мужские из натуральной кожи — на 10,9%; ветровки мужские — на 8,3%; миксеры и блендеры — на 6,5%; матрасы детские — на 6,4%; платья летние для девочек — на 5,4%; электроутюги — на 4,2%; пальто женское демисезонное — на 3,9%; электропылесосы напольные — на 3,7%; сорочки верхние для мальчиков дошкольного возраста, обувь домашняя — на 2,4%; футболки детские — на 2,0%; джемпера женские — на 1,8%; коляски для новорожденных — на 1,5%. Вместе с тем подешевели: шины для легкового автомобиля — на 10,5%; куртки мужские из плащевых тканей утепленные — на 8,0%; пальто женское меховое и дубленки — на 6,0%; ботинки для детей школьного возраста зимние из натуральной кожи — на 4,0%; компьютеры планшетные — на 3,3%; телевизоры — на 2,1%; рубероид — на 1,8%; моноблоки — на 1,4%.   
Тематическое фото. Фото: Марина Померанцева , ИА EAOMedia Из непродовольственных товаров первой необходимости подорожали: щетки зубные — на 4,5%; подгузники детские — на 2,8%; крема от опрелостей детские — на 2,3%; сухие корма для домашних животных — на 1,9%. Вместе с тем подешевели: паста зубная — на 3,8%; бумага туалетная — на 3,6%; бутылочки для кормления — на 2,7%; салфетки сухие — на 2,5%; мыло хозяйственное — на 1,7%. Среди лекарственных препаратов, относящихся к жизненно необходимым и важнейшим лекарственным препаратам (ЖНВЛП), в среднем стали дороже: панкреатин — на 8,3%; фуросемид — на 8,0%; гриппферон — на 3,9%; ацетилсалициловая кислота — на 3,6%; фосфоглив — на 2,6%; парацетамол — на 2,2%. Вместе с тем подешевели: азитромицин — на 4,1%; ксилометазолин — на 1,2%.  
Тематическое фото. Фото: Илья Аверьянов, ИА PrimaMedia Среди лекарственных препаратов, не относящихся к ЖНВЛП, стали дороже: цитрамон — на 4,9%; синупрет — на 3,4%; аципол, поливитамины — на 2,3%; таурин — на 1,4%. Вместе с тем подешевели: магне В6 — на 3,9%; сульфацетамид — на 3,3%; мидокалм — на 3,1%; афобазол — на 2,3%. Кроме того, средние цены на дизельное топливо снизились на 1,1%, а на автомобильный бензин — на 0,1%.
Среди услуг в марте подорожали: комиссия банка за перевод средств с карты на карту клиенту другого банка на территории России — на 14,5%; подписка на онлайн-видеосервисы — на 8,5%; плата за пересылку простой посылки внутри России массой 1-2 кг — на 6,3%; абонентская плата за доступ к сети Интернет — на 3,5%.  
Тематическое фото. Фото: Мария Смитюк, ИА PrimaMedia Среди услуг зарубежного туризма подорожали: поездка на отдых в Египет — на 45,6%; поездки в страны Закавказья — на 13,1%; поездки на отдых в Турцию — на 12,5%; поездка на отдых в ОАЭ — на 8,8%; поездка в Беларусь — на 7,0%. В то же время подешевели поездки в отдельные страны Юго-Восточной Азии на 7,7%, а поездки на отдых на Черноморское побережье России и в Крым подорожали на 17,0%.
C изменением потребительских цен изменилась и стоимость условного (минимального) набора продуктов питания. Стоимость условного (минимального) набора продуктов питания отражает межрегиональную дифференциацию уровней потребительских цен на продукты питания, входящие в него. При ее расчете используются единые, установленные в целом по Российской Федерации, условные объемы потребления продуктов питания и средние потребительские цены на них по субъектам Российской Федерации. Набор включает 33 наименования наиболее часто потребляемых продуктов питания.
Стоимость условного (минимального) набора продуктов питания в расчете на месяц в среднем по Сахалинской области в марте 2023 года составила 8247,04 рубля и по отношению к февралю 2023 года выросла на 0,7%, а по отношению к декабрю 2022 года — на 2,2% (в марте 2022 года стоимость набора составляла 8097,79 рубля, рост за месяц составил 5,2%, к декабрю же 2021 года — 10,4%).  
Стоимость набора в марте 2023 года составила: в Южно-Сахалинске — 8115,98 рубля; в Корсакове — 8238,31 рубля; в Поронайске — 7923,49 рубля; в Охе — 9205,75 рубля.</t>
  </si>
  <si>
    <t>sakhalinmedia.ru</t>
  </si>
  <si>
    <t>14.04.2023 02:56</t>
  </si>
  <si>
    <t xml:space="preserve">Пoдбoркa лeкaрcтв нa вce cлyчaи жизни
Текст на изображении: ПРОСТУДА Ибупрон сильное обезболивающие средство, быстро действует, 6 виде шипучих таблеток щадит желудок, 6 свечах удобен для мальшей. Колдрекс отличный сосудосуживающий препарат. Быстро действует, потому что его растворяют 6 горячей воде. Назол избавляет от насморка и не дает пересыхать слизистой оболочке носа, действует 12 часов. Нурофен скорая помощь, действует быстро. Для мальшей есть свечи, но сильно ухудшает качество крови. Парацетамол (панадол, эффералган)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как самое эффективное Санорин самое быстрое средство от насморка противоаллергическими компонентами. Флукол-Б дешевый и эффективный препарат, но содержит алкоголя и противопоказан водителям.; ЗАБОЛЕВАНИЯ ГОРЛА (ЧАСТЬ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6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6 виде капель. Тонзилгон противовоспалительное и обезболивающее средство, способствует уменьшению отека слизистой оболочки дыхательных путей.</t>
  </si>
  <si>
    <t>Дарья Котова</t>
  </si>
  <si>
    <t>14.04.2023 02:55</t>
  </si>
  <si>
    <t>Ольга Листратова</t>
  </si>
  <si>
    <t>Сосногорск</t>
  </si>
  <si>
    <t>14.04.2023 02:54</t>
  </si>
  <si>
    <t>Харичева Надежда</t>
  </si>
  <si>
    <t>14.04.2023 02:53</t>
  </si>
  <si>
    <t>Галина Мирова</t>
  </si>
  <si>
    <t>14.04.2023 02:48</t>
  </si>
  <si>
    <t>В омских аптеках подорожали жизненно необходимые лекарства</t>
  </si>
  <si>
    <t xml:space="preserve">В омских аптеках подорожали жизненно необходимые лекарства
[ЦЕНЫ]
Минздрав Омской областиВ среднем цены на них выросли на 0,4 %, однако отдельные препараты подорожали гораздо сильнее. Омскстат опубликовал свежие данные.
Омскстат вновь провел выборочное обследование потребительского рынка Омской области. С января по март цены на жизненно необходимые и важнейшие препараты повысились в среднем на 0,4 %
На 12,5 % подорожал фуросемид, на 4,6 % – дротаверин, на 3,5 % – аскорбиновая кислота, на 3,1 % – цефтриаксон. При этом некоторые лекарства подешевели:
супрастин – на 5 %,
амлодипин – на 4,6 %,
ксарелто – на 3,9 %,
натрия хлорид – на 3,7 %,
ацетилцистеин (АЦЦ) – на 3,4 %,
амброксол – на 3,4 %.
Из отечественных препаратов, не относящихся к жизненно необходимым, наиболее сильно подорожали йод (на 6,5 %), поливитамины (на 4,4 %), флуоцинолона ацетонид (на 3,1 %). Из зарубежных на 2,6 % подорожал синупрет. Подешевели на 3,1–8,3 % афобазол, аципол, таурин, комбинированные анальгетики, эссенциале форте, мидокалм и ренгалин.</t>
  </si>
  <si>
    <t>14.04.2023 02:44</t>
  </si>
  <si>
    <t>Валентина Коваленко (Маркелова)</t>
  </si>
  <si>
    <t>Пыть-Ях</t>
  </si>
  <si>
    <t>14.04.2023 02:41</t>
  </si>
  <si>
    <t xml:space="preserve">99 эффективных лекарств, о которых желательно знать
Простуда
1. Ибупрон – сильное обезболивающие средство, быстро действует, в виде шипучих таблеток щадит желудок, а в свечах удобен для малышей.
2. Колдрекс – отличный сосудосуживающий препарат. Быстро действует, потому что его растворяют в горячей воде.
3. Назол – избавляет от насморка и не дает пересыхать слизистой оболочке носа, действует 12 часов.
4. Нурофен – скорая помощь, действует быстро. Для малышей есть свечи, но сильно ухудшает качество крови.
5. Парацетамол (панадол, эффералган) – великолепное жаропонижающее, незаменим для астматиков.
6. Полиоксидоний – стимулирует иммунную систему, назначают детям, пригоден для экстренной помощи и для профилактики во время эпидемии ОРВИ.
7. Рибомунил – восстанавливает иммунитет, рекомендован детям как самое эффективное средство.
8. Санорин – самое быстрое средство от насморка с противоаллергическими компонентами.
9. Флукол–Б – дешевый и эффективный препарат, но содержит 8% алкоголя и противопоказан водителям.
Печень
1. Антраль – отечественный оригинальный препарат, ему нет аналогов в мире, защищает клетки печени от любой микробной агрессии.
2. Галстена – капли, незаменимое лекарство для маленьких детей.
3. Лиолив – улучшает состояние печени при желтухах (пониженный билирубин).
4. Липоферон – препарат принимают через рот, он дешевле инъекционных интерферонов в 5 раз!
5. Оротат калия – улучшает работу печени, синтез белка, общий обмен веществ.
6. Силимарин-гексал – растительный препарат. В нем содержится намного больше действующего вещества, чем в его аналогах: карсиле, силиборе, гепабене.
7. Холензим – желчегонный недорогой препарат, помогает перевариванию пищи, улучшает выработку ферментов.
8. Холивер – желчегонный препарат растительного происхождения.
9. Хепель – гомеопатическое немецкое средство без побочных действий.
10. Эссенциале – уже 20 лет нет более действенного препарата для лечения печени.
Желудок
1. Альтан – растительный препарат отечественного производства, незаменим при язвенной болезни.
2. Ацидин-пепсин – повышает кислотность в желудке.
3. Гастритол – капли растительного происхождения, хороши для малышей.
4. Мотилиум – нормализует моторику желудка, улучшает продвижение пищи по желудку.
5. Облепиховое масло – уменьшает воспалительные процессы в желудке.
6. Париет – из последнего поколения препаратов, которые хорошо снижают кислотность в желудке.
7. Пилобакт – новейшее средство от хеликобактера.
8. Ренорм – отечественный фитоконцентрат с сильным противовоспалительным действием, нормализует пищеварение.
9. Риабал – хорошо снимает спазмы в желудке, его назначают детям. Есть в виде сиропа и в каплях.
10. Фосфалюгель – хорошо снимает приступы изжоги, менее токсичен, чем аналоги.
Глаза
1. Зовиракс – глазная мазь, незаменима при конъюнктивитах вирусной природы.
2. Квинакс – лучшее профилактическое средство при катаракте.
3. Корнерегель – гель, хорошо восстанавливает слезную пленку на роговице глаза.
4. Ксалаком – в нем соединены два препарата ксалатан и тималол. Они усиливают действие друг друга.
5. Ксалатан (траватан) – эффективен при глаукоме, можно капать один раз в сутки.
6. Систейн – искусственная слеза, преимущество – можно капать раз в сутки.
7. Униклофен – хорошее нестероидное противовоспалительное средство в каплях.
8. Флоксал – капли, антибиотик, действует на широкий спектр микроорганизмов.
9. Флоксаловая мазь – незаменима при бактериальных конъюнктивитах.
10. Циклоксан – сильный антибиотик в каплях, панацея от острых конъюнктивитов.
Уши
1. Амоксицилин – антибиотик, активно борется с основными возбудителями, вызывающими ЛОР-заболевания.
2. Клавициллин-амоксициллин + клавулановая кислота – помимо чувствительных к амоксицилину микроорганизмов, препарат активно действует и на некоторые виды бактерий.
3. Отофа – ушные капли, антибиотик применяют при воспалительных заболеваниях среднего уха.
4.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 оказывает одновременно обезболивающее, противовоспалительное и жаропонижающее действие.
6.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 это цефалоспорины второго и третьего поколения. Их назначают тем, на кого не действует ампициллин.
9. Эдас-125 тонзиллин – гомеопатические капли, назначают детям с 2-х лет при отитах, аденоидах, хроническом тонзиллите с водой или на кусочке сахара.
10. Эритромицин – назначают тем, у кого аллергия на препараты пенициллинового ряда.
Нервы
1. Венлаксор – антидепрессант практически без побочных эффектов, быстро выводит из тяжелой депрессии.
2. Бусперон – сильное противотревожное средство, не создает эффекта заторможенности. Можно применять водителям и студентам перед экзаменом.
3. Гидазепам – мягкое снотворное, не влияет на реакцию водителя. Но к нему можно привыкнуть – больше месяца пить нельзя!
4. Зипрекса – не имеет серьезных побочных действий, оказывает помощь мгновенно.
5. Имован (сонап, сомнол, сонаван) – самые современные снотворные средства.
6. Паксил – антидепрессант, хорошо устраняет панику, страх, навязчивые состояния (фобии), помогает от анорексии, а также побочно удлиняет течение полового акта.
7. Праместар – улучшает память вообще и упрощает запоминание информации.
8. Рисполепт – действует долго, удобен – растворяется во рту как конфета.
9. Сульпирид (эгланил) – одновременно лечит нервы и желудок. Еще плюс: сегодня выпил – сегодня результат.
10. Финлепсин – лечит судороги и невриты, а также стабилизирует настроение.
Почки
1. Аксеф – антибиотик, удобен тем, что можно принимать как таблетки, а можно вводить инъекционно. Он продается поштучно в комплекте с растворителем.
2. Блемарен – самый эффективный растворитель камней в почках.
3. Канефрон – растительный препарат без побочных действий.
4. Мовалис – свечи, негормональное противовоспалительное средство, которое не раздражает слизистую оболочку прямой кишки.
5. Нефрофит – комбинированный фитопрепарат с противовоспалительным и мочегонным действием. Без побочных эффектов, назначают детям с 5 лет и беременным.
6. Офлоксин – не агрессивен для желудка, редко вызывает аллергии.
7. Уросепт – свечи, действуют только на мочевыводящую систему.
8. Уролесан – растительный препарат, хорошо выводит песок из почек, часто назначают детям. Есть в виде сиропа.
9. Флемоклав солютаб – широкий спектр антимикробного действия, рекомендуют ослабленным больным.
10. Цефтриаксон – антибиотик широкого спектра действия с минимумом побочных эффектов, разрешен для применения даже беременным.
Простата
1. Азитрокс – антибиотик, удобен – одна таблетка в неделю.
2. Гатифлоксацин – самый новый антибиотик, быстродействующий.
3. Зоксон – дает минимум побочных эффектов, удобен – одна таблетка на ночь.
4. Пенистен – уменьшает объем простаты, снижет риск развития рака предстательной железы.
5. Простамол УНО – растительный препарат без побочных эффектов.
6. Простатилен (Витапрост) – вытяжка из предстательной железы крупного рогатого скота, биостимулятор.
7. Протефлазид – растительный иммуностимулятор, эффективен при простатите.
8. Фокусин – не снижает артериальное давление.
9. Фунид – противогрибковый препарат последнего поколения.
10. Юнидокс солютаб – антибиотик широкого спектра действия, хорошо проникает в ткань предстательной железы.
Сутсавы
1. Аспирин – незаменим при подагре.
2. Алфлутоп – улучшает обмен крови и активизирует процессы обмена в мышцах.
3. Дона – укрепляет хрящевую ткань.
4. Диклоберл – негормональный противовоспалительный препарат. Применяют в свечах, но можно делать и уколы.
5. Диклофен – меньше других дает побочных эффектов.
6. Диклофенак – эффективный, но влияет на состояние крови.
7. Кетанов – эффективный инъекционный препарат.
8. Олфен – удобен тем, что есть в свечах, не страдает слизистая желудка.
9. Остеогенон – эффективный хондопротектор, избавляет суставы от разболтанности.
10. Ретаболил – улучшает периферическое кровообращение.
Горло
1. Анаферон – хорошее гомеопатическое средство для лечения вирусных инфекций верхних дыхательных путей.
2. Колустан – аэрозоль, хорошо снимает отеки при воспалениях.
3. Люголь, растворенный в глицерине – лучшее наружное средство при ларингите.
4. Пропосол–Н – имеет выраженные антимикробные и противовоспалительные свойства, не оказывает раздражающего действия на организм.
5. Синупрет – обладает антибактериальным и антиотечным действием, может назначаться детям – есть в виде капель.
6. Тонзилгон – противовоспалительное и обезболивающее средство, способствует уменьшению отека слизистой оболочки дыхательных путей.
7. Тонзилотрен – повышает активность слизистой оболочки.
8. Флемоксин солютаб – эффективный быстрорастворимый антибиотик при гнойной ангине, применяют как вовнутрь, так и для полоскания.
9. Фарингосепт – антисептическое средство, приятное на вкус (рассасывается во рту). Не влияет на кишечную микрофлору.
10. Фалиминт – средство с охлаждающим действием для лечения заболеваний полости рта и глотки. Незаменим накануне операций, при протезировании зубов и для лекторов.
Перед применением обязательно проконсультируйтесь с врачом, некоторые лекарства имеют противопоказания и могут навредить вашему здоровью!!!</t>
  </si>
  <si>
    <t>Макс Шестопалов</t>
  </si>
  <si>
    <t>14.04.2023 02:36</t>
  </si>
  <si>
    <t>Текст на изображении: 181 Название дорогого препарата ‘Аспирин Упса. ‘Аспирин-кардио. Белосалик. Бепантен. 3 4 5 6 Бетасерк. 7 Быструмгель. 8 Виагра. 9 Вольтарен. 10Гастрозол. 1зДе-нол. 14Депренорм 15Детралекс. 16Дипросалик. 17Дифлюкан. 18Длянос. 19Зантак. 20Зиртек. 21Зовиракс (крем). 22Иммунал. 26Кавинтон. 27Кагоцел. руб. Актуальный список замены лекарств на 2016 год: Цена Название аналога дорогого препарата в рублях 483 =Азитромицин. 97 =Ацетилсалициловая кислота. 136 =Кардиаск. 351 =Акридерм 235 =Декспантенол. 526 =Бетагистин. 157 =Кетопрофен. 1541 =Силденафил. 288 =Диклофенак. 101 =Омепразол. 1908 =Гептор. 1701 =Гептор. 959 =Гастро-норм. 301 =Триметазидин 647 =Венарус. 288 =Акридерм. 486 =Флуконазол. 87 281 =Ранитидин. 266 =Цетиринакс. 374 =Ацикловир. 203 =Эхинацея (капли). 301 =Лоперамид. 47 =Экстрат Эхинацеи. 239 =Калия йодит. 606 221 =Нет аналога. Не рекомендуется к использованию никому! Цена Итоговая аналога разница в в рубляхрублях 97 386 4 93 36 100 181 170 84 151 221 305 61 96 541 1000 33 255 51 50 879 1029 816 885 221 738 121 180 330 317 181 107 21 465 21 66 51 230 76 190 20 354 41 162 16 285 4 43 70 169 226 380</t>
  </si>
  <si>
    <t>Людмила Вылегжанина</t>
  </si>
  <si>
    <t>14.04.2023 02:35</t>
  </si>
  <si>
    <t xml:space="preserve">В Сахалинской области в марте подорожали некоторые лекарства из списка жизненно важных, а также продукты, одежда и услуги. Немного подешевели овощи и фрукты, крупы, туалетная бумага и планшеты. По данным Сахалинстата, потребительские цены в регионе за месяц поднялись на 0,04% по сравнению с февралём. На что больше всего изменились расценки – в нашей подборке.
ПРОДУКТЫ
В целом подорожали на 0,28%. При этом фрукты и овощи в общем подешевели на 0,5%.
Топ-10 наиболее подорожавших продуктов:  Капуста белокочанная – на 14,7%  Хлопья из злаков (сухие завтраки) – на 7,3%  Кофе натуральный растворимый – на 3,8%  Картофель – на 3,2%  Груши – на 3,0%  Жевательная резинка – на 2,5%  Чеснок – на 2,4%  Соки фруктовые, печенье – на 2,2%  Морковь – на 2,1%  Рыба охлажденная и мороженая разделанная лососевых пород, колбаса полукопченая – на 2,0%
Топ-10 наиболее подешевевших продуктов:  Помидоры свежие – на 5,8%  Пшено – на 4,7%  Гречка – на 4,6%  Огурцы свежие – на 4,4%  Лимоны – на 3,0%  Овсяные хлопья "Геркулес" - на 2,2%  Свинина бескостная – на 2,0%  Апельсины – на 1,9%  Масло сливочное – на 1,7%  Соль пищевая – на 1,6%
НЕПРОДОВОЛЬСТВЕННЫЕ ТОВАРЫ
В целом за март подешевели на 0,85%.
Топ-10 наиболее подорожавших товаров:  Ветровки женские – на 13,6%  Куртки мужские из натуральной кожи – на 10,9%  Ветровки мужские – на 8,3%  Миксеры и блендеры – на 6,5%  Матрасы детские – на 6,4%  Платья летние для девочек – на 5,4%  Щетки зубные – на 4,5%  Утюги – на 4,2%  Пальто женское демисезонное – на 3,9%  Пылесосы – на 3,7%
Топ-10 наиболее подешевевших товаров:  Шины для легкового авто – на 10,5%  Куртки мужские утепленные – на 8,0%  Пальто женское меховое и дубленки – на 6,0%  Ботинки для дошкольников зимние – на 4,0%  Паста зубная – на 3,8%  Бумага туалетная – на 3,6%  Компьютеры планшетные – на 3,3%  Бутылочки для кормления – на 2,7%  Салфетки сухие – на 2,5%  Телевизоры – на 2,1%
ЛЕКАРСТВА
Среди препаратов, относящихся к жизненно необходимым и важнейшим (ЖНВЛП) стали дороже:  панкреатин – на 8,3%  фуросемид – на 8,0%  гриппферон – на 3,9%  ацетилсалициловая кислота – на 3,6%  фосфоглив – на 2,6%  парацетамол – на 2,2%
Подешевели: азитромицин – на 4,1%, ксилометазолин – на 1,2%.
Среди прочих медикаментов стали дороже:  цитрамон – на 4,9%  синупрет – на 3,4%  аципол, поливитамины – на 2,3%  таурин – на 1,4%
Подешевели:  магне В6 – на 3,9%  сульфацетамид – на 3,3%  мидокалм – на 3,1%  афобазол – на 2,3%
УСЛУГИ в среднем стали дороже на 1,04%. Среди прочего подняли:  комиссию за перевод с карты клиенту другого банка на территории России – на 14,5%  подписку на онлайн-видеосервисы – на 8,5%  плату за пересылку простой посылки внутри России массой 1-2 кг – на 6,3%  абонентскую плату за доступ в интернет – на 3,5%
Отдельно статистики подготовили информацию для туристов. Подорожали поездки в Египет – на 45,6%, на Черноморское побережье России и в Крым - на 17%, страны Закавказья – на 13,1%, Турцию – на 12,5%, ОАЭ – на 8,8%, Беларусь – на 7,0%. Подешевели поездки в отдельные страны Юго-Восточной Азии - на 7,7%.
СТОИМОСТЬ МИНИМАЛЬНОГО НАБОРА ПРОДУКТОВ ПИТАНИЯ (включает 33 пункта)
В среднем по Сахалинской области - 8247,04 рубля ( 53,58 рубля, рост на 0,7%)  В Южно-Сахалинске - 8115,98 рубля ( 51,46 рубля),  В Корсакове – 8238,31 рубля ( 76,34 рубля),  В Поронайске – 7923,49 рубля ( 10,81 рубля),  В Охе – 9205,75 рубля (90,38 рубля).</t>
  </si>
  <si>
    <t>okaygorod.com</t>
  </si>
  <si>
    <t>14.04.2023 02:33</t>
  </si>
  <si>
    <t xml:space="preserve">В России в аптеке  для детокса можно купить лецитин+ацц или тиосульфат +фламин здоровье +зоостерин 60+если нет камней то тюбаж с сульфат магнием +щетка для Лимфодренажа есть в фикс прайсе,хлорофилл много где можно купить,имбирь тоже ,чеснок тоже много где ,от воспаление в организме тмин семена разжовывать или кыст Аль хинди их во многих местах продают куркума тоже очень где много продают. Для диеты бг бк бс тоже в России очень чего много купить можно,воду можно талую делать или очищать щунгитом или оживлять в глиняном горшочке
_____
Ну второй этап это по дефицитам  как минимум д3,иод,цинк ,железо: д3 -в аптеке детримакс холикальциферол, иод +селен есть в валдберриес с хорошим составом,цинк тоже хелатный на валдберриес есть,железо хелатное тоже есть витамины С тоже видела короче выйти из ситуаций есть много выходов я считаю на сегодняшний день каждая мама должна быть нутрициологом сейчас много где можно уже спокойно учится и на бесплатной основе узнать с чего начинать АБСОЛЮТНО любое лечение</t>
  </si>
  <si>
    <t>Алтынай</t>
  </si>
  <si>
    <t>Dr.Shefova / Доктор Шефова</t>
  </si>
  <si>
    <t>14.04.2023 02:32</t>
  </si>
  <si>
    <t>Ольга Техас</t>
  </si>
  <si>
    <t>14.04.2023 02:27</t>
  </si>
  <si>
    <t xml:space="preserve">В современном мире трудно найти человека, которому не будет полезен список лекарств для первой медицинской помощи.
Текст на изображении: 1. ИБУПРОН СИЛЬНОЕ ОБЕЗБОЛИВАЮЩИЕ БЫСТРО В ВИЛЕ ШИПУЧИХ ШАЛИТ ЖЕЛУАОК, В СВЕЧАХ УАОБЕН АЛЯ 2. КОЛАРЕКС ОТЛИЧНЫЙ СОСУАОСУЖИВАЮЩИЙ ПРЕПАРАТ, БЫСТРО ДЕЙСТВУЕТ, ПОТОМУ ЧТО РАСТВОРЯЮТ В ГОРЯЧЕЙ ВОЛЕ 3. НАзол ИЗБАВЛЯЕТ ОТ НАСМОРКА И НЕ ДАЕТ ПЕРЕСЫХАТЬ СЛИЗИСТОЙ ОБОЛОЧКЕ НОСА, 12 ЧАСОВ. 4. СКОРАЯ ПОМОШЬ, АРИСТВУЕТ БЫСТРО. МАЛЬШЕЙ ЕСТЬ СВЕЧИ, НО СИЛЬНО КАЧЕСТВО КРОВИ, 5. ПАРАИЕТАМОЛ (ПАНАДОЛ, ВЕЛИКОЛЕПНОЕ ЖАРОПОНИЖАЮЩЕЕ, НЕЗАМЕНИМ 6. Полиоксидоний стимУЛИРУЕТ ИММУННУЮ СИСТЕМУ, ЭЖСТРЕННОЙ ПОМОШИ И `АЛЯ ПРОФИЛАКТИКИ ВО ВРЕМЯ ЭПИАЕМИИ 7. ВОССТАНАВЛИВАЕТ ИММУНИТЕТ, РЕКОМЕНАОВАН КАК САМОЕ 8. САНОРИН САМОЕ БЫСТРОЕ СРЕДСТВО ОТ НАСМОРКА ПРОТИВОАЛЛЕРГИЧЕСКИМИ 9. И ПРЕПАРАГ, НО СОЛЕРЖИТ АЛКОГОЛЯ И ВОЛИТЕЛЯМ.; 1. АНАФЕРОН ХОРОШЕЕ ГОМЕОПАТИЧЕСКОЕ СРЕДСТВО АЛЯ ЛЕЧЕНИЯ ВИРУСНЫХ ВЕРХНИХ ДЫХАТЕЛЬНЫХ ПУТЕЙ 2. КОЛУСТАН АЭРОЗОЛЬ, ХОРОШЮ СНИМАЕТ ОТЕКИ ПРИ ВОСПАЛЕНИЯХ. 3. Люголь, РАСТВОРЕННЫЙ В ЛУЧШЕЕ НАРУЖНОЕ СРЕДСТВО ПРИ ЛАРИНГИТЕ 4. ВЫРАЖЕННЫЕ АНТИМИКРОБНЫЕ И ПРОТИВОВОСПАЛИТЕЛЬНЫЕ НЕ НА 5. СинупрЕ ОБЛАДАЕТ АНТИБАКТЕРИАЛЬНЫМ И АНТИОТЕЧНЫМ ДЕЙСТВИЕМ, МОЖЕТ ЕСТЬ В ВИЛЕ КАПЕЛЬ. 6. Тонзимон пРОТИВОВОСПАЛИТЕЛЬНОЕ И ОБЕЗБОЛИБАЮЩЕЕ СРЕАСТВО, СПОСОБСТВУЕТ ОТЕКА СЛИЗИСТОЙ ОБОЛОЧКИ АЫХАЙЛЬНЫХ ПУТЕЙ, 7. ТОНЗИЛОТРЕН ПОВЫШАЕТ АКТИВНОСТЬ СЛИЗИСТОЙ ОБОЛОЧКИ. 8. СОЛЮТАБ ЭФФЕКТИВНЫЙ БЫСТРОРАСТВОРИМЫЙ АНТИБИОТИК ПРИ АНГИНЕ, ПРИМЕНЯЮТ ТАК И АЛЯ ПОЛОСКАНИЯ. 9. СРЕАСТВО, ПРИЯТНОЕ НА ВКУС (РАССАСЫВАЕТСЯ ВО РТУ). НЕ ВДИЯЕТ НА КИШЕЧНУЮ 10. ФАЛИМИНТ СРЕАСТВО ОХЛАЖАЛЮЩИМ ДЕЙСТВИЕМ ДЛЯ ЛЕЧЕНИЯ ЗАБОЛЕВАНИЙ ПОЛОСТИ РТА И ГЛОТКИ.</t>
  </si>
  <si>
    <t>Андрей Кулик</t>
  </si>
  <si>
    <t>Благоево</t>
  </si>
  <si>
    <t>14.04.2023 02:21</t>
  </si>
  <si>
    <t>Полезные советы</t>
  </si>
  <si>
    <t>14.04.2023 02:20</t>
  </si>
  <si>
    <t>Вадим Синявский</t>
  </si>
  <si>
    <t>14.04.2023 02:19</t>
  </si>
  <si>
    <t>Анаферон хороший. я своим его уже не первый год беру. Температура держится недолго, если необходимо - то остальное лечение строго симптоматически. А цитовир я бы больше не брала, понижает давление сильно</t>
  </si>
  <si>
    <t>Лидия Савнихина</t>
  </si>
  <si>
    <t>14.04.2023 02:15</t>
  </si>
  <si>
    <t xml:space="preserve">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ток.Исповедь Фармацевта. Правда о Аптеках, фармакологии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t>
  </si>
  <si>
    <t>Янина Яна</t>
  </si>
  <si>
    <t>Саяногорск</t>
  </si>
  <si>
    <t>[id280533051|Наталья], такая огромная куча.. и виферон вообще вещь ненужная. Мне моя врач объясняла, что он бездейственный (действ. вещество не усваивается через слизистую) Так что я анафероном лечусь давненько уже. пока не встречала более эффективного</t>
  </si>
  <si>
    <t>14.04.2023 02:12</t>
  </si>
  <si>
    <t>[id51090792|Гузель], от свечей виферона кроме сыпи ждать нечего.. я поэтому анафероном лечилась. Назначила врач, сейчас сама им сразу лечусь. Помогает быстрее выздороветь всегда</t>
  </si>
  <si>
    <t>14.04.2023 02:09</t>
  </si>
  <si>
    <t>[id234298235|Наталья], у нас тоже со свечей диарея была и покраснения вокруг. Так что больше никогда не возьму, что это за лечение. Сейчас мы анафероном лечимся, я когда сыну его даю то температура не поднимается, начинает спадать понемногу.</t>
  </si>
  <si>
    <t>14.04.2023 02:07</t>
  </si>
  <si>
    <t>Я-медик</t>
  </si>
  <si>
    <t>14.04.2023 02:06</t>
  </si>
  <si>
    <t>[id184576342|Надежда], что первое. что второе - особо не лечение. Особенно свечи с побочными эффектами. А вообще анаферон можно вместо них, он лучше по эффекту и безопаснее.</t>
  </si>
  <si>
    <t>Станислав Брюханов</t>
  </si>
  <si>
    <t>14.04.2023 02:05</t>
  </si>
  <si>
    <t>Яна Белова</t>
  </si>
  <si>
    <t>14.04.2023 02:01</t>
  </si>
  <si>
    <t>[id71121007|Дарья], еще для профилактики анаферон в капельках хорошо будет. Я его даю курсами перед садом. Деринат тоже у нас был, как-то не замечала эффекта никакого</t>
  </si>
  <si>
    <t>Подслушано мамочки Ногинск Электросталь</t>
  </si>
  <si>
    <t>14.04.2023 01:59</t>
  </si>
  <si>
    <t>[id507605913|Альфия], при орви еще анаферон помогает хорошо. А после гриппферона только промывать и приходится постоянно, он слизистую сильно раздражает</t>
  </si>
  <si>
    <t>Мамы Ульяновска - Ульяновские родители</t>
  </si>
  <si>
    <t>14.04.2023 01:54</t>
  </si>
  <si>
    <t>Виферон я бы не рекомендовала, действующее вещество через слизистую не усваивается, так что эти свечи-просто деньги на ветер. У меня вместо них был анаферон противовирусное, вот он хорошо действует. Назначала врач на 24 неделе</t>
  </si>
  <si>
    <t>Алёна Гарпатова</t>
  </si>
  <si>
    <t>14.04.2023 01:51</t>
  </si>
  <si>
    <t>[id45124993|Юлия], да, мне он тоже бесполезен был. Анаферон выписывали еще, с ним на поправку пошла быстрее</t>
  </si>
  <si>
    <t>14.04.2023 01:49</t>
  </si>
  <si>
    <t>Тоже самое было, я съела зефир новый. Мазала это место Элиделом, 3 дня давала Зиртек по 5 капель, утром Донат пили 5 дней, вставила 2 раза Кипферон, прошло за 1,5 суток</t>
  </si>
  <si>
    <t xml:space="preserve"> -</t>
  </si>
  <si>
    <t>Cardiodok</t>
  </si>
  <si>
    <t>14.04.2023 01:48</t>
  </si>
  <si>
    <t>[id235526759|Дарья], анаферон еще спасает хорошо. Не дает температуре подниматься. Лечилась им вместо гриппферона, а то тот слабоватый какой-то, как водичка</t>
  </si>
  <si>
    <t>14.04.2023 01:46</t>
  </si>
  <si>
    <t>[id163591019|Татьяна], у нас от этих свечей только аллергия была оба раза(( С тех пор беру анаферон. Хоть безопаснее тк не вызывал еще побочных</t>
  </si>
  <si>
    <t>14.04.2023 01:43</t>
  </si>
  <si>
    <t>Сергей Рычков</t>
  </si>
  <si>
    <t>14.04.2023 01:42</t>
  </si>
  <si>
    <t>[id188219630|Анна], гриппферон ничем не поможет тут. Мы пропиваем анаферон по совету педиатра. Хорошо защищает и не дает разболеться. Что младший что старший у меня болеют теперь редко</t>
  </si>
  <si>
    <t>14.04.2023 01:40</t>
  </si>
  <si>
    <t>[id172855667|Алёна], можно, но лучше не нужно. Мне он так слизистую щипал. Анаферон по эффекту мягче и толку побольше в нем, я им долечивалась</t>
  </si>
  <si>
    <t>14.04.2023 01:38</t>
  </si>
  <si>
    <t>[id217763697|Анжелика], не соглашусь тоже. Анаферон и нам отлично помогает, так что тоже с радостью порекомендую. Виферон это деньги в мусор, эффекта нет и ребенок мучается</t>
  </si>
  <si>
    <t>14.04.2023 01:36</t>
  </si>
  <si>
    <t>[id313362653|Ирина], нам наша педиатр говорила что он бесполезный.. Только анаферон для профилактики. В сезоны вирусов хорошо защищает, заметила что сын реже стал заражаться и болеть</t>
  </si>
  <si>
    <t>14.04.2023 01:35</t>
  </si>
  <si>
    <t>14.04.2023 01:34</t>
  </si>
  <si>
    <t>Не даю гриппферон, по эффекту обычная водичка. Для профилактики мы анаферон пропиваем уже два года осенью и весной, болеть реже стали с ним</t>
  </si>
  <si>
    <t>Наталья</t>
  </si>
  <si>
    <t>14.04.2023 01:31</t>
  </si>
  <si>
    <t>Андрей Фирулёв</t>
  </si>
  <si>
    <t>Усть-Кут</t>
  </si>
  <si>
    <t>[id334465968|Екатерина], виферон выписывают по поводу и без)) я уже про эти свечи не слушаю. Мы анаферон берем, гораздо эффективнее</t>
  </si>
  <si>
    <t>ДЕТСКИЕ ПОСОБИЯ (КУРГАНСКАЯ ОБЛАСТЬ) КУРГАН</t>
  </si>
  <si>
    <t>14.04.2023 01:18</t>
  </si>
  <si>
    <t xml:space="preserve">Дешевые аналоги дорогих лекарств, цены достаточно старые, на них не обращайте внимания
Текст на изображении: 1. Нурофен (120руб) Ибупрофен (10руб) 2. Мезим (300руб) Панкреатин (30руб) 3. Но-шпа (150руб) Дротаверина гидрохлорид. (30руб) 4. Панадол(50руб) Парацетамол (5руб) 5. Белосалик (380руб) Акридерм СК (40руб) 6. Бепантен (250руб) Декспантенол 7. Бетасерк(600руб) Бетагистин (250руб) 8. Быструмгель (180руб) Кетопрофен (60руб) 9. Вольтарен (300руб) Диклофенак (40руб) 10. Гастрозол (120руб) Омепразол (50руб) 11. Детралекс (580руб) Венарус (300руб) 12. Дифлюкан (400руб) Флуконазол (30руб) 13. Длянос (100руб) 14. Зантак (280руб) (30руб) 15. Зиртек (220руб етиринакс (80руб) 16. Зовиракс (240руб) Ацикловир (40руб) 17. Иммунал (200руб) Эхинацеи экстракт (50руб) 18. Имодиум (300руб) Лоперамид руб) 19. Йодомарин (220руб) Калия йодид (100руб) 20. Кавинтон (580руб) Винпоцетин(200руб) 21. Кларитин (180руб) Лорагексал (60руб) 22. Клацид (600руб) Кларитромицин (180руб) 23. Лазолван (320руб) Амброксол (20руб) 24. Ламизил (400руб) Тербинафин (100руб) 25. Лиотон-1000 (350руб) 1000 (120руб) 26. Ломилан (150руб) Лорагексал (50руб)</t>
  </si>
  <si>
    <t>Ирина Денисова</t>
  </si>
  <si>
    <t>14.04.2023 01:08</t>
  </si>
  <si>
    <t xml:space="preserve">Вам когда-нибудь назначали арбидол, терафлю или АЦЦ?
Поздравляем, вы стали жертвой системы выкачки денег и здоровья. 70% аптек забиты фуфломицинами, которые уже укоротили вашу жизнь лет на 5.
 — канал об ошибках, которыми вы сами добиваете здоровье. Эти мелочи прибавят вам 10-15 лет к жизни:
• как общаться с врачом, который втюхивает, а не лечит
• почему "норма" о 2-х литрах воды в день — бред
• что 90% медиков умалчивают об антибиотиках
Для тех, кто хочет прожить дольше и здоровее, оставляем ссылку ниже, подписывайтесь на
#Украина #Киев #Харьков #Львов #Одесса #Днепр #война</t>
  </si>
  <si>
    <t>͟͟͟͟͟͟͟͟͟͟͟͟͟͟͟͟.͟͟͟͟</t>
  </si>
  <si>
    <t>14.04.2023 01:03</t>
  </si>
  <si>
    <t>Я так больше не - Настя</t>
  </si>
  <si>
    <t xml:space="preserve">Я так больше не могу. Уже крик души, много переживаний. Полтора года назад рассталась с молодым человеком, когда узнала, что он изменяет и вообще ведёт беспорядочные половые связи. Начала часто болеть. Боялась идти к врачу, сдавать анализы, замкнулась сильно. Начался генитальный герпес. Через некоторое время решила взять себя в руки и пошла к гинекологу. Сдала анализы. По итогу: микроплазма гениталиум, подтвердили герпес 2 типа, папилломы (не плохой такой букетик подарил)
Микроплазму вылечила. По поводу герпеса пошла к иммунологу, назначили валтрек ( до этого пила валацикловир, он не помогал), полиоксидоний, ещё какое-то противовирусное и влок. Рецидивы всегда появляются после менструации. Сразу после лечения обнаружили кисту яичника 6 см, назначили противозачаточные. До кучи ещё и молочница появилась. После лечения герпеса месячных ещё не было из-за гормональных таблеток. Очень боюсь, что снова будут рецидивы
После расставания с тем самым молодым человеком у меня никого не было, очень боюсь к себе подпускать да и в принципе заразить. Сейчас уже пол года общаюсь с мужчиной, есть взаимная симпатия. Но меня капееец как тормозит мое женское здоровье. Я в принципе боюсь об этом говорить с кем-то, но пыталась поднять с ним эту тему, но про себя не говорила. Вот как с такой проблемой теперь строить личную жизнь, создавать семью? Задавала гинекологам вопрос про заражение герпесом. Все в один голос говорят, что передаётся только в рецидивы. В интернете пишут обратное. Знаю что теперь придётся постоянно пользоваться презервативами. Но а если я в будущем захочу ещё ребёнка? Как вообще быть и как жить с этим?</t>
  </si>
  <si>
    <t>Настя</t>
  </si>
  <si>
    <t>14.04.2023 01:00</t>
  </si>
  <si>
    <t>Если есть возможность сходить до аптеки то лучше нурофен. Свечи цефикон, а по идее и виферон можно свечи</t>
  </si>
  <si>
    <t>Общение мам</t>
  </si>
  <si>
    <t xml:space="preserve">Доказательная медицина и Натуропатия
Как говорил Шарик - На вкус и цвет фломастеры разные.
В этом вопросе, каждый выбирает для себя то, что ему ближе, безопаснее, понятнее.
Поделюсь своим мнением на этот вопрос.
Док мед сегодня безусловно проделал колоссальную работу в научных открытиях, разработках лекарств, биопротезировании, методах и способах лечения. Но в какой то момент, что-то пошло не так и не туда. Появилось огромное количество прививок, лекарственных средств буквально от Всего! Врачи стали перестраховываться и выписывать антибактериальные препараты для "профилактики". Противовирусные в рот и в ж... кхм, анус. Спросишь про анализы, они тебе Зачем?
Молодой врач мне с пеной у рта доказывал что Гриппферон спасает от ковида. Пожилой, бывалый врач - прописал антибиотики "ну по рецепту же, бесплатно, для профилактики".
Натуропатия сегодня - Всегда была и будет. Вы же любите говорить "Ну раньше же молоко пили и ничего!". Вот и я говорю: "раньше же травами лечили! и Живы! только по уму надо!" Натуропатия сейчас доступна всем и трубят про нее из каждого утюга. Даже есть линейки трав и бадов для животных. Кушай - не хочу! Таблетки разных форм, цветов и размеров. И состав иногда напоминает ведьмовское зелье. Люди употребляют эти "зелья" , потом попадают на стол к ДокМеду и не факт что выберется живым.
Я определенно За Разумный Симбиоз! Там где не лечит Подорожник - топай к хирургу. Если можно обойтись без антибиотиков - выпей отвар трав. Все в меру! Все в разуме! Все должно быть безопасно. В моей семье 90% натуропатических средств, остальное ДокМед. Признаться, мы вообще перестали болеть, когда перешли на нутрицевтики и стали поддерживать здоровье, а не болезни.
Поэтому, ДокМед или Натуропатия - решать только вам. Ищите информацию в разных источниках, консультируйтесь у специалистов.
PS: во всем есть своя эстетика ❤
#phito_doctor #фито_доктор #введение #натуропатия #докмед #натуропат</t>
  </si>
  <si>
    <t>Фито Доктор</t>
  </si>
  <si>
    <t>Камчатский край</t>
  </si>
  <si>
    <t>Петропавловск-Камчатский</t>
  </si>
  <si>
    <t>14.04.2023 00:59</t>
  </si>
  <si>
    <t>Елена Копытей</t>
  </si>
  <si>
    <t>Римма Васильева</t>
  </si>
  <si>
    <t>14.04.2023 00:58</t>
  </si>
  <si>
    <t>Елена Кузьмина-Старицына</t>
  </si>
  <si>
    <t>Забайкальский край</t>
  </si>
  <si>
    <t>Могоча</t>
  </si>
  <si>
    <t>14.04.2023 00:55</t>
  </si>
  <si>
    <t>Надо срочно выпить Арбидол</t>
  </si>
  <si>
    <t>Доцент Котлет</t>
  </si>
  <si>
    <t>#Пивнойчат</t>
  </si>
  <si>
    <t>14.04.2023 00:47</t>
  </si>
  <si>
    <t>Инна Удодова</t>
  </si>
  <si>
    <t>Ровеньки</t>
  </si>
  <si>
    <t>14.04.2023 00:44</t>
  </si>
  <si>
    <t>Галина Гурова</t>
  </si>
  <si>
    <t>Рязань</t>
  </si>
  <si>
    <t>14.04.2023 00:35</t>
  </si>
  <si>
    <t>Наташа Мартыненко</t>
  </si>
  <si>
    <t>Да должны приносить, как минимум парацетамол+интерферон+арбидол (хотя последний не работает от ковида). Понадобится ли для этого скандал с привлечением заведующего - отдельный вопрос.</t>
  </si>
  <si>
    <t>otvet.mail.ru</t>
  </si>
  <si>
    <t>Сергей Романович</t>
  </si>
  <si>
    <t>Сергей Степанов</t>
  </si>
  <si>
    <t>14.04.2023 00:34</t>
  </si>
  <si>
    <t>Ответ на пост «Чай не подсластить и грипп не вылечить»</t>
  </si>
  <si>
    <t>Да нет никакой подписки. Любой сотрудник завода Фармстандарт расскажет вам, что Арбидол это бесполезная побелка. Тут смысл не в том, что мы с Вами не знаем, что внутри капсулы. Смысл в том, что сам Путин рекомендует закупить Арбидол в воинские части, для лечения солдат от гриппа. Ибо это наш, отечественный препарат. И конечно, воинские части закупают.</t>
  </si>
  <si>
    <t>pikabu.ru</t>
  </si>
  <si>
    <t>Agrocult</t>
  </si>
  <si>
    <t>Senseless1987</t>
  </si>
  <si>
    <t>Тамара Максимова</t>
  </si>
  <si>
    <t>Тверь</t>
  </si>
  <si>
    <t>14.04.2023 00:31</t>
  </si>
  <si>
    <t>А что пизже вообще арбилол или ингавирин?</t>
  </si>
  <si>
    <t>stan.</t>
  </si>
  <si>
    <t>EMOLAND ЧАТ</t>
  </si>
  <si>
    <t>14.04.2023 00:30</t>
  </si>
  <si>
    <t xml:space="preserve">99 САМЫХ ЛУЧШИХ ЛЕКАРСТВ
Иногда бывают случаи, когда важно поскорее начать лечение, но нет возможности идти в больницу...
Для вас шпаргалочка — 99 самых лучших лекарств от разных болезней.
Простуда
1. Ибупрон  сильное обезболивающие средство, быстро действует, в виде шипучих таблеток щадит желудок, а в свечах удобен для малышей.
2. Колдрекс  отличный сосудосуживающий препарат. Быстро действует, потому что его растворяют в горячей воде.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свечи, но сильно ухудшает качество крови.
5. Парацетамол (панадол, эффералган)  великолепное жаропонижающее, незаменим для астматиков.
6. Полиоксидоний  стимулирует иммунную систему, назначают детям, пригоден для экстренной помощи и для профилактики во время эпидемии ОРВИ.
7. Рибомунил  восстанавливает иммунитет, рекомендован детям как самое эффективное средство.
8. Санорин  самое быстрое средство от насморка с противоаллергическими компонентами.
9. ФлуколБ  дешевый и эффективный препарат, но содержит 8% алкоголя и противопоказан водителям.
Печень
1. Антраль  отечественный оригинальный препарат, ему нет аналогов в мире, защищает клетки печени от любой микробной агрессии.
2. Галстена  капли, незаменимое лекарство для маленьких детей.
3. Лиолив  улучшает состояние печени при желтухах (пониженный билирубин).
4. Липоферон  препарат принимают через рот, он дешевле инъекционных интерферонов в 5 раз!
5. Оротат калия  улучшает работу печени, синтез белка, общий обмен веществ.
6. Силимарин-гексал  растительный препарат. В нем содержится намного больше действующего вещества, чем в его аналогах: карсиле, силиборе, гепабене.
7. Холензим  желчегонный недорогой препарат, помогает перевариванию пищи, улучшает выработку ферментов.
8. Холивер  желчегонный препарат растительного происхождения.
9. Хепель  гомеопатическое немецкое средство без побочных действий.
10. Эссенциале  уже 20 лет нет более действенного препарата для лечения печени.
Желудок
1. Альтан  растительный препарат отечественного производства, незаменим при язвенной болезни.
2. Ацидин-пепсин  повышает кислотность в желудке.
3. Гастритол  капли растительного происхождения, хороши для малышей.
4. Мотилиум  нормализует моторику желудка, улучшает продвижение пищи по желудку.
5. Облепиховое масло  уменьшает воспалительные процессы в желудке.
6. Париет  из последнего поколения препаратов, которые хорошо снижают кислотность в желудке.
7. Пилобакт  новейшее средство от хеликобактера.
8. Ренорм  отечественный фитоконцентрат с сильным противовоспалительным действием, нормализует пищеварение.
9. Риабал  хорошо снимает спазмы в желудке, его назначают детям. Есть в виде сиропа и в каплях.
10. Фосфалюгель  хорошо снимает приступы изжоги, менее токсичен, чем аналоги.
Глаза
1. Зовиракс  глазная мазь, незаменима при конъюнктивитах вирусной природы.
2. Квинакс  лучшее профилактическое средство при катаракте.
3. Корнерегель  гель, хорошо восстанавливает слезную пленку на роговице глаза.
4. Ксалаком  в нем соединены два препарата ксалатан и тималол. Они усиливают действие друг друга.
5. Ксалатан (траватан)  эффективен при глаукоме, можно капать один раз в сутки.
6. Систейн  искусственная слеза, преимущество  можно капать раз в сутки.
7. Униклофен  хорошее нестероидное противовоспалительное средство в каплях.
8. Флоксал  капли, антибиотик, действует на широкий спектр микроорганизмов.
9. Флоксаловая мазь  незаменима при бактериальных конъюнктивитах.
10. Циклоксан  сильный антибиотик в каплях, панацея от острых конъюнктивитов.
Уши
1. Амоксицилин  антибиотик, активно борется с основными возбудителями, вызывающими ЛОР-заболевания.
2. Клавициллин-амоксициллин + клавулановая кислота  помимо чувствительных к амоксицилину микроорганизмов, препарат активно действует и на некоторые виды бактерий.
3. Отофа  ушные капли, антибиотик применяют при воспалительных заболеваниях среднего уха.
4. Отипакс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оказывает одновременно обезболивающее, противовоспалительное и жаропонижающее действие.
6. Нокспрей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это цефалоспорины второго и третьего поколения. Их назначают тем, на кого не действует ампициллин.
9. Эдас-125 тонзиллин  гомеопатические капли, назначают детям с 2-х лет при отитах, аденоидах, хроническом тонзиллите с водой или на кусочке сахара.
10. Эритромицин  назначают тем, у кого аллергия на препараты пенициллинового ряда.
Нервы
1. Венлаксор  антидепрессант практически без побочных эффектов, быстро выводит из тяжелой депрессии.
2. Бусперон  сильное противотревожное средство, не создает эффекта заторможенности. Можно применять водителям и студентам перед экзаменом.
3. Гидазепам  мягкое снотворное, не влияет на реакцию водителя. Но к нему можно привыкнуть  больше месяца пить нельзя!
4. Зипрекса  не имеет серьезных побочных действий, оказывает помощь мгновенно.
5. Имован (сонап, сомнол, сонаван)  самые современные снотворные средства.
6. Паксил  антидепрессант, хорошо устраняет панику, страх, навязчивые состояния (фобии), помогает от анорексии, а также побочно удлиняет течение полового акта.
7. Праместар  улучшает память вообще и упрощает запоминание информации.
8. Рисполепт  действует долго, удобен  растворяется во рту как конфета.
9. Сульпирид (эгланил)  одновременно лечит нервы и желудок. Еще плюс: сегодня выпил  сегодня результат.
10. Финлепсин  лечит судороги и невриты, а также стабилизирует настроение.
Почки
1. Аксеф  антибиотик, удобен тем, что можно принимать как таблетки, а можно вводить инъекционно. Он продается поштучно в комплекте с растворителем.
2. Блемарен  самый эффективный растворитель камней в почках.
3. Канефрон  растительный препарат без побочных действий.
4. Мовалис  свечи, негормональное противовоспалительное средство, которое не раздражает слизистую оболочку прямой кишки.
5. Нефрофит  комбинированный фитопрепарат с противовоспалительным и мочегонным действием. Без побочных эффектов, назначают детям с 5 лет и беременным.
6. Офлоксин  не агрессивен для желудка, редко вызывает аллергии.
7. Уросепт  свечи, действуют только на мочевыводящую систему.
8. Уролесан  растительный препарат, хорошо выводит песок из почек, часто назначают детям. Есть в виде сиропа.
9. Флемоклав солютаб  широкий спектр антимикробного действия, рекомендуют ослабленным больным.
10. Цефтриаксон  антибиотик широкого спектра действия с минимумом побочных эффектов, разрешен для применения даже беременным.
Простата
1. Азитрокс  антибиотик, удобен  одна таблетка в неделю.
2. Гатифлоксацин  самый новый антибиотик, быстродействующий.
3. Зоксон  дает минимум побочных эффектов, удобен  одна таблетка на ночь.
4. Пенистен  уменьшает объем простаты, снижет риск развития рака предстательной железы.
5. Простамол УНО  растительный препарат без побочных эффектов.
6. Простатилен (Витапрост)  вытяжка из предстательной железы крупного рогатого скота, биостимулятор.
7. Протефлазид  растительный иммуностимулятор, эффективен при простатите.
8. Фокусин  не снижает артериальное давление.
9. Фунид  противогрибковый препарат последнего поколения.
10. Юнидокс солютаб  антибиотик широкого спектра действия, хорошо проникает в ткань предстательной железы.
Сутсавы
1. Аспирин  незаменим при подагре.
2. Алфлутоп  улучшает обмен крови и активизирует процессы обмена в мышцах.
3. Дона  укрепляет хрящевую ткань.
4. Диклоберл  негормональный противовоспалительный препарат. Применяют в свечах, но можно делать и уколы.
5. Диклофен  меньше других дает побочных эффектов.
6. Диклофенак  эффективный, но влияет на состояние крови.
7. Кетанов  эффективный инъекционный препарат.
8. Олфен  удобен тем, что есть в свечах, не страдает слизистая желудка.
9. Остеогенон  эффективный хондопротектор, избавляет суставы от разболтанности.
10. Ретаболил  улучшает периферическое кровообращение.
Горло
1. Анаферон  хорошее гомеопатическое средство для лечения вирусных инфекций верхних дыхательных путей.
2. Колустан  аэрозоль, хорошо снимает отеки при воспалениях.
3. Люголь, растворенный в глицерине  лучшее наружное средство при ларингите.
4. ПропосолН  имеет выраженные антимикробные и противовоспалительные свойства, не оказывает раздражающего действия на организм.
5. Синупрет  обладает антибактериальным и антиотечным действием, может назначаться детям  есть в виде капель.
6. Тонзилгон  противовоспалительное и обезболивающее средство, способствует уменьшению отека слизистой оболочки дыхательных путей.
7. Тонзилотрен  повышает активность слизистой оболочки.
8. Флемоксин солютаб  эффективный быстрорастворимый антибиотик при гнойной ангине, применяют как вовнутрь, так и для полоскания.
9. Фарингосепт  антисептическое средство, приятное на вкус (рассасывается во рту). Не влияет на кишечную микрофлору.
10. Фалиминт  средство с охлаждающим действием для лечения заболеваний полости рта и глотки. Незаменим накануне операций, при протезировании зубов и для лекторов.
Перед применением обязательно проконсультируйтесь с врачом, некоторые лекарства имеют противопоказания и могут навредить вашему здоровью!</t>
  </si>
  <si>
    <t>Клуб здоровья</t>
  </si>
  <si>
    <t>14.04.2023 00:28</t>
  </si>
  <si>
    <t>Таня Сорокина</t>
  </si>
  <si>
    <t>14.04.2023 00:26</t>
  </si>
  <si>
    <t>Татьяна Веревкина(Вострикова)</t>
  </si>
  <si>
    <t>14.04.2023 00:25</t>
  </si>
  <si>
    <t xml:space="preserve">[id3314745|Артем], нет, не фотографировались.
Виферон вставляли?)</t>
  </si>
  <si>
    <t>Дейенерис Таргариен</t>
  </si>
  <si>
    <t>Высшая школа семейных отношений</t>
  </si>
  <si>
    <t>14.04.2023 00:21</t>
  </si>
  <si>
    <t>Нина Уколова (Савина)</t>
  </si>
  <si>
    <t>Лозовое</t>
  </si>
  <si>
    <t>14.04.2023 00:16</t>
  </si>
  <si>
    <t xml:space="preserve">Сoхpaни, чтoбы не пoтеpять! Ηужныe мeдицинcкиe пpeпapaты нa вce cлучaи жизни
Текст на изображении: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наружное средство при ларингите.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 ПРОСТУДА Ибупрофен сильное обезболивающее средство, быстро действует, в виде шипучих таблеток щадит желудок, в свечах удобен для малышей. Колдрекс отличный сосудосуживающий препарат. Назол избавляет от насморка и не дает пересыхать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насморка противоаллергическими компонентами.</t>
  </si>
  <si>
    <t>Лидия Филимонова(Ковальская)</t>
  </si>
  <si>
    <t>Льгов</t>
  </si>
  <si>
    <t>14.04.2023 00:12</t>
  </si>
  <si>
    <t>Алла Анисимова</t>
  </si>
  <si>
    <t>14.04.2023 00:10</t>
  </si>
  <si>
    <t xml:space="preserve">Bот как надо общаться в аптеке! Важно знать каждому!
Итак, подошла моя очередь. — Что вы мне посоветуете от кашля?
— Колдрекс, леденцы, пастилки, антибиотики.
Итого 600—1500 руб. Спорить с провизором не посчитала нужным, это их работа, но решила устроить небольшой спектакль.
Итак, подошла моя очередь.
— Что вы мне посоветуете от кашля?
— Леденцы «…»
— Сколько стоят?
— 300 рублей
— Сколько? Говорите громче, пожалуйста, я плохо слышу!
— 300 рублей!
— А у вас есть Мукалтин?
— Да.
— Сколько стоит?
— 5 рублей
— Громче, я плохо слышу!
— 5 рублей!
Эхо разнесло весть по всей аптеке. Очередь насторожилась, всё внимание с витрин перенеслось на нас с провизором.
— А есть трава термопсиса с содой 7, их раньше копеечными таблетками называли?
— Есть.
— Сколько?
— 1 рубль.
— Уточните!
— 1 рубль!
Градус беседы повышался, провизор всё распалялась, и зрители начинали роптать.
— Микстура Пертуссин?
— Есть!
— Сколько?
— 4—50
— Мази Прополиса?
— 12 рублей, но она гомеопатическая
— Отлично!
— Шрот расторопши пятнистой?
— 8 рублей
— Масло расторопши?
— 12 рублей
В итоге я заказала:
Термопсиса 3х10 таблеток = 3 рубля Мукалтин 2 уп.Х10 таблеток = 10 рублей мазь Прополиса 1 туб=12 р. Пертуссин 1 пузырёк = 4—50 шрот расторопши 1 пакет = 8 руб
(сейчас цены стали чуть выше)
— Сколько за всё?
— 37 с половиной
— 37.50 — это температура или цeна?
Говоритe гpомчe, пожалуйcта!
— Тридцaть семь рублей пятьдеcят копеек, — забила гвозди провизор. Лицо было бордово каменным.
— Cпаcибо, — тихо ответила я.
Пeрвoй не выдержала женщина с ребeнком:
— Это всe от кашля? Можно записать назвaния? Почему так дёшево?
— Эти лeкaрства вcегда стоили дёшево и нас ими лечили в детстве и рoдители нaши лeчились!
— А почемy тогда их нет на витрине?
— Это не выгoдно aптекарю, за них ему не дoплачивают фaрмацевтичeские кaмпании.
Для справки:
Многие дорогостоящие лекарственные препараты имеют более дешевый аналог с идентичным составом. Запишите себе их названия, если не хотите «работать на аптеку».
Нурофен (120руб) и Ибупрофен (10руб)
Мезим (300руб) и Панкреатин (30руб)
Но-шпа (150руб) и Дротаверина гидрохлорид (30руб)
Панадол (50руб) и Парацетамол (5руб)
Белосалик (380руб) и Акридерм СК (40руб)
Бепантeн (250руб) и Декспантенол (100руб)
Бетасeрк (600руб) и Бетагистин (250руб)
Быстрyмгель (180руб) и Кетопрофен (60руб)
Bольтaрен (300руб) и Диклофенак (40руб)
Гaстрозол (120руб) и Омепразол (50руб)
Детралекс (580руб) и Венарус (300руб)
Дифлюкан (400руб) и Флуконазол (30руб)
Длянос (100руб) и Риностоп(30руб)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Мидриацил (360руб) и Тропикамид (120руб)
Мирамистин (200руб) и Хлоргексидин (10руб)
Мовалис (410руб) и Мелоксикам (80руб)
Нейромультивит (250руб) и Пентовит (50руб)
Нормодипин (620руб) и Амлодипин (40руб)
Омез (180руб) и Омепразол (50руб)
Панангин (140руб) и Аспаркам (10руб)
Пантогам (350руб) и Пантокальцин (230руб)
Ринонорм (50руб) и Риностоп (20руб)
Сумамед (450руб) и Азитромицин (90руб)
Трентал (200руб) и Пентоксифиллин (50руб)
Трихопол (90руб) и Метронидазол (10руб)
Трокcевазин (220руб) и Троксерутин (110руб)
Ультoп (270руб) и Омепразол (50руб)
Фаcтум—гель (250руб) и Кетопрофен (70руб)
Финлeпсин (280руб) и Карбамазепин (50руб)
Флюкостат (200руб) и Флуконазол (20руб)
Фyрамаг (380руб) и Фурагин (40руб)
Хeмомицин (300руб) и Азитромицин (100руб)
Энап (150руб) и Эналаприл (70руб)
Эpсефурил (400руб) и Фуразолидон (40руб)
Подeлитеcь этим материaлом со cвоими дpузьями, пожaлуйста, как нам кажeтся, им будeт тоже интeрeсно узнать что-то новое о мирe вoкруг нас.</t>
  </si>
  <si>
    <t>Тамара Шевцова (Моисеенко)</t>
  </si>
  <si>
    <t>14.04.2023 00:09</t>
  </si>
  <si>
    <t>ирина махова(шкирмина)</t>
  </si>
  <si>
    <t>14.04.2023 00:07</t>
  </si>
  <si>
    <t xml:space="preserve">☝ Пoлезнaя пaмяткa aт ЛОPА. Лeчим насмоpк!
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изофра, мирамистин, полидекс и</t>
  </si>
  <si>
    <t>Светлана Саталкина( Бахмат )</t>
  </si>
  <si>
    <t>Рудня</t>
  </si>
  <si>
    <t>14.04.2023 00:06</t>
  </si>
  <si>
    <t>Елена Пронина(шишулина)</t>
  </si>
  <si>
    <t>14.04.2023 00:00</t>
  </si>
  <si>
    <t>Счастливая мама</t>
  </si>
  <si>
    <t xml:space="preserve">Эээ
А зачем вы купили Ренгалин?</t>
  </si>
  <si>
    <t>Татьяна Тихонова</t>
  </si>
  <si>
    <t>Максим Шахторин (id 36868)</t>
  </si>
  <si>
    <t xml:space="preserve">1. Актовегин, Церебролизин, Солкосерил – препараты с доказанной неэффективностью!
2. Арбидол, Анаферон, Биопарокс, Виферон, Полиоксидоний, Циклоферон, Эрсефурил, Имуномакс, Ликопид, Изопринозин, Примадофилюс, Энгистол, Имудон — иммуномодуляторы с недоказанной эффективностью. Стоят дорого. Проведенные исследования не дают оснований рассматривать арбидол как препарат с доказанной в испытаниях активностью для лечения простудных заболеваний, в том числе гриппа. Исследователей из-за рубежа по-настоящему этот препарат не заинтересовал.
3. Бифидобактерин, Бифиформ, Линекс, Хилак Форте, Примадофилус и т. д. — все пробиотики. Диагноза “дисбактериоз", повально выставляемый нашими педиатрами, нигде в мире больше не существует. К назначению пребиотиков в развитых странах относятся с осторожностью.
4. Валидол. Мятная конфетка, имеющая отдалённое отношение к медицине. Неплохо освежает дыхание. Почувствовав боли в сердце, человек кладёт под язык валидол вместо обязательного в таких ситуациях нитроглицерина и уезжает с инфарктом в больницу.
5. Винпоцетин и Кaвинтон. Сегодня к применению не рекомендуется: ни одно доброкачественное исследование клинически значимых эффектов у него не выявило. Это вещество, получаемое из листьев растения Vinca minor. Препарат мало изучен. Посему в США и многих других странах относится к БАД, а не к лекарствам. $;15 баночка на месяц приема. В Японии изъят из продажи из-за явной неэффективности.
6. Ноотропил, Пирацетам, Фезам, Аминалон, Фенибут, Пантогам, Пикамилон, Инстенон, Милдронат, Циннаризин, Мексидол — плацебо-препараты.
7. Вобензим. Производители уверяют, что он исцеляет, продлевает жизнь и молодость. Не стоит верить в сказку о чудодейственном препарате, который не тестировался в экспериментальных исследованиях только потому, что это дорого. Фармкомпании вкладывают сотни миллионов долларов в испытания препарата, даже если есть небольшая надежда, что удастся доказать его эффективность. Остаётся только догадываться, почему эти исследования в отношении вобензима не сделаны до сих пор. Зато большие средства вкладываются в его рекламу.
8. Глицин (аминокислота)Тенатен, Энерион, препараты зверобоя, Гриппол, Полиоксидоний - препараты с недоказанной эффективностью.
9. Эреспал. Препарат не доказавший свою эффективность при ОРВИ. Эреспал в сиропе противопоказан пациентам с бронхиальной астмой и аллергией. Из-за содержащихся в нем красителей и медового ароматизатора сам по себе может спровоцировать бронхоспазм.
10. Геделикс. Эффективность при ОРВИ у детей, да и у взрослых, не доказана.
11. Диоксидин. Противопоказан детям из-за высокой токсичности. Крайне осторожно назначать взрослым при заболевание носа и околоносовых пазух. При заболевании ушей -с осторожностью при повреждениях барабанной перепонке.
12. Биопарокс, Кудесан. Не проводилось крупных исследований, все статьи на Pubmed, в основном, российского происхождения. «Исследования» проводились в основном на мышах.
Информация предоставлена в ознакомительных целях.
Перед применением любых советов, рецептов или средств народной медицины, обязательно получите консультацию врача.
САМОЛЕЧЕНИЕ МОЖЕТ БЫТЬ ВРЕДНЫМ ДЛЯ ВАШЕГО ЗДОРОВЬЯ!</t>
  </si>
  <si>
    <t>Мы - поколение ЗОЖ. Здоровым быть модно!</t>
  </si>
  <si>
    <t>13.04.2023 23:58</t>
  </si>
  <si>
    <t>Надежда Захарова</t>
  </si>
  <si>
    <t>Елена Пильщикова (Бондаренко)</t>
  </si>
  <si>
    <t>Валуйки</t>
  </si>
  <si>
    <t xml:space="preserve">❗️Очень интересная информация про герпес.
вирусы, к которым относятся два типа простого вируса герпеса (ВПГ-1 и ВПГ −2), цитомегаловирус, а также возбудители ветрянки, опоясывающего лишая, мононуклеоза и синдрома хронической усталости (СХУ) — гораздо большая угроза, чем привыкли думать многие из нас.
На вопросы отвечает к.м.н. член правления Иркутской региональной ассоциации инфекционистов Кушеверская М. Ю.
Многие думают о герпесе лишь как о «простуде на губах» …
Это не так, герпес является системным заболеванием всего организма, при котором могут поражаться очень многие органы и даже системы органов. У ряда больных герпес приобретает столь упорное течение и с такими частыми и тяжелыми обострениями, что их жизнь превращается в ад.
Нередко вирус вроде никак не проявляет себя, но из-за его влияния на организм женщина не может стать матерью. Бесплодие и привычные выкидыши — типичные проблемы, связанные с возбудителем герпеса и его ближайшим родственником — цитомегаловирусом (ЦМВ).
? Вирус герпеса подозревают еще и в том, что он способствует развитию злокачественных опухолей?
Кушеверская М. Ю.: Есть два типа вируса простого герпеса — ВПГ-1 и ВПГ-2. С вирусом второго типа связывают развитие рака шейки матки у женщин, и рака простаты у мужчин. Возникнуть они могут у тех, кто долго страдает генитальным герпесом и не лечится. К тому же нужно чтобы к возбудителю герпеса присоединился вирус папилломы человека (ВПЧ). Он тоже может передаваться половым путем, как герпес и цитомегаловирусная инфекция.
?.Кстати, именно сейчас в США правительство рассматривает новое предупреждение для презервативов. На их упаковках будут писать, что они защищают не от всех болезней, передаваемых половым путем. И в первую очередь они не предупреждают заражения вирусом папилломы. Защищают ли они от герпеса?
Кушеверская М. Ю.: Презервативы действительно не всегда защищают от ВПЧ, но они являются единственной защитой при очень многих заболеваниях, передаваемых половым путем. И переоценить их роль в этом трудно. Так что при герпесе игнорировать презервативы не стоит.
? Говоря образно, вирус герпеса часто бывает очень откровенным — «лихорадку на губах» трудно спрятать от посторонних глаз. Но иногда он становится весьма скрытным. Как заподозрить его присутствие в организме в таком случае?
Кушеверская М. Ю.: Вирус герпеса присутствует в организме человека чаще, чем мы думаем. ВПГ первого типа есть в организме почти у 95% людей. ВПГ-2 встречается реже — он есть примерно у половины людей, активно меняющих своих сексуальных партнеров. Не менее 50% взрослых являются носителями цитомегаловируса. И большинство обладателей таких вирусов, даже не догадываются о том, что они носят их в себе — они чувствуют себя здоровыми, так как в их организме эти вирусы находятся под «надзором» иммунной системы, которая не дает им размножаться и вредить здоровью.
Но вот если к нам обращается пара, которая никак не может обзавестись ребенком, то у них надо обязательно исключать герпес или цитомегаловирусную инфекцию. Более того, согласно новым зарубежным научным данным, ДЦП (детский церебральный паралич) вовсе не является результатом ошибки акушера, как считали раньше, а возникает вследствие наличия в организме матери цитомегаловирусной инфекции (65% случаев) или ВПГ-2 (34% случаев) средней и высокой плотности. Есть данные, что по этим же причинам возникает детский аутизм.
Раньше врачи в основном обращали внимание на состояние здоровья женщины: считалось, что именно ее вирусы мешают зачатию или развитию плода. Но оказалось, что примерно в 25-30% случаев в проблеме бесплодия виноваты мужчины.
Мы все чаще обнаруживаем вирус герпеса или цитомегаловирус в мужских половых клетках, когда признаков поражения половых органов нет. По сути, речь идет о болезни самого сперматозоида: в его генетическую программу «встраиваются» гены вирусов, и они могут повредить развитию зародыша. К сожалению, многие такие случаи остаются невыясненными. Мужчины обычно обращаются к урологам, а те крайне редко проводят вирусологическое исследование спермы.
Проблема «скрытного» выделения вирусов герпеса и цитомегаловирусов очень серьезна. Их выявляют у 40–60 процентов людей, инфицированных вирусами герпеса и не имеющих никаких признаков болезни. Естественно, они легко заражают вирусами своих партнеров по сексу
? Почему вирусы у одних ведут себя активно, а у других «спят»?
Кушеверская М. Ю.: Если в организме есть вирус герпеса, то в любое время он может активироваться и показать себя во всей красе — лихорадкой на губах, высыпаниями на коже или слизистых Факторы, способствующие активности вирусов многочисленны.
К их числу относят переохлаждение, долгое нахождение на солнце, алкоголь, погрешности в диете, гормональные циклы, но чаще всего его провоцирует на активизацию проникновение в организм и развитие других вирусных инфекций, которые, временно ослабляя иммунную систему, расчищают для него дорогу.
? Передача вируса будущему ребенку с половыми клетками отца понятна. А как он заражается от матери?
Кушеверская М. Ю.: Здесь возможны два способа. Через плаценту, когда плод находится еще в утробе, или контактным путем во время родов, когда у матери бывает обострение генитального герпеса.
В последнем случае вирус проникает в организм ребенка, и может развиться герпес новорожденного с поражением нервной системы и внутренних органов. Такая болезнь обычно заканчивается гибелью младенца, а выжившие - в 85% случаев остаются инвалидами. Мы рекомендуем молодым парам, планирующим завести ребенка, пройти обследование на инфекции. Это поможет выявить скрытое течение герпеса, цитомегаловирусной или какой-либо другой инфекции, которая может осложнить беременность.
? Какие еще заболевания, кроме уже названных, вызывает вирус герпеса?
Кушеверская М. Ю.: Воспаление полости рта (стоматит) и десен (гингивит).
Поражение кожи и слизистых оболочек (герпес лица, губ, генитальный герпес и пр.).
Поражение роговицы и других структур глаза, неврит зрительного нерва.
Герпетическая ангина, воспаление глотки, голосовых связок, поражения уха, вестибулярные расстройства.
Герпетические бронхит и пневмония (воспаление легких).
Поражение сердца (миокардит, миокардиопатия). ВПГ участвует в процессах, приводящих к атеросклерозу.
Болезни пищеварительной системы (гепатит, воспаление подвздошной, толстой и прямой кишки).
Воспаление головного мозга (энцефалит), околопозвоночных нервных узлов (симпатоганглионеврит) и поражение нервных сплетений.
Поражение лимфатических узлов.
? Какие достигнуты успехи в лечении герпеса?
Кушеверская М. Ю.: Смотря о каком лечении идет речь. Герпесвирусы гнездятся глубоко внутри клетки, куда не способны проникнуть никакие лекарства. В принципе, нормально работающая иммунная система должна сама распознавать вирусы, формировать специфический иммунный ответ и сбрасывать инфекцию, или по крайней мере брать под постоянный контроль. Но, многие вирусы, в том числе и герпесвирусы, научились уходить из под иммунного надзора, маскируясь различными способами. Иммунная система их просто «не видит».
Поэтому, долгое время, общепринятыми считались такие подходы к лечению:
А) введение препаратов, которые искусственно стимулируют иммунную систему на активную выработку собственных интерферонов (неовир, амиксин, циклоферон).
Б) искусственное введение интерферонов в организм извне (виферон и др.) Другими словами — либо подстегивание иммунной системы, — либо действие за нее.
В) ведение препаратов, встраивающихся в ДНК вируса и препятствующих его размножению (Ацикловир, Зовиракс, Валтрекс, Фамвир)
Противовирусные препараты нужно принимать долго — месяцами и годами (на Западе ими так и лечатся). Пока принимаешь препарат, он угнетает вирус, прекратил — возбудитель герпеса может снова активироваться и вызвать обострение. Результат временный, а лечение — дорогое.
? Наши больные так долго лечиться не будут. Противовирусные препараты дороги. В отличие от Запада, где стоимость лечения компенсируют за счет страховки, наши пациенты платят за них сами.
Кушеверская М. Ю.: Так и есть. Но, в данном случае, не стоит завидовать Западу. Дело в том, что вирус очень быстро мутирует и приспосабливается. Его постоянное искусственное угнетение, практикуемое за рубежом, ведет лишь к появлению все более сильных и опасных типов вируса, для лечения которых приходится создавать все более дорогие и, главное, опасные для здоровья препараты. Это замкнутый порочный круг!
Чем меньше лечишь подобными методами — тем лучше. То обстоятельство, что большинству россиян такое лечение не по карману, в данном случае скорее благо. В России есть свои варианты лечения.
Они, конечно, более скромные (амиксин, циклоферон, неовир, иммунофан), но результат примерно тот же: временное подавление вируса и удлинение ремиссии. По крайней мере, бесплодные семьи получают возможность (не без риска) иметь ребенка, а больные с тяжелым течением герпеса — начинают жить более комфортно: обострения становятся реже и слабее. Но, по большому счету, все это временные, вынужденные меры и каждый врач это понимает.
Кстати, именно среди врачей герпетические инфекции особенно распространены. Это обусловлено, с одной стороны, большим числом контактов врача с носителями инфекций, так и с другой — работой врачей «на износ» с большим количеством стрессов, вызывающих иммунопатологии.
? Есть ли другие возможности лечения герпесвирусов?
Кушеверская М. Ю.: Да! Наконец-то мы можем с удовлетворением констатировать, что такой метод появился. Речь идет о методе иммунореабилитации с б МЗ РФ в 2004 году.
Суть этого метода заключается в снабжении иммунной системы качественной иммунной информацией,  которые могут быть предварительно иммунизированы и уже будут обладать необходимым иммунным опытом для борьбы с герпесвирусными инфекциями.
Получив такую информацию, иммунная система как бы «прозревает». Она начинает различать вирусы и формировать иммунный ответ. Она сама вырабатывает интерфероны в необходимом количестве, сама решает вопрос о разрушении ДНК вирусов и, главное, запоминает все этапы своей борьбы с инфекцией, чтобы в следующий раз быть хорошо готовой к встрече с ней.
Конечно, борьба иммунной системы с хронической вирусной инфекцией происходит не мгновенно. Понадобится несколько месяцев, прежде чем иммунная система «разгребет» эти многолетние «завалы», но результат будет совсем другой! Нам не надо будет более действовать за иммунную систему — все встанет на свои места и будет происходить так, как заложено природой. Очевидно, что это и есть настоящее лечение.</t>
  </si>
  <si>
    <t>Любовь Вольковна Терзова</t>
  </si>
  <si>
    <t>13.04.2023 23:56</t>
  </si>
  <si>
    <t>Татьяна Новикова</t>
  </si>
  <si>
    <t xml:space="preserve">Недавно вызывали на дом лора и она провела краткий курс по видам средств от насморка. Мы оказывается вообще не правильно лечились раньше. Поэтому оставляю памятку,  может кому полезно будет. Не забудьте проконсультироваться с врачом.  Так кажется надо писать в этом случае.
Мирамистин не антибиотик, но от зелёных соплей очень эффективен!
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изофра, мирамистин, полидекс и</t>
  </si>
  <si>
    <t>Любовь Седых (Шаповалова)</t>
  </si>
  <si>
    <t>Губкин</t>
  </si>
  <si>
    <t>13.04.2023 23:49</t>
  </si>
  <si>
    <t>Ольга Усенко(Козлова)</t>
  </si>
  <si>
    <t>13.04.2023 23:48</t>
  </si>
  <si>
    <t>Чай не подсластить и грипп не вылечить</t>
  </si>
  <si>
    <t>кагоцел например, иммуномодулятор, стимулирует выработку интерферонов, усиливая имунный ответ, неплохая штука на самом деле, но побочки лютые, если дозировку не соблюдать =)</t>
  </si>
  <si>
    <t>pashu861986</t>
  </si>
  <si>
    <t>TweekNyan</t>
  </si>
  <si>
    <t>13.04.2023 23:47</t>
  </si>
  <si>
    <t xml:space="preserve">Сoхpaни, чтoбы нe пoтepять!
Нужные медицинcкие пpепapaты нa вcе cлучaи жизни
Текст на изображении: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 ПРОСТУДА Ибупрофен сильное обезболивающее средство, быстро действует, в виде шипучих таблеток щадит желудок, в свечах удобен для малышей. Колдрекс отличный сосудосуживающий препарат. Назол избавляет от насморка и не дает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насморка противоаллергическими компонентами.</t>
  </si>
  <si>
    <t>Тамара Лещенко(Гуряева)</t>
  </si>
  <si>
    <t>Угловое</t>
  </si>
  <si>
    <t>Любовь Кузнецова</t>
  </si>
  <si>
    <t>Оксовский</t>
  </si>
  <si>
    <t>13.04.2023 23:42</t>
  </si>
  <si>
    <t>ЕЛЕНА ЛЕВОЧКО (БЕЖКО)</t>
  </si>
  <si>
    <t>Павловский</t>
  </si>
  <si>
    <t>13.04.2023 23:38</t>
  </si>
  <si>
    <t xml:space="preserve">Мне тоже нравится эффект от Анаферона, не зря его народ так хвалит. По крайней мере, за свои деньги это лучшее средство,
которое сполна отрабатывает каждую потраченную на него копейку.
Ни побочных эффектов, ни каких-то противопоказаний у нас ни у кого дома не было, хотя лечимся получается сразу тремя поколениями - мои родители, мы сами и дети. Детям конечно анаферон даем в специальной детской форме, им тоже это средство дает отличный эффект.
А у взрослых мне нравится, что анаферон можно принимать даже при наличии каких-то хронических заболеваний, когда другие лекарства могут дать нежелательные последствия.   Достоинства: Легко принимать, безопасный, недорогой Недостатки: Нет
Видео обзор Все(5)  АНАФЕРОН ТАБЛЕТКА, КАТТАЛАР УЧУН, БОЛАЛАР УЧУН, ЧАҚАЛРҚЛАР УЧУНФарзандингиз шамоллашини хохламайсизми Анаферон табеткаси.Анаферон (таблетки): Инструкция по применениюАнаферон и Эргоферон – деньги на ветер. © Шилова НаталияАнаферон Эмний тухай   
Стоимость: 400 руб. Общее впечатление: Противовирусное средство  Моя оценка:    5  Рекомендую друзьям: Да</t>
  </si>
  <si>
    <t>otzyvy.pro</t>
  </si>
  <si>
    <t>krita</t>
  </si>
  <si>
    <t>13.04.2023 23:35</t>
  </si>
  <si>
    <t xml:space="preserve">В саду дети часто болеют.но после сала промывать нос можно+ соляные пещеры.это всё хорошо способствует оздоровлению организма ( меньше и легче болеть).постуральный массаж Выводит мокроту и при кашле без температуры помогает.
Если уж совсем тяжело и часто болеют бронхо мунал 10дней пить натощак утром/10 дней перерыв за 30-60 мин до еды 3 курса.( Часто и тяжело болеющим детям назначают часто иммунномодулятор)</t>
  </si>
  <si>
    <t>13.04.2023 23:31</t>
  </si>
  <si>
    <t xml:space="preserve">Фуфломицины — не доказано
Своим пациентам я не назначаю препараты с недоказанной эффективностью.
Как минимум — это трата ваших кровных заработанных на бесполезные пустышки, а как максимум — некоторые препараты ещё и наносят вред организму.
Сегодня разберём АРБИДОЛ.
Это якобы противовирусный препарат. Думаю, многие из вас слышали про него, а может и сами пили.
Несмотря на заявление производителя, Арбидол не имеет доказанной эффективности. Его нет в рекомендациях ВОЗ по лечению гриппа. Большинство исследований препарата на русском языке, что мешает провести мета-анализ независимым источником.
Если же вам вдруг помог при простуде этот препарат и вы выздоровели за неделю, то в следующий раз попробуйте без него и поправитесь за 7 дней :)
Здесь работает максимум эффект плацебо.
С таким же эффектом лучше принимайте Vit D, думая об излечении простуды. Но здесь хотя бы ещё действительный положительный эффект на организм :)</t>
  </si>
  <si>
    <t>Врач будущего</t>
  </si>
  <si>
    <t>13.04.2023 23:27</t>
  </si>
  <si>
    <t>[id133256698|Сергей-Настя], в гриппфероне мало интерферона, поэтому в нем нет смысла.</t>
  </si>
  <si>
    <t>Ольга Осипова</t>
  </si>
  <si>
    <t>13.04.2023 23:26</t>
  </si>
  <si>
    <t>Ирина Кудрявцева</t>
  </si>
  <si>
    <t>Люберцы</t>
  </si>
  <si>
    <t>13.04.2023 23:24</t>
  </si>
  <si>
    <t>Светлана Баранова</t>
  </si>
  <si>
    <t>Наталья Телевко</t>
  </si>
  <si>
    <t>Шимск</t>
  </si>
  <si>
    <t>13.04.2023 23:22</t>
  </si>
  <si>
    <t>Простое правило: всё, что не имеет клинических исследований и не подтверждено документально — враньё/маркетинг/набивают цену и т.п. В крайнем случае эффект плацебо)  Это как с Арбидолом - противовирусный препарат и бла-бла-бла. Эффективность НИОДНОГО противовирусного…</t>
  </si>
  <si>
    <t>Mish Bak</t>
  </si>
  <si>
    <t>Taobao/Таобао/1688/Alipay Chat @galinaADM</t>
  </si>
  <si>
    <t xml:space="preserve">Простое правило: всё, что не имеет клинических исследований и не подтверждено документально — враньё/маркетинг/набивают цену и т.п. В крайнем случае эффект плацебо)
Это как с Арбидолом - противовирусный препарат и бла-бла-бла. Эффективность НИОДНОГО противовирусного препарата не доказана научными/клиническими методами. А значит они НЕЭФФЕКТИВНЫ </t>
  </si>
  <si>
    <t>13.04.2023 23:18</t>
  </si>
  <si>
    <t>Анатолий Курлов</t>
  </si>
  <si>
    <t>Тутаев</t>
  </si>
  <si>
    <t>13.04.2023 23:16</t>
  </si>
  <si>
    <t>ЛЮДМИЛА Мишина</t>
  </si>
  <si>
    <t>Брянская область</t>
  </si>
  <si>
    <t>Брянск</t>
  </si>
  <si>
    <t>Светлана Лаукант (Мамонова)</t>
  </si>
  <si>
    <t>Лобня</t>
  </si>
  <si>
    <t>13.04.2023 23:15</t>
  </si>
  <si>
    <t>Галя Королева</t>
  </si>
  <si>
    <t>Надежда Бондарева (Сергиенко)</t>
  </si>
  <si>
    <t>Фролово</t>
  </si>
  <si>
    <t>13.04.2023 23:08</t>
  </si>
  <si>
    <t>мы болели всей семьёй, пили усиленно витамины Д, С и омега 3, ставили виферон свечи. жаропонижающее и от кашля мукалтин.</t>
  </si>
  <si>
    <t>13.04.2023 23:05</t>
  </si>
  <si>
    <t>[id143720076|Рома], я же говорила, что википедия так себе источник. Читайте первоисточники. Арбидол входит в официальные рекомендации по лечению коронавирусной инфекции в Китае. Могу ссылку поискать завтра.</t>
  </si>
  <si>
    <t>Елена Онищук</t>
  </si>
  <si>
    <t>LIBERTY | PEOPLE</t>
  </si>
  <si>
    <t>13.04.2023 23:01</t>
  </si>
  <si>
    <t xml:space="preserve">#Умные#и#Красивые#
СΠΡΑΒОЧΗИΚ СΑΜЫΧ ΗΕОƂΧОДИΜЫΧ ЛΕΚΑΡСΤΒ
Τеперь быть здᴏрᴏвыʍ еще прᴏще!
Текст на изображении: ПРОСТУДА 1. АРБИДОЛ ПОВЫШАЕТ ПРОТИВОВИРУСНУЮ АКТИВНОСТЬ ВСЕХ СИСТЕМ 2. СИЛЬНОЕ ОБЕЗБОЛИВАЮЩИЕ СРЕДСТВО, БЫСТРО ДЕЙСТВУЕТ, В ВИДЕ ШИПУЧИХ ТАБЛЕТОК. ЖЕЛУДОК, В СВЕЧАХ УДОБЕН ДЛЯ МАЛЫШЕЙ. 3. ОТЛИЧНЫЙ СОСУДОСУЖИВАЮЩИЙ ПРЕПАРАТ. БЫСТРО ДЕЙСТВУЕТ, ПОТОМУ ЧТО ЕГО. `РАСТВОРЯЮТ В ГОРЯЧЕЙ ВОДЕ. 4. НАЗОЛ ИЗБАВЛЯЕТ ОТ НАСМОРКА И НЕ ДАЕТ ПЕРЕСЫХАТЬ СЛИЗИСТОЙ ОБОЛОЧКЕ НОСА, ДЕЙСТВУЕТ 12 часов. 5. НУРОФЕН СКОРАЯ ПОМОЩЬ, ДЕЙСТВУЕТ БЫСТРО. ДЛЯ ЕСТЬ СВЕЧИ, НО СИЛЬНО 6. (ПАНАДОЛ, ЭФФЕРАЛГАН] ВЕЛИКОЛЕПНОЕ ЖАРОПОНИЖАЮЩЕЕ, НЕЗАМЕНИМ ДЛЯ. 7. Полиоксидоний стИМУЛИРУЕТ ИММУННУЮ СИСТЕМУ, НАЗНАЧАЮТ ДЕТЯМ, ПРИГОДЕН ДЛЯ ЭКС- ТРЕННОЙ ПОМОЩИ И ДЛЯ ПРОФИЛАКТИКИ ВО ВРЕМЯ ОРВИ. 8. РИБОМУНИЛ ВОССТАНАВЛИВАЕТ ИММУНИТЕТ, РЕКОМЕНДОВАН ДЕТЯМ КАК САМОЕ ЭФФЕКТИВНОЕ 9. САНОРИН САМОЕ БЫСТРОЕ СРЕДСТВО ОТ НАСМОРКА ПРОТИВОАЛЛЕРГИЧЕСКИМИ КОМПОНЕНТАМИ.; Topno 1. АНАФЕРОН ХОРОШЕЕ ГОМЕОПАТИЧЕСКОЕ СРЕДСТВО ДЛЯ ЛЕЧЕНИЯ ВИРУСНЫХ ИНФЕКЦИЙ ВЕРХНИХ ПУТЕЙ, 2. АЭРОЗОЛЬ, ХОРОШО СНИМАЕТ ОТЕКИ ПРИ ВОСПАЛЕНИЯХ. 3. ЛЮГОЛЬ, РАСТВОРЕННЫЙ В ГЛИЦЕРИНЕ ЛУЧШЕЕ НАРУЖНОЕ СРЕДСТВО ПРИ ЛАРИНГИТЕ, 4.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ЕСТЬ В ВИДЕ КАПЕЛЬ. 6. ТонзилГОН ПРОТИВОВОСПАЛИТЕЛЬНОЕ И ОБЕЗБОЛИВАЮЩЕЕ СРЕДСТВО, СПОСОБСТВУЕТ УМЕНЬШЕ- ОТЕКА СЛИЗИСТОЙ ОБОЛОЧКИ ДЫХАТЕЛЬНЫХ ПУТЕЙ. 7. ТОНЗИЛОТРЕН ПОВЫШАЕТ АКТИВНОСТЬ СЛИЗИСТОЙ 8. ФЛЕМОКСИН СОЛЮТАБ ЭФФЕКТИВНЫЙ БЫСТРОРАСТВОРИМЫЙ АНТИБИОТИК ПРИ АНГИНЕ, ПРИМЕНЯЮТ КАК ВОВНУТРЬ, ТАК И ДЛЯ ПОЛОСКАНИЯ. 9. ФАРИНГОСЕПТ АНТИСЕПТИЧЕСКОЕ СРЕДСТВО, ПРИЯТНОЕ НА ВКУС (РАССАСЫВАЕТСЯ ВО РТУ). НЕ ВЛИЯЕТ НА КИШЕЧНУЮ МИКРОФЛОРУ. 10. СРЕДСТВО ОХЛАЖДАЮЩИМ ДЕЙСТВИЕМ ДЛЯ ЛЕЧЕНИЯ ЗАБОЛЕВАНИЙ ПОЛОСТИ РТА И ГЛОТКИ.</t>
  </si>
  <si>
    <t>Лидия Мелёхина</t>
  </si>
  <si>
    <t>Пестово</t>
  </si>
  <si>
    <t>13.04.2023 23:00</t>
  </si>
  <si>
    <t>Владимир Кострушин</t>
  </si>
  <si>
    <t>Калининград</t>
  </si>
  <si>
    <t>Полежаев Алексей</t>
  </si>
  <si>
    <t>ГАЭС</t>
  </si>
  <si>
    <t>13.04.2023 22:59</t>
  </si>
  <si>
    <t>а анаферон зачем, в нем же нет толку как и действующего вещества. мы ставили в ковид виферон в хорошей дозе, 500 тыс МЕ, чтоб быстрее вирус подавить. 2 дня и всё прошло</t>
  </si>
  <si>
    <t>Мамочки Кировский район СПб | Автово</t>
  </si>
  <si>
    <t>13.04.2023 22:58</t>
  </si>
  <si>
    <t>Наталья Шатова(Доброрадная)</t>
  </si>
  <si>
    <t>Белгород</t>
  </si>
  <si>
    <t>13.04.2023 22:57</t>
  </si>
  <si>
    <t>[id793548600|Марго], как анаферон может помогать, когда в его составе нет ничего мало мальски похожего на действующее вещество. мы с ним в больницу загремели.</t>
  </si>
  <si>
    <t>Подслушано в АЧИНСКЕ</t>
  </si>
  <si>
    <t>13.04.2023 22:56</t>
  </si>
  <si>
    <t>[id376699406|Александр], ну если вам мел помогает, то пожалуйста, кто ж против. Но я предпочитаю лечить ОРВИ и прочие вирусные простуды всё же противовирусным Арбидолом, всё по показаниям, без экспериментов :)</t>
  </si>
  <si>
    <t>Любовь Тузовская</t>
  </si>
  <si>
    <t>13.04.2023 22:55</t>
  </si>
  <si>
    <t>Рая Морозова(Андреева)</t>
  </si>
  <si>
    <t>13.04.2023 22:54</t>
  </si>
  <si>
    <t>Лилия Сидорова</t>
  </si>
  <si>
    <t>13.04.2023 22:53</t>
  </si>
  <si>
    <t>я даю витамин д (детримакс актив) в каплях, омега 3 жидкая от NFO и йод. а если сезон простуд, могу еще гель виферон в носик помазать</t>
  </si>
  <si>
    <t>ДЕТСКИЕ ПОСОБИЯ АЛТАЙСКИЙ КРАЙ</t>
  </si>
  <si>
    <t>Татьяна Добрая</t>
  </si>
  <si>
    <t>Химки</t>
  </si>
  <si>
    <t>13.04.2023 22:50</t>
  </si>
  <si>
    <t>Текст на изображении: JlekapctBa При температуре: нурофен много воды. Если ноги и руки холодные добавить папаверин или Для обработки ран: перекись водорода или бактерицидный От боли: нурофен или пенталгинПри поносе: без температуры смекта, энтерол или активированный уголь, энтерофурил, регидрон, КИП,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эмбробене или элексир без мокроты либексин, сироп При болях в ушах, отите: отинум или При проблемах глазами (усталость, повреждение, краснота, коньюктивит): корнорегель. От боли в горле: спрей тантум верде или каметон При болях в сердце: валидол. При вздугии и тяжести в животе: фестал. От синяков и ушибов: мазь бодяга. При растяжении мышц вальторен гель, Не забывайте читать инструкции перед применением, лучше консультироваться При аллергии: зиртек, фенистил (капли).</t>
  </si>
  <si>
    <t>Татьяна</t>
  </si>
  <si>
    <t>APPLE УКРАИНА</t>
  </si>
  <si>
    <t>13.04.2023 22:49</t>
  </si>
  <si>
    <t>Вера Авдеева (Новикова)</t>
  </si>
  <si>
    <t>13.04.2023 22:48</t>
  </si>
  <si>
    <t>Текст на изображении: ЛЕКАРСТВА, КОТОРЫЕ ВСЕГДА ДОЛЖНЫ БЫТЬ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КИГП,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аллергии: зиртек, фенистил (капли). При болях в сердце: валидол. При вздутии и тяжести в животе: фестал. и ушибов: мазь бодяга. При растяжении мыщц вальторен гель, випросал. Не забывайте читать инструкции перед применением, лучше консультироваться врачом!</t>
  </si>
  <si>
    <t>Анатолий Корепанов</t>
  </si>
  <si>
    <t>13.04.2023 22:46</t>
  </si>
  <si>
    <t>Галина Афанасьева (Косолапова)</t>
  </si>
  <si>
    <t>Аткарск</t>
  </si>
  <si>
    <t>13.04.2023 22:45</t>
  </si>
  <si>
    <t>Может у вас в осложнение ушло. Дочь не давно переболела. От кашля Амбробене давала, но у нее такой кашель был влажный и плохо отхаркивающий. В горло хлорофиллипт брызгала. Промывала нос и перед сном риномарис использовала, нос на дольше открывался после него. С ушами у нас все в порядке было. Вам бы Лору с ушами показаться, отит противная штука.</t>
  </si>
  <si>
    <t>Татьяна Журавлева</t>
  </si>
  <si>
    <t>Самара</t>
  </si>
  <si>
    <t>13.04.2023 22:43</t>
  </si>
  <si>
    <t>Ирина Мызрова❤</t>
  </si>
  <si>
    <t>13.04.2023 22:41</t>
  </si>
  <si>
    <t>Эли, свечи Флуомизин (6 дней), Виферон (10 дней) и антибиотик Вильпрофен 500 (5 дней). С вифероном в целом понятно, но непосредственно антибиотик, как мне пояснили, назначают при зппп. Но я не эксперт однозначно! Может быть я и ошибаюсь)</t>
  </si>
  <si>
    <t>Александра</t>
  </si>
  <si>
    <t xml:space="preserve">ПРЕПАРАТЫ ОТ КАШЛЯ
А надо ли?
Как мы уже разобрались, препараты от кашля нам не нужны‍♀️
☝️Для начала надо понять почему появился кашель.⠀
‼️Во время течения ОРВИ , при  любом кашле часто пытаются «перевести» сухой кашель во влажный . ⠀
Это все бессмысленно, так как от нас или от наших действий это не зависит. ⠀
1️⃣Кашель может оставаться сухим все время течения заболевания и при устранении причины - прекратиться. ☝⠀
2️⃣Может быть сразу влажным (при образовании большого количества секрета в дыхательных путях).⠀
3️⃣А может в первые дни вирусной инфекции быть сухим, а затем (при образовании достаточного количества слизи) стать влажным
Здесь, зависит от локализации процесса воспаления в дыхательных путях и от причины возникновения кашля. ⠀
‍⚕️В педиатрии чаще всего используют  муколитики и противокашлевые средства.⠀
Муколитики - разжижают мокроту (лазолван, бромгексин, ацц, карбоцистеин и др)⠀
Противокашлевые (кодеин, бутимират и др)- блокируют в продолговатом мозге кашлевой  центр и подавляет кашлевой рефлекс⠀
⚠️Муколитики не рекомендуетсядетям до 2 лет (особенного до года) из-за не совершенства кашлевого рефлекса (они не смогут откашлять мокроту)⠀
⚠️Противокашлевые не показаны при обычной вирусной инфекции. Они могут буть назначены при сухом навязчивом кашле, например при фарингите, коклюше, но у них отсутствует доказательная база. ⠀
❌Одновременное назначение отхаркивающих и противокашлевых препаратов недопустимо!⠀
А это цитата из клинических рекомендаций лечения ОРВИ Союза педиатров России.⠀
«Противокашлевые, отхаркивающие, муколитики, в том числе многочисленные патентованные препараты с различными растительными средствами, не рекомендуются для использования при ОРВИ ввиду неэффективности, что было доказано в рандомизированных исследованиях [22, 23].⠀
(Сила рекомендации 2 уровень достоверности доказательств – C).»⠀
Делаем выводы❗️ частое питьё, увлажнение и проветривание‍♀️
.⠀
Конечно бывают ситуации, когда нужны медикаментозные препараты, но это решает доктор.‍⚕️
⠀
Ваш❤️, ваше спасибо⠀
#Педиатр #врач #детскийдоктор #доктор #матьидитя #педиатрспб #гастроэнтерологспб #детскийгастроэнтерологспб  #педиатрпитер #кашель</t>
  </si>
  <si>
    <t>13.04.2023 22:40</t>
  </si>
  <si>
    <t>Светлана Березовская (Груздева)</t>
  </si>
  <si>
    <t>Асланбек Бадтиев</t>
  </si>
  <si>
    <t>Республика Северная Осетия - Алания</t>
  </si>
  <si>
    <t>Владикавказ</t>
  </si>
  <si>
    <t>13.04.2023 22:39</t>
  </si>
  <si>
    <t xml:space="preserve">Как работает фармбизнес, продвигая фуфломицины, БАДы, препараты с недоказанной эффективностью и даже обувь определённой фирмы.
Постараемся показать на примерах из нашей группы.
Вы общаетесь в группе с другими людьми , часто не подозревая, что разговариваете с ботами или торговыми представителями фармбизнеса, или просто с фрилансерами, получающими вознаграждение за написание комментария-отзыва с упоминанием продвигаемого товара.
Эти люди создают видимость популярности товара, эмоционально расписывают его привлекательность  и эффективность, вклиниваясь в беседу и как бы невзначай поддерживая нить разговора. Зачастую одни боты/люди пишут комментарии, другие – отвечают на них, ставят лайки.
В основном комментарии оставляют в старых постах, обращаясь к участникам группы, в надежде, что админы не отслеживают давние публикации.
Абсолютно все эти «комментаторы» не состоят в группе, т.к в их задачу не входит продвижение чужих групп увеличивая количество участников, задача только в том, чтобы продвигать свой товар.
Не будем рассказывать как создаются фейковые страницы, часто копирующие страницы реальных людей, но предупреждаем, будьте бдительны читая комментарии в соцсетях. Если в нашей группе админы блокируют данные рекламные тексты, то не факт, что это делают и в других группах.
Почитайте скрины ⬇️ Не всем в потоке комментариев видно заказной текст, но у всех есть отличительные особенности. Эти скрины сделаны в течение последних недель в нашей группе.
Делайте выводы, будьте бдительны и здоровы.
Текст на изображении: Дина Бласко Светлана, у нас тоже была на него. Тут же убрала. Сейчас только эргоферон если даю. Он безопасный и никаких реакций не дает. эффективность даже лучше вчера в Елена Лисунец Светлане Светлана, Я думаю дело не в том что все мы разные. Вопрос в препарате.Что-то от эргоферона у меня никаких реакций и помогае лучше сегодня в Яшина Мне когда нужно вывести лишнее из организма, то принимаю фитолак мармеладные ягоды и спокойненько чищусь утречком) Все не нужное само выходит) сегодня в; Sophia Masimova У меня у дочки такие высыпания были ‚она полнос на гв я яйца на завтрак кушала и наверное чере: молоко попало Покупала молочко для тела от гринвей увлажняла, потому что потом эти места начинали сохнуть! Использование фото запрещено Галина Беркова Владимиру Владимир, Мне ренгалин хорошо помогает от кашля. Всегда его принимаю при орви вчера в; Майя Сарычева Валентина, да зачем этот фуфломицин пить, есть же нормальные препараты, тот же Нобазит Оксана Печерская Клавдии Клавдия, Горечь от Нобазита? Впервые все друзья и родственники почти поголовно при ОРВИ Нобазит берут такого не случается, от того и собственно, что помогает без последствий Ольга Ягужинская для лечения и орви надежнее всего Нобазит пропить, странно что его нет в списке, мне именно нобазит в двадцатом году при ковиде помог сегодня в Валерия Сидорова Если есть проблемы сердцем и вообще хотите продлить молодость рекомендую Коэнзим 010 от Эвалар. Он очень здорово влияет на состояние кожи, делая более упругой, я уже ощутила</t>
  </si>
  <si>
    <t>Школа Заботливого Родителя.ДоказательнаяМедицина</t>
  </si>
  <si>
    <t>13.04.2023 22:38</t>
  </si>
  <si>
    <t>[id169347618|Елена], недавно ещё болел… циклоферон надо подключать. Ещё учеба эта все силы отнимает.</t>
  </si>
  <si>
    <t>Мария Мариинская</t>
  </si>
  <si>
    <t>13.04.2023 22:36</t>
  </si>
  <si>
    <t>Екатерина Доронина</t>
  </si>
  <si>
    <t>Р Волкова (Лукьянченко)</t>
  </si>
  <si>
    <t>Тюменская область</t>
  </si>
  <si>
    <t>Тобольск</t>
  </si>
  <si>
    <t>13.04.2023 22:35</t>
  </si>
  <si>
    <t xml:space="preserve">Спиcoк мeдицинcких пpeпapaтoв нa вce cлучaи жизни 
Текст на изображении: ПРОСТУДА Ибупрофен сильное обезболивающее средство, быстро действует, в виде шипучих таблеток щадит желудок, в свечах удобен для мальшей. Колдрекс отличный сосудосуживающий препарат. Назол избавляет от насморка и не дает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насморка противоаллергическими компонентами.;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t>
  </si>
  <si>
    <t>Наталья Полиевская</t>
  </si>
  <si>
    <t>13.04.2023 22:34</t>
  </si>
  <si>
    <t>Валентина Голикова</t>
  </si>
  <si>
    <t>Эльвира, я на эти свечи реагирую плохо) Мне анаферон детский помог буквально за 3 дня</t>
  </si>
  <si>
    <t>anonymous</t>
  </si>
  <si>
    <t>13.04.2023 22:31</t>
  </si>
  <si>
    <t>Текст на изображении: ЛЕКАРСТВА, КОТОРЫЕ ВСЕГДА ДОЛЖНЫ БЫТЬ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болях в сердце: валидол. При вздутии и тяжести в животе: фестал. Отсиняков и ушибов: мазь бодяга. При растяжении мышц вальторен гель, випросал. Не забывайте читать инструкции перед применением, лучше консультироваться врачом! При аллергии: зиртек, фенистил (капли).</t>
  </si>
  <si>
    <t>Вера Середа</t>
  </si>
  <si>
    <t>13.04.2023 22:30</t>
  </si>
  <si>
    <t xml:space="preserve">⚠Самый полный список лекарств для первой медицинской помощи! Уникальная информация, не забудьте сохранить!
Текст на изображении: Ибупрон сильное обезболивающие средство, быстро действует, в виде шипучих таблеток шадит желудок, в свечах удобен для малышей.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свечи‚но сильно ‘ухудшает качество крови. 5. великолепное жаропонижающее, незаменим для астматиков. 6. Полиоксидоний -стимулирует иммунную систему, назначают детям, пригоден для во время ОРВИ. 7. Рибомунил восстанавливает иммунитет, рекомендован детям. 8. Санорин самое быстрое средство от насморка противоаллергическими компонентами.; Горло 1. Анаферон хорошее гомеопатическое средство для лечения вирусных инфекций верхних дыхательных путей. 2. Колустан аэрозоль, хорошо снимает отеки при воспалениях. Люголь, растворенный в глицерине лучшее наружное средство при 4. Пропосол-Н имеет выраженные антимикробные и противовоспалительные свойства, не оказывает раздражающего действия на организм. 5. Синупрет обладает антибактериальным и антиотечным действием, может назначаться детям есть в виде капель. 6. противовоспалительное и обезболивающее средство.</t>
  </si>
  <si>
    <t>Анна Артемьева</t>
  </si>
  <si>
    <t>13.04.2023 22:29</t>
  </si>
  <si>
    <t>Ирина Монахова</t>
  </si>
  <si>
    <t>13.04.2023 22:27</t>
  </si>
  <si>
    <t>промывать нос, полоскать горло, подключаю противовирусное анаферон, снимает симптомы и самочувствие улучшает и обильное питье</t>
  </si>
  <si>
    <t>Карина Голд</t>
  </si>
  <si>
    <t>Мамсовет - беременность</t>
  </si>
  <si>
    <t>Галина Иоановна</t>
  </si>
  <si>
    <t>Liberty News</t>
  </si>
  <si>
    <t>Про арбидол согласна, а физио полезно хотя бы тем, что профилактика гиподинамии плюс общение, плюс, сделал всё что мог ну и тп</t>
  </si>
  <si>
    <t>Юлия Т</t>
  </si>
  <si>
    <t>Щукино</t>
  </si>
  <si>
    <t>13.04.2023 22:26</t>
  </si>
  <si>
    <t>Анастасия Страхова-Дугинова</t>
  </si>
  <si>
    <t>Выборг</t>
  </si>
  <si>
    <t>Врач, грач. Врачи разные бывают. Кто-то виферонами "лечит", так что это ещё ничего не говорит о ваших знаниях, к сожалению. А про бахилы вы слышали? Тоже есть исследования, что от бактерий не защищают. А что от луж не защищают, оно и так видно</t>
  </si>
  <si>
    <t>Alina Kupriyanova</t>
  </si>
  <si>
    <t>ВкусВилл</t>
  </si>
  <si>
    <t>13.04.2023 22:25</t>
  </si>
  <si>
    <t>Анаферон принимаем для профилактики курсом для укрепления иммунитета, стали реже болеть и при первых признаках принимаем не дает разболеться</t>
  </si>
  <si>
    <t xml:space="preserve">[id1123498|Юлия], я за то, что помогает.вот гоовоят гомеопатия не помогает, Вифероны не помогают.Ну не знаю, нам помогает и надумывать, что оно помогает -это вряд-ли, я же вижу по ребенку лучше ему или нет.Доказано или нет, какая разница.
Так же и с энтерофурилом</t>
  </si>
  <si>
    <t>Марина Ковтун</t>
  </si>
  <si>
    <t>Мамочки Кудрово</t>
  </si>
  <si>
    <t>13.04.2023 22:24</t>
  </si>
  <si>
    <t>Хитрый лисёнок, мне умефиновир дали (дейст вещество арбидола)...Запрещен только в первом триместре</t>
  </si>
  <si>
    <t>Кристина</t>
  </si>
  <si>
    <t>13.04.2023 22:23</t>
  </si>
  <si>
    <t xml:space="preserve">Вы не поверите, они тоже там.
В поликлиниках Арбидол назначают.
Это повод его принимать?
Критическое мышление отменили, что ли, в этой стране?</t>
  </si>
  <si>
    <t>Алексей</t>
  </si>
  <si>
    <t>13.04.2023 22:21</t>
  </si>
  <si>
    <t>Сергей Федин</t>
  </si>
  <si>
    <t>Усолье-Сибирское</t>
  </si>
  <si>
    <t>Текст на изображении: ЛЕЧИМ КАШЕЛЬ В ДОМАШНИХ УСЛОВИЯХ ПРИ МОКРОМ КАШЛЕ: Полощите горло солью чайной ложки на чашку теплой воды. Делайте паровые ингаляции маслом мяты по напли на каждые 150 мл воды. Принимайте горячие ванны или отправляйтесь в баню пар вам поможет. ПРИ СУХОМ КАШЛЕ: Делайте ингаляции шалфеем и маслом эвкалипта. Втирайте в смесь из 2 частей подсолнечного. масла и 1 части нашатырного спирта. ‘Ставьте горчичники. ПРИ ЛЮБОМ КАШЛЕ: Существуют препараты комплексным действием. Один из примеров Ренгалин, обладающий противокашлевым, противовоспалительным и бронхолитическим</t>
  </si>
  <si>
    <t>Полезная группа</t>
  </si>
  <si>
    <t>13.04.2023 22:20</t>
  </si>
  <si>
    <t>Иеродиакон Архипп</t>
  </si>
  <si>
    <t>13.04.2023 22:18</t>
  </si>
  <si>
    <t>Алевтина Куликова</t>
  </si>
  <si>
    <t>13.04.2023 22:16</t>
  </si>
  <si>
    <t>Девочки спасайте что поможет - Анастасия</t>
  </si>
  <si>
    <t>Может геделикс какой-нибудь выпишут, лучше педиатра пригласите) малышка крошка совсем</t>
  </si>
  <si>
    <t>Зина null</t>
  </si>
  <si>
    <t>13.04.2023 22:15</t>
  </si>
  <si>
    <t xml:space="preserve">Когда кашель окончательно замучил, есть соблазн просто пойти в аптеку и купить пачку антибиотиков. Но секрет в том, что принимать их не всегда целесообразно, а иногда даже опасно.
Разбираемся, как правильно принимать антибиотики, чтобы не навредить своему организму.
Текст на изображении: Антибиотики при кашле: инструкция по применению Только по рекомендации врача. Самый главный пьем антибиотики только после Toro, как получили назначение врача. навреди» важный принцип любого лечения. Не бросать прием сразу, как только почувствовали улучшение. Если прекратить прием при первых признаках улучшения, может развиться устойчивость бактерий к препарату, и пользы не будет. Не употреблять во время лечения алкоголь. Его употре- бление может сказать на эффективности и безопасности лечения. Антибиотик направлен на устранение причины зыболевания, но важно также работать симптомом. При кашле помогут комбинированные препараты проследите, чтобы они соче- тались другими лекарствами. Коделак Бронхо амброк- солом в составе можно принимать вместе антибио- тиками. Препарат оказывает муколитическое и отхаркивающее действие, еще обладает противовоспалительной активностью. Позаботиться о себе после. Вы уже знаете, что анти- биотики уничтожают в том числе полезную микрофлору, поэто- му важно титься о восстанов- лении кишечника.</t>
  </si>
  <si>
    <t>Наталья Власкина</t>
  </si>
  <si>
    <t>13.04.2023 22:14</t>
  </si>
  <si>
    <t>Оооо биопарокс. Его еще продают и назначают? А вообще, сейчас вам только лечиться симптоматически. Без всяких лазолванов. Больше жидкости и отдыхать. А через три-четыре дня сдать кровь общую.</t>
  </si>
  <si>
    <t>Евгения Бычкова</t>
  </si>
  <si>
    <t xml:space="preserve">Вот как надо общаться в аптеке! Важно знать каждому!
Итак, подошла моя очередь. — Что вы мне посоветуете от кашля?
— Колдрекс, леденцы, пастилки, антибиотики.
Итого 600—1500 руб. Спорить с провизором не посчитала нужным, это их работа, но решила устроить небольшой спектакль.
Итак, подошла моя очередь.
— Что вы мне посоветуете от кашля?
— Леденцы «…»
— Сколько стоят?
— 300 рублей
— Сколько? Говорите громче, пожалуйста, я плохо слышу!
— 300 рублей!
— А у вас есть Мукалтин?
— Да.
— Сколько стоит?
— 5 рублей
— Громче, я плохо слышу!
— 5 рублей!
Эхо разнесло весть по всей аптеке. Очередь насторожилась, всё внимание с витрин перенеслось на нас с провизором.
— А есть трава термопсиса с содой 7, их раньше копеечными таблетками называли?
— Есть.
— Сколько?
— 1 рубль.
— Уточните!
— 1 рубль!
Градус беседы повышался, провизор всё распалялась, и зрители начинали роптать.
— Микстура Пертуссин?
— Есть!
— Сколько?
— 4—50
— Мази Прополиса?
— 12 рублей, но она гомеопатическая
— Отлично!
— Шрот расторопши пятнистой?
— 8 рублей
— Масло расторопши?
— 12 рублей
В итоге я заказала:
Термопсиса 3х10 таблеток = 3 рубля Мукалтин 2 уп.Х10 таблеток = 10 рублей мазь Прополиса 1 туб=12 р. Пертуссин 1 пузырёк = 4—50 шрот расторопши 1 пакет = 8 руб
(сейчас цены стали чуть выше)
— Сколько за всё?
— 37 с половиной
— 37.50 — это температура или цена?
Говорите громче, пожалуйста!
— Тридцать семь рублей пятьдесят копеек, — забила гвозди провизор. Лицо было бордово каменным.
— Спасибо, — тихо ответила я.
Первой не выдержала женщина с ребёнком:
— Это всё от кашля? Можно записать названия? Почему так дёшево?
— Эти лекарства всегда стоили дёшево и нас ими лечили в детстве и родители наши лечились!
— А почему тогда их нет на витрине?
— Это не выгодно аптекарю, за них ему не доплачивают фармацевтические кампании.
Для справки:
Многие дорогостоящие лекарственные препараты имеют более дешевый аналог с идентичным составом. Запишите себе их названия, если не хотите «работать на аптеку».
Нурофен (120руб) и Ибупрофен (10руб)
Мезим (300руб) и Панкреатин (30руб)
Но-шпа (150руб) и Дротаверина гидрохлорид (30руб)
Панадол (50руб) и Парацетамол (5руб)
Белосалик (380руб) и Акридерм СК (40руб)
Бепантен (250руб) и Декспантенол (100руб)
Бетасерк (600руб)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Мидриацил (360руб) и Тропикамид (120руб)
Мирамистин (200руб) и Хлоргексидин (10руб)
Мовалис (410руб) и Мелоксикам (80руб)
Нейромультивит (250руб) и Пентовит (50руб)
Нормодипин (620руб) и Амлодипин (40руб)
Омез (180руб) и Омепразол (50руб)
Панангин (140руб) и Аспаркам (10руб)
Пантогам (350руб) и Пантокальцин (230руб)
Ринонорм (50руб) и Риностоп (20руб)
Сумамед (450руб) и Азитромицин (90руб)
Трентал (200руб)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Поделитесь этим материалом со своими друзьями, пожалуйста, как нам кажется, им будет тоже интересно узнать что-то новое о мире вокруг нас.
ОБЯЗАТЕЛЬНО СОХРАНЯЙТЕ СЕБЕ!</t>
  </si>
  <si>
    <t>Олеся Милишникова</t>
  </si>
  <si>
    <t>13.04.2023 22:13</t>
  </si>
  <si>
    <t>Любовь Герасименко (Машуева)</t>
  </si>
  <si>
    <t>Новороссийск</t>
  </si>
  <si>
    <t>13.04.2023 22:12</t>
  </si>
  <si>
    <t>Татьяна Шипунова(Волкова)</t>
  </si>
  <si>
    <t>Ольга Глухова(Дербенева)</t>
  </si>
  <si>
    <t>Ревда</t>
  </si>
  <si>
    <t>Виферон свечи в зад</t>
  </si>
  <si>
    <t>Любовь Заломская</t>
  </si>
  <si>
    <t>Беременность и Материнство</t>
  </si>
  <si>
    <t xml:space="preserve"> Не забудьте проконсультироваться с врачом
Полезно знать!
Текст на изображении: 1. Жаропонижающие Температура признак того, что организм борется инфекцией. Если она менее сбивать не требуется. Скорую вызывать тоже. Исключения: дети риском фебрильных судорог, люди низким судорожным порогом или эпилепсией, младенцы и новорожденные, старики, люди тяжёлыми хрони- ческими болезнями, ослабленные люли. Как правильно принимать: рассчитывать дозу по инструкции, соответственно возрасту весу. Если требуется повторный приём, лучше взять другое жаропонижающее несколько} и выждать часов. 2. Комплексные противопростуд- ные препараты Колдрекс, Фервекс, Антигриппин, Терафлю и Лучше их не принимать вообще! По каждому из симптомов существует более эффективный моно- препарат. Часть веществ, входящих в состав этих лекарств, не работают в такой маленькой дозе или их эффективность вообще не доказана. Облегче- ние после приёма в новном, происходит за жаропонижающих и температуры напитка. Исключения: вам надо на работу в самолёт на переговоры. Но не как постоянное средство лечения!!! 3. Гомеопатические средства и витамин Оциллококцинум, афлубин Эффективность наукой не доказана. Если вы в них верите, конечно, пейте врела не нанесут, сила плацебо-эффекта весьма велика. 4. Иммуномоду- ляторы Арбилол, анаферон Просто так “поднимать имму- нитет" обычному человеку не требуется! Если вы не в группе риска, то иммунитетом у вас в порядке. Кроме ТОТо, эффективность этих препаратов при ОРВИ вообще не доказана. Лучше забыть про них совсем, так как кроме есть и побочное действие отличие от гомеопатических средств). Лучше йогой займитесь! 5. Лекарства от кашля Бронхолитин, бромгексин, лазолван Кащель бывает разный: сухой, мокротой, лёгочный, гортанный, от нервов, от раздражения дыхательных путей Чаще всего он так или иначе проходит сам. Препа- ратов от кашля тоже несколько видов есть которые подавляют кашель, есть которые облегчают выход мокроты. Подавлять можно только сухой кашель. Если уже давно прошёл, кашель никак, сходите кврачу. Также нужен врач, если кашель у ребёнка стал голос осип. Это может быть ложный круп. 6. от насморка и боли в горле Капли, леденцы-сосалки Лучше не злоупотреблять сосудосуживающими капля- они сушат слизистую носа и вызывают привыкание и зависимость, сосуды быстро перестают сужаться без них. Их можно заменить обычной солёной водой. Леденцы типа и прочих безвредны, и многим могают от дискомфорта в горле.</t>
  </si>
  <si>
    <t>ПОЛЕЗНО ЗНАТЬ</t>
  </si>
  <si>
    <t>13.04.2023 22:11</t>
  </si>
  <si>
    <t xml:space="preserve">ИΗΓАΒИРИΗ. ΒОЛШΕБΗАЯ ТАБЛΕТΚА ИЛИ ΦУΦЛОΜИЦИΗ?
paзбop пpeпapaтa
Πoмoжeт ли нaм «Ингaвиpин» cпacтиcь oт инфeкций или eгo пoкупкa - cнoвa бeccмыcлeннaя тpaтa дeнeг?
Из чeгo жe, из чeгo ж … cдeлaнo нaшe лeкapcтвo?
Дeйcтвующee вeщecтвo Ингaвиpинa звучит угpoжaющe: «имидaзoлилэтaнaмид пeнтaндиoвoй киcлoты».
Чтo лeчит Ингaвиpин?
Πpoизвoдитeли зaявляют, чтo этoт пpoтивoвиpуcный пpeпapaт пoкaзaн для лeчeния и пpoфилaктики гpиппa А и Β и дpугих ocтpых pecпиpaтopных виpуcных инфeкций (aдeнoвиpуcнaя инфeкция, пapaгpипп, pecпиpaтopнo-cинцитиaльнaя инфeкция, pинoвиpуcнaя инфeкция) у взpocлых и дeтeй oт 3-х лeт, пpи этoм нe вызывaя никaких пoбoчных peaкций, кpoмe peдких aллepгичecких.
Β инcтpукции cкaзaнo, чтo пpeпapaт cнижaeт виpуcную нaгpузку, уcкopяeт элиминaцию виpуcoв, coкpaщaeт пpoдoлжитeльнocть бoлeзни, cнижaeт pиcк paзвития ocлoжнeний, cнижaeт pиcк зaбoлeвaния пocлe кoнтaктa c чeлoвeкoм, зapaжeнным гpиппoм и ОРΒИ.
Κaжeтcя, вoт oнa, вoлшeбнaя тaблeткa. Тут жe вoзникaeт вoпpoc, пoчeму нигдe, кpoмe РΦ и cтpaн СΗΓ oн нe зapeгиcтpиpoвaн и нe peкoмeндoвaн пpи лeчeнии и пpoфилaктикe ОРΒИ. Πoчeму нaши зapубeжныe кoллeги упуcкaют тaкую вoзмoжнocть?
Чтo гoвopит пpo Ингaвиpин нaукa?
Μы нe мoжeм дocтoвepнo cудить oб эффeктивнocти этoгo пpeпapaтa. Εcли гoвopить o зoлoтoм cтaндapтe дoкaзaтeльнoй пиpaмиды (paндoмизиpoвaнных двoйных cлeпых плaцeбo-кoнтpoлиpуeмых иccлeдoвaниях), тo в ocнoвнoм oни пpoвoдилиcь или в пpoбиpкe, или нa живoтных.
Иccлeдoвaния нa людях были, нo их нeдocтaтoчнo для нaшeй увepeннocти в эффeктивнocти, пoтoму чтo дaнныe oгpaничeны, a тaкжe aвтopы нeкoтopых тaких иccлeдoвaний хoть и гoвopят oб oтcутcтвии кoнфликтa интepecoв, в cпoнcopaх cтoит пpoизвoдитeль Ингaвиpинa. Сoздaтeль «Ингaвиpинa» вpяд ли зaхoчeт, чтoбы peзультaты гoвopили o нeэффeктивнocти пpeпapaтa, нe тaк ли?
Πpoизвoдитeли oпиcывaют, чтo «Ингaвиpин» aктивиpуeт фaктopы вpoждeннoгo иммунитeтa. Иммуннaя cиcтeмa являeтcя кpaйнe cлoжнoй cтpуктуpoй, и ктo знaeт, дo кaкoй cтeпeни пpeпapaт aктивиpуeт нaш иммунитeт… нe cлoмaeтcя ли oн?
Ηeэффeктивнo, a бeзoпacнo ли?
Слoжнo cудить пpи дaннoм кaчecтвe и кoличecтвe иccлeдoвaний. Χoтя пpoизвoдитeль утвepждaeт, чтo пpeпapaт кpaйнe бeзoпaceн и нe дeйcтвуeт ни нa oдну cиcтeму opгaнизмa oтpицaтeльнo.
Эффeктивнocть пpeпapaтa нe дoкaзaнa, иcпoльзoвaть eгo или нeт - этo выбop пaциeнтa.
Тaкжe cтoит oзнaкoмитьcя c пpoтивoпoкaзaниями к пpeпapaту:
⁃ Πoвышeннaя чувcтвитeльнocть к кoмпoнeнтaм пpeпapaтa
⁃ Дeфицит лaктoзы, нeпepeнocимocть лaктoзы, глюкoзo-гaлaктoзнaя мaльaбcopбция
⁃ Бepeмeннocть
⁃ Πepиoд гpуднoгo вcкapмливaния
⁃ Дeтcкий вoзpacт дo 3 лeт
✅Здopoвый oбpaз жизни, пpaвильнoe питaниe и peжим дня нaмнoгo эффeктивнee для пpoфилaктики гpиппa и ОРΒИ, чeм пpoтивoвиpуcный пpeпapaт «Ингaвиpин».
Ηaм вceм нужнo cтapaтьcя бepeчь ceбя, coвepшaть уcилия для coхpaнeния здopoвья, a нe тpaтить дeньги нa пpeпapaт c нeдoкaзaннoй эффeктивнocтью. Тe дeньги, кoтopыe мoжнo пoтpaтить нa вкуcныe oвoщи или любыe дpугиe paдующиe нac вeщи.
Автop: пeдиaтp cepвиca ДoкΜa  Иpинa Κугучeвa
Текст на изображении: Ингавирин” Ингавирин° и 90. Без сахара Без красит 90 мл сироп "ДЛЯ ПРИЕМА ВНУТРЬ ПРИЕМ ИНГАВИРИН. ВОЛШЕБНАЯ ТАБЛЕТКА ИЛИ ФУФЛОМИЦИН? разбор препарата для детей 7 лет И</t>
  </si>
  <si>
    <t>Мое здоровье. Нутрициология</t>
  </si>
  <si>
    <t>13.04.2023 22:09</t>
  </si>
  <si>
    <t>Подтверждаю, мне доктор назначал ацц, и любые леденцы от боли в горле, которые я переношу нормально.</t>
  </si>
  <si>
    <t>Елена Епифанова</t>
  </si>
  <si>
    <t>ОНКОЛОГИЯ - общение</t>
  </si>
  <si>
    <t>Раменское</t>
  </si>
  <si>
    <t>Роза Санникова</t>
  </si>
  <si>
    <t>13.04.2023 22:08</t>
  </si>
  <si>
    <t>Орхидея Любимая</t>
  </si>
  <si>
    <t>Куйбышев</t>
  </si>
  <si>
    <t>13.04.2023 22:07</t>
  </si>
  <si>
    <t>Алексей Дульнев</t>
  </si>
  <si>
    <t>Чаны</t>
  </si>
  <si>
    <t>13.04.2023 22:04</t>
  </si>
  <si>
    <t>Елена Никашина</t>
  </si>
  <si>
    <t>13.04.2023 22:02</t>
  </si>
  <si>
    <t xml:space="preserve">Сохраните себе на стену!
У кого проблемы со здоровьем. Необходимые препараты которые надо брать с собой на вахту.
Текст на изображении: Горло 1. Анаферон хорошее гомеопатическое средство для лечения вирусных инфекций верхних дыхательных путей. 2. Колустан аэрозоль, хорошо снимает отеки при воспалениях. Люголь, растворенный в глицерине лучшее наружное средство при 4. Пропосол-Н имеет выраженные антимикробные и противовоспалительные свойства, не оказывает раздражающего действия на организм. 5. Синупрет обладает антибактериальным и антиотечным действием, может назначаться детям есть в виде капель. 6. противовоспалительное и обезболивающее средство.; Ибупрон сильное обезболивающие средство, быстро действует, в виде шипучих таблеток шадит желудок, в свечах удобен для малышей. 2. Колдрекс отличный сосудосуживающий препарат. 3. Назол избавляет от насморка и не дает пересыхать слизистой оболочке носа, ‘действует 12. часов. 4. Нурофен скорая помощь, действует быстро. Для малышей есть свечи‚но сильно ‘ухудшает качество крови. 5. великолепное жаропонижающее, незаменим для астматиков. 6. Полиоксидоний -стимулирует иммунную систему, назначают детям, пригоден для во время ОРВИ. 7. Рибомунил восстанавливает иммунитет, рекомендован детям. 8. Санорин самое быстрое средство от насморка противоаллергическими компонентами.</t>
  </si>
  <si>
    <t>Ян Гармаш</t>
  </si>
  <si>
    <t>13.04.2023 22:00</t>
  </si>
  <si>
    <t>Сания Махмудова</t>
  </si>
  <si>
    <t>13.04.2023 21:58</t>
  </si>
  <si>
    <t>ВАСИЛИЙ АРУТЮНЯН</t>
  </si>
  <si>
    <t>Никитин а как Ковид? Арбидол что?</t>
  </si>
  <si>
    <t>Жукова Надежда</t>
  </si>
  <si>
    <t>НОВГОРОД</t>
  </si>
  <si>
    <t>Наталья Хайлова(Халюк)</t>
  </si>
  <si>
    <t>13.04.2023 21:57</t>
  </si>
  <si>
    <t>ღஐღЕлена Куликова(Степкина)ღஐღ</t>
  </si>
  <si>
    <t>13.04.2023 21:56</t>
  </si>
  <si>
    <t>Татьяна Соловьева</t>
  </si>
  <si>
    <t>Людмила Килипенко</t>
  </si>
  <si>
    <t>Любовь Космачёва</t>
  </si>
  <si>
    <t>13.04.2023 21:55</t>
  </si>
  <si>
    <t>Елена Глезденева (Кашапова)</t>
  </si>
  <si>
    <t>Чайковский</t>
  </si>
  <si>
    <t>Анна Мирошникова(Онуфриева)</t>
  </si>
  <si>
    <t>Елена Иноземцева романова</t>
  </si>
  <si>
    <t>Ставропольский край</t>
  </si>
  <si>
    <t>Георгиевск</t>
  </si>
  <si>
    <t>13.04.2023 21:54</t>
  </si>
  <si>
    <t>Александра Райкова(Никитина)</t>
  </si>
  <si>
    <t>Муром</t>
  </si>
  <si>
    <t>13.04.2023 21:53</t>
  </si>
  <si>
    <t xml:space="preserve">А в вaшeй aптeчкe oни ecть?
Текст на изображении: ЛЕКАРСТВА, КОТОРЫЕ ВСЕГДА ДОЛЖНЫ В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аллергии: зиртек, фенистил (капли). При болях в сердце: валидол. При вздутии и тяжести в животе: фестал. От синяков и ушибов: мазь бодяга. При растяжении мышц вальторен гель, випросал. Не забывайте читать инструкции перед применением, лучше консультироваться врачом!</t>
  </si>
  <si>
    <t>Людмила Чалова</t>
  </si>
  <si>
    <t>13.04.2023 21:50</t>
  </si>
  <si>
    <t>антраник( андрей нерсесян</t>
  </si>
  <si>
    <t>Ишимбай</t>
  </si>
  <si>
    <t xml:space="preserve">99 Самых лучших лекарств.
Простуда
1. Ибупрон – сильное обезболивающие средство, быстро действует, в виде шипучих таблеток щадит желудок, а в свечах удобен для малышей.
2. Колдрекс – отличный сосудосуживающий препарат. Быстро действует, потому что его растворяют в горячей воде.
3. Назол – избавляет от насморка и не дает пересыхать слизистой оболочке носа, действует 12 часов.
4. Нурофен – скорая помощь, действует быстро. Для малышей есть свечи, но сильно ухудшает качество крови.
5. Парацетамол (панадол, эффералган) – великолепное жаропонижающее, незаменим для астматиков.
6. Полиоксидоний – стимулирует иммунную систему, назначают детям, пригоден для экстренной помощи и для профилактики во время эпидемии ОРВИ.
7. Рибомунил – восстанавливает иммунитет, рекомендован детям как самое эффективное средство.
8. Санорин – самое быстрое средство от насморка с противоаллергическими компонентами.
9. Флукол–Б – дешевый и эффективный препарат, но содержит 8% алкоголя и противопоказан водителям.
Печень
1. Антраль – отечественный оригинальный препарат, ему нет аналогов в мире, защищает клетки печени от любой микробной агрессии.
2. Галстена – капли, незаменимое лекарство для маленьких детей.
3. Лиолив – улучшает состояние печени при желтухах (пониженный билирубин).
4. Липоферон – препарат принимают через рот, он дешевле инъекционных интерферонов в 5 раз!
5. Оротат калия – улучшает работу печени, синтез белка, общий обмен веществ.
6. Силимарин-гексал – растительный препарат. В нем содержится намного больше действующего вещества, чем в его аналогах: карсиле, силиборе, гепабене.
7. Холензим – желчегонный недорогой препарат, помогает перевариванию пищи, улучшает выработку ферментов.
8. Холивер – желчегонный препарат растительного происхождения.
9. Хепель – гомеопатическое немецкое средство без побочных действий.
10. Эссенциале – уже 20 лет нет более действенного препарата для лечения печени.
Желудок
1. Альтан – растительный препарат отечественного производства, незаменим при язвенной болезни.
2. Ацидин-пепсин – повышает кислотность в желудке.
3. Гастритол – капли растительного происхождения, хороши для малышей.
4. Мотилиум – нормализует моторику желудка, улучшает продвижение пищи по желудку.
5. Облепиховое масло – уменьшает воспалительные процессы в желудке.
6. Париет – из последнего поколения препаратов, которые хорошо снижают кислотность в желудке.
7. Пилобакт – новейшее средство от хеликобактера.
8. Ренорм – отечественный фитоконцентрат с сильным противовоспалительным действием, нормализует пищеварение.
9. Риабал – хорошо снимает спазмы в желудке, его назначают детям. Есть в виде сиропа и в каплях.
10. Фосфалюгель – хорошо снимает приступы изжоги, менее токсичен, чем аналоги.
Глаза
1. Зовиракс – глазная мазь, незаменима при конъюнктивитах вирусной природы.
2. Квинакс – лучшее профилактическое средство при катаракте.
3. Корнерегель – гель, хорошо восстанавливает слезную пленку на роговице глаза.
4. Ксалаком – в нем соединены два препарата ксалатан и тималол. Они усиливают действие друг друга.
5. Ксалатан (траватан) – эффективен при глаукоме, можно капать один раз в сутки.
6. Систейн – искусственная слеза, преимущество – можно капать раз в сутки.
7. Униклофен – хорошее нестероидное противовоспалительное средство в каплях.
8. Флоксал – капли, антибиотик, действует на широкий спектр микроорганизмов.
9. Флоксаловая мазь – незаменима при бактериальных конъюнктивитах.
10. Циклоксан – сильный антибиотик в каплях, панацея от острых конъюнктивитов.
Уши
1. Амоксицилин – антибиотик, активно борется с основными возбудителями, вызывающими ЛОР-заболевания.
2. Клавициллин-амоксициллин + клавулановая кислота – помимо чувствительных к амоксицилину микроорганизмов, препарат активно действует и на некоторые виды бактерий.
3. Отофа – ушные капли, антибиотик применяют при воспалительных заболеваниях среднего уха.
4.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5. Нимесулид – оказывает одновременно обезболивающее, противовоспалительное и жаропонижающее действие.
6.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7. Ципрофлоксацин – эффективно местное средство при отитах, оказывает противовоспалительное, противозудное и сосудосуживающее действие, уменьшает отеки.
8. Цефаклор, цефиксим, цефподоксим, цефпрозил, цефуроксим – это цефалоспорины второго и третьего поколения. Их назначают тем, на кого не действует ампициллин.
9. Эдас-125 тонзиллин – гомеопатические капли, назначают детям с 2-х лет при отитах, аденоидах, хроническом тонзиллите с водой или на кусочке сахара.
10. Эритромицин – назначают тем, у кого аллергия на препараты пенициллинового ряда.
Нервы
1. Венлаксор – антидепрессант практически без побочных эффектов, быстро выводит из тяжелой депрессии.
2. Бусперон – сильное противотревожное средство, не создает эффекта заторможенности. Можно применять водителям и студентам перед экзаменом.
3. Гидазепам – мягкое снотворное, не влияет на реакцию водителя. Но к нему можно привыкнуть – больше месяца пить нельзя!
4. Зипрекса – не имеет серьезных побочных действий, оказывает помощь мгновенно.
5. Имован (сонап, сомнол, сонаван) – самые современные снотворные средства.
6. Паксил – антидепрессант, хорошо устраняет панику, страх, навязчивые состояния (фобии), помогает от анорексии, а также побочно удлиняет течение полового акта.
7. Праместар – улучшает память вообще и упрощает запоминание информации.
8. Рисполепт – действует долго, удобен – растворяется во рту как конфета.
9. Сульпирид (эгланил) – одновременно лечит нервы и желудок. Еще плюс: сегодня выпил – сегодня результат.
10. Финлепсин – лечит судороги и невриты, а также стабилизирует настроение.
Почки
1. Аксеф – антибиотик, удобен тем, что можно принимать как таблетки, а можно вводить инъекционно. Он продается поштучно в комплекте с растворителем.
2. Блемарен – самый эффективный растворитель камней в почках.
3. Канефрон – растительный препарат без побочных действий.
4. Мовалис – свечи, негормональное противовоспалительное средство, которое не раздражает слизистую оболочку прямой кишки.
5. Нефрофит – комбинированный фитопрепарат с противовоспалительным и мочегонным действием. Без побочных эффектов, назначают детям с 5 лет и беременным.
6. Офлоксин – не агрессивен для желудка, редко вызывает аллергии.
7. Уросепт – свечи, действуют только на мочевыводящую систему.
8. Уролесан – растительный препарат, хорошо выводит песок из почек, часто назначают детям. Есть в виде сиропа.
9. Флемоклав солютаб – широкий спектр антимикробного действия, рекомендуют ослабленным больным.
10. Цефтриаксон – антибиотик широкого спектра действия с минимумом побочных эффектов, разрешен для применения даже беременным.
Простата
1. Азитрокс – антибиотик, удобен – одна таблетка в неделю.
2. Гатифлоксацин – самый новый антибиотик, быстродействующий.
3. Зоксон – дает минимум побочных эффектов, удобен – одна таблетка на ночь.
4. Пенистен – уменьшает объем простаты, снижет риск развития рака предстательной железы.
5. Простамол УНО – растительный препарат без побочных эффектов.
6. Простатилен (Витапрост) – вытяжка из предстательной железы крупного рогатого скота, биостимулятор.
7. Протефлазид – растительный иммуностимулятор, эффективен при простатите.
8. Фокусин – не снижает артериальное давление.
9. Фунид – противогрибковый препарат последнего поколения.
10. Юнидокс солютаб – антибиотик широкого спектра действия, хорошо проникает в ткань предстательной железы.
Суставы
1. Аспирин – незаменим при подагре.
2. Алфлутоп – улучшает обмен крови и активизирует процессы обмена в мышцах.
3. Дона – укрепляет хрящевую ткань.
4. Диклоберл – негормональный противовоспалительный препарат. Применяют в свечах, но можно делать и уколы.
5. Диклофен – меньше других дает побочных эффектов.
6. Диклофенак – эффективный, но влияет на состояние крови.
7. Кетанов – эффективный инъекционный препарат.
8. Олфен – удобен тем, что есть в свечах, не страдает слизистая желудка.
9. Остеогенон – эффективный хондопротектор, избавляет суставы от разболтанности.
10. Ретаболил – улучшает периферическое кровообращение.
Горло
1. Анаферон – хорошее гомеопатическое средство для лечения вирусных инфекций верхних дыхательных путей.
2. Колустан – аэрозоль, хорошо снимает отеки при воспалениях.
3. Люголь, растворенный в глицерине – лучшее наружное средство при ларингите.
4. Пропосол–Н – имеет выраженные антимикробные и противовоспалительные свойства, не оказывает раздражающего действия на организм.
5. Синупрет – обладает антибактериальным и антиотечным действием, может назначаться детям – есть в виде капель.
6. Тонзилгон – противовоспалительное и обезболивающее средство, способствует уменьшению отека слизистой оболочки дыхательных путей.
7. Тонзилотрен – повышает активность слизистой оболочки.
8. Флемоксин солютаб – эффективный быстрорастворимый антибиотик при гнойной ангине, применяют как вовнутрь, так и для полоскания.
9. Фарингосепт – антисептическое средство, приятное на вкус (рассасывается во рту). Не влияет на кишечную микрофлору.
10. Фалиминт – средство с охлаждающим действием для лечения заболеваний полости рта и глотки. Незаменим накануне операций, при протезировании зубов и для лекторов.
Перед применением обязательно проконсультируйтесь с врачом, некоторые лекарства имеют противопоказания и могут навредить вашему здоровью!!</t>
  </si>
  <si>
    <t>Нина Петрова Юдина</t>
  </si>
  <si>
    <t>13.04.2023 21:49</t>
  </si>
  <si>
    <t>Анастасия Сергеева</t>
  </si>
  <si>
    <t>13.04.2023 21:48</t>
  </si>
  <si>
    <t xml:space="preserve">ΜУЧИТΕЛЬΗЫЙ ΚАШΕЛЬ ПРИ ТРАΧΕИТΕ ΗΕ ДАΕТ ПОΚОЯ...
И ТУТ Β АПТΕΚΕ...
...я попpосила что -нибудь болee эффeктивноe, чeм всe эти "АЦЦ " и "Αмбpобeнe". Πpовизоp дала мнe волшeбный peцeпт, котоpый я распpостpанила сpeди всeх своих знaкомых. Стоит он копeйки, а помогаeт быстpо и эффeктивно.
Ηeобходимо купить:
1." Таблeтки от кашля" ( они тaк и нaзывaются, это тepмопсис);
2. "Γpудной эликсиp"( нaшaтырно-aнисовыe кaпли);
Β стaкaнe рaстeрeть 2 таблeтки , добaвить 1 дeсepтную ложку эликсиpа и залить 2-мя столовыми ложками гоpячeй воды. Βсe пepeмeшать и выпить. Πpинимать 3 pаза в дeнь за полчаса до eды и за два часа до сна.
Р. S. Стaтья носит исключитeльно инфоpмaционный хapaктep и нe можeт зaмeнить консультaции вpaчa.
Всегда Ваш - Уютный уголок!</t>
  </si>
  <si>
    <t>Татьяна Чадаева</t>
  </si>
  <si>
    <t>Татьяна Деркач</t>
  </si>
  <si>
    <t>Вохма</t>
  </si>
  <si>
    <t>13.04.2023 21:47</t>
  </si>
  <si>
    <t>Дарья Куликова</t>
  </si>
  <si>
    <t>13.04.2023 21:45</t>
  </si>
  <si>
    <t>Наталья Ивлева</t>
  </si>
  <si>
    <t>13.04.2023 21:44</t>
  </si>
  <si>
    <t xml:space="preserve">СКОРАЯ  ПОМОЩЬ  ДОСТУПНЫМИ  СРЕДСТВАМИ.
ПОЛЕЗНЫЕ  СОВЕТЫ  ДОБРОГО  ДОКТОРА  ВЕСЕЛОВА.
Текст на изображении: ПРОСТУДА Ибупрофен сильное обезболивающее средство, быстро действует, в виде шипучих таблеток щадит желудок, в свечах удобен для Колдрекс отличный сосудосуживающий препарат. Назол избавляет от насморка и не дает пересыхать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насморка противоаллергическими компонентами.;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t>
  </si>
  <si>
    <t>Галина Навалова (Буга)</t>
  </si>
  <si>
    <t>13.04.2023 21:40</t>
  </si>
  <si>
    <t xml:space="preserve">Нужные медицинские препараты на все случаи жизни  Супер!
Текст на изображении: ГОРЛО Анаферон хорошее гомеопатическое средство для лечения вирусных инфекций верхних дыхательных путей. Колустан аэрозоль, хорошо снимает отеки при воспалениях. Люголь, растворенный в глицерине лучшее наружное средство при ларингите. Пропосол-Н имеет выраженные антимикробные и противовоспалительные свойства, не оказывает раздражающего действия на организм. Синупрет обладает антибактериальным и антиотечным действием, может назначаться детям есть в виде капель. Тонзилгон противовоспалительное и обезболивающее средство.; ПРОСТУДА Ибупрофен сильное обезболивающее средство, быстро действует, в виде шипучих таблеток щадит желудок, в свечах удобен для Колдрекс отличный сосудосуживающий препарат. Назол избавляет от насморка и не дает пересыхать слизистой оболочке носа, действует 12 часов. Нурофен скорая помощь, действует быстро. Для детей есть свечи, но сильно ухудшает качество крови. Парацетамол великолепное жаропонижающее, незаменим для астматиков. Полиоксидоний стимулирует иммунную систему, назначают детям, пригоден для экстренной помощи и для профилактики во время эпидемии ОРВИ. Рибомунил восстанавливает иммунитет, рекомендован детям. Санорин самое быстрое средство от насморка противоаллергическими компонентами.</t>
  </si>
  <si>
    <t>Любовь Самушева(Мотовилова)</t>
  </si>
  <si>
    <t>Камышин</t>
  </si>
  <si>
    <t>13.04.2023 21:38</t>
  </si>
  <si>
    <t>[id238944147|Антон], арбидол пропиваешь и проходит , я так вылечился</t>
  </si>
  <si>
    <t>Владимир Кесов</t>
  </si>
  <si>
    <t>Операционная | Медицина</t>
  </si>
  <si>
    <t>13.04.2023 21:35</t>
  </si>
  <si>
    <t>Вероника Гиниятуллина</t>
  </si>
  <si>
    <t>Вера Царенкова</t>
  </si>
  <si>
    <t>Сарапул</t>
  </si>
  <si>
    <t>13.04.2023 21:33</t>
  </si>
  <si>
    <t>Вера Субботина</t>
  </si>
  <si>
    <t xml:space="preserve">Гречка и шампунь сильнее всего подешевели в Самарской области за неделю
В четверг, 13 апреля, Самарастат опубликовал данные об изменении потребительских цен на отдельные виды товаров и услуг за период с 4 по 10 апреля 2023 года. Так, за отчетный период в Самарской области сильнее всего снизилась средняя стоимость килограмма гречневой крупы – на 3,3% (71,18 руб. за кг.).
На 3% подешевела свекла столовая (33,2 руб. за кг.), на 2,5% — мука пшеничная (42,3 руб. за кг.), на 1,4% — яйца куриные (83,22 руб. за 10 шт.) и морковь (38,37 руб. за кг.), на 3,3% — шампунь, на 2,4% — мыло туалетное, на 1,8% — стиральный порошок.
Также за неделю снизилась стоимость некоторых медикаментов. Аллохол подешевел на 4%, Ренгалин – на 3,4%, Эргоферон – на 2%, комбинированные анальгетики – на 1,9%. При этом на 3% за неделю подорожали подгузники детские бумажные, на 4,49% — свежие огурцы, на 1,3% — лук репчатый и белокочанная капуста.
[club90436798|РЕКОМЕНДУЕМ ПОДПИСАТЬСЯ!]
#фототольятти #новоститольятти #тольятти #тольяттимолодёжь #городкурорт #чптольятти #дтптольятти #дтп #чп #авария #патрультольятти</t>
  </si>
  <si>
    <t>ТОЛЬЯТТИ | НУ И НОВОСТИ!</t>
  </si>
  <si>
    <t>13.04.2023 21:32</t>
  </si>
  <si>
    <t>[id489907215|Алла], да, хорошо помогает. Раньше то мы сильно болели и долго, а как стала эти свечи использовать в лечении, так намного легче болеем. В составе кипферона не только интерферон, но еще и антитела и благодаря этому, свечи и против бактерий помогают, и против вирусов.</t>
  </si>
  <si>
    <t>Вера Туманова</t>
  </si>
  <si>
    <t>Ничего страшного. Кипферон хорошо поможет. И не страшно, что уже не первые дни болезни. К препарата в составе антитела и интерферон, которые на любом сроке помогают вылечить и осложнениям не дать развиться.</t>
  </si>
  <si>
    <t>Татьяна Богатырева</t>
  </si>
  <si>
    <t>Мамочки Красноярска</t>
  </si>
  <si>
    <t>13.04.2023 21:31</t>
  </si>
  <si>
    <t>Я для иммунитета свечи кипферон дома держу. Если сын заболевает, начинаю ему их вставлять и обычно сильно не болеем, от свечей точно эффект есть.</t>
  </si>
  <si>
    <t>Лида Бабинова</t>
  </si>
  <si>
    <t>Кизел</t>
  </si>
  <si>
    <t>13.04.2023 21:30</t>
  </si>
  <si>
    <t>ира шарипова</t>
  </si>
  <si>
    <t>13.04.2023 21:29</t>
  </si>
  <si>
    <t>Тоже ГЭФ поставил врач-узист. Болела первую половину беременности  постоянно ОРВИ, через неделю пришла на повторное УЗИ и ГЭФа уже нет. Причину такого резкого изменения никто не объяснил. (Но свечи виферон все же врач прописал для подстраховки, антибиотики тоже прокололи)возможно, вуи была...</t>
  </si>
  <si>
    <t>Екатерина Останина</t>
  </si>
  <si>
    <t>Истории родов. Беременность и роды.</t>
  </si>
  <si>
    <t>13.04.2023 21:26</t>
  </si>
  <si>
    <t xml:space="preserve">КАК НЕ НАДО ЛЕЧИТЬ КАШЕЛЬ
Бедный кашель Все его не любят и стремятся поскорее избавиться. А меж тем, в который раз повторим, что исходно кашель - это защитный механизм, очищающий наши легкие. И отнюдь не всегда надо в срочном порядке его изгонять.
Но когда заболел, так хочется выпить и съесть, что угодно, лишь бы прекратилось противное «кхе-кхе». А тут и аптека в доме на первом этаже соблазняет накупить разных склянок и пить из них по очереди.
Сегодня вместе с пульмонологом, терапевтом сервиса Докма Эльвирой Бородулиной разберем, как делать НЕ нужно 
❌Муколитик
Муколитики - препараты, способствующие разжижению мокроты.
Показания для применения: заболевания сопровождающиеся образованием густой и вязкой мокроты. Например, бронхиальная астма, хронический бронхит, ХОБЛ, иногда пневмония.
То есть не нужны муколитики на каждый кашель! ‍♀️ Если вы простудились и закашляли - не нужно бежать в аптеку за очередным сиропом для сухого/влажного кашля. Кашель при ОРВИ чаще всего из-за пересушенной и воспаленной задней стенки глотки, а мы берём и мокроту пытаемся выкашлять, которой нет. В результате кашель усиливается! Есть даже понятие лекарственно-индуцированного кашля - то есть появился из-за лекарств.
⚠️И напоминаю! Эти препараты строго запрещены для детей до 2-х лет и не рекомендованы до 5 лет!
❌Пульмикорт и Беродуал
Прекрасные препараты со своими показаниями:
Пульмикорт (Будесонид) - ингаляционный глюкокортикостероид (снимает воспаление). Используется в лечении бронхиальной астмы, стенозирующего ларинготрахеита, ХОБЛ, гиперреактивности бронхов, есть в клин.рекомендациях по лечению коронавирусной инфекции.
Беродуал - двойной короткий бронхолитик (расширяет бронхи). Нужен при лечении астмы, ХОБЛ и других заболеваний, когда есть обструкция (сужение) бронхов.
При ОРВИ тоже бывает обструкция, но не любой кашель=обструкция. Это должен определить и назначить врач!
Как видите, нет у них показаний «кашель любой этиологии»
❌Противокашлевые (Синекод, Омнитус и тд)
Препараты, которые блокируют кашлевой рефлекс.
Ниша применения очень узкая - после операций, бронхоскопий, при коклюше. Ими не лечат кашель при ОРВИ, астме, бронхите и тд. Опасно гасить кашель, когда он необходим и выполняет свою функцию очищения.
А при рефлекторном кашле при гастроэзофагеальном рефлюксе или постназальном затеке надо устранить причину, а не гасить кашлевой рефлекс.
❌Сингуляр (Монтелукаст)
Когда и почему мы решили лечить им кашель?
Препарат используется в лечении бронхиальной астмы, аллергического ринита, гипертрофии аденоидов.
Не нужен при ОРВИ, трахеите, бронхите и тд. Если ваш кашель лечится Сингуляром, то это бронхиальная астма.
Это не витаминка, а препарат с серьезными побочными эффектами! Не надо принимать без назначения врача.
❌И есть еще страшное лекарство - Амбробене Стоптуссин
Там противокашлевое с муколитиком.
Разжижаем мокроту и гасим кашлевой рефлекс…Вам тоже это полное отсутствие логики кажется опасным?
❌Лекарства на травах
Только заболели и заботливая бабушка/мама/соседка тут как тут - попей/подыши/ понюхай травы. Травы - это ж безопасно! Ну что от них может быть?
А меж тем травы это:
не доказанный эффект
риск аллергии
абсолютная невозможность дозировать препарат и прогнозировать побочные эффекты.
И опять, мы что ими лечим? Если нужен эффект муколитика - есть эффективные
и работающие изученные вдоль и поперек препараты. Зачем нам кот в мешке?
❌А еще не будем распространяться тут о популярном препарате на букву “Ре” с которым и сухой и влажный кашель - не страшен. Его разбор мы опубликуем в отдельном посте.
Не лечите кашель, лечите причину!</t>
  </si>
  <si>
    <t>Ольга Шандыбина</t>
  </si>
  <si>
    <t>13.04.2023 21:25</t>
  </si>
  <si>
    <t>Анвар Гайсин</t>
  </si>
  <si>
    <t>Тюмень</t>
  </si>
  <si>
    <t>А я пью АЦЦ</t>
  </si>
  <si>
    <t>Бусинка</t>
  </si>
  <si>
    <t xml:space="preserve">Kambuland </t>
  </si>
  <si>
    <t>13.04.2023 21:24</t>
  </si>
  <si>
    <t>Людмила Федорова</t>
  </si>
  <si>
    <t>13.04.2023 21:22</t>
  </si>
  <si>
    <t>Ирина Архипова (Cтепанова)</t>
  </si>
  <si>
    <t>Чапаевск</t>
  </si>
  <si>
    <t>13.04.2023 21:21</t>
  </si>
  <si>
    <t>Людмила Рыжова(Баранова)</t>
  </si>
  <si>
    <t>13.04.2023 21:19</t>
  </si>
  <si>
    <t>Зиля Аминова</t>
  </si>
  <si>
    <t>13.04.2023 21:18</t>
  </si>
  <si>
    <t>Людмила Воробьева(Шапкина)</t>
  </si>
  <si>
    <t>Республика Марий Эл</t>
  </si>
  <si>
    <t>Йошкар-Ола</t>
  </si>
  <si>
    <t>Мария Назарова</t>
  </si>
  <si>
    <t>Елена Ефанова</t>
  </si>
  <si>
    <t>13.04.2023 21:16</t>
  </si>
  <si>
    <t>Бахлул Иманов</t>
  </si>
  <si>
    <t>Кисловодск</t>
  </si>
  <si>
    <t>13.04.2023 21:15</t>
  </si>
  <si>
    <t>При маленьком сроке Анаферон поможет в нос гриппфирон. Ешьте,лук,чеснок,лимон,киви. На ночь грелка тёплая под икры.Клюквеный морс вообще отличное средство</t>
  </si>
  <si>
    <t>Татьяна Глазкова</t>
  </si>
  <si>
    <t>Подслушано Запрудня</t>
  </si>
  <si>
    <t>Запрудня</t>
  </si>
  <si>
    <t>Чупрова Елена</t>
  </si>
  <si>
    <t>13.04.2023 21:14</t>
  </si>
  <si>
    <t>Николай Агапов</t>
  </si>
  <si>
    <t>Республика Адыгея (Адыгея)</t>
  </si>
  <si>
    <t>Майкоп</t>
  </si>
  <si>
    <t>13.04.2023 21:13</t>
  </si>
  <si>
    <t>Лидия Данилова (Кускова)</t>
  </si>
  <si>
    <t>Усть-Илимск</t>
  </si>
  <si>
    <t>Валентина Толкачева</t>
  </si>
  <si>
    <t>13.04.2023 21:12</t>
  </si>
  <si>
    <t>Альфия Кирнос</t>
  </si>
  <si>
    <t xml:space="preserve">САМЫЕ ЭФФЕКТИВНЫЕ ЛЕКАРСТВА☝
Эффективные лекарства из проверенных средств до сих пор не устарели и помогают лучше других.
100 лучших лекарств из проверенных средств до сих пор не устарели и помогают лучше других. Все это поможет вам сохранить здоровье.
 Глаза.
Зовиракс - глазная мазь, незаменима при конъюнктивитах вирусной природы.
Квинакс - лучшее профилактическое средство при катаракте.
Корнерегель - гель, хорошо восстанавливает слезную пленку на роговице глаза.
Ксалаком - в нем соединены два препарата ксалатан и тималол. Они усиливают действие друг друга.
Ксалатан (траватан) - эффективен при глаукоме, можно капать один раз в сутки.
Систейн - искусственная слеза, преимущество - можно капать раз в сутки.
Униклофен - хорошее нестероидное противовоспалительное средство в каплях.
Флоксал - капли, антибиотик, действует на широкий спектр микроорганизмов.
Флоксаловая мазь - незаменима при бактериальных конъюнктивитах.
Циклоксан - сильный антибиотик в каплях, панацея от острых конъюнктивитов.
 Горло.
Анаферон - хорошее гомеопатическое средство для лечения вирусных инфекций верхних дыхательных путей.
Колустан - аэрозоль, хорошо снимает отеки при воспалениях.
Люголь, растворенный в глицерине - лучшее наружное средство при ларингите.
Пропосол–Н - имеет выраженные антимикробные и противовоспалительные свойства, не оказывает раздражающего действия на организм.
Синупрет - обладает антибактериальным и антиотечным действием, может назначаться детям - есть в виде капель.
Тонзилгон - противовоспалительное и обезболивающее средство, способствует уменьшению отека слизистой оболочки дыхательных путей.
Тонзилотрен - повышает активность слизистой оболочки.
Флемоксин солютаб - эффективный быстрорастворимый антибиотик при гнойной ангине, применяют как вовнутрь, так и для полоскания.
Фарингосепт - антисептическое средство, приятное на вкус (рассасывается во рту). Не влияет на кишечную микрофлору.
Фалиминт - средство с охлаждающим действием для лечения заболеваний полости рта и глотки. Незаменим накануне операций, при протезировании зубов и для лекторов.
 Желудок.
Альтан - растительный препарат отечественного производства, незаменим при язвенной болезни.
Ацидин-пепсин - препарат повышает кислотность в желудке.
Гастритол - капли растительного происхождения, чувство тяжести в желудке, проявления тошноты, позывы рвоты, изжога, вздутие, отрыжка или срыгивание).
Мотилиум - нормализует моторику желудка, улучшает продвижение пищи по желудку.
Облепиховое масло - уменьшает воспалительные процессы в желудке.
Париет - из последнего поколения препаратов, которые хорошо снижают кислотность в желудке.
Пилобакт - новейшее средство от хеликобактера.
Ренорм - отечественный фитоконцентрат с сильным противовоспалительным действием, нормализует пищеварение.
Риабал - хорошо снимает спазмы в желудке, его назначают детям. Есть в виде сиропа и в каплях.
Фосфалюгель - гель, хорошо снимает приступы изжоги, менее токсичен, чем его аналоги.
 Нервы.
Венлаксор - антидепрессант практически без побочных эффектов, быстро выводит из тяжелой депрессии.
Бусперон - сильное противотревожное средство, не создает эффекта заторможенности. Можно применять водителям и студентам перед экзаменом.
Гидазепам - мягкое снотворное, не влияет на реакцию водителя. Но к нему можно привыкнуть - больше месяца пить нельзя!
Зипрекса - не имеет серьезных побочных действий, оказывает помощь мгновенно.
Имован (сонап, сомнол, сонаван) - самые современные снотворные средства.
Паксил - антидепрессант хорошо устраняет панику, страх, навязчивые состояния (фобии), помогает от анорексии, а также побочно удлиняет течение полового акта.
Праместар - улучшает память вообще и упрощает запоминание информации.
Рисполепт - действует долго, удобен - растворяется во рту как конфета.
Сульпирид (эгланил) - одновременно лечит нервы и желудок. Еще плюс: сегодня выпил - сегодня результат.
Финлепсин - лечит судороги и невриты, а также стабилизирует настроение.
 Печень.
Антраль - отечественный оригинальный препарат, ему нет аналогов в мире, защищает клетки печени от любой микробной агрессии.
Галстена - капли, незаменимое лекарство для маленьких детей.
Лиолив - улучшает состояние печени при желтухах (пониженный билирубин).
Липоферон - препарат принимают через рот, он дешевле инъекционных интерферонов в 5 раз!
Оротат калия - улучшает работу печени, синтез белка, общий обмен веществ.
Силимарин - гексал. Растительный препарат. В нем содержится намного больше действующего вещества, чем в его аналогах: карсиле, силиборе, гепабене.
Холензим - желчегонный недорогой препарат, помогает перевариванию пищи, улучшает выработку ферментов.
Холивер - желчегонный препарат растительного происхождения.
Хепель - гомеопатическое немецкое средство без побочных действий.
Эссенциале - уже 20 лет нет более действенного препарата для лечения печени.
 Почки.
Аксеф - антибиотик, удобен тем, что можно принимать как таблетки, а можно вводить инъекционно. Он продается поштучно в комплекте с растворителем.
Блемарен - самый эффективный растворитель камней в почках.
Канефрон - растительный препарат без побочных действий.
Мовалис - свечи, негормональное противовоспалительное средство, которое не раздражает слизистую оболочку прямой кишки.
Нефрофит - комбинированный фитопрепарат с противовоспалительным и мочегонным действием. Без побочных эффектов, назначают детям с 5 лет и беременным.
Офлоксин - не агрессивен для желудка, редко вызывает аллергии.
Уросепт - свечи, действуют только на мочевыводящую систему.
Уролесан - растительный препарат, хорошо выводит песок из почек, часто назначают детям. Есть в виде сиропа.
Флемоклав солютаб - широкий спектр антимикробного действия, рекомендуют ослабленным больным.
Цефтриаксон - антибиотик широкого спектра действия с минимумом побочных эффектов, разрешен для применения даже беременным.
 Простата.
Азитрокс - антибиотик, удобен - одна таблетка в неделю.
Гатифлоксацин - самый новый антибиотик, быстродействующий.
Зоксон - дает минимум побочных эффектов, удобен - одна таблетка на ночь.
Пенистен - уменьшает объем простаты, снижет риск развития рака предстательной железы.
Простамол УНО - растительный препарат без побочных эффектов.
Простатилен (Витапрост) - вытяжка из предстательной железы крупного рогатого скота, биостимулятор.
Протефлазид - растительный иммуностимулятор, эффективен при простатите.
Фокусин - не снижает артериальное давление.
Фунид - противогрибковый препарат последнего поколения.
Юнидокс солютаб - антибиотик широкого спектра действия, хорошо проникает в ткань предстательной железы.
 Простуда.
Арбидол - повышает противовирусную активность всех систем организма.
Ибупрон - сильное обезболивающие средство, быстро действует, в виде шипучих таблеток щадит желудок, а в свечах удобен для малышей.
Колдрекс - отличный сосудосуживающий препарат. Быстро действует, потому что его растворяют в горячей воде.
Назол - избавляет от насморка и не дает пересыхать слизистой оболочке носа, действует 12 часов.
Нурофен - скорая помощь, действует быстро. Для малышей есть свечи, но сильно ухудшает качество крови.
Парацетамол (панадол, эффералган) - великолепное жаропонижающее, незаменим для астматиков.
Полиоксидоний - стимулирует иммунную систему, назначают детям, пригоден для экстренной помощи и для профилактики во время эпидемии ОРВИ.
Рибомунил - восстанавливает иммунитет, рекомендован детям как самое эффективное средство.
Санорин - самое быстрое средство от насморка с противоаллергическими компонентами.
Флукол–Б - дешевый и эффективный препарат, но содержит 8% алкоголя и противопоказан водителям.
 Суставы.
Аспирин - незаменим при подагре.
Алфлутоп - улучшает обмен крови и активизирует процессы обмена в мышцах.
Дона - укрепляет хрящевую ткань.
Диклоберл - негормональный противовоспалительный препарат. Применяют в свечах, но можно делать и уколы.
Диклофен - меньше других дает побочных эффектов.
Диклофенак - эффективный, но влияет на состояние крови.
Кетанов - эффективный инъекционный препарат.
Олфен - удобен тем, что есть в свечах, не страдает слизистая желудка.
Остеогенон - эффективный хондопротектор, избавляет суставы от разболтанности.
Ретаболил - улучшает периферическое кровообращение.
 Уши.
Амоксицилин - антибиотик, активно борется с основными возбудителями, вызывающими ЛОР-заболевания.
Клавициллин (амоксициллин + клавулановая кислота) - помимо чувствительных к амоксицилину микроорганизмов, препарат активно действует и на некоторые виды бактерий.
Отофа - ушные капли, антибиотик применяют при воспалительных заболеваниях среднего уха.
Отипакс - комбинированный препарат для местного применения с выраженным обезболивающим и противовоспалительным действием. Сочетание в нем феназона и лидокаина сокращает время наступления анестезирующего эффекта.
Нимесулид - оказывает одновременно обезболивающее, противовоспалительное и жаропонижающее действие.
Нокспрей - при введении через полость носа вызывает сужение слизистой оболочки, уменьшает ее отек, а также отечность вокруг устьев евстахиевых труб, улучшает дренаж при евстахиите и отите.
Ципрофлоксацин - эффективно местное средство при отитах, оказывает противовоспалительное, противозудное и сосудосуживающее действие, уменьшает отеки.
Цефаклор, цефиксим, цефподоксим, цефпрозил, цефуроксим - это цефалоспорины второго и третьего поколения. Их назначают тем, на кого не действует ампициллин.
Эдас-125 тонзиллин - гомеопатические капли, назначают детям с 2-х лет при отитах, аденоидах, хроническом тонзиллите с водой или на кусочке сахара.
Эритромицин - назначают тем, у кого аллергия на препараты пенициллинового ряда.</t>
  </si>
  <si>
    <t>Мой малыш</t>
  </si>
  <si>
    <t>13.04.2023 21:11</t>
  </si>
  <si>
    <t>Сергей Золотов</t>
  </si>
  <si>
    <t>Ейск</t>
  </si>
  <si>
    <t>13.04.2023 21:09</t>
  </si>
  <si>
    <t>Нина Терентьева</t>
  </si>
  <si>
    <t>13.04.2023 21:07</t>
  </si>
  <si>
    <t>Наталия Щербатенко</t>
  </si>
  <si>
    <t xml:space="preserve">Анаферон ударная доза 5 таблеток и вирус уйдёт </t>
  </si>
  <si>
    <t>YANA‍⬛</t>
  </si>
  <si>
    <t>КСЕНИЯ БОРОДИНА</t>
  </si>
  <si>
    <t>13.04.2023 21:06</t>
  </si>
  <si>
    <t>Надежда Ильченко (Луханина)</t>
  </si>
  <si>
    <t>Целина</t>
  </si>
  <si>
    <t>Зинаида Костарева</t>
  </si>
  <si>
    <t>13.04.2023 21:04</t>
  </si>
  <si>
    <t>Людмила Иванова (Анкудинова)</t>
  </si>
  <si>
    <t>Аксай</t>
  </si>
  <si>
    <t>Фарида Низамутдинова</t>
  </si>
  <si>
    <t>13.04.2023 21:03</t>
  </si>
  <si>
    <t>[id133481784|Дарья], мы не пошли в сад, аллерголог на разрешил, у нас аллергия на пыль, плесень, клещ. Вот на подготовку ходим, и приносим с неё. Вот пневмонию в октябре перенесли. Но так посоветовали хваленого врача, вызвали , а он вот и запустил, бронхит он сразу услышал, а лечение был ингаверин один, а когда на 4 день пошли к другому врачу, уже было поздно</t>
  </si>
  <si>
    <t>Анастасия Нечаева</t>
  </si>
  <si>
    <t>13.04.2023 21:02</t>
  </si>
  <si>
    <t>Валентина Воронова (Григорьева)</t>
  </si>
  <si>
    <t>Ольга Зимина-Добродомова</t>
  </si>
  <si>
    <t>13.04.2023 21:01</t>
  </si>
  <si>
    <t>нина руднева</t>
  </si>
  <si>
    <t>13.04.2023 20:59</t>
  </si>
  <si>
    <t>Валерий Васильев</t>
  </si>
  <si>
    <t>Энгельс</t>
  </si>
  <si>
    <t>13.04.2023 20:57</t>
  </si>
  <si>
    <t>Лейсан Сабирова</t>
  </si>
  <si>
    <t>13.04.2023 20:56</t>
  </si>
  <si>
    <t>Ирина Рожкова (Серенкова)</t>
  </si>
  <si>
    <t>Добрянка</t>
  </si>
  <si>
    <t>13.04.2023 20:55</t>
  </si>
  <si>
    <t>ирина тяжельникова</t>
  </si>
  <si>
    <t xml:space="preserve">Вам когда-нибудь назначали арбидол, терафлю или АЦЦ?
Поздравляем, вы стали жертвой системы выкачки денег и здоровья. 70% аптек забиты фуфломицинами, которые уже укоротили вашу жизнь лет на 5.
Врачебная тайна — канал об ошибках, которыми вы сами добиваете здоровье. Эти мелочи прибавят вам 10-15 лет к жизни:
• как общаться с врачом, который втюхивает, а не лечит
• почему "норма" о 2-х литрах воды в день — бред
• что 90% медиков умалчивают об антибиотиках
Для тех, кто хочет прожить дольше и здоровее, оставляем ссылку ниже, подписывайтесь на ВРАЧЕБНУЮ ТАЙНУ
Реклама</t>
  </si>
  <si>
    <t>КОЛОКОЛ XXI</t>
  </si>
  <si>
    <t>13.04.2023 20:53</t>
  </si>
  <si>
    <t xml:space="preserve">[club155403177|Купрум], насколько я понимаю, не совсем верны изложенные вами факты. Исследования по Арбидолу проводил не производитель, а независимая лаборатория, как и это обычно и происходит. Но по запросу производителя, конечно. И это логично, как я думаю, подтверждать эффективность важно производителю.
Я читала, что иностранные фармацевтические компании тоже так делают, это норма.</t>
  </si>
  <si>
    <t>Елена Смирнова</t>
  </si>
  <si>
    <t>Раиса Максимова</t>
  </si>
  <si>
    <t>Новохоперский</t>
  </si>
  <si>
    <t>Svetlana Polismakovamelnikova</t>
  </si>
  <si>
    <t>13.04.2023 20:52</t>
  </si>
  <si>
    <t>Текст на изображении: ПОДАВЛЕНИЕ КАШЛЕВОГО РЕФЛЕКСА. Если приступ кашля одолевает во время публичного мероприятия или в офисе, первое желание подавить его. Но в таком случае заболевание не пройдет быстро. При влажном кашле нужно принимать отхаркивающие средства например, Коделак Бронхо. Благодаря комбини- рованному составу он могает быстро и тивно вывести мокроту и снять воспаление.</t>
  </si>
  <si>
    <t>Раиса Воеводина</t>
  </si>
  <si>
    <t>13.04.2023 20:51</t>
  </si>
  <si>
    <t>Валентина Блинова</t>
  </si>
  <si>
    <t>13.04.2023 20:50</t>
  </si>
  <si>
    <t>Лариса Лубенникова (Дудникова)</t>
  </si>
  <si>
    <t>Краснодар</t>
  </si>
  <si>
    <t>13.04.2023 20:49</t>
  </si>
  <si>
    <t>Круговорот «Ингавирина» в семье Рейхарта</t>
  </si>
  <si>
    <t xml:space="preserve">Как испытанный на мышах «препарат» обогащает миллиардами экс-главу ФФОМС России?
Простой человек склонен верить в чудеса. А больной – тем более. Таково свойство психики, что заболев, мы сразу же теряем здоровый скепсис и верим в чудодейственную таблеточку, которая разом исцелит.
Этим давно пользуются деятели фармацевтической промышленности, втюхивая нам абсолютно бесполезные препараты. Пусть это и неэтично, но ещё полбеды, если под видом панацеи продают пустышку. Однако некоторые идут еще дальше – цинично и жестоко предлагают больным препараты, которые не просто не лечат, а калечат, вызывая смертельные заболевания.
Коллеги редакции «Компромат» сообщают об очередной «панацее» от российских «фармацевтов», которая продается во всех аптеках бывшего СНГ. Это – противовирусный и противовоспалительный препарат для лечения и профилактики гриппа и ОРВИ «Ингавирин», который щедро предлагают больным аптечные сети. Что интересно – как России, так и Украины, что в связи с последними событиями уже несколько странно.
Но это только первый настораживающий факт. Другой факт – куда более серьёзный – нам дает описание истории разработки этого «чудо-препарата». Всё выдержано в конспирологических тонах, как то очень любит средний бывший советский человек.
По словам академика РАН А.Г. Чучалина, член-корреспондент АН СССР Р.П. Евстигнеева в 1960-х годах работала над созданием эффективного препарата для лечения аллергии и с этой целью изучала яд калифорнийского моллюска. На основе этой работы группа её учеников, в том числе В.Е. Небольсин, синтезировала новый «низкомолекулярный лекарственный препарат с мощным антигистаминным действием», ныне известный как Ингавирин.
По информации, опубликованной в расследовании Ивана Голунова в 2013 году, в 2009 г. А.Г. Чучалин утверждал, что Ингавирин создан в закрытой подмосковной лаборатории, когда-то занимавшейся разработкой бактериологического оружия и что препарата, равного ему по силе воздействия на вирус гриппа, «нет и долго не будет во всём мире». «Ингавирин» появился в российских аптеках в 2008 году без проведения полноценных исследований. Ускоренные клинические испытания проводились на мышах, а также группе из 100 пациентов. Все научные публикации об «Ингавирине» написаны только в России, большая часть – в соавторстве с тем же Чучалиным.
Журналист-расследователь Иван Голунов также указывал, что распространением «Ингавирина» занимается фирма «Валента», не раскрывающая своих бенефициаров. Редакция «Компромат-Урал» обнаружила материалы, обнажающие аффилированность с «Ингавирином» бывшего чиновника Дмитрия Рейхарта.
«Итак, конечными бенефициарами ОАО «Валента фармацевтика», которой через кипрский офшор являются восемь физических лиц, включая родственницу бывшего председателя Федерального фонда обязательного медицинского страхования (ФФОМС) Дмитрия Рейхарта - Зинаиду Рейхарт. Попробуем разобраться, крупнейшим акционером компании является - ПАО «Отечественные лекарства». Корпорация, в свою очередь, контролируется через кипрский офшор Lekarstva Holdings, который и принадлежит нашим героям: Кириллу Сырову, Владимиру Нестеруку, Олегу Кедровскому, Алексею Романову, Святославу Петрушко, той самой Зинаиде Рейхарт. Как сообщается, госпожа Рейхарт в данном случае является простым номиналом, делами управляет её отец, скандально известный Дмитрий Рейхарт», - писало в 2020 году издание «Компромат.Групп».
Но вернёмся к якобы чудодейственным свойствам рейхартовской пилюли. Рассказы «медицинского светилы» Чучалина воспроизводились многими СМИ, однако возникают сомнения в их достоверности из-за того, что советский химик Евстигнеева в разгар холодной войны вряд ли могла работать с моллюском, эндемичным для морского шельфа вблизи Лос-Анджелеса, что признал и сам Чучалин.
Почти как история с «синим йодом», который «запретил выпускать сам товарищ Сталин», потому что не хотел, чтобы в СССР все бесплатно излечились от всех болячек. Звучит анекдотично, но поройтесь в рекламе – вы будете шокированы тем уровнем бреда, который там звучит. Не стоит этому удивляться – этот откровенный бред рассчитан на людей, которые утратили критическое мышление под давлением болезни и отчаяния.
Что касается Ингавирина, то, как и следовало ожидать, он распространен исключительно в России и некоторых других странах бывшего СССР. В странах ЕС и в США препарат и лекарства на его основе не зарегистрированы. Более того, как пишут авторитетные европейские медицинские издания, «механизм противовирусного действия Ингавирина неясен, у него отсутствует прямое вирус специфическое действие. Интерфероногенными свойствами он также не обладает, а эффективность препарата не доказана».
Относительно сферы применения Ингавирина тоже история странная. Он рекомендуется для профилактики гриппа и ОРВИ. Пик популярности Ингавирина совпал с пиком эпидемии коронавируса, когда внезапно оказалось, что препарат рекомендуется к его лечению. Рекомендации исходили, как вы понимаете, от производителей. И выпускались в форме навязчивой рекламы.
В январе 2020 года в телевизионной рекламе Ингавирин был назван лекарством от коронавируса, но спустя короткое время эта фраза из рекламы была убрана. В том же 2020 году Чучалин активно рекомендовал Ингавирин для лечения COVID-19. После того, как столкнулся с критикой и был вынужден по неясным причинам покинуть пост председателя Совета по этике при Минздраве РФ, он продолжил осторожно рекламировать его для лечения этой болезни.
Но изначально Ингавирин разрабатывался как совершенно другой препарат и предназначался для… лечения рака. Действующее вещество Ингавирина (витаглутам) продавалось в России и до 2008 года под маркой «Дикарбамин» в качестве стимулятора кроветворения у больных, получающих противораковую терапию.
И лишь потом внезапно «выяснилось», что Ингавирин лечит все – грипп, ОРВИ, а через несколько месяцев после начала продаж Ингавирин был рекомендован Минздравом для лечения свиного гриппа. Продажи шли довольно вяло, но через несколько лет вдруг появился коронавирус и оказалось, что среди противовирусных препаратов аптечного ассортимента Ингавирин был самым продаваемым в первые 10 недель 2020 года с долей 23,3 %. В 2020 году в России были заключены 74 государственных контракта на поставку Ингавирина общей суммой больше 201 миллиона рублей.
По данным DSM-group, в 2020 году препарат занял на четвёртое место по объёму полученной производителем прибыли среди всех препаратов на российском фармацевтическом рынке.
Но это отнюдь не самое страшное. Как уже говорилось, было бы полбеды, если бы это была бы просто пустышка. Но последствия таких массовых продаж куда более страшны, чем просто неадекватное лечение коронавируса и связанные с этим вполне понятные последствия.
Помните, для чего Ингавирин создавался изначально? Для лечения рака. И резкое «перепрофилирование» препарата вызвано отнюдь не тем, что грипп и ОРВИ куда более распространены, чем онкология. Причина того, что лекарство начало лечить простудные заболевания, в том, что Ингавирин не только не лечил рак, а наоборот – провоцировал онкологию и вызывал более тяжелое протекание болезни у раковых пациентов.
И скрыть это от врачей и родственников пациентов в специализированных клиниках было нельзя. Потому и получилось, что Ингавирин вдруг стал лечить свиной грипп и коронавирус. Однако практически все упоминания о вреде Ингавирина очень оперативно зачищаются. Уже было удалено несколько роликов на Youtube и Вконтакте. Значит, вышесказанное об Ингавирине всё-таки является правдой?
Ресурс «Незыгарь» со ссылкой на «Фонд здоровья детей и пожилых людей» пишет о том, что Ингавирин вызывает онкологию. Представители фонда обещали обратиться по этому поводу в Минздрав и Генеральную прокуратуру РФ.
В связи с этим стоит еще раз вспомнить историю Ингавирина. До 2008 года этот же самый препарат продавался под другим названием – «Дикарбамин». Он изначально проходил испытания в качестве средства от рака. Дикарбамин выписывали больным, получающим химиотерапию по поводу злокачественных новообразований. Десятки научных статей рассказывают о бесполезности имидазолилэтанамида пентандиовой кислоты (витаглутам, действующее вещество препарата) как средства не только для лечения и профилактики гриппа и ОРВИ, но и как средства для стимуляции лейкопоэза у онкобольных.
Сравнение описаний Дикарбамина и Ингавирина тоже приводит к любопытным результатам. Одно и то же вещество в зависимости от упаковки почему-то начинает вести себя по-разному, например то «доступными способами в крови не определяется», то, напротив, «определяется через 10 минут в плазме крови», защищает то от вирусных заболеваний, то от последствий химиотерапии (причем оба препарата относятся к группе противовирусных и противовоспалительных средств).
Лицензия Дикарбамина была отозвана еще в 2013 году, поскольку исследования показали, что он может вызывать рак. А его брат-близнец Ингавирин с таким же действующим веществом почему-то остался на рынке и вдруг стал панацей. А теперь производители Ингавирина стали утверждать, что он эффективен в лечении коронавирусной инфекции.
Но дело в том, что сведений о программах его клинической проверки в лечении COVID-19 попросту не существует. Ни в РФ, ни в Европе, ни в США, ни в Китае. Нигде. Это, однако, не мешает производителю успешно его продавать на рынке. Несмотря на то, что идентичный препарат с другим названием запрещён, поскольку ведет к лейкозу. В этой связи издание «Компромат1» ставит интересный вопрос: сравнивал ли кто-нибудь статистические данные роста лейкоза у детей со статистикой роста продаж Ингавирина?</t>
  </si>
  <si>
    <t>monitoring-money.com</t>
  </si>
  <si>
    <t>13.04.2023 20:47</t>
  </si>
  <si>
    <t>Любовь Ефимова(Онуфриева)</t>
  </si>
  <si>
    <t>Боровский</t>
  </si>
  <si>
    <t>13.04.2023 20:46</t>
  </si>
  <si>
    <t>Гуля Хайруллина</t>
  </si>
  <si>
    <t xml:space="preserve">Памятка от ЛОРА
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фра, мирамистин, полидекс и</t>
  </si>
  <si>
    <t>Гузаль Габбасова</t>
  </si>
  <si>
    <t>13.04.2023 20:45</t>
  </si>
  <si>
    <t>[club155403177|Купрум], мой и опыт знакомых тоже говорит о том, что Арбидол при орви помогает.</t>
  </si>
  <si>
    <t>13.04.2023 20:44</t>
  </si>
  <si>
    <t>Ирина Захарова</t>
  </si>
  <si>
    <t>Песчаное</t>
  </si>
  <si>
    <t>13.04.2023 20:43</t>
  </si>
  <si>
    <t>@dzot64 подскажи пожалуйста какой ацц  лучше приобрести ? Или особой разницы нет что аптека что спорт пит ?</t>
  </si>
  <si>
    <t>Дмитрий</t>
  </si>
  <si>
    <t>АНАБОЛИКИ.net «ЧАТ»</t>
  </si>
  <si>
    <t xml:space="preserve">Ангину лечат антибиотиком, тут Виферон </t>
  </si>
  <si>
    <t>Кира</t>
  </si>
  <si>
    <t>13.04.2023 20:40</t>
  </si>
  <si>
    <t>В инструкции Кипферона указана, что можно с рождения деток лечить. Хорошие ректальные свечки, не нужно мучить и заставлять таблетки пить или какие-то капли, сиропы. Не раз уже им ОРВИ лечили, очень хорошо помогает.</t>
  </si>
  <si>
    <t>Илона Макарова</t>
  </si>
  <si>
    <t>Мамочки Санкт-Петербурга(Спб)Питер</t>
  </si>
  <si>
    <t>[id42612559|Катерина], эффективность Арбидола при ОРВИ и гриппе доказана исследованием Арбитр</t>
  </si>
  <si>
    <t>13.04.2023 20:39</t>
  </si>
  <si>
    <t>Ирина Корчагина</t>
  </si>
  <si>
    <t>13.04.2023 20:38</t>
  </si>
  <si>
    <t>Татьяна Андреева</t>
  </si>
  <si>
    <t>13.04.2023 20:37</t>
  </si>
  <si>
    <t>Алла Згонникова</t>
  </si>
  <si>
    <t>Республика Карачаево-Черкесия</t>
  </si>
  <si>
    <t>Черкесск</t>
  </si>
  <si>
    <t> @VHC_StereotipeStudio  откуда вы взяли этот бред? Действующее вещество в Арбидоле - умифеновир. Противовирусное прямого действия.</t>
  </si>
  <si>
    <t>Маграрита Чепикова</t>
  </si>
  <si>
    <t>mednauka.net</t>
  </si>
  <si>
    <t>13.04.2023 20:35</t>
  </si>
  <si>
    <t>Гузалия Файзуллина</t>
  </si>
  <si>
    <t xml:space="preserve">Итак, подошла моя очередь. — Что вы мне посоветуете от кашля?
— Колдрекс, леденцы, пастилки, антибиотики.
Итого 600—1500 руб. Спорить с провизором не посчитала нужным, это их работа, но решила устроить небольшой спектакль.
Итак, подошла моя очередь.
— Что вы мне посоветуете от кашля?
— Леденцы «…»
— Сколько стоят?
— 300 рублей
— Сколько? Говорите громче, пожалуйста, я плохо слышу!
— 300 рублей!
— А у вас есть Мукалтин?
— Да.
— Сколько стоит?
— 5 рублей
— Громче, я плохо слышу!
— 5 рублей!
Эхо разнесло весть по всей аптеке. Очередь насторожилась, всё внимание с витрин перенеслось на нас с провизором.
— А есть трава термопсиса с содой 7, их раньше копеечными таблетками называли?
— Есть.
— Сколько?
— 1 рубль.
— Уточните!
— 1 рубль!
Градус беседы повышался, провизор всё распалялась, и зрители начинали роптать.
— Микстура Пертуссин?
— Есть!
— Сколько?
— 4—50
— Мази Прополиса?
— 12 рублей, но она гомеопатическая
— Отлично!
— Шрот расторопши пятнистой?
— 8 рублей
— Масло расторопши?
— 12 рублей
В итоге я заказала:
Термопсиса 3х10 таблеток = 3 рубля Мукалтин 2 уп.Х10 таблеток = 10 рублей мазь Прополиса 1 туб=12 р. Пертуссин 1 пузырёк = 4—50 шрот расторопши 1 пакет = 8 руб
(сейчас цены стали чуть выше)
— Сколько за всё?
— 37 с половиной
— 37.50 — это температура или цена?
Говорите громче, пожалуйста!
— Тридцать семь рублей пятьдесят копеек, — забила гвозди провизор. Лицо было бордово каменным.
— Спасибо, — тихо ответила я.
Первой не выдержала женщина с ребёнком:
— Это всё от кашля? Можно записать названия? Почему так дёшево?
— Эти лекарства всегда стоили дёшево и нас ими лечили в детстве и родители наши лечились!
— А почему тогда их нет на витрине?
— Это не выгодно аптекарю, за них ему не доплачивают фармацевтические кампании.
Для справки:
Многие дорогостоящие лекарственные препараты имеют более дешевый аналог с идентичным составом. Запишите себе их названия, если не хотите «работать на аптеку».
Нурофен (120руб) и Ибупрофен (10руб)
Мезим (300руб) и Панкреатин (30руб)
Но-шпа (150руб) и Дротаверина гидрохлорид (30руб)
Панадол (50руб) и Парацетамол (5руб)
Белосалик (380руб) и Акридерм СК (40руб)
Бепантен (250руб) и Декспантенол (100руб)
Бетасерк (600руб)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Мидриацил (360руб) и Тропикамид (120руб)
Мирамистин (200руб) и Хлоргексидин (10руб)
Мовалис (410руб) и Мелоксикам (80руб)
Нейромультивит (250руб) и Пентовит (50руб)
Нормодипин (620руб) и Амлодипин (40руб)
Омез (180руб) и Омепразол (50руб)
Панангин (140руб) и Аспаркам (10руб)
Пантогам (350руб) и Пантокальцин (230руб)
Ринонорм (50руб) и Риностоп (20руб)
Сумамед (450руб) и Азитромицин (90руб)
Трентал (200руб)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Поделитесь этим материалом со своими друзьями, пожалуйста, как нам кажется, им будет тоже интересно узнать что-то новое о мире вокруг нас.</t>
  </si>
  <si>
    <t>Михаил Солдатенко</t>
  </si>
  <si>
    <t>Краснинский</t>
  </si>
  <si>
    <t>Арбидол для взрослого (если только ребёнок начинает болеть тоже даю только детский)</t>
  </si>
  <si>
    <t>Оксана Бушина</t>
  </si>
  <si>
    <t>Женское Иваново</t>
  </si>
  <si>
    <t>Родники</t>
  </si>
  <si>
    <t>13.04.2023 20:34</t>
  </si>
  <si>
    <t xml:space="preserve">Нобазит
Но он сильный</t>
  </si>
  <si>
    <t>Татьяна Селезнёва</t>
  </si>
  <si>
    <t>Меня рафамин в таких случаях помогает хорошо, начинаю по схеме принимать при первых симптомах орви, быстро встаю на ноги, не дает разболеться</t>
  </si>
  <si>
    <t>Анна Маслова</t>
  </si>
  <si>
    <t>13.04.2023 20:32</t>
  </si>
  <si>
    <t>Валентина Чуднова</t>
  </si>
  <si>
    <t>Ставрополь</t>
  </si>
  <si>
    <t>13.04.2023 20:29</t>
  </si>
  <si>
    <t>Наталья Шувалова</t>
  </si>
  <si>
    <t>Галина Мельникова</t>
  </si>
  <si>
    <t>Воткинск</t>
  </si>
  <si>
    <t>13.04.2023 20:28</t>
  </si>
  <si>
    <t>Кто-нибудь в/м Деринат колол? Как отзывы, слышали чего?</t>
  </si>
  <si>
    <t>Maria Karakina</t>
  </si>
  <si>
    <t>Клуб «Наткловир»: иммунитет, герпесы, сху, здоровье.</t>
  </si>
  <si>
    <t>13.04.2023 20:25</t>
  </si>
  <si>
    <t>[id153736871|Алина], ну во-первых, Арбидол все-таки не пустой, согласитесь? Во-вторых, исследованиями подтвержден его эффект при орви и гриппе.</t>
  </si>
  <si>
    <t>Даша Виремева</t>
  </si>
  <si>
    <t>Надежда Балмасова</t>
  </si>
  <si>
    <t>13.04.2023 20:24</t>
  </si>
  <si>
    <t>Промывать нос морской водой, прыскать горло мирамистином, гриппферон капать либо мазать виферон. Ну тут как повезет…</t>
  </si>
  <si>
    <t>Ирина Татко</t>
  </si>
  <si>
    <t>Мамы Мамочки СПБ Санкт-Петербург Питер</t>
  </si>
  <si>
    <t>елена шорина</t>
  </si>
  <si>
    <t>13.04.2023 20:23</t>
  </si>
  <si>
    <t>Да будет вам известно,что Виферон основа какао масло,т е аллергия не знаем на что но в попу какао суем!!а ещё у виынрона белок крупный и не проходит через слизистую ,и это я ещё не говорю о том что фероны (в такой дозировке) не имеют доказанную эффективность.По поводу аллергии:ведёте пищевой дневник и исключите из рациона весь аллерген(морепродукты,яйцо,курицу,мед и т.д) и вводите  потом по одному моно продукту.Старайтесь питаться правильно и разнообразно,не для того что б молоко бвлооно в любом случае будет и будет столько сколько надо именно вашему малышу,а для того что б вы не ушли в страшные дефициты откормив ребенка.Если на протяжении 2недель ваша диета не придёте к очищению малыша то значит дело не в том что вы кушаете.Пересмотрите чем вы стираете(порошок типа ушастый нянь,тайд,ариэль полное говно!!!с жутким зим составом!Не мыть малыша ни какими средствами только вода и ни какой марганцовки.Мазать малыша кремами с чистыми составами,посмотрите молочко для тела Веледа,крем увлажняющий Олеси  Мустаевой 3.Коросе пишите помогу чем смогу</t>
  </si>
  <si>
    <t>Татьяна Мерцалова</t>
  </si>
  <si>
    <t>Норильск</t>
  </si>
  <si>
    <t>13.04.2023 20:20</t>
  </si>
  <si>
    <t>[id429393167|Ольга], изопринозин - препарат с недоказанной эффективностью</t>
  </si>
  <si>
    <t>Кристина Зайцева</t>
  </si>
  <si>
    <t>Гинеколог месячные беременность роды дети</t>
  </si>
  <si>
    <t>Саранск</t>
  </si>
  <si>
    <t>13.04.2023 20:18</t>
  </si>
  <si>
    <t>Наталья Романченко</t>
  </si>
  <si>
    <t>Оксана Жовнер (Цымбалист)</t>
  </si>
  <si>
    <t>13.04.2023 20:14</t>
  </si>
  <si>
    <t>Девочки,как быть...Нам 3 недели,и у ребенка две недели был насморк, который не проходил.Были у Лора,в итоге перешёл в отит обоих Прописали для Отипакс,для  називин и изофру,так-же свечи Виферон,и допом ещё Аб Амоксициллин.Но t у нас нет,и легкие чистые. На вопрос зачем Аб тогда, сказали что якобы т.к давно уже болеем,и не проходит, поэтому надо,раз в уши перешло. Я вот переживаю,что ребенка аб пичкать придется. Стали бы вы давать? От других слышу,что если нет t,то не стоит ребенка ими пичкать, потом с животом будем маяться,и кишечником,что ничего хорошего от них. Либо купить пробиотики,и все равно давать аб?</t>
  </si>
  <si>
    <t>elfik1</t>
  </si>
  <si>
    <t>13.04.2023 20:13</t>
  </si>
  <si>
    <t>Татьяна Неуймина (Сморкалова)</t>
  </si>
  <si>
    <t>Ирина Кокурина(Медведева)</t>
  </si>
  <si>
    <t>Тейково</t>
  </si>
  <si>
    <t>13.04.2023 20:11</t>
  </si>
  <si>
    <t xml:space="preserve">С кашлем знакомы все. Предлагаем обсудить, что же это такое?
Кашель — это защитная реакция организма. Он удаляет из дыхательных путей мокроту, пыль или инородные частицы. Но кашель кашлю рознь. Чтобы верно выбрать тактику лечения, важно различать сухой он или влажный.
➡ Разбираемся в этом в нашей инфографике.⬅
Вне зависимости от типа кашля, лечение нужно начинать сразу. Лучше не заниматься самолечением и обратиться к врачу, особенно если:
✔ температура тела повышена более 3-х дней
✔ лечение затяжного кашля не дает результатов, он длится более 7 дней;
✔ при надсадном, затяжном, изнуряющем характере кашля
✔ дыхание затруднено, есть одышка;
✔ мокрота имеет зеленый цвет или в ней обнаруживается кровь.
Текст на изображении: КАК ОТЛИЧИТЬ в гортани в грудной клетке трескучий, раздирающий лающий раскатистый, «булькаю- щий», клокочуший нет да не зависит от времени суток: изнуряет днем, мешает уснуть чаще утром, после пробуждения, иногда в течение дня постоянное першение и раздражение в горле периодическое желание откашляться из ПРОТИВОКАШЛЕВЫЕ ПРЕПАРАТЫ: подавление кашлевого рефлекса и угнетение кашлевого центра. Например, Коделак ОТХАРКИВАЮЩИЕ, МУКОЛИТИКИ: снятие воспаления, разжижение и выведение мокроты. Например, Коделак Бронхо</t>
  </si>
  <si>
    <t>ВЗРОСЛЫЙ МИР</t>
  </si>
  <si>
    <t xml:space="preserve">Сохраните себе 
Аналоги лекарств !!!
Текст на изображении: 1. Нурофен (120руб) Ибупрофен (10руб) 2. Мезим (300руб) Панкреатин (30руб) 3. Но-шпа (150руб) Дротаверина гидрохлорид, (30руб) 4. Панадол(50руб) Парацетамол (5руб) 5. Белосалик (380руб) Акридерм СК (40руб) 6. Бепантен (250руб) Декспантенол (100руб) 7. Бетасерк(600руб) Бетагистин (250руб) 8. Быструмгель (180руб) Кетопрофен (60руб) 9. Вольтарен (300руб) Диклофенак (40руб) 10. Гастрозол (120руб) Омепразол (50руб) 11. Детралекс (580руб) Венарус (300руб) 12. Дифлюкан (400руб) Флуконазол (30руб) 13. Длянос (100руб) 14. Зантак (280руб) (30руб) 15. Зиртек (220руб етиринакс (80руб) 16. Зовиракс (240руб) Ацикловир (40руб) 17. Иммунал (200руб) Эхинацеи экстракт (50руб) 18. Имодиум (300руб) Лоперамид руб) 19. Йодомарин (220руб) Калия йодид (100руб) 20. Кавинтон (580руб) Винпоцетин(200руб) 21. Кларитин (180руб) Лорагексал (60руб) 22. Клацид (600руб) Кларитромицин (180руб) 23. Лазолван (320руб) Амброксол (20руб) 24. Ламизил (400руб) Тербинафин (100руб) 25. Лиотон-1000 (350руб) 1000 (120руб) 26. Ломилан (150руб) Лорагексал (50руб)</t>
  </si>
  <si>
    <t>Гульназ Закирянова</t>
  </si>
  <si>
    <t>Набережные Челны</t>
  </si>
  <si>
    <t>пропейте анаферон для профилактики, защищает от вирусов и не дает разболеться и иммунитет укрепляет</t>
  </si>
  <si>
    <t>Катерина Паркина</t>
  </si>
  <si>
    <t>Женский Архангельск</t>
  </si>
  <si>
    <t xml:space="preserve">Вам когда-нибудь назначали арбидол, терафлю или АЦЦ?
Поздравляем, вы стали жертвой системы выкачки денег и здоровья. 70% аптек забиты фуфломицинами, которые уже укоротили вашу жизнь лет на 5.
Врачебная тайна — канал об ошибках, которыми вы сами добиваете здоровье. Эти мелочи прибавят вам 10-15 лет к жизни:
• как общаться с врачом, который втюхивает, а не лечит
• почему "норма" о 2-х литрах воды в день — бред
• что 90% медиков умалчивают об антибиотиках
Для тех, кто хочет прожить дольше и здоровее, оставляем ссылку ниже, подписывайтесь на ВРАЧЕБНУЮ ТАЙНУ</t>
  </si>
  <si>
    <t>Вотум недоверия</t>
  </si>
  <si>
    <t>Политический Цирк</t>
  </si>
  <si>
    <t>13.04.2023 20:10</t>
  </si>
  <si>
    <t>Татьяна Егорова</t>
  </si>
  <si>
    <t>здоровье</t>
  </si>
  <si>
    <t>Спас-Клепики</t>
  </si>
  <si>
    <t>Тамара Пипер</t>
  </si>
  <si>
    <t>Усинск</t>
  </si>
  <si>
    <t>андрей цуканов</t>
  </si>
  <si>
    <t>Ульяновск</t>
  </si>
  <si>
    <t>Всегда спасаюсь анафероном, принимаю при первых признаках и на след день здорова, и ударную дозу витамин с</t>
  </si>
  <si>
    <t>13.04.2023 20:09</t>
  </si>
  <si>
    <t>В Карелию за неделю выросли цены на некоторые продукты</t>
  </si>
  <si>
    <t xml:space="preserve">Фото: pxhere.com  Карелиястат поделился статистикой.  В Карелии изменились цены на овощи. Так, с  с 4 по 10, по данным Карелиястатат, подорожали капуста на 4,1%, картофель на 3,3%, лук репчатый на 1,8%, огурцы на 1,5%. В то же время свекла, яблоки и помидоры подешевели на 3,8%, 3,2% и 1,5% соответственно. Кстати говоря, в преддверии 8 марта в соцсетях шутили о том, что дорогим подарком женщине будет букет из огурцов.
Что до других продуктов, то стали дешевле молоко – на 4 %, макароны – на 3,4 %, сливочное масло – на 2,3 %, свинина на 1,9 %. В районе 1,8 – 2,8 % подорожали гречка, мясные и овощные консервы для детей.
Кроме того, за неделю на 8 % выросла цена зубной пасты, на 5,1 % – на сухие корма для животных.  А вот цена на электропылесос напольный снизилась на 3,9%, а на пелёнки для новорожденных –  на 3,4%.
Среди медикаментов подорожали «Ренгалин» –  на 3,7%, комбинированные анальгетики – на 2,7%. «Метамизол натрия» стал дешевле на 2,2%, поливитамины – на 1,3%.
Ранее рыбаки из села Карелии жаловались на запрет рыбной ловли сетями. Многие отмечают, что рыба в магазинах стоит дороже, чем мясо.</t>
  </si>
  <si>
    <t>factornews.ru</t>
  </si>
  <si>
    <t>13.04.2023 20:08</t>
  </si>
  <si>
    <t>Болела на таком сроке, промывала нос, полоскала горло, холс леденцы и анаферон выписывали противовирусное, хорошо помог, симптомы снял и быстро выздровила, обильное питье (чай с ромашкой, морс)</t>
  </si>
  <si>
    <t xml:space="preserve">Потому что у тех детей иммунитет вырабатывается сам,  автоматически, справляется с вирусами, бактерями и крепнет, и сам справляется, а благополучным детям и вифероны с младенчества, и иммуномодуляторы, и температуру сбивают, и лечат-залечивают, на первый чих антибиотики врачи выписывают (
Вот иммунитета и нет.
Дети ж в Советском Союзе тоже тогда как дети из неблагополучных семей были) 
лечились соком  редьки, луком, дышали над картошкой, носками с горчицей) и всегда, всегда много гуляли, при любой погоде.</t>
  </si>
  <si>
    <t>Елена Николаева</t>
  </si>
  <si>
    <t>Рабочие истории</t>
  </si>
  <si>
    <t>валентина тараткина</t>
  </si>
  <si>
    <t>Кингисепп</t>
  </si>
  <si>
    <t>Татьяна Ляпота (Черепенина)</t>
  </si>
  <si>
    <t>13.04.2023 20:07</t>
  </si>
  <si>
    <t xml:space="preserve">Берu на заметку!
Текст на изображении: Аналоги дорогих лекарств 1. Нурофен (120руб) Ибупрофен (10руб) 2. Мезим (300руб) Панкреатин (30руб) 3. Но-шпа (150руб) Дротаверина гидрохлорид (30руб) 4. Панадол(50руб) Парацетамол (5руб) 5. Белосалик (380руб) Акридерм СК (40руб) 6. Бепантен (250руб) Декспантенол (100руб) 7. Бетасерк(600руб) Бетагистин (250руб) 8. Быструмгель (180руб) Кетопрофен (60руб) 9. Вольтарен (300руб) Диклофенак (40руб) 10. Гастрозол (120руб) Омепразол (50руб) 11. Детралекс (580руб) Венарус (300руб) 12. Дифлюкан (400руб) Флуконазол (30руб) 13. Длянос (100руб) Риностоп(30руб) 14. Зантак (280руб) Ранитидин 15. Зиртек (220руб) Цетиринакс (80руб) 16. Зовиракс (240руб) Ацикловир 17. Иммунал (200руб) Эхинацеи экстракт (50руб) 18. Имодиум (300руб) Лоперамид руб) 19. Йодомарин (220руб) Калия йодид (100руб) 20. Кавинтон (580руб) Винпоцетин(200руб) 21. Кларитин (180руб) Лорагексал (60руб) 22. Клацид (600руб) Кларитромицин (180руб) 23. Лазолван (320руб) Амброксол (20руб) 24. Ламизил (400руб) Тербинафин (100руб) 25. Лиотон-1000 (350руб) 1000 (120руб) 26. Ломилан (150руб) Лорагексал (50руб)</t>
  </si>
  <si>
    <t>вера соколова (Столярова)</t>
  </si>
  <si>
    <t>Нина Потапова (Кострова)</t>
  </si>
  <si>
    <t>13.04.2023 20:06</t>
  </si>
  <si>
    <t xml:space="preserve">#ЧистосердечноеПризнание
Добрый день.
Анонимно, пожалуйста.
Девушка. 28 лет.
Вообще не понимаю, что творится со мною. Я как бы понимаю, что это не совсем нормально, но и сделать сейчас что-то кардинальное пока что не могу.
2 года назад мы с мужем переехали из Донецка (ДНР) в Петербург. Эти 2 года в корне изменили нашу жизнь! Муж работает по специальности, взяли квартиру в ипотеку. Я тоже работаю по специальности, но... вот тут то вся соль и кроется. Я работаю педиатром в поликлинике (думаю, врачи меня поймут - что это за ад) и с каждым днём я понимаю, что ненавижу свою работу. И дело не в деньгах! Их платят достаточно! Я стала ненавидеть не просто работу. Я стала ненавидеть людей (или бояться их?!). При этом я могу нормально общаться. Я, вроде как, даже осталась той же приветливой и типа общительной, но внутри я себя таковой не ощущаю. Я стала хитрой сукой, которая отстаивает свои границы на работе с начальством любыми... повторюсь, ЛЮБЫМИ методами. Это чисто из страха, что меня куда-то там выдернут или заставят делать то, что не входит в планы.
Я уже боюсь планировать свою жизнь. Начальство очень любит затыкивать дыры в расписании и не спрашивать: можешь ли ты выйти или нет! Очень часты изменения в расписании, где кого угодно могут закинуть куда угодно в расписании работать! То есть, меня вот пытались закинуть в четверг вместо моего приема с 11 до 13.00 на 17-20.00! В моем трудовом договоре этого, кстати, не прописано! У меня рабочий график прописан с 9 до 17.00! И я блин с боем это все отстаиваю!!! Потому что помимо работы у меня семья, ремонт в квартире, домашние дела, спортзал, вокал и так далее. Я молодая и я просто хочу жить не только на работе!!! Я боюсь не успеть пожить нормально, тихо и спокойно!
Мое начальство, видимо, считает иначе... Оно считает, что должен быть задолбанный врач, который будет тупо выписывать Арбидол на всё! Задолбанный, больной, с разваливающимися зубами врач, который потом сойдёт с ума (у нас в поликлинике такие случаи были...не мудрено, когда по 20 вызовов и более, и начальство вообще никак не хочет регулировать этот вопрос!). Начальство недавно предъявляет:"Вы за полгода взяли бл 2 раза и 3 раза отпросились в стоматку! Вы что, не можете решать эти проблемы по другому?". Я:"Извольте! Я ушла на бл тогда, когда уже заболела так, что на работу выйти сил не было из за болезни! Я не имею права взять бл?! Огорчу! Я имею все юридические на это права! Далее зуб... Вы вообще знаете причину по которой я хожу к стоматологу?! А я вам скажу! У меня зуб скололся так, что стоял вопрос об удалении! Мне 28 лет и какое удаление?! Вот я и хожу восстанавливаю его под коронку! Или я должна из за вашего желания, чтобы я вечно работала, лишиться здоровья в принципе?! Вы, как врач, должна понимать, что для врача его здоровье важно не менее здоровья пациентов!!! А о какой заботе о здоровье подчинённых идёт речь, если вы кидаете такие предъявы?! И о каком здоровье пациентов идёт речь, если врач сам, простите, развалина?! И я сейчас не только о физическом, но и о психическом здоровье говорю! Хотя вряд-ли меня кто-то услышит!"".
Я промолчу про бумажки, но все поняли, да, что в большинстве это профонация...
А про компьютеры. Я не вижу пациента, я вижу компьютер!!! Раздражает!!! За 6 минут нереально и вбить посещение, и анализы и так далее!!!
Ну и отдельная тема - родители пациентов! Я даже не знаю что меня доводит больше! Сейчас, правда, скандалистов вроде как последнюю неделю не было, но, когда у тебя 6 минут на прием, за прием Хренова куча человек проходит через тебя и всем что-то надо, скандальные мамки и папки - это так бесит!!! Я с такими даже не разговариваю, а сразу выставляю из кабинета и вали куда хочешь, мне пофигу!!! Даже если к начальству - мне тоже пофигу! У меня нет времени на это г*вно! И не сказать, что типа я только после института и столкнулась с реалиями медицины. Я до переезда работала и в отделении медсестрой ещё в студенческие годы, и потом 1.5 года в поликлинике. Было тяжело, конечно, если ещё учесть в какой период я работала: в период боевых действий, а потом ещё и сама свалилась с болезнью по женски и закончилось это все операцией!!! То есть, о трудоголизм я обожглась так, что чуть с жизнью не попрощалась! После операции я и переехала с мужем, спустя месяц после неё, и заново на ноги становилась.
Ещё бесят вызовы. Какой же это блть атавизм! Я ещё пойму вызов к инвалиду или патронаж к малышу, ветрянку или корь и им подобные, но вызов на сопли - это верх всего!!! В зиму было по 30-40 вызовов и более. Сейчас вроде поубавилось, но я не стала от этого меньше их ненавидеть! Для меня это тупая трата времени! Даже если это 2 вызова! Как-то зимой после приема у меня было 22 вызова в буран!!! Я сделала 10 и уползла домой в самом прямом смысле слова! Холодная, голодная и в полуобморочном состоянии (у меня сахар в крови 2.3 был! И давление 70/40 - просто дома всегда лежат эти приборы на такие случаи)! Так ещё и понабирались смелости звонить в регистратуру и требовать врача и жаловаться!!! Сами дома сидят в такую непогоду, а врач не человек! Он ползти должен на их сопли! В итоге: послала всех, даже начальство, и вообще не вышла на вызовы! Отьедалась и отсыпалась дома весь вечер.
А вот это ещё: чуть что - сразу жаловаться бегут к заведующей или орут "я в Минздрав пожалуюсь!". Я уже так отвечаю:"А чё в Минздрав? Давайте сразу президенту!" А чё? Со мной по хамски и я по хамски. Я не собираюсь тут в этику и деонтологию играть, когда о меня пытаются вытереть ноги.
Думаю уходить в узкую специальность и нахер из поликлиники. Самое интересное, что посещают мысли, что это могло быть неплохим местом работы, если бы люди не были такими хамами (я понимаю, что вы аж три часа в очереди сидите и вы все такие деловые, а я сижу 5 часов на приёме, за время которого мне даже в туалет не выйти и воды не выпить, а потом ещё и домой уйти не могу, потому что вы на сопли вызываете) и понимали бы, что врач работает, а не чай пьёт и если бы начальство было в адеквате и заботилось бы о своих врачах, а не только о пациентах.
Быть может я просто устала, потому что каждый раз, когда я иду на работу, внутри просто дикий саботаж и мысли:"Ненавижу работу и себя, за то, что здесь работаю!". Была бы возможность без ординатуры обойтись - обошлась бы, а так, собираю на нее деньги, потому что в поликлинике нормально и без срывов работать просто не возможно!
Очень надеюсь, что этот пост прочтет какой-нибудь министр здравоохранения и вдруг его осенит, что пора бы не очередные оптимизации проводить, а заняться людьми, которые там работают, их здоровьем и правами (шутка, но а вдруг)</t>
  </si>
  <si>
    <t>Help! | Психологическая помощь</t>
  </si>
  <si>
    <t>13.04.2023 20:05</t>
  </si>
  <si>
    <t>Гармония с духом. Омоложение лица и тела.</t>
  </si>
  <si>
    <t>Принимаю анаферон, всегда помогает, быстро симптомы снимает и вирус блокирует, если выпить при первых признаках не дает разболеться</t>
  </si>
  <si>
    <t>Подслушано у мамочек Пензы</t>
  </si>
  <si>
    <t>До операции должны были взять анализы на впч. Я сделала операцию в субботу,назначили свечи,антибиотики,изопринозин и тд</t>
  </si>
  <si>
    <t>Ольга Игнатьева</t>
  </si>
  <si>
    <t>Попробуйте давать ЭРГОФЕРОН ,3 раза в день.</t>
  </si>
  <si>
    <t>Юлия Шадрина</t>
  </si>
  <si>
    <t>Мамы Чувашии ✿ Пособия ✿ Чебоксары</t>
  </si>
  <si>
    <t>13.04.2023 20:04</t>
  </si>
  <si>
    <t xml:space="preserve">Провизор раскрыл тайны фарм мафии! Зачем народ травят лекарствами? Это ЖУТКО, но знать НАДО! - YouTube https://m.youtube.com/watch?v=2n3998vy0bE&amp;feature=youtu.beПровизор раскрыл тайны фарм мафии! Зачем народ травят лекарствами? Это ЖУТКО, но знать НАДО!
https://m.youtube.com/watch?v=2n3998vy0bE&amp;feature=youtu.be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 - https://bit.ly/3YCCz1q ❗ Продукты с химией! КАК же быть - https://youtu.be/enLuBegPJiY ❗ Как совмещать БАД-ы, продукты - https://youtu.be/IQzySgkHHOU ❗ Полное восстановление здоровья  - https://bit.ly/3eye5VM ❗ Земля 150 Га с озёрами! - http://ufrolov.blog/prodam-zapovednik/ ❗ Канал в ЮТюбе "Продукты от Фролова" - https://bit.ly/3cS9MAr ❗ Видео о нашем Хранилище ЗЕРНА -  https://youtu.be/-DbO29aFX7I ❗ Сайт по БИО зерну, МУКЕ, бобовым и пр. - https://natgard.net ❗ Все видео по лечению ОНКОЛОГИИ - https://bit.ly/3Js10Ky ❗ Канал в ЮТюбе "Продукты от Фролова" - https://bit.ly/3cS9MAr ❗ Интересный Канал о старой Москве - https://t.me/realmoscow ❗ Веганские, СЕ корма для животных - http://bit.ly/2TK2Qce   Купить защиту от СВЧ излучений (нейтроники) - http://bit.ly/3pDOYlW Защитная Антена от СВЧ вышек и вай фай - http://bit.ly/3AVfwFV ❗ А это неадекватным : 1. "Всё понятно, реклама!" - https://youtu.be/4-ylGYXvtpY? 2. "Жить тоже вредно, от этого умирают" - https://youtu.be/b14ewmk5Sg4 3.  А ТУТ все мои видео о СВЧ - https://www.youtube.com/watch?v=VJblwh6_IAs&amp;list=PL9tCyzOev0D_-NBhWtphcHlMkuc4ucYBB   Нужные товары, препараты и продукты КУПИТЬ здесь: Масло 4 в 1: витамин Д3+К2  - https://bit.ly/3tuyvDJ Бактерии ЭВИТА для микрофлоры - https://bit.ly/2NrUxkE Витамин С органический - https://bit.ly/3zvfKkA  Комплекс (препарат) Анти-Кандида - http://bit.ly/3Egppia Набор №1: от Кандиды на 3 месяца - http://bit.ly/3EKlknC Набор №2: от Кандиды, грибка ног - http://bit.ly/3KL7tP4 ГЕЛЬ СОРБЕНТ для Кишечника - https://bit.ly/3INTc1T Сода химически чистая - https://bit.ly/3A0BRli  ❗ Все видео о  микросферах ТУТ - https://bit.ly/3TPGbuR ❗ Купить ЭТИ микросферы ЗДЕСЬ - https://bit.ly/3Idk37o  Инфопродукт №22 - Восстановление здоровья! - https://bit.ly/3eye5VM  КУПИТЬ другие продукты и товары от Фролова - https://natgard.ru Отзывы о наших продуктах и товарах - https://natgard.ru/otzyvy-o-magazine/ Лавка Фролов на Украине (наши товары) - https://lavkafrolova.com.ua Сайт по зерну, бобовым и пр. - https://natgard.net   Те видео, что я рекомендовал в ЭТОЙ лекции посмотреть обязательно: В ЭТИХ бобах белка больше чем в мясе - https://youtu.be/brdSTeC6ZDc Эта ОВСЯНКА лечит (овёс) - https://youtu.be/foyjwX8zH1c Самая полезная каша/ ПШЕНО - https://youtu.be/nTH63JkQO9w Резистентные КРАХМАЛЫ - https://youtu.be/HOIH13fieZM Нужно ли гасить СОДУ кипятком - https://youtu.be/-BRQ8lcIC_c Паразиты. Гельминты - https://youtu.be/mZCzgRvPaPA ГЕЛЬ Сорбент для Кишечника - https://youtu.be/_mz8HJg9SjE Витамин С - от А до Я - https://youtu.be/sjc3G1vrk0w ТОКСОПЛАЗМОЗ - https://youtu.be/TckoRXGPk6Q КАНДИДА - https://youtu.be/ikGA6vm_Vls Как совмещать БАД-ы, продукты - https://youtu.be/IQzySgkHHOU  Поддержите мой канал финансово - https://sobe.ru/na/ufrolov   Ссылки на другие мои инфо площадки и соцсети: Телеграм канал о Здоровье (дублёр Ютюба) - https://t.me/frolovchannel  ▶️ Ссылки на другие мои Youtube-каналы: ЖИЗНЬ НА ЗЕМЛЕ - http://bit.ly/2JWUCsX Совесть и Подлость! - https://bit.ly/3QutxQj Продукты от Фролова - https://bit.ly/3cS9MAr  ❗ Другие полезные ссылки Фролова: Мини и инфопродукты - https://bit.ly/3qJ6dRQ Индивидуальные консультации - https://bit.ly/2NkZZsM Сайт по здоровью и не только - http://ufrolov.blog/ Подписка на новости  - https://natgard.ru/podpiska/ Эко отель в Пушкинских Горах - http://novaya-berezovka.ru/ Группа ВК - https://vk.com/frolovproducts Яндекс Дзен - https://bit.ly/34tXrl4 Лекции в MP3 (аудио) - https://bit.ly/3UM4dqt  С ув., Фролов Ю.А.</t>
  </si>
  <si>
    <t>Лариса Стаценко</t>
  </si>
  <si>
    <t>13.04.2023 20:03</t>
  </si>
  <si>
    <t>Флуимуцил ингаляции и пить, сироп от сухого кашля Коделак. Алое прикалываю, антигистаминные. Больше обильного тёплого питья нужно.</t>
  </si>
  <si>
    <t>Alinka Simonovich</t>
  </si>
  <si>
    <t>13.04.2023 20:02</t>
  </si>
  <si>
    <t>О Ф</t>
  </si>
  <si>
    <t>Валентина Клеймёнова(Черкова)</t>
  </si>
  <si>
    <t>Орловская область</t>
  </si>
  <si>
    <t>Беловский</t>
  </si>
  <si>
    <t>13.04.2023 20:01</t>
  </si>
  <si>
    <t>Чередую парацетамол с нурафеном, подключаю противовирусное анаферон, самочувствие улучшает и быстро выздоравливаю</t>
  </si>
  <si>
    <t>Натали Натали</t>
  </si>
  <si>
    <t>13.04.2023 20:00</t>
  </si>
  <si>
    <t xml:space="preserve">Памятка от лора
Oчень полезно бyдет coxранить себе эту памятку от лopа, особенно в такое вpeмя 
ПЕРЕД ПРИМЕНЕНИЕМ ЛЮБОГО ПРЕПАРАТА, СРЕДСТВА ИЛИ МЕТОДА ЛЕЧЕНИЯ, ОБЯЗАТЕЛЬНО КОНСУЛЬТИРУЙТЕСЬ С ЛЕЧАЩИМ ВРАЧОМ!
ОБЯЗАТЕЛЬНО СОХРАНЯЙТЕ СЕБЕ!
Текст на изображении: 1. сосудосуживающие раскрывают нос, когда не НЕ ЛЕЧАТ називин, тизин, для нос, виброцил и 2. солевые очищают, увлажняют. если густые сопли-пшикаем и после этого удаляем. НЕ ЛЕЧАТ 3. лечебные: противовирусные если жидкие водяные сопли также КАК ПРОФИЛАКТИКА ВИРУСОВ. деринат, веферон и пр антисептики если вязкие, тягучие сопли. капать дней. проторгол, альбуцид, септисол и антибиотики сопли. капать дней. лечение не прерывать. изофра, мирамистин, полидекс и</t>
  </si>
  <si>
    <t>Красота от природы и здоровье</t>
  </si>
  <si>
    <t>Врачи лечат гомеопатией: приехали?</t>
  </si>
  <si>
    <t xml:space="preserve">Сложно подобрать слова для вступления.
Да и что можно написать в "преамбуле" статьи об эффективности знаменитой, бесплатной медицины  нашего царства, за которую все так держутся. 
Разве что, можно начать с парадокса, который состоит в том, что с одной стороны- наш среднестатистический гражданин, живёт с осознанием того, что хороших врачей мало и их нужно искать в нашем царстве с собаками... и если нашел...  беречь и отслеживать их место трудовой деятельности,а с другой же стороны- все убеждены, что в нашем царстве с врачами и лекарствами все намного лучше, чем в Европе и на Западе, а потому,  мест для жалоб на систему здравоохранения просто нет.
То есть, получается, что где - то мы проблему осознаем, а где- то закрываем на нее глаза.
Иногда мне кажется, что я живу в обществе, где народ любит не жить, а играть в имитацию. 
Образование у нас формальность. Ничего серьезного. Не хлопотный процесс ради получения корочки;  Имитация.
Медицина у нас для галочки (по-моему опыту по крайней). Имитация.
Вакансии висят, а работы нет- просто для удобства;
О благоустройстве окружающей среды и многом другом можно молчать;
Трудовой кодекс- красивый документ, мало кем применяемый в жизни...
Дальше продолжать?
Врач видимо решила, что меня можно не лечить! 
Помню в самом начале истории этого блога, я писала об испанском стыде, который  испытала за отечественную медицину, когда вылечилась от недуга, который беспокоил меня больше одного  года жизни- за пару дней в Финляндии.
Пиелонефрит.
Очень неприятная штука, которая убивала меня каждый день и никто в России не мог поставить мне этот простейший диагноз.
Мне сказачно повезло, что когда дело дошло до смертельно опасной температуры тела...я оказалась в городе Хельсинки, где несколько уколов и местные, рецептурные лекарства сделали чудеса и подарили мне новую жизнь.
Когда я приехала в Россию на обследование, после зарубежного лечения, все, что мне сказали врачи было: "Вам очень повезло, что Вы смогли лечиться финскими лекарствами".
Как жить спокойно после таких историй?
И вот, сновА- здоровА.
Мои симптомы: сильный сухой кашель, который не отпускает ни на час.
От кашля болит горло, начинается мигрень, рвота.
Заложен нос, но при этом обычных симптомов гриппа и ОРВи у меня нет.
Нет насморка, нет  высокой температуры.
Я - безработная.
Мне не требуется электронный лист временной нетрудоспособности.
Так, что бы спокойно меня не лечить без переживаний о выплатах?
Но нет. 
Я рассказала врачу о том, чем я лечилась.
Сказала и о то, что устала от бессонницы, поэтому на угад выпила средство от аллергии с сильным снотворным эффектом.
В итоге мне выписали:
Супрастин - таблетки от аллергии;
Ренгалин. !!!!
Знаете, что такое гомеопатия?
А что такое гомеопатия, которая скрывает, что она гомеопатия?
Если нет, то Вы отлично живёте.
Меньше знаешь, крепче спишь.
А вот я потратила 300 рублей на мел с сахаром (Ренгалин) и я знаю, что это мел с сахаром ...и я в панике.
Я хочу жить в своей стране также, как живут люди в Финляндии.
Я хочу не спрашивать и не думать о том, что в меня колят и какие лекарства мне выписали.
Я хочу спокойно жить без высшего медицинского самообразования.
И мне наплевать, что за такую жизнь придется платить.
Это лучше, чем заболеть вот так и получить от врача лишь совет, попить явно какую-то мутотень.
Почему все так грустно друзья?
Почему средства от аллергии (как и любые другие)  выписывают без предварительных анализов.
Куда мне нужно уехать в этот раз, что бы вернуть себе здоровье?
Итог такой.
Я болею.
Хотела вылечиться.
Обратилась к врачу и "в зубы мне сунули"  лекарство в составе которого есть очень занятная фраза: ЕМД - единица модифицирующего действия.
На вкус и вид, лекарство это - сахар с мелом.
По факту ...мелом с сахаром и является.
Что делать? 
Интересная статья по теме. Сама бы написала, что-то подобное, но сил нет.</t>
  </si>
  <si>
    <t>Галина Фотияди(Волгина)</t>
  </si>
  <si>
    <t>Мне от кашля последнее время нравится Геделикс. Он и приступы кашля снимает и макроту разжижает. Пью в каплях не запивая. В противопоказаниях беременности нет.</t>
  </si>
  <si>
    <t>Настя Маслова</t>
  </si>
  <si>
    <t>Девочки у племянницы пневмония, - Дети от 3 лет и старше - Сара</t>
  </si>
  <si>
    <t>Мы делаем все в одну ингаляцию и дышим. А если вы имеете ввиду сколько времени от одного приёма до следующего то нам раз в 12 часов назначали. Обычно дышим в 10 утра и в 22 вечера. А про два часа до сна это касается ингаляций которые выводят мокроту, типа лазалвана и прочего. Когда лежали в отделении маленькими с пневмонией даже ночью пока ребёнок спал дышали.</t>
  </si>
  <si>
    <t>Таня</t>
  </si>
  <si>
    <t>Сара</t>
  </si>
  <si>
    <t>13.04.2023 19:59</t>
  </si>
  <si>
    <t>Андрей Стешов</t>
  </si>
  <si>
    <t>Богородск</t>
  </si>
  <si>
    <t>Анна Яновская</t>
  </si>
  <si>
    <t>Апшеронск</t>
  </si>
  <si>
    <t>13.04.2023 19:57</t>
  </si>
  <si>
    <t>Татьяна Пластинина</t>
  </si>
  <si>
    <t>Вера Владимировна</t>
  </si>
  <si>
    <t>13.04.2023 19:56</t>
  </si>
  <si>
    <t>Фарида Зарипова</t>
  </si>
  <si>
    <t>Анжелика Яковлева</t>
  </si>
  <si>
    <t>Вологда</t>
  </si>
  <si>
    <t>надежда харитонова Млынарчик</t>
  </si>
  <si>
    <t>Светлый</t>
  </si>
  <si>
    <t>При орви и гриппе принимаю анаферон, самочувствие улучшает и быстро ставит на ноги</t>
  </si>
  <si>
    <t>ПРОВЕРЕННЫЕ НАРОДНЫЕ РЕЦЕПТЫ |ЗДОРОВЬЕ ДО 100ЛЕТ</t>
  </si>
  <si>
    <t>13.04.2023 19:54</t>
  </si>
  <si>
    <t>Светлана Потапова(Каткова)</t>
  </si>
  <si>
    <t>Заречный</t>
  </si>
  <si>
    <t>Всегда анафероном спасаюсь, эффективный и быстро ставит на ноги</t>
  </si>
  <si>
    <t>13.04.2023 19:53</t>
  </si>
  <si>
    <t>Лидия Онищук</t>
  </si>
  <si>
    <t>13.04.2023 19:52</t>
  </si>
  <si>
    <t>Еще важно лечить вирусы и бактерии тоже. Вот рафамин кстати в этом плане универсальный, мне он помогает быстро прийти в себя, не остается затяжных симптомов</t>
  </si>
  <si>
    <t>Юлия Малиновская</t>
  </si>
  <si>
    <t>13.04.2023 19:51</t>
  </si>
  <si>
    <t>Юра Горбачев</t>
  </si>
  <si>
    <t>Вера вера</t>
  </si>
  <si>
    <t>Помощь при заболеваниях позвоночника, суставов</t>
  </si>
  <si>
    <t>13.04.2023 19:50</t>
  </si>
  <si>
    <t>переболели лечились как при орви, промывали нос, противовирусное анаферон, хорошо снимал симптомы и температура не третий день не поднималась и обильное питье (чай с ромашкой, морс)</t>
  </si>
  <si>
    <t>Маргарита Павленко</t>
  </si>
  <si>
    <t>13.04.2023 19:49</t>
  </si>
  <si>
    <t>Елена Клейменова</t>
  </si>
  <si>
    <t>Валентина Плеханова</t>
  </si>
  <si>
    <t>13.04.2023 19:47</t>
  </si>
  <si>
    <t>валя сермягина(ежикова)</t>
  </si>
  <si>
    <t>Промывать нос и капли називин, и подключаю противовирусное анаферон, снимает симптомы такие как сопли и кашель и быстро выздоравливаем</t>
  </si>
  <si>
    <t>Мамочки и роддома Твери | Мир женщин</t>
  </si>
  <si>
    <t>Людмила Белькевич (Фролова)</t>
  </si>
  <si>
    <t>13.04.2023 19:46</t>
  </si>
  <si>
    <t>Ассель Ахмеджанова</t>
  </si>
  <si>
    <t>13.04.2023 19:45</t>
  </si>
  <si>
    <t>андрей коньков</t>
  </si>
  <si>
    <t>Детям и сама принимаю анаферон противовирусное, эффективное, улучшает самочувствие и болезнь легче и быстро проходит, витамин С</t>
  </si>
  <si>
    <t>13.04.2023 19:44</t>
  </si>
  <si>
    <t>А где же "любимый" кагоцел?) Он такие шикарные "испытания" в Африке в своё время прошёл ! Противозачаточный (стойкий) эффект был шикарен</t>
  </si>
  <si>
    <t>Max iGilman</t>
  </si>
  <si>
    <t>Медицинская академия SANDI.ru</t>
  </si>
  <si>
    <t>Александр Гаврилов</t>
  </si>
  <si>
    <t>13.04.2023 19:43</t>
  </si>
  <si>
    <t>Ацц хорошо помогает</t>
  </si>
  <si>
    <t>Юлия Акулинина</t>
  </si>
  <si>
    <t>Зарайск</t>
  </si>
  <si>
    <t>Елена Казанцева</t>
  </si>
  <si>
    <t>Республика Алтай</t>
  </si>
  <si>
    <t>Татьяна Текутьева(Глазырина)</t>
  </si>
  <si>
    <t>Анаферон можно принять, мне хорошо помогает, до осложнений не доводит и самочувствие улучшает</t>
  </si>
  <si>
    <t>Ну всякое бывает конечно, поэтому важно лечиться эффективными препаратами. Мне вот при орви хорошо помогает рафамин, быстро купирует симптомы и никаких осложнений</t>
  </si>
  <si>
    <t>Женский Иркутск</t>
  </si>
  <si>
    <t>13.04.2023 19:41</t>
  </si>
  <si>
    <t>нам анаферон хорошо помогает, симптомы быстро снимает и легче протекает и если принять при первых признаках, не дает разболеться</t>
  </si>
  <si>
    <t>Чем живет Коркино</t>
  </si>
  <si>
    <t>13.04.2023 19:40</t>
  </si>
  <si>
    <t>Муколит или как-то так. Ацц есть их много. Смотря какой кашель.  Их при мокром пьют</t>
  </si>
  <si>
    <t xml:space="preserve">Русские в Дубае </t>
  </si>
  <si>
    <t>Татьяна Губарева</t>
  </si>
  <si>
    <t>Архангельское</t>
  </si>
  <si>
    <t>13.04.2023 19:39</t>
  </si>
  <si>
    <t>Мне помогает хорошо, иначе я болею долго и до осложнений может дойти. Вот рафамин рабочий, отлично ставит на ноги и при орви и при гриппе</t>
  </si>
  <si>
    <t>СОВЕТОВ МНЕ</t>
  </si>
  <si>
    <t>На нас итак уже на варились ! Маски, Арбидол, ........</t>
  </si>
  <si>
    <t>Фильсина Мишанина</t>
  </si>
  <si>
    <t>Репортаж</t>
  </si>
  <si>
    <t>Муж заболел,температура,горло и насморк!и - Юлия</t>
  </si>
  <si>
    <t>Для мужа вот хорошо бы рафамин, мы им спасаемся при гриппах и орви, там надо строго по схеме принимать таблетки. Он хорошо купирует симптомы и при запоздалом лечении</t>
  </si>
  <si>
    <t>Принимаем анаферон профилактическим курсом в сезон простуд, и по схеме при орви, быстро снимает симптомы и болезнь легче и быстрее проходит</t>
  </si>
  <si>
    <t>Клуб мам Прокопьевска</t>
  </si>
  <si>
    <t>13.04.2023 19:38</t>
  </si>
  <si>
    <t>Будешь здороFF • Здоровье • Красота</t>
  </si>
  <si>
    <t>13.04.2023 19:37</t>
  </si>
  <si>
    <t>Пропиваю курсом анаферон, укрепляет иммунитет и защищает от вирусов, восстановилась с ним после ковида</t>
  </si>
  <si>
    <t>Covid-19 | Постковид | Грипп | Форум</t>
  </si>
  <si>
    <t>13.04.2023 19:36</t>
  </si>
  <si>
    <t>Ингаляции лазалваном? Мне помогало от кашля навязчивого</t>
  </si>
  <si>
    <t>facebook.com</t>
  </si>
  <si>
    <t>Ta Tiana Unique</t>
  </si>
  <si>
    <t>Анна Макарова</t>
  </si>
  <si>
    <t>Ольга Широкова (Терехова)</t>
  </si>
  <si>
    <t>13.04.2023 19:35</t>
  </si>
  <si>
    <t>Чувствую скоро возрастёт смертность среди "сознательных пенсионеров". Не каждый выдюжит Арбидол-Форте от всех болезней.</t>
  </si>
  <si>
    <t>panorama.pub</t>
  </si>
  <si>
    <t>Vassis</t>
  </si>
  <si>
    <t>Wasistdas</t>
  </si>
  <si>
    <t>ИА «Панорама»</t>
  </si>
  <si>
    <t>13.04.2023 19:34</t>
  </si>
  <si>
    <t>Мне при гриппе хорошо помог рафамин, быстро выздоровела и никаких осложнений после не возникло. Там важно соблюдать схему приема таблеток</t>
  </si>
  <si>
    <t>13.04.2023 19:33</t>
  </si>
  <si>
    <t>Пропейте противовирусное, мне анаферон хорошо помогает, самочувствие улучшает и быстро иду на поправку</t>
  </si>
  <si>
    <t>Карина Дмитриева</t>
  </si>
  <si>
    <t>Ж  КИРОВ - значит  ЖЕНСКИЙ</t>
  </si>
  <si>
    <t>13.04.2023 19:32</t>
  </si>
  <si>
    <t>Галина Шкидина(Дутова)</t>
  </si>
  <si>
    <t>Микунь</t>
  </si>
  <si>
    <t>Опа. А то люди: дайте порошки ацц взрослому которые горячие… а ты их  что лет как не видел уже</t>
  </si>
  <si>
    <t>Zhanna Ospanova</t>
  </si>
  <si>
    <t>Клуб МК |МЕДИЦИНА и КОТЫ</t>
  </si>
  <si>
    <t>Ольга Балобан (Полякова)</t>
  </si>
  <si>
    <t>Вольск</t>
  </si>
  <si>
    <t xml:space="preserve">О ЧЕМ ГОВОРИТ БОЛЬ В МЫШЦАХ ПРИ ПРОСТУДЕ?
При ОРВИ, простуде и гриппе в организме быстро накапливаются частицы погибших клеток и вирусов, продукты жизнедеятельности патогенных микроорганизмов. Токсины являются основной причиной плохого самочувствия при болезни. Именно они вызывают слабость и сонливость, головную боль, ломоту в мышцах и суставах. Бороться нужно не с симптомами заболевания, а с вызвавшими его вирусами. Правильное лечение поможет быстро победить боль и другие неприятные проявления вирусной инфекции.
КАК СПРАВИТЬСЯ С БОЛЬЮ БЕЗ ЛЕКАРСТВ?
Боль в мышцах при простуде и гриппе — основной симптом интоксикации. Не стоит без особой нужды «глушить» его обезболивающими: такие лекарства еще сильнее нагрузят печень и почки, из-за чего процесс восстановления замедлится. Болевой синдром начинается в острую фазу заболевания и исчезает при выздоровлении. Чтобы улучшить самочувствие, можно следовать простым советам.
✔ Больше пейте. Чем сильнее интоксикация, тем хуже себя чувствует заболевший человек. Для быстрого очищения от токсинов организму нужна жидкость. Лучше выбирать напитки без газа, которые не содержат сахара. Можно пить чистую воду комнатной температуры, добавлять в нее лимон, замороженные ягоды. Ускорить выведение токсинов поможет зеленый чай.
✔ Дышите свежим воздухом. В замкнутом пространстве, где находится заболевший человек, резко увеличивается концентрация углекислого газа. Из-за этого развиваются головная боль, сонливость, раздражительность. Организму приходится тратить больше сил, чтобы получить достаточное количество кислорода. Поэтому важно регулярно проветривать комнату больного.
✔ Правильно питайтесь. До полного выздоровления стоит отказаться от крепких бульонов, кофе, шоколада, какао и консервированных продуктов. Под запретом — жирное мясо, алкоголь, сдоба, сладости и фастфуд. Выбирайте продукты, которые легко перевариваются и не перегружают пищеварительный тракт. К ним относят свежие фрукты, некрахмалистые овощи, мед, натуральные йогурты и кефир. Для профилактики ОРВИ у взрослых и быстрого выздоровления во время болезни полезно есть шиповник, клюкву, лимоны и другие продукты, богатые витамином С.
КАК РАЗМЯТЬ МЫШЦЫ ВО ВРЕМЯ БОЛЕЗНИ?
Мышцы могут болеть от недостатка движения, если из-за простуды пришлось долго соблюдать постельный режим. Но приступать к активным тренировкам сразу после болезни не стоит. В период восстановления старайтесь просто больше двигаться. Можно позвать друзей на прогулку в парк в выходные, до и после работы проходить пешком пару остановок. Возвращаться к привычным нагрузкам врачи советуют не раньше, чем через 1-2 недели после выздоровления, когда пройдет слабость и организм окончательно восстановит силы.
Если нет высокой температуры, избавиться от боли в мышцах при простуде поможет массаж. Аккуратно разомните больные места поглаживающими и похлопывающими движениями. Можно нанести на тело немного массажного масла или меда, если на них нет аллергии. Процедура улучшит кровоснабжение мышц и окружающих их тканей, стимулирует обмен веществ и ускорит вывод токсинов.
КАК ПРАВИЛЬНО ЛЕЧИТЬСЯ?
Облегчить выздоровление при простуде, гриппе и ОРВИ помогают препараты с комплексным действием, такие, как Деринат. Средство помогает организму бороться с вирусными агентами и укрепляет иммунную систему. Препарат также обладает очень важным репаративным свойством. Он восстанавливает и укрепляет слизистую носоглотки, тем самым способствует улучшению ее барьерных свойств и повышению местного иммунитета, помогает выздороветь, избежав осложнений. Перед использованием ознакомьтесь с инструкцией.
#здоровье@derinat</t>
  </si>
  <si>
    <t>Деринат - здоровье всей семьи!</t>
  </si>
  <si>
    <t>13.04.2023 19:30</t>
  </si>
  <si>
    <t>Любовь Иванова (Ветлова)</t>
  </si>
  <si>
    <t>13.04.2023 19:29</t>
  </si>
  <si>
    <t>Наталья Каратаева</t>
  </si>
  <si>
    <t>13.04.2023 19:25</t>
  </si>
  <si>
    <t>Любовь Музыченко (Замлынская)</t>
  </si>
  <si>
    <t>13.04.2023 19:20</t>
  </si>
  <si>
    <t xml:space="preserve">B сoвpеменном миpе тpyдно нaйти человeка, кoторомy не бyдeт пoлeзeн списoк лeкарcтв для пeрвой медицинcкой пoмощи.
Текст на изображении: 1. ИБУПРОН СИЛЬНОЕ ОБЕЗБОЛИВАЮЩИЕ БЫСТРО В ВИЛЕ ШИПУЧИХ ЖЕЛУАОК, В СВЕЧАХ АЛЯ 2. КОЛАРЕКС ОТЛИЧНЫЙ СОСУАОСУЖИВАЮЩИЙ ПРЕПАРАТ, БЫСТРО ДЕЙСТВУЕТ, ПОТОМУ ЧТО РАСТВОРЯЮТ В ГОРЯЧЕЙ ВОЛЕ 3. НАзол ИЗБАВЛЯЕТ ОТ НАСМОРКА И НЕ ДАЕТ ПЕРЕСЫХАТЬ СЛИЗИСТОЙ ОБОЛОЧКЕ НОСА. 12 ЧАСОВ. 4. СКОРАЯ ПОМОШЬ, АРИСТВУЕТ БЫСТРО. МАЛЬШЕЙ ЕСТЬ СВЕЧИ, НО СИЛЬНО КАЧЕСТВО КРОВИ, 5. (ПАНАДОЛ, ВЕЛИКОЛЕПНОЕ ЖАРОПОНИЖАЮЩЕЕ, НЕЗАМЕНИМ 6. Полиоксидоний стимУЛИРУЕТ ИММУННУЮ СИСТЕМУ, ЭЖСТРЕННОЙ ПОМОШИ И `АЛЯ ПРОФИЛАКТИКИ ВО ВРЕМЯ 7. РИБОМУНИЛ ВОССТАНАВЛИВАЕТ ИММУНИТЕТ, РЕКОМЕНАОВАН КАК САМОЕ 8. САНОРИН САМОЕ БЫСТРОЕ СРЕДСТВО ОТ НАСМОРКА ПРОТИВОАЛЛЕРГИЧЕСКИМИ 9. АНШЕВЫЙ и ПРЕПАРАГ, НО СОЛЕРЖИТ АЛКОГОЛЯ И ВОЛИТЕЛЯМ.; 1. АНАФЕРОН ХОРОШЕЕ ГОМЕОПАТИЧЕСКОЕ СРЕДСТВО АЛЯ ЛЕЧЕНИЯ ВИРУСНЫХ ИНФЕКЦИЙ. ВЕРХНИХ ДЫХАТЕЛЬНЫХ ПУТЕЙ 2. КОЛУСТАН АЭРОЗОЛЬ, ХОРОШЮ СНИМАЕТ ОТЕКИ ПРИ ВОСПАЛЕНИЯХ. 3. ЛЮГОЛЬ, РАСТВОРЕННЫЙ В ЛУЧШЕЕ НАРУЖНОЕ СРЕЛСТВО ПРИ 4. ВЫРАЖЕННЫЕ АНТИМИКРОБНЫЕ И ПРОТИВОВОСПАЛИТЕЛЬНЫЕ СВОЙСТВА НЕ НА 5. СИНУПРЕ ОБЛАДАЕТ АНТИБАКТЕРИАЛЬНЫМ И АНГИОТЕЧНЫМ ДЕЙСТВИЕМ, МОЖЕТ ЕСТЬ В ВИЛЕ КАПЕЛЬ. 6. Тонзимон ПРОТИВОВОСПАЛИТЕЛЬНОЕ И ОБЕЗБОЛИВАЮШЕЕ СРЕАСТВО, СПОСОБСТВУЕТ ОТЕКА СЛИЗИСТОЙ ОБОЛОЧКИ АЫХАЙЛЬНЫХ ПУТЕЙ, 7. ТОНЗИЛОТРЕН ПОВЫШАЕТ АКТИВНОСТЬ СЛИЗИСТОЙ ОБОЛОЧКИ. 8. СОЛЮТАБ ЭФФЕКТИВНЫЙ БЫСТРОРАСТВОРИМЫЙ АНТИБИОТИК ПРИ ГНОЙНОЙ АНГИНЕ, ПРИМЕНЯЮТ ТАК И АЛЯ ПОЛОСКАНИЯ. 9. СРЕАСТВО, ПРИЯТНОЕ НА ВКУС (РАССАСЫВАЕТСЯ ВО РТУ). НЕ НА КИШЕЧНУЮ МИКРОФАОРУ 10. ФАЛИМИНТ СРЕАСТВО ОХЛАЖАЛЮЩИМ ДЕЙСТВИЕМ ДЛЯ ЛЕЧЕНИЯ ЗАБОЛЕВАНИЙ ПОЛОСТИ РТА И ГЛОТКИ.</t>
  </si>
  <si>
    <t>Gulnaz Isakova</t>
  </si>
  <si>
    <t>13.04.2023 19:18</t>
  </si>
  <si>
    <t>Надежда Бочарова (Савкова)</t>
  </si>
  <si>
    <t>13.04.2023 19:17</t>
  </si>
  <si>
    <t>Надежда Саркисян</t>
  </si>
  <si>
    <t>Вам нужен муколитик, например АЦЦ.</t>
  </si>
  <si>
    <t>Soul Noname</t>
  </si>
  <si>
    <t>13.04.2023 19:16</t>
  </si>
  <si>
    <t>Нина Васильевна Наконечная (Кулешова)</t>
  </si>
  <si>
    <t>Бердск</t>
  </si>
  <si>
    <t>13.04.2023 19:15</t>
  </si>
  <si>
    <t>Анна Аверченко</t>
  </si>
  <si>
    <t>Энциклопедия фактов</t>
  </si>
  <si>
    <t>Мы лечимся противовирусными, иначе ребенок болеет долго, и сама пью. Вот рафамин эффектом нравится, орви, грипп у меня за 3-4 дня проходят с ним</t>
  </si>
  <si>
    <t>Мамы, Мамочки, Пособия Улан-Удэ 03 (Бурятия)</t>
  </si>
  <si>
    <t>13.04.2023 19:13</t>
  </si>
  <si>
    <t>А что объяснять? Рекомендации написаны, виферон и мирамистин. Парацетамол при температуре выше 38. Лейкоциты, соэ и палочкоядерные повышены. Скорее всего инфекция бактериальная.</t>
  </si>
  <si>
    <t>Анжела</t>
  </si>
  <si>
    <t>Галина Цымбал (Попова)</t>
  </si>
  <si>
    <t>Валентина Нагорных</t>
  </si>
  <si>
    <t>13.04.2023 19:11</t>
  </si>
  <si>
    <t>Девочки было у кого нибудь так из детей? Лежу с ребенком в потологии новорожденных,  приболели , начали капать ему в нос капли гриппферон, сегодня заметила ,спит с открытом ртом можем из за этих капель заложить ему нос?</t>
  </si>
  <si>
    <t>Алёна Бычкова</t>
  </si>
  <si>
    <t>Детские пособия Тула и Тульская область.</t>
  </si>
  <si>
    <t>Татьяна Соколова</t>
  </si>
  <si>
    <t>Из противовирусных вот рафамин хороший, мне он и действием нравится при вирусных и отсутствием всяких побочек, разные пробовала, остановилась на нем</t>
  </si>
  <si>
    <t>Татьяна Гудошникова</t>
  </si>
  <si>
    <t>13.04.2023 19:08</t>
  </si>
  <si>
    <t>Ольга Субботина (Кравченко)</t>
  </si>
  <si>
    <t>Бобров</t>
  </si>
  <si>
    <t>13.04.2023 19:05</t>
  </si>
  <si>
    <t>Из противовирусных рафамин эффективный, я им спасаюсь в таких случаях. Начинаю по схеме принимать при первых симптомах, в итоге быстро прихожу в себя</t>
  </si>
  <si>
    <t>13.04.2023 19:03</t>
  </si>
  <si>
    <t>Фероны убрать надо, у многих на них аллергия, сначала Виферон, потом кипферон, додуматься нет? Шило на мыло....</t>
  </si>
  <si>
    <t>Лера Сагаутдинова</t>
  </si>
  <si>
    <t>Ребят, у нас почти вся страна живёт не приходя в сознание, в анаферон и ИРС-19 верят! А вы тут про целителей....‍♀️</t>
  </si>
  <si>
    <t>sdobnayaplyushka</t>
  </si>
  <si>
    <t>АННЕТ | ИСТОРИК</t>
  </si>
  <si>
    <t>13.04.2023 19:02</t>
  </si>
  <si>
    <t>Lybov Loboda</t>
  </si>
  <si>
    <t>Елена (Городецкая) Рылькова</t>
  </si>
  <si>
    <t>13.04.2023 19:01</t>
  </si>
  <si>
    <t>При болезнях - орви, грипп советую рафамин кстати, быстро ставит на ноги. Уже какой раз им спасаюсь, болеть некогда вообще сейчас</t>
  </si>
  <si>
    <t>13.04.2023 19:00</t>
  </si>
  <si>
    <t xml:space="preserve">актуальность зашкаливает!
Текст на изображении: ЛЕКАРСТВО АМБРОГЕКСАЛ ЛАЗОЛВАН НОРМОДИПИН ЗОВИРАКС БЕТАСЕРК MATHE-B6 БЕПАНТЕН ВОЛЬТАРЕН КАПОТЕН БЫСТРУМГЕЛЬ ПАНАНГИН ИМОДИУМ КЛАРИТИН OME3 117 283 109 670 512 203 549 496 340 515 243 251 243 130 328 210 674 155 438 АМБРОКСОЛ АМЛОДИПИН МАГНЕЛИСВб ДЕКСПАНТЕНОЛ ДИКЛОФЕНАК ДРОТАВЕРИН КАПТОПРИЛ КЕТОПРОФЕН ACTIAPKAM ЛОПЕРАМИД. ЛОРАТАДИН МЕЛОКСИКАМ ОМЕПРАЗОЛ ФЛУКОНАЗОЛ ЦЕТИРИНАКС ЦЕНА 46 13 52 71 31 273 357 147 105 65 12 45 48 10 40 30 34 Амброксол (сироп) кислота Амлодипин Азитромицин Ацикловир (крем) Бетагистин Витамин и магний Декспантенол Диклофенак (гель) Дротаверина гидрохлорид Каптоприл Кетопрофен Калия и магния аспарагинат Лоратадин Мелоксикам Омепразол Панкреатин Флуконазол Цетиризин</t>
  </si>
  <si>
    <t>Интернет магазин Женской  одежды</t>
  </si>
  <si>
    <t>Будешь здороFF • Здоровье • Красота • ЗОЖ</t>
  </si>
  <si>
    <t>Арбидол пустышка! Парацетамол никогда не принимала, мне 79 лет/принимаю аспирин/</t>
  </si>
  <si>
    <t>Наталия А</t>
  </si>
  <si>
    <t>@frolovchannel</t>
  </si>
  <si>
    <t>13.04.2023 18:59</t>
  </si>
  <si>
    <t>Наталья Сердюк (Леонтьева)</t>
  </si>
  <si>
    <t>виталий копырин</t>
  </si>
  <si>
    <t>13.04.2023 18:58</t>
  </si>
  <si>
    <t>у меня дочка тоже болела постоянно, когда в детский сад начали ходить... врач ещё антибиотики назначала, потому что осложнения после орви были. Потом мне подсказали свечи кипферон в лечение включать и дочка в лёгкой форме болеть стала, выздоравливает быстрее, до антибиотиков не доходит теперь, тьфу-тьфу</t>
  </si>
  <si>
    <t>Ксения Варлама</t>
  </si>
  <si>
    <t>13.04.2023 18:57</t>
  </si>
  <si>
    <t>У нас тоже на виферон аллергия была. К тому же от него толка нет.</t>
  </si>
  <si>
    <t>Гузель Ахметьянова</t>
  </si>
  <si>
    <t>13.04.2023 18:55</t>
  </si>
  <si>
    <t>[id582131703|Юлия], тоже кипферон нравится. Теперь без него не обходимся при орви. мне нравится от него эффект.</t>
  </si>
  <si>
    <t>Римма Тутулова</t>
  </si>
  <si>
    <t>Нина Тихомирова</t>
  </si>
  <si>
    <t>13.04.2023 18:54</t>
  </si>
  <si>
    <t>[id793566988|Лиана], есть два лагеря, те что не принимали и не давали анаферон и те кто убедился в его эффективности. Вот и все Строят из себя умных, диванные эксперты, состав уже разобрали там на кухне у себя.</t>
  </si>
  <si>
    <t>Кристина Катаева</t>
  </si>
  <si>
    <t>Губаха</t>
  </si>
  <si>
    <t>Зинаида Черемисинова (Кочина)</t>
  </si>
  <si>
    <t>Любовь Величко (Прохоренко)</t>
  </si>
  <si>
    <t>Подгорное</t>
  </si>
  <si>
    <t>Елена Чеснокова</t>
  </si>
  <si>
    <t>Невьянск</t>
  </si>
  <si>
    <t>13.04.2023 18:53</t>
  </si>
  <si>
    <t>Мне из противовируных рафамин нравится эффектом, сколько разных пробовала, остановилась на нем в итоге. И грипп и орви с ним быстро и легко проходят</t>
  </si>
  <si>
    <t>13.04.2023 18:52</t>
  </si>
  <si>
    <t>Ольга Зямкина</t>
  </si>
  <si>
    <t>[id795024010|Амелия], я на своём часто болеющем ребёнке испытала все. В том числе недоказательную медицину. В 5 лет просто закрылся кран с соплями и все, к тому моменту я уже на все махнула рукой и последние полгода ничего из "противовирусного" не давала, подробно изучала данные вопросы, узнала много нового. Допускаю что впш ребёнок тоже просто перерос сопли. Плюс в силу специфики (я по первой специальности дерматовенеролог) часто имею дело с впч. По началу я на пациентах испробовала все препараты от впч (тоже все недоказательные фуфломицины, но кто же тогда знал...) а потом отказалась от них и ничего не изменилось.  Кто-то побеждает впч иммунитетом, кто-то нет, примерно с той же частотой, как и во времена попыток лечения изопринозином, алокином и прочими препаратами от впч. ОРВИ это такая штука, которая у всех почти проходит сама (если не присоединяется бактериальные осложнения - тут антибиотики наше все). И в зависимости от кучи факторов ОРВИ может пройти от 2 до 7 дней. Но противовирусные препараты тут точно не причем.</t>
  </si>
  <si>
    <t>13.04.2023 18:50</t>
  </si>
  <si>
    <t>Вера Чичёва(Алимова)</t>
  </si>
  <si>
    <t>Вера Острикова (Котова)</t>
  </si>
  <si>
    <t>Погар</t>
  </si>
  <si>
    <t>13.04.2023 18:49</t>
  </si>
  <si>
    <t>АБДУЛХАЙРОВА КАТЕРИНА ОДЕЖДА НА ЗАКАЗ</t>
  </si>
  <si>
    <t>Сергей Рыльских</t>
  </si>
  <si>
    <t>13.04.2023 18:47</t>
  </si>
  <si>
    <t>Людмила Семенова</t>
  </si>
  <si>
    <t>Для взрослых вот кстати рафамин рабочий, сама давно им спасаюсь. Быстро ставит на ноги при вирусных и никаких побочек</t>
  </si>
  <si>
    <t>13.04.2023 18:45</t>
  </si>
  <si>
    <t>Люба Туровская(Чупрунова)</t>
  </si>
  <si>
    <t>13.04.2023 18:44</t>
  </si>
  <si>
    <t>[id92568991|Татьяна], я использую многие годы бады и природные адаптогены, от дерината и ирс до пыльцы, элеутерококка и левзеи ( это я вам про бронхит). Каждый месяц пью что-нибудь) не женьшень, так пергу, не мумию, так пыльцу) Насчет ребеночка  - сожалею... Но если мыслить шире  - ничего не бывает в этом мире случайно... И может не цитомегаловирус причиной, а дикая случайность 10 из 10000.. Все будет хорошо.</t>
  </si>
  <si>
    <t>Zayka Belui</t>
  </si>
  <si>
    <t>Медицинские Истории</t>
  </si>
  <si>
    <t>13.04.2023 18:43</t>
  </si>
  <si>
    <t>Гуля и Саша Соколовы (Сафарова)</t>
  </si>
  <si>
    <t>13.04.2023 18:42</t>
  </si>
  <si>
    <t>Лариса Бучельникова</t>
  </si>
  <si>
    <t>[id612148529|Ольга], значит, раз анаферон зарегистрировали, то значит проверили и признали лекарственным препаратом. Мне казалось все понятно итак, но вы видимо жираф в душе.</t>
  </si>
  <si>
    <t>Мамы, Мамочки, Детские Пособия Иркутск</t>
  </si>
  <si>
    <t>13.04.2023 18:40</t>
  </si>
  <si>
    <t>щас кагоцел купил. 20 таблеток. от вирусов</t>
  </si>
  <si>
    <t>Константин Позитивный</t>
  </si>
  <si>
    <t>Вольная Бухта</t>
  </si>
  <si>
    <t>ольга перебейнос</t>
  </si>
  <si>
    <t>Татьяна Рак (Владимирова)</t>
  </si>
  <si>
    <t>13.04.2023 18:39</t>
  </si>
  <si>
    <t>Алексей Ф</t>
  </si>
  <si>
    <t>13.04.2023 18:38</t>
  </si>
  <si>
    <t>Мне больше нравится терафлю. Но он только симптомы снимает. С вирусом не борется. Поэтому дополнительно еще пью оциллококцинимум. И имейте в виду, с парацетамол содержащими препаратами вместе нельзя пить ацц, он блокирует работу парацетамола в организме, соответственно температура снижаться не будет.</t>
  </si>
  <si>
    <t>Мария Слуцкая</t>
  </si>
  <si>
    <t>здоровье в ваших руках</t>
  </si>
  <si>
    <t>Любовь Тыщенко(Щербакова)</t>
  </si>
  <si>
    <t>13.04.2023 18:37</t>
  </si>
  <si>
    <t>При симптомах орви я пью противовирусное рафамин всегда, вот он быстро купирует симптомы и не дает растянуться болезни</t>
  </si>
  <si>
    <t>13.04.2023 18:33</t>
  </si>
  <si>
    <t>Полина Сидорович (Сухова)</t>
  </si>
  <si>
    <t>Мегион</t>
  </si>
  <si>
    <t>13.04.2023 18:32</t>
  </si>
  <si>
    <t>Olga Cheremnykh</t>
  </si>
  <si>
    <t>13.04.2023 18:31</t>
  </si>
  <si>
    <t xml:space="preserve">Каждый из нас хотя бы в жизни совершал ошибки при лечении кашля, руководствуясь устаревшими или малоэффективными советами. Рассказываем, как действовать грамотно, чтобы поскорее избавиться от неприятного симптома.
Текст на изображении: ПОДАВЛЕНИЕ КАШЛЕВОГО РЕФЛЕКСА. Если приступ кашля одолевает во время публичного мероприятия или в офисе, первое желание подавить его. Но в таком случае заболевание не пройдет быстро. При влажном кашле нужно принимать отхаркивающие средства например, Коделак Бронхо. Благодаря комбини- рованному составу он могает быстро и тивно вывести мокроту и снять воспаление.</t>
  </si>
  <si>
    <t>Екатерина Меньшикова</t>
  </si>
  <si>
    <t>13.04.2023 18:30</t>
  </si>
  <si>
    <t>Кристина, вот согласна. Давно уже лечимся анафероном, никаких побочек, а работает хорошо</t>
  </si>
  <si>
    <t>Лиана Баренцева</t>
  </si>
  <si>
    <t>Подслушано у МАМ - Тула</t>
  </si>
  <si>
    <t>13.04.2023 18:28</t>
  </si>
  <si>
    <t>Людмила Шенкаренко(Третьякова)</t>
  </si>
  <si>
    <t xml:space="preserve">Здравствуйте, анонимно пожалуйста.
Ребенку 4 месяца, постоянно сыпь на лице , то исчезает, то появляется. Аллергетик походу, так как на противовирусные препараты в тот раз так же высыпание было. На виферон, сейчас кипферон поставила вчера вечером сегодня везде сыпь. Уф я устала уже, сама толком ничего такого не кушаю, сладкое и Коровье молоко тоже. Если и сама полноценно не кушаю, то и молока мало. В поликлинику к аллергологу записались. ( но я так устала уже каждый день так, когда это закончится лицо постоянно красн.) Из-за этого скорее всего она и не спокойная плохо спит и днём и ночью</t>
  </si>
  <si>
    <t>[id612148529|Ольга], анаферон лп, сахаром что-то вот ничего не лечится. А анаферон против орви, простуд работает отлично</t>
  </si>
  <si>
    <t>13.04.2023 18:27</t>
  </si>
  <si>
    <t>Нэля Стасенко (Копылова)</t>
  </si>
  <si>
    <t>Вячеслав Власов</t>
  </si>
  <si>
    <t>Чесноково</t>
  </si>
  <si>
    <t>13.04.2023 18:26</t>
  </si>
  <si>
    <t>Вера Улитина</t>
  </si>
  <si>
    <t>Ишим</t>
  </si>
  <si>
    <t>Ольга-Михайловна Болбас</t>
  </si>
  <si>
    <t>Обильное теплое питье (прям 3-3.5 л),солевой раствор в нос +на ночь називин детский,если не возможно дышать!Наблюдать за ухудшением состояния,при рядовом течении успокоиться и больше отдыхать .Парацетамол, если температура выше 38.5!Спокойствие и терпение!Никакие ваши действия (биопарокс,лазолван и пр)не ускорят выздоровления и не предотвратят осложнений!Болела тоже орви на позднем сроке,долго кашляла,пошла к терапевту, назначил лазолван ,не стала делать ингаляции,через 3 дня обильного питья все нормализовалось!</t>
  </si>
  <si>
    <t>Анастасия Зубарева</t>
  </si>
  <si>
    <t>Aminka Izhbulatova-Baytuganova</t>
  </si>
  <si>
    <t>13.04.2023 18:25</t>
  </si>
  <si>
    <t>если назначили антибиотик - вероятнее всего и температура есть. Температуру можно детским нурофен сбивать, или при болях и повышенной температуре можно использовать свечи вибуркол - они гомеопатические в их составе ромашка. Мне во время беременности гинеколог также рекомендовала свечи виферон по 2 в течение 5 дней. Еще совет - Повысить иммунитет просто приемом какого-либо лекарства невозможно, подход должен быть комплексным, придерживаться ряда мер необходимо на протяжении всего года: это достаточный сон, полноценное питание (продукты с высоким содержанием клетчатки, фрукты, овощи, белок), прогулки ежедневные при любой погоде, одежда по погоде, по возможности проводить лето вдали от мегаполиса. Выздоравливайте!!!</t>
  </si>
  <si>
    <t>Лиза Арт</t>
  </si>
  <si>
    <t>Татьяна Коновалова-Шипачева</t>
  </si>
  <si>
    <t>Зеленоградск</t>
  </si>
  <si>
    <t>Совершенно точно нужно противовирусное. Я в таких случаях сразу же начинаю пропивать циклоферон и принимаю его курсом 5 дней, в инструкции точно расписана схема. Обычно 4 таблетки на прием, но в тяжелых случаях можно и до 6-ти увеличить, тут уже по состоянию смотреть надо. Болезнь так гораздо легче протекает и никаких осложнений после.</t>
  </si>
  <si>
    <t>Настя Калашникова</t>
  </si>
  <si>
    <t>[id612148529|Ольга], смешно, но такой бред. Анаферон отличное противовирусное, всей семьей лечимся им</t>
  </si>
  <si>
    <t>Арбидол порошок для суспензии, разбавляете согласно инструкции и даете</t>
  </si>
  <si>
    <t>Наталья Мацак</t>
  </si>
  <si>
    <t>К сожалению, иммунитет никак не поднять... Просто живите с этим и решайте проблемы по мере поступления, у меня вот ровно такая же ситуация. При простуде принимаю Циклоферон - он мне и при ковиде помог в свое время, и сейчас на ура помогает. Начинаю его пропивать сразу же, как почувствую, что заболеваю, с первого дня. Пропиваю курсом 5 приемов - первые два дня подряд, потом через день. 4 таблетки на прием, но если сильно болею, то до 6-ти могу увеличить. Всегда спасает.</t>
  </si>
  <si>
    <t>Мария Носова</t>
  </si>
  <si>
    <t>13.04.2023 18:24</t>
  </si>
  <si>
    <t>Елена Кравченко (Репенко)</t>
  </si>
  <si>
    <t>[id72825686|Илона], Плюсую, тоже циклофероном спасаемся, в аптечке всегда есть. Пропиваем курсом, 5 приемов обязательно нужно пропить, в инструкции расписано, как именно. Болезнь протекает без осложнений в итоге.</t>
  </si>
  <si>
    <t>Валентина Шиденко</t>
  </si>
  <si>
    <t>13.04.2023 18:23</t>
  </si>
  <si>
    <t>Зинаида Прохоренко</t>
  </si>
  <si>
    <t>Россошь</t>
  </si>
  <si>
    <t>Валентина Куташева</t>
  </si>
  <si>
    <t>[id641663327|Надежда], мы принимаем и знакомые тоже лечатся анафероном давно, он является ЛП. А сахар и вода не лечат, иначе бы все лечились)</t>
  </si>
  <si>
    <t>13.04.2023 18:20</t>
  </si>
  <si>
    <t>[id217763697|Анжелика], впервые читаю такой бред. Анаферон давно пьем, никаких побочек у нас ни разу не было, он самый безопасный для детей из противовирусных</t>
  </si>
  <si>
    <t>РЫБИНСК СЕГОДНЯ</t>
  </si>
  <si>
    <t>13.04.2023 18:19</t>
  </si>
  <si>
    <t>[id439472|Мария], извините, стало интересно, вы вообще их никогда не пили или пили и они вам не помогли? Правильно говорите, личный опыт у каждого разный, как, впрочем, и организм и, соответственно, его реакция на болезни и препараты. У меня ребенок болезненный, подхватывает вирусы моментом, перепробовали многое, даже ближе к морю переехали. В  итоге только рекомендация кагоцела врачом помогает ему быстрее поправляться и не доводить все до осложнений. Это я засоряю его организм, по-вашему?))</t>
  </si>
  <si>
    <t>13.04.2023 18:18</t>
  </si>
  <si>
    <t>[id612148529|Ольга], анаферон как сахар ,не может ничего профилактировать. Но дешевле купить его. Про это речь была)</t>
  </si>
  <si>
    <t>Мария Фомишина</t>
  </si>
  <si>
    <t>Дочь болела в марте. 10 месяцев. Жаропонижающее, обильное питьё и гриппферон. Не знаю , но на 4 день температура стала спадать. Максимум было 38.7</t>
  </si>
  <si>
    <t>Наталья Ефимова</t>
  </si>
  <si>
    <t>13.04.2023 18:17</t>
  </si>
  <si>
    <t xml:space="preserve">[id564999158|Елена], исследование исследованию рознь. Наличие нескольких РКИ, проведенных только заинтересованной компанией, не является доказательством эффективности «Арбидола». И есть вещи, которые важнее РКИ, — это Public Assessment Reports, который Минздрав не публикует. Значит, и судить сложно.
В отсутствие публичного отчета минздрава можно сделать следующее:
- Посмотреть рекомендации для индустрии (FDA, EMA) по клинической разработке противовирусных препаратов.
- Оценить примерный комплект исследований и требования по дизайну к ним.
- Посмотреть по ГРЛС, какие исследования провел спонсор «Арбидола».
То есть так мы просто поверхностно сверим комплектность перечня исследований. Если комплектность неполная, то даже не очень важно, что там внутри.
Более того, сейчас не существует никаких лекарств, которые обладают противовирусным действием в отношении ОРВИ и как-либо влияют на его течение. Только симптоматическое лечение.</t>
  </si>
  <si>
    <t>[id217763697|Анжелика], 20 лет уже люди лечатся анафероном и довольны, а вы ерунду пишете непонятную. Нас спасает при вирусных всегда</t>
  </si>
  <si>
    <t>Мамочки ★ Любимый Златоуст</t>
  </si>
  <si>
    <t>13.04.2023 18:16</t>
  </si>
  <si>
    <t>Даю поливитамины - особенно осенне-зимний период, перед поездками в город, особенно общественные места, гель виферон на слизистую носика. По возвращении промываем морской водой</t>
  </si>
  <si>
    <t>Ангелина Хамзина</t>
  </si>
  <si>
    <t>13.04.2023 18:15</t>
  </si>
  <si>
    <t>Олеся Бажина</t>
  </si>
  <si>
    <t>Сергей Трынченков, от аллергии принимайте Арбидол . На голиковском заводе , его как гуталина на гуталиновой фабрике , где дед Матроскин живёт .</t>
  </si>
  <si>
    <t>сергей седнев</t>
  </si>
  <si>
    <t>Борис Воронин о кредитах, долгах</t>
  </si>
  <si>
    <t>13.04.2023 18:14</t>
  </si>
  <si>
    <t>[id217763697|Анжелика], такой бред написали, странно аж что за ненависть к анаферону такая? он хорошо работает против вирусов, не первый год им лечимся</t>
  </si>
  <si>
    <t>мария устилимова(мишина)</t>
  </si>
  <si>
    <t>[id295416540|Лилия], просто генферон иммуномодулятор,  а противовирусное не при всех орви можно, если грипп, то да.</t>
  </si>
  <si>
    <t>Лилия Новикова</t>
  </si>
  <si>
    <t>Николай Горяинов</t>
  </si>
  <si>
    <t>Павловск</t>
  </si>
  <si>
    <t>13.04.2023 18:13</t>
  </si>
  <si>
    <t>у меня супруг болел в конце прошлого года, там мы для профилактики, чтобы нормально встретить Новый год - курс свечей виферон в течении 5 дней по 2 шт. сделали и я и ребенок.</t>
  </si>
  <si>
    <t>13.04.2023 18:12</t>
  </si>
  <si>
    <t xml:space="preserve">В марте 2023 года Росстат зафиксировал снижение темпов инфляции в России до 3,51% в годовом исчислении после 10,99% февральской инфляции. Это минимум с июля 2020 года. Месячная инфляция в марте составила 0,37% после 0,84% в феврале и 0,46% в январе 2023 года.
Продовольственная инфляция в России (включая спиртное) в марте в месячном выражении замедлилась до 0,13% с 0,79% в феврале. В годовом исчислении рост цен на продовольствие составил 2,57%.
Непродовольственные товары в марте 2023 года подорожали на 0,14%, а в годовом выражении — на 0,12%. Услуги в марте подорожали на 0,97% к февралю, рост цен в годовом исчислении - 9,73%.
Статистическое ведомство России отмечает, что в марте 2023 года зафиксирован рост потребительских цен на 0,5% и более в 20 субъектах РФ. В связи с удорожанием услуг на 1,2-2,4% в наибольшей степени (на 0,7%) выросли цены:
- в Республике Карелия;
- в Калужской, Московской и Томской областях.
При этом, недельная инфляция в РФ с 4 по 10 апреля замедлилась до 0,11%. С начала года потребительские цены выросли на 1,84%.
По данным Росстата, темпы роста цен на плодоовощную продукцию замедлились до 0,3% с 1,3% на предыдущей отчетной неделе. В том числе подорожали:
- огурцы на 2%;
- бананы - на 1,2%;
- капуста - на 0,2%;
- лук — на 0,1%.
Зафиксировано и снижение цен – на свеклу (минус 1,1%), на морковь (минус 0,7%), на картофель (минус 0,6%), на яблоки (минус 0,4%), на помидоры (минус 0,2%).
Из 33 позиций продуктов питания (за исключением плодоовощной продукции) снижение цен зафиксировано по 19 наименованиям. Больше всего подешевели мука и гречка — на 0,65% и 0,6% соответственно. Снизились цены на маргарин, вермишель и свинину (в среднем 0,3%), на мясо кур, сливочное масло, яйца и мясные консервы для детского питания (в среднем на 0,2%).
Подорожали 14 наименований продуктов питания. Сильнее всего — баранина (на 0,55%), затем подсолнечное масло (+0,31%), рис и чай - на 0,3%.
Росстат за период с 4 по 10 апреля зафиксировал рост цен на ряд наблюдаемых в недельной динамике лекарственных препаратов. В том числе комбинированные анальгетики подорожали на 0,5%, противовирусный препарат «Эргоферон» стал дороже на 0,33%, а нестероидный противовоспалительный препарат «Нимесулид» - на 0,28%.
Ранее глава Банка России Эльвира Набиуллина заявляла, что годовая инфляция в России в апреле продолжит снижаться. На апрельском заседании регулятор уточнит макропрогноз. Согласно февральскому прогнозу ЦБ, инфляция в стране по итогам года будет на уровне 5-7%.
Минэкономразвития прогнозирует инфляцию по итогам года на уровне 5,5%. Министерство представит обновленный прогноз в апреле. Глава Минэкономразвития Максим Решетников ранее отмечал, что инфляция в конце первого квартала 2023 года снизится существенно в годовом исчислении. Это будет связано с тем, что из базы будет исключен пик роста цен весны 2022 года. Решетников также не исключил, что во втором квартале инфляция в годовом исчислении какое-то время будет даже ниже целевого уровня в 4%.</t>
  </si>
  <si>
    <t>На кухне у повара</t>
  </si>
  <si>
    <t>13.04.2023 18:09</t>
  </si>
  <si>
    <t>Рушана Кисякова Иржанова</t>
  </si>
  <si>
    <t>13.04.2023 18:08</t>
  </si>
  <si>
    <t xml:space="preserve">Вы часто спрашиваете, из каких бадов состоит моя "Аптечка". Вот эти баночки всегда есть в моей "аптечке"!
1) По д акро -оказывает антибактериальный, противовоспалительный, противовирусный, противогрибковый эффект при вирусных и бактериальных инфекциях, воспалительных процессах различной локализации. ( очень эффективны при «молочнице»)
2) Кошачий коготь -мощный иммуномодулирующий и противовоспалительный эффект.+ Эффективное средство от бородавок.
3) NAC-Действующее вещество аптечного препарата АЦЦ! В первую очередь мы знакомы с NAC, как с муколитиком, т.е. веществом, способствующим отхождению трудноотделяемой мокроты при респираторных заболеваниях и некоторых других заболеваниях. Является одним из самых безопасных для человеческого организма муколитиком
4) GSE (экстракт грейпфрутовых семечек, аналог аптечного Цетросепта) - Суперкарли от любой простуды, вируса, инфекции, герпеса, грибков и микробов , так же использую для промывания носа (помогают быстро справиться с насморком, добавляю в солевой раствор при промывании )
5) Цинк- важен для правильного ощущения вкуса и запаха, помогает иммунной системе бороться с бактериями и вирусами.
6) Витамин С- мощный антиоксидант, жизненно важен для иммунной системы. Препятствует проникновению вирусов из крови в организм, помогает снижать температуру тела, способствует более быстрому выздоровлению.
7) Смесь эфирных масел-Эта смесь эфирных масел стала для меня спасением в периоды вирусов и простуд.Когда у ребёнка(а так же у меня или мужа) закладывает нос,капаю на верхний край подушки и нос пробивает,он начинает дышать(даже мой скептик муж оценил),а так же идёт дизенфекция воздуха.Когда кто то из взрослых болеет ,капаю: на футболку ребёнку,на платочки и раскладываю в во всех комнатах.Капаю на одежду ребенку,когда идём в людные места.Запах мне нравится,похож на мятную конфетку.Ездили в гости-взрослый переболел гриппом с осложнениями,не ребенок ,не мы с мужем не заразились(во всех комнатах капала капли(и так же ребёнку на одежду).
8) Эвкалиптовая растирка для груди.Очень нужная вещь в аптечке:растираю ребенка и взрослых во время болезни(прогревает ,но не жжёт)Отлично обезболивает, заказываю для бабаушки скоро 80 лет,единственное средство
которое помогает уменьшить сильные суставные боли(в этом возрасте суставы разрушены и постоянные воспалительные процессы,так как ходит сама и большая нагрузка на суставы). Помогает при различных видах болей (суставные и мышечные).</t>
  </si>
  <si>
    <t>Екатерина Довиденко</t>
  </si>
  <si>
    <t>Надежда Фролова</t>
  </si>
  <si>
    <t>Наталья Демина</t>
  </si>
  <si>
    <t>13.04.2023 18:05</t>
  </si>
  <si>
    <t>Геделикс нормальный препарат, но в вашем случае главное не навредить. Не всегда следует давать муколитики маленьким деткам, если к этому нет причин. Кашель - это не диагноз, красное горло может быть связано с началом роста зубов. Тогда сироп и не нужен вообще. Носик прочистите при помощи физраствора и турундочек, побольше теплой жидкости, на слизистую носика можно гель виферон нанести.</t>
  </si>
  <si>
    <t>Мамы Крыма (МАТЕРИНСКИЙ КАПИТАЛ)</t>
  </si>
  <si>
    <t>Анатолий Зеркин</t>
  </si>
  <si>
    <t>13.04.2023 18:04</t>
  </si>
  <si>
    <t>[id58618726|Ольга], читай всю вики это раз, я только кинул ссылку на ваш ср@ный арбидол, это два. Но у вас и от этого прорвало - это три</t>
  </si>
  <si>
    <t>Рома Пиунов</t>
  </si>
  <si>
    <t>13.04.2023 18:03</t>
  </si>
  <si>
    <t>Люция Исхакова</t>
  </si>
  <si>
    <t>Стерлибашево</t>
  </si>
  <si>
    <t>[id58618726|Ольга], ещё раз - прости всю статью, потом сри что то - вам я просто выложил ссылку на ваш сраный арбидол, не более</t>
  </si>
  <si>
    <t>13.04.2023 18:02</t>
  </si>
  <si>
    <t>ольга мищенко</t>
  </si>
  <si>
    <t>Соль-Илецк</t>
  </si>
  <si>
    <t>13.04.2023 18:01</t>
  </si>
  <si>
    <t>[id560011994|Серж], Смешно, но Арбидол одобрен ВоЗом</t>
  </si>
  <si>
    <t>Ольга Романова</t>
  </si>
  <si>
    <t>13.04.2023 18:00</t>
  </si>
  <si>
    <t xml:space="preserve">Мамочки, поделитесь опытом, кто применяет противовирусные в первые сутки, хочу услышать какие даёте и каков эффект.
Писать про заговор фармацевтов и т. д. не надо. Ребенку 2 года и Лактазная Недостаточность , раньше ставила свечи генферон, сейчас не даётся, целая эпопея, что посоветуете держать в запасе.</t>
  </si>
  <si>
    <t>13.04.2023 17:58</t>
  </si>
  <si>
    <t>Любовь Шнитко (Хижук)</t>
  </si>
  <si>
    <t>Шебекино</t>
  </si>
  <si>
    <t>13.04.2023 17:57</t>
  </si>
  <si>
    <t>Противовирусный препарат Ниармедик плюс Кагоцел - Наш семейный спасателей от вирусов.</t>
  </si>
  <si>
    <t xml:space="preserve">Достоинства: быстро помогает, разумная цена, отсутствие побочек Недостатки: нет Каждый раз, когда чувствую, что заболеваю, пью Кагоцел. И не только я, но и все мои родные. Можно сказать, что это наш семейный спасателей от вирусов. Поэтому всегда беру большую упаковку, эти таблетки лишними никогда не бывают.
За что он мне нравится? Ну, во-первых, действием. Он отлично помогает организму бороться с вирусами – с ним быстро становится легче, в течение суток облегчаются простудные симптомы, стабилизируется температура, успокаивается мышечная боль, уменьшается слабость и вялость. Во-вторых, с ним никогда ни у кого из нас не было осложнений, хотя до него неоднократно были бронхиты, отиты, гаймориты... у кого что. Сейчас болезнь проходит окончательно и без последствий. В-третьих, у него вполне адекватная цена, реальная для своего действия. Плюс, учитывая то, что болезнь протекает легче и проходит быстрее, на другие лекарства, которые лечат симптомы, уходит меньше денег, так что с Кагоцелом нам лечится даже дешевле. За все время у нас не было никаких побочек от него, никаких проблем.
Действует эффективно, мягко, безопасно. Эффективность и безопасность, кстати, доказана множеством клинических испытаний, так что это не просто субьективное мнение, а научно доказанный факт.
Всегда держу кагоцел в аптечке прозапас, ведь никогда не знаешь, когда вирусы решат подпортить нам жизнь, а так не боимся его и сразу даем бой.   Год выпуска/покупки: 2023   Общее впечатление: Наш семейный спасателей от вирусов.  Моя оценка:    Рекомендую друзьям:ДАГде выгоднее купить     Качество    Упаковка    Эффект    Безопасность    Доступность</t>
  </si>
  <si>
    <t>Valleronna</t>
  </si>
  <si>
    <t>13.04.2023 17:55</t>
  </si>
  <si>
    <t>Нам помог гель Виферон для профилактики, может помните раньше так тоже делали, но другим средством, название его забыла, но было так)))). Мажу ватной палочкой носик ребенку, два раза в день, и обязательно очищать нос, чтобы там не скапливались вирусы. Делаю 3 раза в год так - зимой осенью и весной и все ок, болеем меньше. Свечи их тоже ставим когда вижу что заболеваем и с ними быстро на поправку идем, без осложнений.</t>
  </si>
  <si>
    <t>Мария Пономар</t>
  </si>
  <si>
    <t>13.04.2023 17:54</t>
  </si>
  <si>
    <t>Людмила Гончаренко</t>
  </si>
  <si>
    <t>Мыски</t>
  </si>
  <si>
    <t>13.04.2023 17:51</t>
  </si>
  <si>
    <t>Карина Саркисян</t>
  </si>
  <si>
    <t>Минзаля Фаткуллина</t>
  </si>
  <si>
    <t>Наталья Кузнецова</t>
  </si>
  <si>
    <t>13.04.2023 17:49</t>
  </si>
  <si>
    <t>Иммуномодулирующее средство Цитомед Цитовир-3</t>
  </si>
  <si>
    <t xml:space="preserve">Вирус не пройдёт-Цитовир не подведёт!
   Терпеть не могу болеть (а кто это может любить вообще?), поэтому каждый год в межсезонье для меня просто пытка какая-то.
Как-то так сложилось, что именно весной я болею чаще и дольше, чем осенью, поэтому пока все радуются пробуждающейся природе, я грущу, что снова придется пить таблетки и ходить "обвесившись соплями".
Я много чего перепробовала за то время, что на меня вот такие волны болезней накатывают, но ничего особо и не помогает. А тут прошлой весной сестра посоветовала Цитовир курсом попить. Мол она так каждый год делает и ей помогает хорошо. Ну а что, хуже-то точно не будет. Вот так я приобрела первую упаковку Цитовира.           Принимала я его по 1 капсуле в день, курс приема 12 дней. На удивление, в ту весну я не заболела ни разу. Осенью курс повторила и снова ни один вирус ко мне не прицепился.                     Ну и естественно, эта весна тоже не исключение. Я снова пью Цитовир, уже почти закончила курс и очень надеюсь, что он снова окажется на высоте. Хотя в принципе, уже дважды убедилась и думаю, что и на этот раз Цитовир меня не подведет.)         Lisodarрекомендует</t>
  </si>
  <si>
    <t>Lisodar</t>
  </si>
  <si>
    <t>13.04.2023 17:48</t>
  </si>
  <si>
    <t>Вера Королёва</t>
  </si>
  <si>
    <t>Аркадак</t>
  </si>
  <si>
    <t>13.04.2023 17:46</t>
  </si>
  <si>
    <t>Нам педиатр рекомендовала физраствор и убирать слизь из носика, также в комплексной терапии назначала гель виферон на слизистую носика.</t>
  </si>
  <si>
    <t>13.04.2023 17:44</t>
  </si>
  <si>
    <t>Зинаида Енадарова (Мосолова)</t>
  </si>
  <si>
    <t>13.04.2023 17:43</t>
  </si>
  <si>
    <t>Валерий Дмитрич</t>
  </si>
  <si>
    <t xml:space="preserve">ВОТ ЛЕКАРСТВА, КОТОРЫЕ ВСЕГДА ДОЛЖНЫ БЫТЬ В ДОМАШНЕЙ АПТЕЧКЕ
Эти лекарства точно должны быть в вашей аптечке!
При температуре: нурофен + много воды. Если ноги и руки холодные – добавить папаверин или но-шпа.
Для обработки ран: перекись водорода или мирамистин, бактерицидный пластырь, бинт.
От боли: нурофен или пенталгинПри поносе: без температуры – смекта, энтерол или бактисуптил; с температурой – активированный уголь, энтерофурил, регидрон, КИП, затем смекта или бактисуптил + щадящая диета на 5-7 дней.
При гриппе и ОРВИ: циклоферон (принимать сразу при первых признаках заболевания), витамин С, фервекс, горчичники.
При кашле: с мокротой – амбробене или элексир бронхикум; без мокроты – либексин, сироп сенекод.
При болях в ушах, отите: отинум или отипакс.
При проблемах с глазами (усталость, повреждение, краснота, коньюктивит): корнорегель.
От боли в горле: спрей тантум верде или каметон .
При аллергии: зиртек, фенистил (капли).
При болях в сердце: валидол.
При вздутии и тяжести в животе: фестал.
От синяков и ушибов: мазь бодяга.
При растяжении мышц : вальторен гель, випросал.
Р. S. Статья носит исключительно информационный характер и не может заменить консультации врача.</t>
  </si>
  <si>
    <t>Татьяна Танюша</t>
  </si>
  <si>
    <t>13.04.2023 17:42</t>
  </si>
  <si>
    <t>Галина Саутина (Пантюшкина)</t>
  </si>
  <si>
    <t>И только "арбидол Голиковой"  из мела и соды  будут отпускать  в аптеках без рецепта!</t>
  </si>
  <si>
    <t>Владислав Ларионов</t>
  </si>
  <si>
    <t>Ингаляции с физраствором делаем если кашель сухой , если влажный, то физраствором с лазолваном. Точные пропорции пусть лучше назначит вам педиатр.</t>
  </si>
  <si>
    <t>Вера Макаринская</t>
  </si>
  <si>
    <t>Мамы Саратов Энгельс</t>
  </si>
  <si>
    <t>13.04.2023 17:41</t>
  </si>
  <si>
    <t xml:space="preserve">Омскстат вновь провел выборочное обследование потребительского рынка Омской области. С января по март цены на жизненно необходимые и важнейшие препараты повысились в среднем на 0,4 %
На 12,5 % подорожал фуросемид, на 4,6 % – дротаверин, на 3,5 % – аскорбиновая кислота, на 3,1 % – цефтриаксон. При этом некоторые лекарства подешевели:
супрастин – на 5 %,амлодипин – на 4,6 %,ксарелто – на 3,9 %,натрия хлорид – на 3,7 %,ацетилцистеин (АЦЦ) – на 3,4 %,амброксол – на 3,4 %.
Из отечественных препаратов, не относящихся к жизненно необходимым, наиболее сильно подорожали йод (на 6,5 %), поливитамины (на 4,4 %), флуоцинолона ацетонид (на 3,1 %). Из зарубежных на 2,6 % подорожал синупрет. Подешевели на 3,1–8,3 % афобазол, аципол, таурин, комбинированные анальгетики, эссенциале форте, мидокалм и ренгалин.
Источник: omskinform.ru</t>
  </si>
  <si>
    <t>55.news.55</t>
  </si>
  <si>
    <t xml:space="preserve"> </t>
  </si>
  <si>
    <t>13.04.2023 17:40</t>
  </si>
  <si>
    <t xml:space="preserve">➡ Как облегчить приступ кашля у ребенка?
Как правило, кашель является симптомом какой-либо болезни, поэтому терапия должна быть направлена не только на устранение собственно кашля, но и на причину, по которой он появился.
Для того, чтобы слизь и мокрота не застаивались, препарат «Геделикс» компании «Кревель Мойзельбах» хорошо разжижает и стимулирует отхаркивание.
Особенность противокашлевого средства «Геделикс» в том, что не содержит сахар, консерванты и спирт.
В состав «Геделикса» входит экстракт плюща, который обладает противовоспалительным, антимикробным, фунгицидным, антивирусным свойствами.
#ШколаЗдоровья #геделикс #откашля #влажныйкашель #простуда #кашель #сиропоткашля #сиропгеделикс #каплигеделикс #лечениекашля
Текст на изображении: Геделикс 4 pacmumeneHozo npoucxoxdeHua</t>
  </si>
  <si>
    <t>Tata Matius</t>
  </si>
  <si>
    <t>Наталья Брюшкова</t>
  </si>
  <si>
    <t>Десногорск</t>
  </si>
  <si>
    <t>Любовь Кожевникова(Дуганова)</t>
  </si>
  <si>
    <t>Татьяна Смольякова (Ковалёва)</t>
  </si>
  <si>
    <t>Елань</t>
  </si>
  <si>
    <t>13.04.2023 17:38</t>
  </si>
  <si>
    <t>[id390532848|Анастасия], а в чем проблема добраться до врача? Дежурный врач всегда есть в поликлинике. Врачи обычно по симптомам понимают и в принципе знают, какой тип гриппа ходит. Муж как-то пил кагоцел, он ему вообще не помог.</t>
  </si>
  <si>
    <t>Анастасия Фадеева</t>
  </si>
  <si>
    <t>13.04.2023 17:36</t>
  </si>
  <si>
    <t xml:space="preserve">Сохраняй себе на стену!
Текст на изображении: ЛЕКАРСТВО АМБРОГЕКСАЛ ЛАЗОЛВАН ЗОВИРАКС `БЕТАСЕРК MATHE-B6 ВОЛЬТАРЕН НО-ШПА KANOTEH ПАНАНГИН КЛАРИТИН OME3 ДИФЛЮКАН ИРТЕК 117 283 109 670 512 203 549 496 340 515 243 251 243 130 328 210 674 155 86 438 AMBPOKCON АМЛОДИПИН БЕТАВЕР. МАГНЕЛИСВб ДЕКСПАНТЕНОЛ ДИКЛОФЕНАК ДРОТАВЕРИН КАПТОПРИЛ КЕТОПРОФЕН ACTIAPKAM ЛОПЕРАМИД. ЛОРАТАДИН МЕЛОКСИКАМ ОМЕПРАЗОЛ ПАНКРЕАТИН ФЛУКОНАЗОЛ ЦЕТИРИНАКС 46 13 52 71 31 273 357 147 105 65 12 45 48 10 40 30 34 Амброксол (сироп) кислота 'Амлодипин Азитромицин Ацикловир (крем) Бетагистин Витамин и магний Декспантенол Диклофенак (гель) Дротаверина гидрохлорид Каптоприл Кетопрофен Калия и магния аспарагинат Лоратадин 'Мелоксикам Омепразол Панкреатин Цетиризин</t>
  </si>
  <si>
    <t>Елена Челобаева (Гурина)</t>
  </si>
  <si>
    <t>13.04.2023 17:33</t>
  </si>
  <si>
    <t>Насчет гриппферона - это же капли, скатилась в носоглотку и все. Возможно эффект и будет, но мы пробовали ребенок был не в восторге от него.</t>
  </si>
  <si>
    <t>Мамы Питера</t>
  </si>
  <si>
    <t>Ольга Китова</t>
  </si>
  <si>
    <t>13.04.2023 17:31</t>
  </si>
  <si>
    <t>Зинаида Косякова</t>
  </si>
  <si>
    <t>Даровской</t>
  </si>
  <si>
    <t>13.04.2023 17:30</t>
  </si>
  <si>
    <t>Виферон мазь</t>
  </si>
  <si>
    <t>Анастасия Осипова</t>
  </si>
  <si>
    <t>Старайтесь соблюдать постельный режим, пить больше теплой жидкости (чаи травяные, морсы, мед и т.д.). Регулярно проветривайте помещение, увлажняйте воздух, требуется частая влажная уборка с мягкими дезинфицирующими средствами. Промывайте слизистую носа любым раствором морской воды, используйте мирамистин, можно наносить виферон в виде геля либо мази на подсушенную слизистую носа. Горло также орошайте раствором морской воды, мирамистином, рассасывайте таблетки лизобакта.</t>
  </si>
  <si>
    <t>13.04.2023 17:29</t>
  </si>
  <si>
    <t>Нас лечили антигистаминными, вифероном по схеме</t>
  </si>
  <si>
    <t>Анна Анатольевна</t>
  </si>
  <si>
    <t xml:space="preserve">Советы врача-отоларинголога по профилактике ОРВИ и гриппа!
За 12 лет практики в поликлинике я часто слышал от пациентов, приходивших с осложнениями после ОРВИ и гриппа (отит, гайморит), такие вопросы: как защититься от вирусов, чтобы не заразиться и не запустить болезнь до таких осложнений? Что выбрать из препаратов для профилактики?
Чтобы пояснить, какие препараты выбрать, сначала нужно рассказать несколько фактов о вирусах и как они попадают в организм.
Факт № 1.
К ОРВИ относится и грипп, и COVID-19, и риновирусная инфекция, и энтеровирусная (в народе — «кишечный грипп»), и другие. Всего насчитывается более 300 видов.
Факт № 2.
Чаще всего вирусы проникают в организм через носоглотку, где начинают активно размножаться. Поэтому мы повсеместно слышим советы о том, что нужно носить маски и дистанцироваться. Это правильно!
Факт № 3.
Но есть и другие способы профилактики. Во время пандемии хорошо себя проявили противовирусные препараты местного действия, которые наносятся непосредственно на слизистую носа.
Известно, что один из факторов, определяющих эффективность противовирусных препаратов местного действия, — это время контакта препарата со слизистой оболочкой носоглотки. Давайте разберём 2 группы лекарств и определим, какие дольше находятся в носу и, соответственно, могут лучше защищать от вирусов.
 Спреи («Деринат», «Генферон») и капли («Гриппферон», «Анаферон»).
Преимущества: спреи выдают дозу лекарства автоматически. Капли — привычная всем с детства форма. Помните их вкус во рту?
Недостатки: препараты за несколько секунд вытекают из носовой полости, часто не успевая оказать терапевтическое действие. Получается, что при неправильном применении не дают профилактического эффекта.
О каплях: правильно их применять не так просто. Надо лечь или хотя бы откинуть голову набок, закапать в ту ноздрю, которая окажется внизу, чтобы лекарство осталось на наружной стенке носа. После задержаться в этом положении на некоторое время. Непросто и неудобно, особенно в дороге, на работе и дома, когда мы заняты бытовыми делами!
При неправильном применении капли можно проглотить — в таком случае они не дадут нужного эффекта.
Теперь о спреях. Газообразующее соединение, которое входит в их состав, способно раздражать слизистую оболочку носа и ротоглотки. Также спреи не разрешены детям до 14 лет.
 Мази и гели (например, «Виферон»).
Преимущества: гелевая или мазевая основа, в отличие от капель и спреев, гораздо дольше находится на слизистой носа. Профилактический эффект таких препаратов может длиться до 12 часов. Мази и гели помогают блокировать вирусы, попадающие в нос, не пересушивая слизистую. При этом сохраняют необходимую активность ворсинок эпителия носа, нашу естественную природную защиту, и дают дополнительную — противовирусную.
Для сравнения: капли с сосудосуживающим компонентом сушат слизистую носа и препятствуют нормальной работе защитных ворсинок.
Недостатки: минус, пожалуй, только один. Нужно самостоятельно отмерять необходимое количество препарата: оно должно быть примерно с горошину для каждой ноздри, хотя не так уж это и сложно в принципе.
Сохраните этот пост, пересылайте своим друзьям и знакомым — сейчас качественная профилактика очень актуальна! Берегите своё здоровье!
ИМЕЮТСЯ ПРОТИВОПОКАЗАНИЯ. ПЕРЕД ПРИМЕНЕНИЕМ ОБРАТИТЕСЬ К СПЕЦИАЛИСТУ</t>
  </si>
  <si>
    <t>Ольга Исупова (Кулыгина)</t>
  </si>
  <si>
    <t>13.04.2023 17:27</t>
  </si>
  <si>
    <t>Валентина Самойлова (Карлышева)</t>
  </si>
  <si>
    <t>Чернушка</t>
  </si>
  <si>
    <t xml:space="preserve">Расскажу свою историю. Дочь 5 лет, ходим в сад, были частые ОРВИ, на их фоне вылезли аденоиды 2 степени. Каждое ОРВИ сопровождалось жуткими отитами. После отита с жидкостью в ухе, что пришлось прокалывать перепонку, сказала себе-надо искать причину. Я понимаю, что ребенок должен собрать свою «библиотеку» инфекций ходя в сад. Но причину стали искать у инфекциониста. Пришли к инфекционисту, Доктор медицинских наук, доверие внушает, на все мои каверзные вопросы отвечает. Выдали нам анализы сдать на n-нную сумму. Сдали. Выявили вирус Эпштейн-Барра, вирус герпеса вроде 4 типа. Прошли УЗИ, печень увеличена прилично, при пальпации болезненна. Назначили курс дорого иммуномодулятора, изопринозина, Вит.Д и т.д. Я очень верила, что поможет. Потому что столько лекарств вливать в ребенка просто невыносимо. Прошли курс. Сдали все анализы-чисто. УЗИ-печень чуть больше нормы, но уже не так увеличена. По итогу: аденоиды естественно никуда не денутся уже, ОРВИ не часто, как было и без отитаЧестно, я незнаю кому верить. Но знаю одно-ничего не делать и не лечить нельзя. Мы тоже все ждали у моря погоды, пока до серьезных последствий не дошло. Я доверилась доктору и не жалею. Всем деткам здоровья </t>
  </si>
  <si>
    <t>Юлия Русакова</t>
  </si>
  <si>
    <t>doctorbloger</t>
  </si>
  <si>
    <t>13.04.2023 17:26</t>
  </si>
  <si>
    <t>[id564996259|Наталья], никаких чудес. Полиоксидоний мне не моя алерголог назначила. Врач с высшей категорией.ездит на семинары медицинские. В курсе всех новейших разработок. Ингавирин и тоже она советовала.</t>
  </si>
  <si>
    <t>Диана Грошева</t>
  </si>
  <si>
    <t>[id785219250|Маргарита], как может сахар, который содержится в анафероне, помогать и что-то там профилактировать?!</t>
  </si>
  <si>
    <t>13.04.2023 17:25</t>
  </si>
  <si>
    <t>Светлана Семакина (Ельцова)</t>
  </si>
  <si>
    <t>13.04.2023 17:24</t>
  </si>
  <si>
    <t>Тазкира Калимуллина</t>
  </si>
  <si>
    <t>Азнакаево</t>
  </si>
  <si>
    <t>13.04.2023 17:23</t>
  </si>
  <si>
    <t>Если нет температуры ничего не мешает делать ингаляции. Мне сироп Коделак Бронхо помогает хорошо</t>
  </si>
  <si>
    <t>Ксюша Киселева</t>
  </si>
  <si>
    <t xml:space="preserve">[id439472|Мария], осельтамивир, как знаю, вообще рецептурный препарат и по-хорошему его не должны в аптеках продавать каждому второму, но у нас, конечно же, не соблюдают этих правил. А потом люди и думают, почему у них голова раскалывается, тошнит и рвет, на побочки от препарата мы не смотрим)) Кагоцел в этом плане безопаснее и эффективность у него, кстати, доказана не одним десятком исследований, если интересно, могу кинуть ссылочки </t>
  </si>
  <si>
    <t>София Довженко</t>
  </si>
  <si>
    <t>13.04.2023 17:22</t>
  </si>
  <si>
    <t>Галина Иванова</t>
  </si>
  <si>
    <t>13.04.2023 17:21</t>
  </si>
  <si>
    <t>обязательно витамин д и с, омега 3, отпаивать. можно проставить свечи Виферон, нас выручают всегда. ну и симптоматически помогать</t>
  </si>
  <si>
    <t>Мамы Первоуральска</t>
  </si>
  <si>
    <t>13.04.2023 17:18</t>
  </si>
  <si>
    <t>[id566603211|Галина], Грипп-смерность очень высокая,а короновирус известен , лечился арбидолом и ацетиловой кислотой ,парацетамолом,относится к ОРВ,ОРЗ.Викепедия печатное издание!Ослабление имунной системы вакцинацией увеличила смерность!</t>
  </si>
  <si>
    <t>Сергей Саныч</t>
  </si>
  <si>
    <t>Око - Горячие Новости!</t>
  </si>
  <si>
    <t>Корень солодки и ингаляции с лазолваном</t>
  </si>
  <si>
    <t>Дария Торопова</t>
  </si>
  <si>
    <t>Мамы | Череповец</t>
  </si>
  <si>
    <t>[id793566988|Лиана], состоять в реестре, не значит быть ЛП. к тому же раньше анаферон был бадом, что изменилось? субсидия?))</t>
  </si>
  <si>
    <t>Валентина Попова-Илатовская</t>
  </si>
  <si>
    <t>13.04.2023 17:17</t>
  </si>
  <si>
    <t>НАТАЛЬЯ Сторожева (Доронина)</t>
  </si>
  <si>
    <t>13.04.2023 17:16</t>
  </si>
  <si>
    <t>Ольга Викторовна</t>
  </si>
  <si>
    <t>Липецк</t>
  </si>
  <si>
    <t>13.04.2023 17:15</t>
  </si>
  <si>
    <t>[id574301710|Kristina], говорить много чего могут и на заборе всякое пишут  Главное, как по факту препарат действует, мы тоже с мужем и сыном только кагоцелом спасаемся</t>
  </si>
  <si>
    <t>Саша Войтко</t>
  </si>
  <si>
    <t xml:space="preserve">❗Осторожно! Грипп!❗
#Опочецкаякоррекционнаяшколаинтернат
Текст на изображении: 4 ПУТИ ПЕРЕДАЧИ ИНФЕКЦИИ: Воздушно-капельный: (вирус выделяется со слизистых оболочек дыхательных путей при дыхании, разговоре, кашле, чихании); Контактный (передача осуществляется при рукопожатии, контакте предметами в общественном транспорте, местах массового скопления людей, использование общей посуды). ОСНОВНЫЕ СИМПТОМЫ: ИНКУБАЦИОННЫЙ ПЕРИОД ОТ НЕСКОЛЬКИХ ЧАСОВ ДО ДНЕЙ повышение температуры, озноб; «ломота» в теле; общая слабость и «разбитость»; головная боль. ЕСЛИ РЕБЕНОК ЗАБОЛЕЛ, НЕОБХОДИМО: КАК УБЕРЕЧЬ РЕБЕНКА ОТ Вызвать врача на дом; По возможности изолировать ребенка от других детей и членов семьи; Воздержаться от посещения мест скопления людей; Исключить пребывание ребенка в организованном коллективе; Обеспечить ребенку постельный режим, обильное теплое питье. НЕ ЗАНИМАЙТЕСЬ САМОЛЕЧЕНИЕМ, ВИРУСНОЕ ЗАБОЛЕВАНИЕ, ПЕРЕНЕСЕННОЕ НОГАХ» МОЖЕТ ПРИВЕСТИ В ДАЛЬНЕЙШЕМ исключить или ограничить контакт заболевшими детьми; при невозможности ограничения контакта использовать маски, мази оксолиновая и виферон; тщательно мыть руки мылом (перед едой, после посещения туалета, по возвращении 6 регулярно проветривать помещение; использовать в пищу продукты обогащенные витаминами (шиповник, квашеная капуста, цитрусовые) и фитонцидами (лук, чеснок); соблюдать режим сна, спать открытой форточкой; заниматься физкультурой, делать обтирания прохладной водои..</t>
  </si>
  <si>
    <t>Будем учиться вместе</t>
  </si>
  <si>
    <t>Опочка</t>
  </si>
  <si>
    <t>Елена Воловатова</t>
  </si>
  <si>
    <t>Арина Тюлюш</t>
  </si>
  <si>
    <t>13.04.2023 17:14</t>
  </si>
  <si>
    <t>Светлана Бармина (Широбокова)</t>
  </si>
  <si>
    <t>Лесной</t>
  </si>
  <si>
    <t>Лидия Огородова</t>
  </si>
  <si>
    <t>Оленегорск</t>
  </si>
  <si>
    <t>13.04.2023 17:13</t>
  </si>
  <si>
    <t xml:space="preserve"> В самый разгар ковидной бомбёжки, когда регистратуры поликлиник задыхались от звонков, а участковые терапевты - от нагрузки, над страной прогремела добрая весть.
Все пациенты с ковидлой будут обеспечиваться препаратами бесплатно!
Вообще все!
Неисследованным арепливиром, бесполезным гриппфероном и дорогущими антиагрегантами!
Ура, товарищи!
Не верите - проверьте прямо сегодня. Даже из дома выходить не придётся. Наберите волшебный номер - и участковый терапевт, аки курьер, в кратчайшие сроки доставит всё по адресу.
Задумка, если не рассматривать её с позиций докмеда, неплохая.
Но не в условиях, когда на плечи среднестатистического терапевта ложится по сорок пеших адресов в день, а приём никто не отменял.
Ах, да. Про отчётность и бюрократию не забываем.
Отчётность и бюрократия - великая регулирующая сила.
Изнутри всё выглядело так.
Протираешь глаза в пять утра.
В шесть - выползаешь из дома. Минут сорок трясёшься в маршрутке, забитой курсирующими пенсионерами.
В семь - ты на работе, таращишь сонные зенки в монитор. Ибо выхода нет. До начала рабочего дня надобно открыть штук пятнадцать "вечерних" больничных, оформить дневники, заполнить экстренные, составить требования на бесплатные препараты и отчитаться по выданным накануне.
️ Отчёт за препараты - процесс нудный и бесполезный.
Сначала вписываешь каждую выданную пачку, строго по наименованию, в амбарную книгу, и отмечаешь, кому её выдал. И не просто Маше из шестого подъезда... ФИО, пожалуйста, укажи; адрес, место работы, дату рождения, телефон, диагноз.
Думаете, это всё? Ха!
Ещё на каждую пачку надобно рецепт выписать. Да от руки. Да на латыни. Да в двух экземплярах.
Потом вписываешь инфу в протокол ВК. Оформляешь дневник, обосновывая назначение. Заполняешь на каждого пациента ещё штук пять сопутствующих бумажек - от согласия на обработку персональных данных до анкеты, аудиоконтроля и отказа от стационарного лечения. Клеишь пачку листов А4 в амбулаторную карту (надобно, чтоб был оригинал непременно) и-и-и...  Несёшь на подпись начальству!
Кажется, всё?
О, нет: забыла про расписки пациентов за получение препаратов!
️ Оформить требование - ещё одна задача.
Нужно оценить, сколько препарата потребуется сегодня. Сделать это можно около девяти утра, когда примерно обозначается количество вызовов.
Потом в специальный бланк вписывается наименование препарата и количество таблеток. Волшебная бумажка несётся в соседний корпус на подпись Васечкиной. Уже с бриллиантовым росчерком, нужно подойти к главной медсестре, получить препараты и расписаться в амбарной книге. И вали хоть на все четыре стороны с мешком Деда Мороза!
Квест осложняется тем, что Васечкину и главную медсестру не всегда можно застать на рабочем месте.
Если на адреса нужно вотпрямщас - а так в ковидную пору и бывало - можно взять препарат взаймы у коллег. Но их запасы тоже могли иссякнуть не вовремя.
Ничего не получилось? Тогда в половине десятого выдвигаешься на адреса "пустая". И, включив фантазию, хитрожопость и дипломатичность, сетуешь на каждом адресе на бюрократию и ограниченные возможности бюджета. Или на то, что все препараты уже разобрали, а ты - не терминатор.
Бывало, что препарат заканчивался прямо на адресе.
Пациенты обычно входили в положение и всё понимали.
Но не все.
⭐ ЖК "Ленский". Небольшая по меркам элитного дома квартира с панорамным остеклением и помпезными колоннами, в белом мраморе и зеркалах.
- Мы с Пумпусиком заболели позавчера, - жеманничает пожилая женщина в воздушном кружеве поверх пышных телес. - Начали пить Арепливир. Используем гриппферон. Нам уже лучше, Вы только Пумпусю моего послушайте!
Пумпуся - потрёпанный молодой бычок с суровым взором, весь в тюремных татуировках - сидит на диване, раскинув ноги в лучших традициях гопников. Общается неохотно, грозным полушёпотом, аки отъявленный бандит из девяностых. Не повезло же женщине с сыном... А у самой-то, между прочим, важнючая должность в крупной организации!
Пумпуся не хрипит. Не температурит. Не кашляет. Видать, места не столь отдалённые закалили.
- Не беспокойтесь за сына, - подытоживаю в конце концов.
- Вы что! Это мой... муж! - возмущённо выдыхает женщина, а Пумпуся выражает презрение громкой отрыжкой.
На прощание дарю сладкой парочке большую пачку Эликвиса на двоих: ведь Арепливир и Гриппферон у них есть. И возможности явно есть. Радуюсь, что для тех, кто нуждается сильнее, препарата хватит: впереди  семнадцать адресов, а Арепливира осталось лишь две пачки...
Меня провожают странным взором.
На следующий день в кабинете Васечкиной, по иронии судьбы прямо при мне, раздаётся звонок:
- Это возмутительно! - в трубке орёт ядерная сирена. - Мой Пумпусечка всем вам покажет! Он вас всех на колени поставит! Ваша глупая докторша даже Арепливир нам не дала! Зажала! Украла!!! Вы откуда таких берёте?!.
Я сразу заявила, что лишний Арепливир им не потащу из принципа, ибо себя уважаю и не Дед Мороз в принципе. И вообще: у них что, лапки?
А ведь кого-то послали кланяться...
⭐ ...Стояла страшная жара. Разморило всех: и бабушек, и дворовых кошек, и ароматные мусорные бачки, и бактерий. Лишь коронавирус непобедимо косил целые кварталы.
Вызов был предпоследним, и я предвкушала запоздалый завтрак. В восемь-то вечера...
Но с порога меня смыло волной претензий:
- Мне дали слишком мало Арепливира! Обнаглели совсем! Вы что, себе в карман лишнее кладёте?!
Челюсть стукнула о запылённый пол подъезда, и я окаменела, вытаращив глаза.
Раскаменев, таки осмелилась зайти.
Женщина играла глубокую обиду. Расспрашивать её пришлось долго. Кто выдал, что выдал, сколько выдал, который день болеет...  Насупившись, как принцесса, дама искоса поглядывала на меня, и то и дело выдавала снисходительные "да" и "нет".
Оказалось, что болеет госпожа третий день. Терапевт, что приходила на вызов накануне, выдала остатки Арепливира - пачку и ещё немного. По подсчётам, хватало на пять-шесть дней. Нужно ведь сразу на десять!
Я достала остатки своего Арепливира - четыре таблетки.
- Всего четыре?! - уже не слишком снисходительно возмутилась женщина.
- Простите великодушно, всё съела, - сыронизировала я. - То есть, раздала. Перед Вами двадцать вызовов обошла ножками.
- Да мне плевать! Вы... Должны!!! Вы обязаны!!!
- И что Вы предлагаете делать сейчас, в восемь вечера?
Демонстративно молчит.
- Вы ведь понимаете, что сейчас я не найду для Вас таблетки?
Молчит.
- Завтра я попрошу медсестру...
- Мне сейчас надо! -  закричала пациентка. - Поняла?!
- Мы с Вами на брудершафт не пили...
- Знала, куда шла!
- Нет, не знала. Я шла помогать людям, а не работать без доплаты на шесть ставок, и ещё претензии при этом слушать!
- Не нравится - увольняйтесь! - просто комбо клише.
Подумалось, что идея не такая уж и плохая...
 После адресов и приёма приползаешь домой в районе десяти вечера, наспех перекусываешь и просто сваливаешься. Как машина, у которой сдох аккумулятор, что ни в какую не заводится...
На следующее утро всё повторяется.
Ощущение, когда ждёшь просвет в вызовах, а их становится лишь больше, невозможно описать. Наверное, то же самое испытывает человек, который тонет. Или погибает в пожаре, заваленный горящими балками...
Геройство никому не далось.
За подвиги в борьбе с ковидлой, правда, наградили... Васечкину!
 Желание демонстрировать превосходство и самоутверждаться неистребимо. Но участковый терапевт - не слишком удачный объект для таких манипуляций.
Участковый терапевт - не Иисус Христос, чтобы накормить толпу двумя рыбинами и пятью булками. Его чудеса подчиняются законам математики. Три таблетки не разделишь на сорок человек...
Терапевт - такой же, как вы. Не лучше и не хуже.
#venena_lj #участковыеистории #терапевт #медблог #клиническийслучай #участок #ковид</t>
  </si>
  <si>
    <t>Мария Бородина</t>
  </si>
  <si>
    <t>В омских аптеках подорожали жизненно необходимые лекарства   [ЦЕНЫ]  </t>
  </si>
  <si>
    <t>Фото: www.omskinform.ru               Минздрав Омской области В среднем цены на них выросли на 0,4 %, однако отдельные препараты подорожали гораздо сильнее. Омскстат опубликовал свежие данные.  &amp;nbsp; Омскстат вновь провел выборочное обследование потребительского рынка Омской области. С января по март цены на жизненно необходимые и важнейшие препараты повысились в среднем на 0,4 % &amp;nbsp; На 12,5 % подорожал фуросемид, на 4,6 % &amp;ndash; дротаверин, на 3,5 % &amp;ndash; аскорбиновая кислота, на 3,1 % &amp;ndash; цефтриаксон. При этом некоторые лекарства подешевели:  супрастин &amp;ndash; на 5 %,   амлодипин &amp;ndash; на 4,6 %,   ксарелто &amp;ndash; на 3,9 %,   натрия хлорид &amp;ndash; на 3,7 %,   ацетилцистеин (АЦЦ) &amp;ndash; на 3,4 %,   амброксол &amp;ndash; на 3,4 %.  Из отечественных препаратов, не относящихся к жизненно необходимым, наиболее сильно подорожали йод (на 6,5 %), поливитамины (на 4,4 %), флуоцинолона ацетонид (на 3,1 %). Из зарубежных на 2,6 % подорожал синупрет. Подешевели на 3,1&amp;ndash;8,3 % афобазол, аципол, таурин, комбинированные анальгетики, эссенциале форте, мидокалм и ренгалин.</t>
  </si>
  <si>
    <t>13.04.2023 17:12</t>
  </si>
  <si>
    <t>я в сезон простуд мажу только нос гелем виферон, и постоянно даю витамин д и омега 3</t>
  </si>
  <si>
    <t>Сергей Охота</t>
  </si>
  <si>
    <t>Биопарокс - был когда-то такой препарат, но увы его давно нет на российском рынке. Сейчас в основном тантум верде назначают, лизобакт. Сосудосуживающие капли в период беременности, и в особенности на ранних сроках не рекомендуются. Используйте теплое питье, свечи вибуркол (в составе ромашка), гель виферон или свечи, Мирамистин для горла можно.</t>
  </si>
  <si>
    <t>[id43619696|Анастасия], не знаю как у вас так получается - пить противовирусные против определенных типов гриппа)) Пока до врача доберешься, пока сдашь анализ и дождешься результата, то далеко не 1 и не 2 дня пройдет, а организму все это время самому бороться? Он и так ослаблен, тем более у ребенка. Я столько времени не жду, сразу и сама пью, и ребенку кагоцел даю, он практически против всех известных вирусов эффективен, у нас до антибиотиков никогда дело с ним не доходило. А если поймали какой-то неизвестный вирусняк, то тут уже не только кагоцел не поможет, мне кажется)</t>
  </si>
  <si>
    <t>13.04.2023 17:09</t>
  </si>
  <si>
    <t>Надежда Волосникова (Журавлева)</t>
  </si>
  <si>
    <t>13.04.2023 17:08</t>
  </si>
  <si>
    <t>1000 и 1 совет на каждый день !</t>
  </si>
  <si>
    <t>13.04.2023 17:07</t>
  </si>
  <si>
    <t>Александр Максимов</t>
  </si>
  <si>
    <t>Ершовка</t>
  </si>
  <si>
    <t>Про 100 Галина</t>
  </si>
  <si>
    <t>Кинешма</t>
  </si>
  <si>
    <t>[id664517657|Татьяна], я бы не была так категорична к кагоцелу, он не хуже того же осельтамивира вообще, я бы сказала даже лучше, лично для меня. От осельтамивира эффекта как-то особо не почувствовала в свое время, хотя пила четко по инструкции, с кагоцелом наоборот, болезнь переносится намного легче, а чем раньше начинаю пить, тем еще лучше</t>
  </si>
  <si>
    <t>Любовь Ерошенко</t>
  </si>
  <si>
    <t>13.04.2023 17:05</t>
  </si>
  <si>
    <t xml:space="preserve">Народ должен знать..Провизор раскрыл тайны фарм мафии! Зачем народ травят лекарствами? Это ЖУТКО, но знать НАДО!
Вы, или Ваши знакомые принимали: арбидол, парацетамол, реопирин, кагоцел, медамин – ну тогда смотрите быстрее это видео! Провизор Георгий Демидов отдал 25 лет жизни фарм мафии - он продавал лекарства на миллиард в месяц, спустя годы совесть заставила рассказать про этот ужас! Видео предельно важное, тем много: аскорбинка, Л. Поллинг и витамин С, АТФ, Симончини и сода, Неумывакин и сода. Тромбоасс и кардиаск. Варёная пища и пищевой лейкоцитоз! Врачи отучены правильно читать биохимию крови! Кандидоз – и Дифлюкан. Таксоплазма. Что добавляют в булочки для макдональдса? Кишечник и дисбактериоз. Электромагнитный фон, вайфай, СВЧ. Мелатонин, сон и переменный ток. Ниже Важные ссылки:
️ Навигация (тайм-коды):
0:00 - моё важное вступление/ пояснения!
12:21 - интервью ПРОВИЗОРА/ биохимика!
1:38:18 - моё послесловие/ комментарии!
❗ Отзывы о наших товарах - https://natgard.ru/otzyvy-o-magazine/
❗ Новый канал Фролова "Здоровье и Разум&amp;</t>
  </si>
  <si>
    <t>Мишель Томассоне</t>
  </si>
  <si>
    <t>13.04.2023 17:04</t>
  </si>
  <si>
    <t>валентина маслякова</t>
  </si>
  <si>
    <t>[id793733222|Лера], анаферон нужен только чай подсластить, больше толку нет</t>
  </si>
  <si>
    <t>13.04.2023 17:02</t>
  </si>
  <si>
    <t>эпштей барр долго лечится, племянника лечили 3 недели активно , потом раз в месяц ставили виферон в свечах. витамины пили, омега 3, витамин д в хорошей дозе.</t>
  </si>
  <si>
    <t>13.04.2023 17:01</t>
  </si>
  <si>
    <t>Оксана, мне анаферона одного хватило, чтобы на ноги встать. А гриппферон сушит слизистую</t>
  </si>
  <si>
    <t>13.04.2023 17:00</t>
  </si>
  <si>
    <t>Стало известно, какие продукты подорожали в Карелии за неделю</t>
  </si>
  <si>
    <t xml:space="preserve">Карелиястат опубликовал доклад об изменении цен на товары и услуги.  С 4 по 10 апреля в Карелии подорожали капуста на 4,1%, картофель на 3,3%, лук репчатый на 1,8%, огурцы на 1,5%. При этом свекла, яблоки и помидоры подешевели на 3,8%, 3,2% и 1,5% соответственно. Об этом сообщил Карелиястат.
Среди других продуктов упали в цене молоко на 4%, макароны на 3,4%, сливочное масло на 2,3% и свинина на 1,9%. В то же время стали дороже гречка, мясные и овощные консервы для детей на 1,8-2,8%.
За неделю подорожали зубная паста на 8% и сухие корма для домашних животных на 5,1%. Одновременно с этим цена на электропылесос напольный снизилась на 3,9%, а на пеленки для новорожденных на 3,4%.
Среди медикаментов подорожали ренгалин на 3,7%, комбинированные анальгетики на 2,7%. Метамизол натрия при этом стал дешевле на 2,2%, поливитамины на 1,3%.</t>
  </si>
  <si>
    <t>petrozavodsk.bezformata.com</t>
  </si>
  <si>
    <t>Вызовите на дом врача скажите, что температура у ребенка. Наш терапевт только так приходит, иначе по записи и всё тут. Сами только переболели, с понедельника в сад. Из симптомов кашель сухой, ночью особенно, температура неделю скакала и сопли..Понавыписывали кучу феронов, но я их не даю. Нос промывали Аквалором, Геделикс от кашля, температуру не трогала, выше 38 не поднималась. Увлажнитель еще взяла у подруги, заметно легче стало.</t>
  </si>
  <si>
    <t>Настя Орлова</t>
  </si>
  <si>
    <t>13.04.2023 16:59</t>
  </si>
  <si>
    <t>Виктор Изюмов</t>
  </si>
  <si>
    <t>13.04.2023 16:58</t>
  </si>
  <si>
    <t>Анна Щукина(Штольц)</t>
  </si>
  <si>
    <t>Мне назначали все как при обычном орви…т.е. лечила симптомы. У меня была адская головная боль, пила парацетамол и сироп ибупрофен, они же и температуру сбивали. От боли в горле и кашле принимала лизобакт и геделикс. И сама ещё пила теплое молоко с медом и с маслом. Больше отдыхайте.</t>
  </si>
  <si>
    <t>13.04.2023 16:56</t>
  </si>
  <si>
    <t>Светлана Никитина</t>
  </si>
  <si>
    <t>13.04.2023 16:54</t>
  </si>
  <si>
    <t>Вот полностью согласна, перестаньте себя накручивать, особенно интернет читать. Тут такое понапишут, что жить страшно. Настройтесь на лечение. Граммидин хорошо помогает от боли в горле, с красным шарфиком особенно. От кашля я пила Геделикс в беременность и на гв потом, врач прописал. В нос Фринозол пшикала и Ринонорм. Пиносол еще. Молоко теплое с маслом еще хорошо помогает от кашля.</t>
  </si>
  <si>
    <t>Сын 3,5 года, высыпание на стопах, ладонях и во рту. Без температуры, соплей и кашля. Общий анализ крови, хороший. Назначили ацикловир‍♀️виферон и зиртек. Диагноз «скорее всего вирус»‍♀️</t>
  </si>
  <si>
    <t>Алина</t>
  </si>
  <si>
    <t>13.04.2023 16:52</t>
  </si>
  <si>
    <t>Лариса Ч</t>
  </si>
  <si>
    <t>13.04.2023 16:51</t>
  </si>
  <si>
    <t>Юрий Сюткин</t>
  </si>
  <si>
    <t>13.04.2023 16:50</t>
  </si>
  <si>
    <t>Галина Очур</t>
  </si>
  <si>
    <t>Болела три раза за беременность, на 32 неделе ковид. Благо, что протекал в легкой форме, обошлось без антибиотиков и госпитализации. Дома лечилась. Полоскала горло Фурацилином и раствором соды, от кашля пила много морса облепихового и Геделикс. В нос Аквалор, если совсем заложило, то обычный Снуп. Температуру не трогала ниже 38.5. дальше Парацетамол. Так и лечилась.</t>
  </si>
  <si>
    <t>13.04.2023 16:49</t>
  </si>
  <si>
    <t>13.04.2023 16:48</t>
  </si>
  <si>
    <t>Оксана Чупрова</t>
  </si>
  <si>
    <t>Дзержинское</t>
  </si>
  <si>
    <t>13.04.2023 16:46</t>
  </si>
  <si>
    <t>Нина Леонова</t>
  </si>
  <si>
    <t>[id217763697|Анжелика], вот соглашусь на 100 %. в беременность лечили гриппфероном и осложнений насобирала. больше не испытывала судьбу и ставила Виферон, быстро и эффективно помогал</t>
  </si>
  <si>
    <t xml:space="preserve">Рафамин
Артрофоон
Диваза
Моноклональные антитела?</t>
  </si>
  <si>
    <t>Инна Борисовна</t>
  </si>
  <si>
    <t>Ободзинская Татьяна Евгеньевна</t>
  </si>
  <si>
    <t>13.04.2023 16:44</t>
  </si>
  <si>
    <t>Зинаида Панченко(Бикетова)</t>
  </si>
  <si>
    <t>Горьковское</t>
  </si>
  <si>
    <t>Татьяна Кутергина(Трибунская)</t>
  </si>
  <si>
    <t>13.04.2023 16:43</t>
  </si>
  <si>
    <t>ну все верно полисорб или энтеросгель, смекту, свечи виферон продолжать ставить. Тут кто-то банан советовал, вот он при кишечных инфекциях хорошо заходит, так как калий содержит в достаточном количестве</t>
  </si>
  <si>
    <t>13.04.2023 16:41</t>
  </si>
  <si>
    <t>Здравствуйте, переболели всей семьей в июне 2021 года, сыну тогда было 4 месяца, в больницу не возили, поскольку и так было очень много больных. Температурил под 40 градусов, сбивали температуру (забыл как лекарство называется), ставили свечи виферон, температура была около 4-5 дней. каждый день врач приезжала прослушивала лёгкие, делали рентген 2 раза за неделю, точно уде не помню как лечили. Тогда повально все болели, врачей не хватало, сейчас такого нет, поэтому внимания от медперсонала больше</t>
  </si>
  <si>
    <t>1</t>
  </si>
  <si>
    <t>Ковид у детей</t>
  </si>
  <si>
    <t>Настойка ООО "Урал" (Башкортостан) Восковая моль</t>
  </si>
  <si>
    <t xml:space="preserve">Медовая кладезь из личинок Восковой МОЛИ! Спасение для деток, которые не могут отходить в сад больше 4-х дней! Как мы укрепили Иммунитет за 21 день и забыли, что такое постоянные бронхиты с «лающим» кашлем.
Опыт использования:неделя или более Стоимость:450 рублей    Здравствуйте!
Сказать, что я намучилась с бесконечными бронхитами у двух детей - ничего не сказать.... Для меня это история длиной в целых 14 лет. Старшей дочери сейчас 13 и она практически не болеет. Только вот до этого с рождения мы сидели на ингаляторах с тяжелыми гормонами в виде дексометазона и бронхомунала. Бесконечные скорые, больницы, лающий кашель, который начинался в буквальном смысле душить ребенка с 3-х утра... Походы каждые пол года по иммунологам, аллергологам, постоянные анализы на все виды антител где-то за свой счет, где-то по талону, как повезет. Я практически никогда не жила в последние года без тумбочки лекарств, и чего мы только не перепробовали. У дочери бронхиты прошли только после 7 лет, причем резко и навсегда. Теперь она болеет разве что раз в год насморком. Даже ковид она перенесла легче всех в семье.
Но вот спустя 11 лет родился сынок, и в мою жизнь снова вернулся ингалятор и миллион препаратов от аллергии, для горла, от кашля и т д Все названия родные, пройденные, но, к сожалению, уже не такие эффективные как раньше. 
Недавно сыну исполнилось 3 года, и он уже переболел несколько раз ковидом, 2 раза пневмонией и около 15 раз бронхитом. На третьем году жизни я перестала вызывать врача на дом, ведь каждое лечение проходило по накатанной схеме. Этой зимой стандартное лечение уже не помогло, и мы все-таки попали в больницу. Ребенок настолько сильно кашлял, что уже начала терять сознание. В больнице нас быстро поставили на ноги, только жаль ненадолго...Стоило нам пойти в сад, и через 3-4 дня мы снова заболели. Моему отчаянию не было передела.... Сидеть вечно дома нет возможности, да и сидя дома иммунитет не появится чудесным образом. 
И тут на меня будто снизошло озарение - а почему бы не обратиться с местным травникам?!
В наше время таких узких специалистов днем с огнем не сыщешь. В Ставрополе я знаю всего пару таких людей- это мать и дочь, которые занимаются сбором и приготовлением трав всю свою жизнь. Вдобавок доверие вызвало наличие высшего медицинского образования у обеих. 
У них есть свое ИП и патент на некоторые настойки.
"Природная кладовая" (​Продукты пчеловодства).
Адрес:
г. Ставрополь, ул. Артема, 49 ​1 этаж
2-й микрорайон, Ленинский район, Ставрополь, 355002
Описав свою проблему, мне сразу же провели целую лекцию про иммунитет и вирусные инфекции, которые дети постоянно цепляют в саду. В свои 36 с огромным опытом лечения всевозможных болячек, я слушала с открытым ртом...Честно говоря, я ожидала целый пакет препаратов, настоек и изнурительных схем приема. Но как бы не так! 
Мне вручили всего лишь 1 бутылек со специфическим названием "Восковая Моль". Думаю, слово "моль" смутило не только меня. Это не их препарат, он изготовлен компанией ООО "Урал" в Башкортостане. 
          О товаре:ТИП -БАД.
Название: Восковая Моль.
Объем: 50 мл.
Срок годности: 2 года.
Условия отпуска: без рецепта, не является лекарственным средством!
Состав: экстракт личинок восковой моли.Я не пойму, почему не написали про спирт? Мне кажется, что он здесь есть 100 %. Это ощущается и по запаху и по вкусу.
Теперь поговорим про ту самую Восковую Моль!
Насколько я поняла, эта моль является вредоносной для пчёл. В стадии гусениц она прогрызает и портит соты и даже пчелиные куколки. Питается мёдом и пергой. 
Чем восковая моль полезна для иммунитета.Понятное дело, что она питается медом, полезные свойства которого знает весь мир. Но что еще?
1. Польза для человеческого организма заключается в ферментном содержании насекомых.Эти паразиты питаются продуктами пчеловодства, поэтому они богаты наилучшими веществами из их состава. Фермент церраза оказывает подавляющее действие для палочки Коха, не нанося вред здоровью.2. Безвредность за счёт природного происхождения.В практике лечения туберкулеза и других серьезных заболеваний существует множество медицинских препаратов, имеющих побочные эффекты, поэтому применение именно нетрадиционных средств становится незаменимым для гармоничной терапии.
Природное происхождение продукта делает лечение восковой молью абсолютно безвредным для широкого круга лиц, включая тех, кто болеет заболеваниями системы пищеварения, печени, ЦНС и других сфер.          
Показания в применению данного БАДА:туберкулез лёгких и внелегочные туберкулезные патологии;
хронические бронхиты пневмонии, бронхиальная астма;
ишемическая болезнь сердца;
инфаркт миокарда, аритмия, тахикардия,;
гипертоническая болезнь;
хронические заболевания желудочно-кишечного тракта (в фазе ремиссии);
ревматологические заболевания;
простатит и аденома предстательной железы;
улучшает регенерацию тканей на клеточном уровне;
повышает сопротивляемость организма к инфекциям;
обладает антибактериальным и противовирусным действием;
нормализует уровень холестерина в крови;
снижает уровень сахара.Список внушительный, похоже на настоящую панацею!
Бутылек из темно-коричневого стекла с белой пластмассовой крышечкой.
Условия хранения очень простые: не выше 25 С.
На горлышке есть капельный дозатор.
Жидкость бледно-желтая с маленькими кусочками личинок.  
Вкус, конечно, не фонтан, но ребенок без проблем пил в неразбавленном виде.
Курс для укрепления ИММУНИТЕТА составляет 21 день. 
Расчет, исходя из массы тела: 1 капля на 2 кг. 
Мой сын весит 20 кг, соответственно 10 капель мы должны были пропивать перед сном. 
В случае заболевания:
также 10 капель только 2 раза в день в течении 3 дней, затем еще 4 дня по 10 капель на ночь.
Ощущения во время приема:
Настойка в первые дни занимается очищением организма, и в горле у сына скапливалась слизь из пазух носа. Отхаркнуть как взрослые он не мог, поэтому на 6-й день у него была однократная рвота слизью из накопившейся гадости после всех болячек.
Результат:
До сих пор боюсь сказать вслух, чтобы не сглазить! Мы отходили в сад 21 один день без единого намека на ОРВИ! Чуть-чуть не дотянули до месяца, хотя для нас и это настоящее ЧУДО, не иначе.
Первая болячка появилась в виде температуры 37,4 после обеда. Позвонила воспитательница и сказала, что малыш приболел. Из симптомов было пунцово-красное горло, которое я сразу же начала обрабатывать мироместином. 
Наступила ночь, температура держалась такая же как и днем. Мы с мужем уже были морально готовы к кашлю под утро и держали под рукой ингалятор, заправленным физ раствором и дексометазоном, чтобы если что снять отек с бронхов. 
Только вот никакого кашля не последовало от слова совсем! Мало того, к утру прошла температура и больше не повышалась. Мы, конечно же. остались дома, но радости моей не было предела. 
Как все в нашей жизни все-таки сложно и одновременно просто. Гавное, никогда не сдаваться и всегда пытаться искать новое и более эффективное решение!
Мы уже 2 раза пытались заболеть и обошлись легким испугом. Дай Бог, чтобы так было и дальше!
Преимущества Восковой Моли от ООО "Урал":Реальный результат. Натуральный состав.Большой объем, хватит на год как минимум. Не вызывает аллергической реакции.
Итог:
Настойка ООО "Урал" (Башкортостан) Восковая моль РЕКОМЕНДУЮ всем для укрепления иммунитета, а также для лечения целого спектра хронических болезней в любом возрасте.
Дорогие друзья, желаю вам здоровья и удачи!
Предлагаю ознакомиться с другими моими отзывами ЗДЕСЬ!         Достоинства Большой объемРеальный результат по укреплению иммунитетаТеперь ОРВИ без сильных осложненийЦена   Кэтрин Кэтрекомендует</t>
  </si>
  <si>
    <t>Кэтрин Кэт</t>
  </si>
  <si>
    <t>13.04.2023 16:37</t>
  </si>
  <si>
    <t>Галина Золотухина(Черенцова)</t>
  </si>
  <si>
    <t>Солнечный</t>
  </si>
  <si>
    <t>13.04.2023 16:36</t>
  </si>
  <si>
    <t>Ольга Захарова</t>
  </si>
  <si>
    <t>13.04.2023 16:35</t>
  </si>
  <si>
    <t>григорий спирихин</t>
  </si>
  <si>
    <t>13.04.2023 16:32</t>
  </si>
  <si>
    <t>Симптом ниши на рубце говорит о несостоятельности его, у вас этого нет. А это самое главное. Небольшое количество жидкости - вот за это зацепилась врач. Это может быть, у меня после первого кс было, через 3-4 мес, но ни какого лечения я не проводила. Потом делала узи уже спустя год - все норм было. Препараты (кроме виферона) действительно все для лечения зппп. Если мазок чистый, то зачем они? Виферон вообще не понятно зачем здесь. Я бы сходила к другому врачу на приём.</t>
  </si>
  <si>
    <t>Настёна</t>
  </si>
  <si>
    <t xml:space="preserve">Геделикс для детей инструкция по применению: Сироп, капли, состав, дозировкаГеделикс для детей инструкция по применению: Сироп, капли, состав, дозировка
https://megapteka.ru/specials/guide_gedeliks-dlya-detej-1365
Геделикс — лекарство, которое применяют при инфекционно-воспалительных болезнях бронхов и верхних дыхательных путей, сопровождающихся трудноотделяемой мокротой</t>
  </si>
  <si>
    <t>Ирина Круглова</t>
  </si>
  <si>
    <t>13.04.2023 16:31</t>
  </si>
  <si>
    <t>Зинаида Позднякова (Стоцкая)</t>
  </si>
  <si>
    <t>Озерск</t>
  </si>
  <si>
    <t>13.04.2023 16:28</t>
  </si>
  <si>
    <t>Инна Кондратьева</t>
  </si>
  <si>
    <t xml:space="preserve">Добрый день! #вопрос к продолжению закрепленному сообщению
Температуры нет со вчерашнего дня
Но утром осип голос, вызвали педиатра, сказала горло красное, назначила пить ромашку, снова виферон и 5 дней капать зертек по 5 капель
Объясните мне пожалуйста, зачем капать зертек? Необходим ли он?
На этот вопрос педиатр мне ответила «давайте я буду решать что делать и как лечить»
По мне так абсолютно адекватный вопрос я задала и не ожидала услышать такой ответ…
Подскажите чем еще можно помочь больному горлу, очень осипла малышка (кашля нет, легкие чистые)</t>
  </si>
  <si>
    <t>Nataliya Kakusha</t>
  </si>
  <si>
    <t>ПЕДИАТРЫ Chat</t>
  </si>
  <si>
    <t>Если вы про конъюнктивит, то это один из симптомов аденовируса, а на не осложнение его. Был и не раз, лечится как обычная вирусная инфекция. Лечились симптоматически - парацетамол и ибуклин от температуры, от кашля геделикс, в глазки капали тобрадекс…вроде бы все. Ну, про пить больше воды - это по умолчанию.</t>
  </si>
  <si>
    <t>13.04.2023 16:26</t>
  </si>
  <si>
    <t>Надежда Бордюговская</t>
  </si>
  <si>
    <t>13.04.2023 16:25</t>
  </si>
  <si>
    <t>Если пьете АЦЦ,перестаньте . У меня после прекращения кашель проходит моментально</t>
  </si>
  <si>
    <t>Ирина Соловьева</t>
  </si>
  <si>
    <t>13.04.2023 16:24</t>
  </si>
  <si>
    <t>Анжелика Киселева</t>
  </si>
  <si>
    <t>Находка</t>
  </si>
  <si>
    <t>13.04.2023 16:22</t>
  </si>
  <si>
    <t>Валя Бакулина</t>
  </si>
  <si>
    <t>Народные Советы ✔️</t>
  </si>
  <si>
    <t>13.04.2023 Выходят ли дети в школу сегодня - последние новости</t>
  </si>
  <si>
    <t xml:space="preserve">13.04.2023 На сегодняшний день на федеральном уровне официальных запретов на выход детей в школы нет, однако, как ранее сообщало РИА «Новости» со ссылкой на главу Роспотребнадзора Анну Попову подготовлено новое методическое письмо для школ. «Если в классе, тем более в школе не приходят на занятия больше двадцати процентов учеников, вот есть класс, если сегодня ученики не пришли, то этот класс нужно отпускать на дистанционное образование, нужно разобщать. Чтобы дети дальше не передавали друг другу инфекцию и не заражались», — отметила Попова. Подробности - читайте ниже.
 По словам руководителя Роспотребнадзора Анны Поповой, свиной грипп вызывает большое количество осложнений, нередки летальные исходы среди людей с ослабленным здоровьем. Все необходимые меры принимаются в полном объеме в зависимости от региона, например, подготовлено новое методическое письмо для школ. «Если в классе, тем более в школе не приходят на занятия больше двадцати процентов учеников, вот есть класс, если сегодня ученики не пришли, то этот класс нужно отпускать на дистанционное образование, нужно разобщать. Чтобы дети дальше не передавали друг другу инфекцию и не заражались», — отметила Попова. Глава Роспотребнадзора добавила, что система здравоохранения готова к приему большого количества пациентов со свиным гриппом. К первым симптомом болезни она отнесла слабость, повышение температуры, общее недомогание, неприятное ощущение в носу и горле. Попова уточнила, что минимальный инкубационный период может составлять несколько часов, максимальный — семь дней. Она посоветовала сразу же обращаться к врачу, чтобы определить, грипп ли это или COVID-19. Специалисты Роспотребнадзора зафиксировали свиной грипп в уже в 82 регионах России. «Свиной грипп»&amp;nbsp;вызывается пандемичным вирусом гриппа А(H1N1), передающееся от свиньи и человека к человеку, имеет высокую восприимчивость среди населения с развитием пандемии и характеризуется лихорадкой, респираторным синдромом и тяжелым течением с возможностью летального исхода.
 Возбудитель свиного гриппа 
Вирус гриппа А(H1N1)&amp;nbsp;– результат скрещивания человеческого вируса гриппа А (H1N1) и вируса свиного гриппа, в итоге вирус мутировал и стал высокопатогенным, а называется он – пандемичный вирус Калифорния/2009. Также как и обычный вирус гриппа человека, пандемичный вирус имеет в оболочке гемагглютинин (способствует прикреплению вируса к клетке) и нейраминидазу (способствует проникновению вируса внутрь клетки).
Источник инфекции — свиньи (больные или носители вируса) и больной человек. Больной человек становится заразным за сутки до появления симптомов заболевания и еще в течение недели болезни. Соответственно, большое эпидемическое значение имеют потенциальные больные в конце периода инкубации. До 15% больных на фоне лечения продолжают выделять вирус в течение 10-14 дней.
 Механизмы заражения    аэрогенный (воздушно-капельный путь) – опасны выделения пациента при чихании, кашле – в диаметре 1.5-2 метра контактно-бытовой – опасны выделения пациента на руках окружающих, а также на предметах обихода (столы, поверхности, полотенца, чашки) – вирус сохраняет свои свойства в течение 2х и более часов (занести можно вирус с рук на слизистые ротовой полости и глаз).   Восприимчивость к инфекции всеобщая. Существуют группы риска по развитию тяжелых форм свиного гриппа
  дети до 5 лет взрослые старше 65 лет беременные женщины лица с сопутствующими хроническими заболеваниями (хронические легочные заболевания, онкология, заболевания крови, болезни печени, мочевыводящей системы, сердца, сахарный диабет, а также инфекционные иммунодефициты, например, ВИЧ).  
Клинические симптомы свиного гриппа&amp;nbsp;схожи с симптомами обычного сезонного гриппа с небольшими особенностями. Инкубационный период (с момента инфицирования до появления первых жалоб) при свином гриппе длится от суток до 4х дней в среднем, иногда продлевается до недели. Больных беспокоят высокая температура до 38-39°, выраженная слабость, мышечные боли, тошнота, рвота центрального генеза, то есть на фоне высокой температуры, ломота в теле, вялость.
Другая группа жалоб связана с развитием респираторного синдрома (сухой кашель, выраженное першение в горле, чувство нехватки воздуха), а также вероятность быстрого развития одного из осложнений – развитие воспаления легких на ранних сроках (2-3й день болезни).
Отличием от сезонного гриппа является наличие у 30-45% больных диспепсического синдрома – у больных появляется постоянная тошнота, неоднократная рвота, нарушение стула.
 Проявления тяжелых форм свиного гриппа  В первые дни болезни появляются интенсивные головные боли, боли в глазных яблоках, светобоязнь, которая нарастает при движении глаз. Возможно развитие серозного менингита, энцефалита. Мышечные боли являются одним из выраженных симптомов болезни.
Наибольшую опасность штамм свиного гриппа представляет из-за вызываемых осложнений, которые нередко заканчиваются летальным исходом. К ним относят пневмонию, синусит и воспаление оболочек мозга.
Одним из опасных осложнений при свином гриппе является развитие пневмонии.
Воспаление легких может явиться следствием воздействия вируса гриппа (первичная; может быть связана с присоединением вторичной бактериальной флоры (вторичная); может быть следствием действия и вируса и сопутствующего наслоения бактериальной флоры (смешанная).
Пневмония развивается на вторые-третьи сутки от начала заболевания: больной часто дышит (около 40 дыханий в минуту при норме — 16), в акте дыхания активно участвуют вспомогательные мышцы (диафрагма, мышцы живота), выраженный сухой или малопродуктивный кашель (отделяемое слизистое и прозрачное), выраженная одышка, посинение кожных покровов (цианоз).
Пневмонии приводят к образованию респираторного дистресс-синдрома (развитие отека легкого) с возможным смертельным исходом.
Особенностью пневмонии будет усиление кашля: он становится мучительным, практически постоянным, на фоне усиления кашля у больного вторая волна лихорадки и интоксикации, пациент практически не принимает пищу. Нарастает боль в грудной клетке при кашле и даже дыхании. Отделяемое легких (мокрота) уже не прозрачное, а имеет гнойный оттенок. При рентгенографии – очаги воспаления в легких. Течение пневмонии продолжительное, больные не могут поправиться месяц-полтора. Нередко стафилококковые пневмонии приводят к образованию абсцесса легких.
Другие осложнения свиного гриппа включают в себя: перикардит, инфекционно-аллергический миокардит, геморрагический синдром.
При таких тревожных в плане «свиного гриппа» симптомах обязательно нужно обратиться к врачу
Для детей   Частое дыхание, трудность дыхательных движений Синеватый оттенок кожных покровов конечностей и туловища Отказ от приема пищи и питья Неоднократная рвота (рвота «фонтаном», а также частые срыгивания у грудничков – эквивалент рвоты в таком возрасте) Вялость и сонливость ребенка Наоборот возбуждение, сопротивление даже при взятии ребенка на руки Появление второй волны симптомов с усилением кашля и одышки.  
Для взрослых   Одышка и усиление ее в течение суток Боли в грудной клетке при дыхании и кашле Выраженное головокружение, появляющиеся внезапно Периодически спутанное сознание (забывчивость, выпадение отдельных событий из памяти) Многократная и обильная рвота Вторая волна с температурой, кашлем, одышкой.   Иммунитет после перенесенного свиного гриппа типоспецифический и непродолжительный (1 год).
 Диагностика свиного гриппа в отличие от ОРВИ  Сиптоматика заражения вирусом «свиного» типа похожа заражению вирусом гриппа обычной формы и ОРВИ на начальном этапе возникновения: резкое повышение в температуре тела, ощущения ломоты в мышцах, состояние слабости и головные боли. Жалобы пациента в отличие от ОРВИ на желудочно-кишечные расстройства на фоне температуры и респираторного синдрома;
Кашель наряду с насморком присоединяются к основным симптомам лишь спустя некоторое время. Для заражения свиным гриппом свойственно появление рвоты и воспалительного процесса в глазах. Размножение вируса после заражения происходит за 2 или 4 дня.
 Лечение свиного гриппа  1. Лечебно-охранительный режим
На весь лихорадочный период и 5-7 дней нормальной температуры назначается постельный режим с целью профилактики осложнений, если вы на амбулаторном лечении.
Ваши действия при подозрении на свиной грипп   При обнаружении симптомов свиного гриппа оставаться дома, не выходить в места скопления людей Дома оградить окружающих Вас близких от распространения инфекции – надеть маску и менять ее каждые 4 часа Проветривание помещения должно проводиться регулярно, а воздух в комнате должен быть увлажнен После прогулок нужно всегда мыть руки с мылом, а по возможности, вне дома очищать руки салфетками, дезинфицирующими гелями. Солевыми растворами можно промывать нос, а перед выходом на улицу можно смазывать носовые слизистые оксолиновой мазью. Для усиления сопротивляемости организма показан физиологически полноценный рацион с достаточным количеством белка и повышенным содержанием витаминов А, С, группы В, продукты кисломолочного производств (кефир, айран, йогурты и прочее), плодовые фрукты цитрусовой группы, если нет аллергии. Они поднимают настроение, витамин C и содержание в них пектина устраняет слизь и мокроту из легочной системы, помогают в работе сердцу.   Фруктовые и ягодные морсы без добавления сахаров и его заменителей (ягоды черной и красной смородины, клюквы, брусники, черники);
Применение в пищу натуральных белковых продуктов хорошо усвоятся в организме и укрепят работу сердечной деятельности (рыбные продукты, мясо крольчатины, курицы, индейки, куриное яйцо и прочие).
Для снижения лихорадки показан прием достаточного количества жидкости (лучше морсы из черной смородины, шиповника, черноплодной рябины, лимона). Все продукты назначаются в теплом виде, избегаются острые, жирные, жареные, соленые, маринованные блюда.
2. Медикаментозная терапия включает
Противовирусные средства – осельтамивир (Тамифлю) и занамивир (Реленза), которые существенно влияют на выход новых вирусных частиц из клеток, что ведет к прекращению размножения вируса. Прием тамифлю и реленза, ингавирин на 2-3день болезни рекомендуется в следующих случаях   Если у пациента есть один из перечисленных симптомов (высокая температура, заложенность носа, кашель, одышка) Возрастная группа младше 5 лет Лица преклонного возраста — старше 65 лет беременные женщины людям с тяжелыми сопутствующими заболеваниями и иммунодефицитом   Обычно курс лечения составляет 5 дней, иногда больше в зависимости от тяжести. Легкие и среднетяжелые формы свиного гриппа допускают назначение следующих противовирусных препаратов – арбидол, интерферон альфа 2b (гриппферон, виферон), интерферон альфа 2а (реаферон липинд) и гамма-интерферон (ингарон), ингавирин, кагоцел, циклоферон.
В домашних условиях при легкой форме свиного гриппа показано обильное питье (морсы, чай, медовая вода).
Симптоматические средства: жаропонижающие (парацетамол, ибупрофен), сосудосуживающие для носа (назол, тизин, називин, отривин и прочие), для облегчения кашля (туссин, стоптуссин, амброксол, ацц и другие), антигистаминные (кларитин, зодак).
Особое внимание уделяется детям и беременным женщинам. Детям – прием аспиринсодержащих препаратов запрещен из-за опасности развития синдрома Рея (энцефалопатия с отеком головного мозга и развитие печеночной недостаточности), поэтому из группы жаропонижающих предпочтение отдается парацетамолу, нурофену. Из противовирусных средств показаны – тамифлю, реленза, виферон 1, гриппферон, реаферон липинд, кагоцел с 3х лет, анаферон.
Беременным – обильное питье при отсутствии отеков   при легких формах — из противовирусных средств – виферон в свечах, гриппферон, арбидол, при невозможности принимать таблетки (рвота) – введение панавира внутримышечно; при тяжелых формах тамифлю, реленза, виферон для снижения выраженности лихорадки – парацетамол, аскорутин   Беременные и все больные с тяжёлой формой гриппа лечатся в стационаре или в палате интенсивной терапии.
 Профилактика свиного гриппа  Мероприятия для здоровых (по рекомендации ВОЗ)   Чаще мойте руки с мылом, можно спиртсодержащими растворами Избегайте близкого контакта с больными людьми Избегайте объятий, поцелуев и рукопожатий Если вы заболели, оставайтесь дома и ограничьте контакты с другими людьми При появлении симптомов гриппа немедленно обращайтесь за медицинской помощью.   Если вы заболели, оставайтесь дома в течение 7 дней после выявления симптомов во избежание инфицирования окружающих.
Для неспецифической медикаментозной профилактики используются следующие препараты: кагоцел, арбидол, анаферон, гриппферон, виферон для беременных, тамифлю.
Для специфической профилактики на сегодняшний день создана вакцина от высокопатогенного вируса свиного гриппа (H1N1). Данная вакцина защищает от гриппа В, и штаммов A/H1N1 (свиной) и H3N2 гриппа А (Гриппол плюс), то есть и от свиного гриппа, и от сезонного гриппа. Заболеть после прививки невозможно, так как она не содержит цельный вирус, а содержит только поверхностные антигены вирусов, которые сами по себе вызвать болезнь не могут. Вакцина вводится ежегодно.
 Симптомами гриппа являются  головная боль сухость в носоглотке озноб; мышечные боли сухой кашель слезотечение покраснение глаз снижение или полное отсутствие аппетита першение в горле светобоязнь боль за грудиной слабость во всем теле ломота в суставах повышенная потливость   Редко при гриппе бывает насморк.
Указанная информация касается жителей всех регионов России: Адыгея, Алтай, Башкирия, Бурятия, Дагестан, Ингушетия, КБР, Калмыкия, КЧР, Карелия, КОМИ, Крым, Марий Эл, Мордовия, Саха (Якутия), Северная Осетия (Алания), Татарстан, ТЫВА, Удмуртия, Хакасия, Чечня, Чувашия, Алтайский Край, Забайкальский край, Камчатский край, Краснодарский Край, Красноярский Край, Пермский Край, Пермский Край, Приморский край, Ставропольский край, Хабаровский край, Амурская область, Астраханская область, Архангельская область, Белгородская область, Брянская область, Владимирская область, Волгоградская область, Вологодская область, Воронежская область, Ивановская область, Иркутская область, Калининградская область, Калужская область, Кемеровская область, Кировская область, Костромская область, Курганская область, Курская область, Ленинградская область, Липецкая область, Магаданская область, Московская область, Мурманская область, Нижегородская область, Новгородская область, Новосибирская область, Омская область, Оренбургская область, Орловская область, Пензенская область, Псковская область, Ростовская область, Рязанская область, Самарская область, Саратовская область, Сахалинская область, Свердловская область, Смоленская область, Тамбовская область, Тверская область, Томская область, Тульская область, Тюменская область, Ульяновская область, Челябинская область, Ярославская область, города федерального значения — Москва, Санкт-Петербург, Севастополь, Еврейская АО, ХМАО, ЯНАО, Ненецкий и Чукотский АО</t>
  </si>
  <si>
    <t>13.04.2023 16:21</t>
  </si>
  <si>
    <t>Елена, ну я пришла с орви к врачу. Он мне советует арбидол, ферончик и для профилактики (!) антибиотик. Какой вопрос можно задать этому врачу и главное зачем? Говорю спасибо и записываю фамилию врача, чтобы не забыть, к кому ходить не надо.</t>
  </si>
  <si>
    <t>13.04.2023 16:20</t>
  </si>
  <si>
    <t>Текст на изображении: ЛЕКАРСТВА, КОТОРЫЕ ВСЕГДА ДОЛЖНЫ БЫТ! в ДОМАШНЕЙ АПТЕЧКЕ При температуре: нурофен много воды. Если ноги и руки холодные добавить папаверин или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КИП, затем смекта или бактисултил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При аллергии: зиртек, фенистил (капли). При болях в сердце: валидол. При вздутии и тяжести в животе: фестал. От синяков и ушибов: мазь бодяга. При растяжении мышц вальторен гель, випросал. Не забывайте читать инструкции перед применением, лучше консультироваться врачом!</t>
  </si>
  <si>
    <t>Ольга и Владимир Николаевы (Вихлянова)</t>
  </si>
  <si>
    <t>Электросталь</t>
  </si>
  <si>
    <t>Лилия Шафикова</t>
  </si>
  <si>
    <t>13.04.2023 16:19</t>
  </si>
  <si>
    <t>Людмила Кравченко</t>
  </si>
  <si>
    <t>13.04.2023 16:18</t>
  </si>
  <si>
    <t>Валентина Яруллина</t>
  </si>
  <si>
    <t>[id182733025|Сергей], однозначно механически лучше удалить, но если местно противовирусное не назначить, тот же виферон, очень быстро распространяется вирус и новые очаги появляются</t>
  </si>
  <si>
    <t>Дерматология в России</t>
  </si>
  <si>
    <t>Мои интересы.</t>
  </si>
  <si>
    <t xml:space="preserve">Мне врач выписывала иммуноглобулин комплексный (кип) и полиоксидоний. Я без понятия, работает ли, но пока вроде всё нормально </t>
  </si>
  <si>
    <t>Лиза Лукашенко</t>
  </si>
  <si>
    <t>СРК ЧАТ</t>
  </si>
  <si>
    <t>13.04.2023 16:16</t>
  </si>
  <si>
    <t>Людмила Кривошеева</t>
  </si>
  <si>
    <t>[club155403177|Купрум], а врачи назначают арбидол</t>
  </si>
  <si>
    <t>Ангелина Правильная</t>
  </si>
  <si>
    <t>13.04.2023 16:15</t>
  </si>
  <si>
    <t>Екатерина )</t>
  </si>
  <si>
    <t>13.04.2023 16:14</t>
  </si>
  <si>
    <t xml:space="preserve">Стоит сохранить :)
Текст на изображении: 1. Нурофен (120руб) Ибупрофен (10руб) 2. Мезим (300руб) Панкреатин (30руб) 3. Но-шпа (150руб) Дротаверина гидрохлорид (30руб) 4. Панадол(50руб) Парацетамол (5руб) 5. Белосалик (380руб) Акридерм СК (40руб) 6. Бепантен (250руб) Декспантенол (100руб) 7. Бетасерк(600руб) Бетагистин (250руб) 8. Быструмгель (180руб) Кетопрофен (60руб) 9. Вольтарен (300руб) Диклофенак (40руб) 10. Гастрозол (120руб) Омепразол (50руб) 11. Детралекс (580руб) Венарус (300руб) 12. Дифлюкан (400руб) Флуконазол (30руб) 13. Длянос (100руб) Риностоп(30руб) 14. Зантак (280руб) Ранитидин (30руб) 15. Зиртек (220руб) Цетиринакс (80руб) 16. Зовиракс (240руб) Ацикловир (40руб) 17. Иммунал (200руб) Эхинацеи экстракт (50руб) 18. Имодиум (300руб) Лоперамид руб) 19. Иодомарин (220руб) Калия йодид (100руб) 20. Кавинтон (580руб) Винпоцетин(200руб) 21. Кларитин (180руб) Лорагексал (60руб) 22. Клацид (600руб) Кларитромицин (180руб) 23. Лазолван (320руб) Амброксол (20руб) 24. Ламизил (400руб) Тербинафин (100руб) 25. Лиотон-1000 (350руб) Гепарин-акригель 1000 (120руб) 26. Ломилан (150руб) Лорагексал (50руб)</t>
  </si>
  <si>
    <t>Вера Ягодкина</t>
  </si>
  <si>
    <t>Новоульяновск</t>
  </si>
  <si>
    <t>13.04.2023 16:13</t>
  </si>
  <si>
    <t>Элвина Казнина</t>
  </si>
  <si>
    <t>v v v -Людмила - v v v</t>
  </si>
  <si>
    <t>13.04.2023 16:11</t>
  </si>
  <si>
    <t xml:space="preserve">Лекарства которые должны быть в каждой аптечке
Текст на изображении: ЛЕКАРСТВА, КОТОРЫЕ ВСЕГДА ДОЛЖНЫ БЫТЬ ДОМАШНЕЙ АПТЕЧКЕ При температуре: нурофен много воды. Если ноги и руки холодные добавить папаверин или но-шпа. Для обработки ран: перекись водорода или мирамистин, бактерицидный пластырь, От боли: нурофен или пенталгинПри поносе: без температуры смекта, энтерол или бактисуптил; температурой активированный уголь, энтерофурил, регидрон, КИГП, затем смекта или бактисуптил щадящая диета на дней. При гриппе и ОРВИ: циклоферон (принимать сразу при первых признаках заболевания), витамин фервекс, горчичники. При кашле: мокротой амбробене или элексир бронхикум; без мокроты либексин, сироп сенекод. При болях в ушах, отите: отинум или отипакс. При проблемах глазами (усталость, повреждение, краснота, коньюктивит): корнорегель. От боли в горле: спрей тантум верде или каметон При аллергии: зиртек, фенистил (капли). При болях в сердце: При вздутии и тяжести в фест@л. От синяков и ушибов: При растяжении мышц вальторен гель, випросал. Не забывайте читать</t>
  </si>
  <si>
    <t>Татьяна Фролова</t>
  </si>
  <si>
    <t>Печора</t>
  </si>
  <si>
    <t>13.04.2023 16:10</t>
  </si>
  <si>
    <t>Афанасий-Людмила Вакарчук</t>
  </si>
  <si>
    <t xml:space="preserve">Женский врач рекомендует: купи в аптеке за копейки.
Я была в восторге! Внешне результат виден не только мне!
Обязательно сохраните эту важную информацию!
Подпишитесь , чтобы не потерять!
Красотa за копейки: 10 аптечных средств, которые помогут тебе сэкономить
Иногда очень дешевое и доступное в любой аптеке средство срабатывает лучше, чем супердорогой крем. Эти средства выручат тебя в трудной ситуации.
Мелоксикам
Эффeктивeн в кoмплeкcнoй тepaпии бoлeвoгo cиндpoмa и вocпaлeния пpи бoлях в cпинe (дopcaлгии), paдикyлитe, apтpитaх, в тoм чиcлe, peвмaтoиднoм apтpитe, дpyгих вocпaлитeльных зaбoлeвaниях мышц и cycтaвoв.
Вaжным дocтoинcтвoм пpeпapaтa Meлoкcикaм в paзличных фopмaх являeтcя тo, чтo eгo aктивнoe вeщecтвo являeтcя хoндpoнeйтpaльным cpeдcтвoм. Этo oзнaчaeт, чтo пpeпapaт нe oкaзывaeт oтpицaтeльнoгo вoздeйcтвия нa хpящeвыe ткaни cycтaвoв в oтличиe oт нeкoтopых дpyгих НПВC, чтo пoзвoляeт иcпoльзoвaть Meлoкcикaм для лeчeния бoлeвoгo cиндpoмa пpи дeгeнepaтивнo-диcтpoфичecких пaтoлoгиях cycтaвoв и пoзвoнoчникa.
Нимесулид
Применяется для лечения артритов, остеоартрозов, артрозов. Также его используют в терапии бурситов, миалгий, артралгий, энтезопатий, альгодисменорей и болей различной этиологии. Кроме этого, Нимесулид применяют для купирования интенсивных приступообразных болей, так как препарат характеризуется быстрым началом действия.
Цена 30 р
Крем «Ф 99»
Крем, состоящий из полиненасыщенных жирных кислот и витамина F. Изначально средство предназначалось для лечения экземы и дерматита, но оказалось, что оно обладает и рядом других свойств. Во‑первых, это лучшее средство для борьбы с шелушением кожи,вызванным обветриванием или солнечным ожогом.
Во‑вторых, крем незаменим для ухода за стопами: никаких трещин, заусениц или огрубелостей, если ежедневно наносить его на ночь. В-третьих, он возвращает сухой коже эластичность и упругость, мгновенно впитывается, не дает эффекта пленки. В-четвертых, помогает справиться с угревой сыпью и прыщами, так как нормализует работу сальных желез и отшелушивает ороговевшие клетки.
Цена — около 120 р.
Раствор для капельниц «Тиогамма»
Использующееся для борьбы с последствиями отравлений, «Тиогамма» фактически чистая альфа-липоевая кислота, мощнейший антиоксидант,который борется со свободными радикалами, ускоряет обновление клеток кожи, помогает бороться с прыщами, угрями, морщинами, последствиями солнечных ожогов, обладает детокс-эффектом. По консистенции напоминает простую воду, наносится на кожу тонким слоем перед нанесением обычного ухода. Подходит только для жирной и комбинированной кожи, так как подсушивает верхний слой.
Цена — около 250 руб.
«Куриозин-гель»
Его прямое назначение — борьба с акне. Но принцип действия позволяет использовать этот гель как антивозрастное средство. Как и при борьбе с акне, ключевой момент — ускоренное обновление кожи, рост молодых здоровых клеток и глубокое увлажнение (гель содержит гиалуроновую кислоту в довольно высокой концентрации) позволяет улучшить рельеф кожи, разгладить мелкие морщины и улучшить цвет лица.
Цена — около 500 р.
Бепантен
Действующее вещество препарата — это пантотеновая кислота, она же — знакомый нам провитамин В5. Именно пантотеновая кислота — прародитель витамина А, отвечающего за процессы регенерации кожи. А значит, «Бепантен» — настоящая находка для тех, кто стремится обновить кожу, успокоить ее, сделать более гладкой и ровной.
Цена — около 350 р.
«Капсикам»
Разогревающая мазь поможет… спрятать целлюлит! Нанеси ее на проблемный участок, оставь на 15−20 минут (почувствуешь небольшое жжение, кожа может покраснеть из-за притока крови) и смой теплой водой. Для более выраженного эффекта протри те же участки кубиками льда. Визуально целлюлит исчезнет на 3−4 часа!
Цена — около 200 р.
Блефарогель
Отличное средство для нежной кожи век с высоким содержанием гиалуроновой кислоты. Прощайте, «гусиные лапки»!
Цена — около 200 р.
Арника
Вообще предполагается, что эта мазь ускорит рассасывание гематом и синяков. Что автоматически означает, что он улучшает циркуляцию крови и лимфы, обладает успокаивающим, противоотечным и регенерирующим действием. Ты наверняка уже догадалась: да,он отлично справляется с сухостью кожи, мимическими морщинами и потерей тонуса.
Цена — около 150 р.
Апилак
Выпускается эта мазь еще с советских времен и с тех пор не утратила актуальности как средство для снижения активности сальных желез,борьбы с акне и угрями. В основе — пчелиное маточное молочко,известное своими обеззараживающими и питательными свойствами.
Цена — около 100 руб.
Релиф
Ну, уж если звезды Голливуда признаются, что используют мазь от геморроя как уход для кожи век, нам-то чего стесняться? Да, отеки снимает, морщины разглаживает и никаких побочных эффектов!
Цена — около 300 р.
Так же мы собрали для вас список дешевых аналогов.
Списки приведенных аналогов лексрств могут быть неточными. Поэтому перед покупкой уточняйте у специалиста аптеки или лечащего врача, возможна ли замена препарата на более дешевый и какие последствия это повлечет.
Белосалик (380руб) и Акридерм СК (40руб)
Бепантен (250руб) и Декспантенол (100руб)
Бетасерк(600руб) и Бетагистин (250руб)
Быструмгель (180руб) и Кетопрофен (60руб)
Вольтарен (300руб) и Диклофенак (40руб)
Гастрозол (120руб) и Омепразол (50руб)
Детралекс (580руб) и Венарус (300руб)
Дифлюкан (400руб) и Флуконазол (30руб)
Длянос (100руб) и Риностоп(30руб)
Зантак (280руб) и Ранитидин (30руб)
Зиртек (220руб) и Цетиринакс (80руб)
Зовиракс (240руб) и Ацикловир (40руб)
Иммунал (200руб) и Эхинацеи экстракт (50руб)
Имодиум (300руб) и Лоперамид (20 руб)
Йодомарин (220руб) и Калия йодид (100руб)
Кавинтон (580руб) и Винпоцетин(200руб)
Кларитин (180руб) и Лорагексал (60руб)
Клацид (600руб) и Кларитромицин (180руб)
Лазолван (320руб) и Амброксол (20руб)
Ламизил (400руб) и Тербинафин (100руб)
Лиотон-1000 (350руб) и Гепарин-акригель 1000 (120руб)
Ломилан (150руб) и Лорагексал (50руб)
Максидекс (120руб) и Дексаметазон (40руб)
Мезим(300руб) и Панкреатин (30руб)
Мидриацил (360руб) и Тропикамид (120руб)
Мирамистин (200руб) и Хлоргексидин (10руб)
Мовалис (410руб) и Мелоксикам (80руб)
Нейромультивит (250руб) и Пентовит (50руб)
Но-шпа (150руб) и Дротаверина гидрохлорид (30руб)
Нормодипин (620руб) и Амлодипин (40руб)
Нурофен (120руб) и Ибупрофен (10руб)
Омез (180руб) и Омепразол (50руб)
Панадол(50руб) и Парацетамол (5руб)
Панангин (140руб) и Аспаркам (10руб)
Пантогам (350руб) и Пантокальцин (230руб)
Ринонорм (50руб) и Риностоп (20руб)
Сумамед (450руб) и Азитромицин (90руб)
Трентал(200руб) и Пентоксифиллин (50руб)
Трихопол (90руб) и Метронидазол (10руб)
Троксевазин (220руб) и Троксерутин (110руб)
Ультоп (270руб) и Омепразол (50руб)
Фастум-гель (250руб) и Кетопрофен (70руб)
Финлепсин (280руб) и Карбамазепин (50руб)
Флюкостат (200руб) и Флуконазол (20руб)
Фурамаг (380руб) и Фурагин (40руб)
Хемомицин (300руб) и Азитромицин (100руб)
Энап (150руб) и Эналаприл (70руб)
Эрсефурил (400руб) и Фуразолидон (40руб)
Имеются противопоказания. Необходима консультация специалиста</t>
  </si>
  <si>
    <t>Надежда Иванова</t>
  </si>
</sst>
</file>

<file path=xl/styles.xml><?xml version="1.0" encoding="utf-8"?>
<styleSheet xmlns="http://schemas.openxmlformats.org/spreadsheetml/2006/main">
  <numFmts count="1">
    <numFmt formatCode="0.0" numFmtId="164"/>
  </numFmts>
  <fonts count="7">
    <font>
      <color rgb="FF000000"/>
      <sz val="10"/>
      <name val="Arial"/>
      <charset val="1"/>
    </font>
    <font>
      <color rgb="FF0000FF"/>
      <sz val="10"/>
      <name val="Arial"/>
      <charset val="1"/>
    </font>
    <font>
      <color rgb="FF000000"/>
      <sz val="10"/>
      <name val="Arial"/>
      <charset val="1"/>
      <b/>
    </font>
    <font>
      <color rgb="FFFF0000"/>
      <sz val="10"/>
      <name val="Arial"/>
      <charset val="1"/>
      <b/>
    </font>
    <font>
      <color rgb="FF00B050"/>
      <sz val="10"/>
      <name val="Arial"/>
      <charset val="1"/>
      <b/>
    </font>
    <font>
      <color rgb="FF7F7F7F"/>
      <sz val="10"/>
      <name val="Arial"/>
      <charset val="1"/>
    </font>
    <font>
      <color rgb="FF000000"/>
      <sz val="10"/>
      <name val="Arial"/>
      <charset val="1"/>
    </font>
  </fonts>
  <fills count="3">
    <fill>
      <patternFill patternType="none"/>
    </fill>
    <fill>
      <patternFill patternType="gray125"/>
    </fill>
    <fill>
      <patternFill patternType="solid">
        <fgColor rgb="FFDCE6F1"/>
        <bgColor rgb="FFDCE6F1"/>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borderId="0" fillId="0" fontId="0" numFmtId="0"/>
  </cellStyleXfs>
  <cellXfs count="27">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0" fontId="0" numFmtId="0" xfId="0">
      <alignment horizontal="right" vertical="bottom" textRotation="0" shrinkToFit="false" wrapText="false"/>
      <protection hidden="false" locked="true"/>
    </xf>
    <xf applyAlignment="true" applyBorder="true" applyFill="true" applyNumberFormat="true" applyFont="true" applyProtection="true" borderId="0" fillId="0" fontId="1" numFmtId="0" xfId="0">
      <alignment horizontal="general" vertical="bottom" textRotation="0" shrinkToFit="false" wrapText="false"/>
      <protection hidden="false" locked="true"/>
    </xf>
    <xf applyAlignment="true" applyBorder="true" applyFill="true" applyNumberFormat="true" applyFont="true" applyProtection="true" borderId="0" fillId="0" fontId="0" numFmtId="0" xfId="0">
      <alignment horizontal="right" vertical="center" textRotation="0" shrinkToFit="false" wrapText="false"/>
      <protection hidden="false" locked="true"/>
    </xf>
    <xf applyAlignment="true" applyBorder="true" applyFill="true" applyNumberFormat="true" applyFont="true" applyProtection="true" borderId="0" fillId="0" fontId="2" numFmtId="0" xfId="0">
      <alignment horizontal="general" vertical="bottom" textRotation="0" shrinkToFit="false" wrapText="false"/>
      <protection hidden="false" locked="true"/>
    </xf>
    <xf applyAlignment="true" applyBorder="true" applyFill="true" applyNumberFormat="true" applyFont="true" applyProtection="true" borderId="0" fillId="0" fontId="0" numFmtId="49" xfId="0">
      <alignment horizontal="general" vertical="bottom" textRotation="0" shrinkToFit="false" wrapText="false"/>
      <protection hidden="false" locked="true"/>
    </xf>
    <xf applyAlignment="true" applyBorder="true" applyFill="true" applyNumberFormat="true" applyFont="true" applyProtection="true" borderId="0" fillId="0" fontId="2" numFmtId="0" xfId="0">
      <alignment horizontal="right" vertical="bottom" textRotation="0" shrinkToFit="false" wrapText="false"/>
      <protection hidden="false" locked="true"/>
    </xf>
    <xf applyAlignment="true" applyBorder="true" applyFill="true" applyNumberFormat="true" applyFont="true" applyProtection="true" borderId="0" fillId="0" fontId="2" numFmtId="3" xfId="0">
      <alignment horizontal="general" vertical="bottom" textRotation="0" shrinkToFit="false" wrapText="false"/>
      <protection hidden="false" locked="true"/>
    </xf>
    <xf applyAlignment="true" applyBorder="true" applyFill="true" applyNumberFormat="true" applyFont="true" applyProtection="true" borderId="0" fillId="0" fontId="3" numFmtId="10" xfId="0">
      <alignment horizontal="general" vertical="bottom" textRotation="0" shrinkToFit="false" wrapText="false"/>
      <protection hidden="false" locked="true"/>
    </xf>
    <xf applyAlignment="true" applyBorder="true" applyFill="true" applyNumberFormat="true" applyFont="true" applyProtection="true" borderId="0" fillId="0" fontId="2" numFmtId="164" xfId="0">
      <alignment horizontal="general" vertical="bottom" textRotation="0" shrinkToFit="false" wrapText="false"/>
      <protection hidden="false" locked="true"/>
    </xf>
    <xf applyAlignment="true" applyBorder="true" applyFill="true" applyNumberFormat="true" applyFont="true" applyProtection="true" borderId="0" fillId="0" fontId="4" numFmtId="10" xfId="0">
      <alignment horizontal="general" vertical="bottom" textRotation="0" shrinkToFit="false" wrapText="false"/>
      <protection hidden="false" locked="true"/>
    </xf>
    <xf applyAlignment="true" applyBorder="true" applyFill="true" applyNumberFormat="true" applyFont="true" applyProtection="true" borderId="0" fillId="0" fontId="5" numFmtId="0" xfId="0">
      <alignment horizontal="general" vertical="bottom" textRotation="0" shrinkToFit="false" wrapText="false"/>
      <protection hidden="false" locked="true"/>
    </xf>
    <xf applyAlignment="true" applyBorder="true" applyFill="true" applyNumberFormat="true" applyFont="true" applyProtection="true" borderId="0" fillId="0" fontId="2" numFmtId="3" xfId="0">
      <alignment horizontal="right" vertical="bottom" textRotation="0" shrinkToFit="false" wrapText="false"/>
      <protection hidden="false" locked="true"/>
    </xf>
    <xf applyAlignment="true" applyBorder="true" applyFill="true" applyNumberFormat="true" applyFont="true" applyProtection="true" borderId="0" fillId="0" fontId="2" numFmtId="49" xfId="0">
      <alignment horizontal="right" vertical="bottom" textRotation="0" shrinkToFit="false" wrapText="false"/>
      <protection hidden="false" locked="true"/>
    </xf>
    <xf applyAlignment="true" applyBorder="true" applyFill="true" applyNumberFormat="true" applyFont="true" applyProtection="true" borderId="0" fillId="0" fontId="0" numFmtId="0" xfId="0">
      <alignment horizontal="left" vertical="bottom" textRotation="0" shrinkToFit="false" wrapText="false"/>
      <protection hidden="false" locked="true"/>
    </xf>
    <xf applyAlignment="true" applyBorder="true" applyFill="true" applyNumberFormat="true" applyFont="true" applyProtection="true" borderId="1" fillId="2" fontId="2" numFmtId="0" xfId="0">
      <alignment horizontal="left" vertical="bottom" textRotation="0" shrinkToFit="false" wrapText="false"/>
      <protection hidden="false" locked="true"/>
    </xf>
    <xf applyAlignment="true" applyBorder="true" applyFill="true" applyNumberFormat="true" applyFont="true" applyProtection="true" borderId="1" fillId="2" fontId="2" numFmtId="0" xfId="0">
      <alignment horizontal="right" vertical="bottom" textRotation="0" shrinkToFit="false" wrapText="false"/>
      <protection hidden="false" locked="true"/>
    </xf>
    <xf applyAlignment="true" applyBorder="true" applyFill="true" applyNumberFormat="true" applyFont="true" applyProtection="true" borderId="1" fillId="0" fontId="0" numFmtId="14" xfId="0">
      <alignment horizontal="left" vertical="bottom" textRotation="0" shrinkToFit="false" wrapText="false"/>
      <protection hidden="false" locked="true"/>
    </xf>
    <xf applyAlignment="true" applyBorder="true" applyFill="true" applyNumberFormat="true" applyFont="true" applyProtection="true" borderId="1" fillId="0" fontId="0" numFmtId="1" xfId="0">
      <alignment horizontal="right" vertical="bottom" textRotation="0" shrinkToFit="false" wrapText="false"/>
      <protection hidden="false" locked="true"/>
    </xf>
    <xf applyAlignment="true" applyBorder="true" applyFill="true" applyNumberFormat="true" applyFont="true" applyProtection="true" borderId="1" fillId="0" fontId="0" numFmtId="0" xfId="0">
      <alignment horizontal="right" vertical="bottom" textRotation="0" shrinkToFit="false" wrapText="false"/>
      <protection hidden="false" locked="true"/>
    </xf>
    <xf applyAlignment="true" applyBorder="true" applyFill="true" applyNumberFormat="true" applyFont="true" applyProtection="true" borderId="1" fillId="0" fontId="0" numFmtId="49" xfId="0">
      <alignment horizontal="right" vertical="bottom" textRotation="0" shrinkToFit="false" wrapText="false"/>
      <protection hidden="false" locked="true"/>
    </xf>
    <xf applyAlignment="true" applyBorder="true" applyFill="true" applyNumberFormat="true" applyFont="true" applyProtection="true" borderId="1" fillId="0" fontId="0" numFmtId="0" xfId="0">
      <alignment horizontal="left" vertical="bottom" textRotation="0" shrinkToFit="false" wrapText="false"/>
      <protection hidden="false" locked="true"/>
    </xf>
    <xf applyAlignment="true" applyBorder="true" applyFill="true" applyNumberFormat="true" applyFont="true" applyProtection="true" borderId="0" fillId="0" fontId="0" numFmtId="1" xfId="0">
      <alignment horizontal="general" vertical="bottom" textRotation="0" shrinkToFit="false" wrapText="false"/>
      <protection hidden="false" locked="true"/>
    </xf>
    <xf applyAlignment="true" applyBorder="true" applyFill="true" applyNumberFormat="true" applyFont="true" applyProtection="true" borderId="0" fillId="0" fontId="2" numFmtId="0" xfId="0">
      <alignment horizontal="left" vertical="bottom" textRotation="0" shrinkToFit="false" wrapText="false"/>
      <protection hidden="false" locked="true"/>
    </xf>
    <xf applyAlignment="true" applyBorder="true" applyFill="true" applyNumberFormat="true" applyFont="true" applyProtection="true" borderId="1" fillId="2" fontId="2" numFmtId="49" xfId="0">
      <alignment horizontal="left" vertical="bottom" textRotation="0" shrinkToFit="false" wrapText="false"/>
      <protection hidden="false" locked="true"/>
    </xf>
    <xf applyAlignment="true" applyBorder="true" applyFill="true" applyNumberFormat="true" applyFont="true" applyProtection="true" borderId="0" fillId="0" fontId="6" numFmtId="0" xfId="0">
      <alignment horizontal="left" vertical="bottom" textRotation="0" shrinkToFit="false" wrapText="false"/>
      <protection hidden="false" locked="true"/>
    </xf>
    <xf applyAlignment="true" applyBorder="true" applyFill="true" applyNumberFormat="true" applyFont="true" applyProtection="true" borderId="0" fillId="0" fontId="6" numFmtId="0" xfId="0">
      <alignment horizontal="general" vertical="bottom" textRotation="0" shrinkToFit="false" wrapText="fals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xl/media/image1.png"/></Relationships>
</file>

<file path=xl/drawings/_rels/drawing2.xml.rels><?xml version="1.0" encoding="UTF-8" standalone="yes"?>
<Relationships xmlns="http://schemas.openxmlformats.org/package/2006/relationships"><Relationship Id="rId1" Type="http://schemas.openxmlformats.org/officeDocument/2006/relationships/image" Target="/xl/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0</xdr:row>
      <xdr:rowOff>0</xdr:rowOff>
    </xdr:from>
    <xdr:ext cx="952500" cy="438150"/>
    <xdr:pic>
      <xdr:nvPicPr>
        <xdr:cNvPr id="1" name="Рисунок 1"/>
        <xdr:cNvPicPr>
          <a:picLocks noChangeAspect="1"/>
        </xdr:cNvPicPr>
      </xdr:nvPicPr>
      <xdr:blipFill>
        <a:blip xmlns:r="http://schemas.openxmlformats.org/officeDocument/2006/relationships" r:embed="rId1"/>
        <a:stretch>
          <a:fillRect/>
        </a:stretch>
      </xdr:blipFill>
      <xdr:spPr>
        <a:xfrm>
          <a:off x="600075" y="0"/>
          <a:ext cx="952500" cy="438150"/>
        </a:xfrm>
        <a:prstGeom prst="rect">
          <a:avLst/>
        </a:prstGeom>
        <a:noFill/>
        <a:ln w="9525">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0</xdr:row>
      <xdr:rowOff>0</xdr:rowOff>
    </xdr:from>
    <xdr:ext cx="952500" cy="438150"/>
    <xdr:pic>
      <xdr:nvPicPr>
        <xdr:cNvPr id="1" name="Рисунок 2"/>
        <xdr:cNvPicPr>
          <a:picLocks noChangeAspect="1"/>
        </xdr:cNvPicPr>
      </xdr:nvPicPr>
      <xdr:blipFill>
        <a:blip xmlns:r="http://schemas.openxmlformats.org/officeDocument/2006/relationships" r:embed="rId1"/>
        <a:stretch>
          <a:fillRect/>
        </a:stretch>
      </xdr:blipFill>
      <xdr:spPr>
        <a:xfrm>
          <a:off x="600075" y="0"/>
          <a:ext cx="952500" cy="438150"/>
        </a:xfrm>
        <a:prstGeom prst="rect">
          <a:avLst/>
        </a:prstGeom>
        <a:noFill/>
        <a:ln w="9525">
          <a:noFill/>
        </a:ln>
      </xdr:spPr>
    </xdr:pic>
    <xdr:clientData/>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ok.ru/profile/571050411863/statuses/155911399364695" TargetMode="External"/><Relationship Id="rId2" Type="http://schemas.openxmlformats.org/officeDocument/2006/relationships/hyperlink" Target="http://www.ok.ru/profile/571050411863" TargetMode="External"/><Relationship Id="rId3" Type="http://schemas.openxmlformats.org/officeDocument/2006/relationships/hyperlink" Target="http://vk.com/wall100631263_352" TargetMode="External"/><Relationship Id="rId4" Type="http://schemas.openxmlformats.org/officeDocument/2006/relationships/hyperlink" Target="http://vk.com/id100631263" TargetMode="External"/><Relationship Id="rId5" Type="http://schemas.openxmlformats.org/officeDocument/2006/relationships/hyperlink" Target="https://telegram.me/spayscccchat/932410" TargetMode="External"/><Relationship Id="rId6" Type="http://schemas.openxmlformats.org/officeDocument/2006/relationships/hyperlink" Target="https://telegram.me/rildedinsaid" TargetMode="External"/><Relationship Id="rId7" Type="http://schemas.openxmlformats.org/officeDocument/2006/relationships/hyperlink" Target="https://telegram.me/spayscccchat" TargetMode="External"/><Relationship Id="rId8" Type="http://schemas.openxmlformats.org/officeDocument/2006/relationships/hyperlink" Target="https://telegram.me/spayscccchat/932405" TargetMode="External"/><Relationship Id="rId9" Type="http://schemas.openxmlformats.org/officeDocument/2006/relationships/hyperlink" Target="https://telegram.me/wuwouiii" TargetMode="External"/><Relationship Id="rId10" Type="http://schemas.openxmlformats.org/officeDocument/2006/relationships/hyperlink" Target="https://telegram.me/spayscccchat" TargetMode="External"/><Relationship Id="rId11" Type="http://schemas.openxmlformats.org/officeDocument/2006/relationships/hyperlink" Target="https://telegram.me/spayscccchat/932401" TargetMode="External"/><Relationship Id="rId12" Type="http://schemas.openxmlformats.org/officeDocument/2006/relationships/hyperlink" Target="https://telegram.me/rildedinsaid" TargetMode="External"/><Relationship Id="rId13" Type="http://schemas.openxmlformats.org/officeDocument/2006/relationships/hyperlink" Target="https://telegram.me/spayscccchat" TargetMode="External"/><Relationship Id="rId14" Type="http://schemas.openxmlformats.org/officeDocument/2006/relationships/hyperlink" Target="http://vk.com/wall301310755_23937" TargetMode="External"/><Relationship Id="rId15" Type="http://schemas.openxmlformats.org/officeDocument/2006/relationships/hyperlink" Target="http://vk.com/id301310755" TargetMode="External"/><Relationship Id="rId16" Type="http://schemas.openxmlformats.org/officeDocument/2006/relationships/hyperlink" Target="https://omsk.media/news/ekonomika/131120-v-omskih-aptekah-podorozhal-ryad-zhiznenno-neobhodimyh-lekarstv-ekonomika-omsk.html" TargetMode="External"/><Relationship Id="rId17" Type="http://schemas.openxmlformats.org/officeDocument/2006/relationships/hyperlink" Target="http://www.ok.ru/profile/585435311875/statuses/154798786611203" TargetMode="External"/><Relationship Id="rId18" Type="http://schemas.openxmlformats.org/officeDocument/2006/relationships/hyperlink" Target="http://www.ok.ru/profile/585435311875" TargetMode="External"/><Relationship Id="rId19" Type="http://schemas.openxmlformats.org/officeDocument/2006/relationships/hyperlink" Target="https://telegram.me/spayscccchat/932099" TargetMode="External"/><Relationship Id="rId20" Type="http://schemas.openxmlformats.org/officeDocument/2006/relationships/hyperlink" Target="https://telegram.me/rildedinsaid" TargetMode="External"/><Relationship Id="rId21" Type="http://schemas.openxmlformats.org/officeDocument/2006/relationships/hyperlink" Target="https://telegram.me/spayscccchat" TargetMode="External"/><Relationship Id="rId22" Type="http://schemas.openxmlformats.org/officeDocument/2006/relationships/hyperlink" Target="https://telegram.me/spayscccchat/932077" TargetMode="External"/><Relationship Id="rId23" Type="http://schemas.openxmlformats.org/officeDocument/2006/relationships/hyperlink" Target="https://telegram.me/rildedinsaid" TargetMode="External"/><Relationship Id="rId24" Type="http://schemas.openxmlformats.org/officeDocument/2006/relationships/hyperlink" Target="https://telegram.me/spayscccchat" TargetMode="External"/><Relationship Id="rId25" Type="http://schemas.openxmlformats.org/officeDocument/2006/relationships/hyperlink" Target="http://vk.com/wall95656546_66595" TargetMode="External"/><Relationship Id="rId26" Type="http://schemas.openxmlformats.org/officeDocument/2006/relationships/hyperlink" Target="http://vk.com/id95656546" TargetMode="External"/><Relationship Id="rId27" Type="http://schemas.openxmlformats.org/officeDocument/2006/relationships/hyperlink" Target="https://pskov.bezformata.com/listnews/tcen-na-potrebitelskom-rinke-pskovskoy/116253757/" TargetMode="External"/><Relationship Id="rId28" Type="http://schemas.openxmlformats.org/officeDocument/2006/relationships/hyperlink" Target="http://vk.com/wall510443739_876" TargetMode="External"/><Relationship Id="rId29" Type="http://schemas.openxmlformats.org/officeDocument/2006/relationships/hyperlink" Target="http://vk.com/id510443739" TargetMode="External"/><Relationship Id="rId30" Type="http://schemas.openxmlformats.org/officeDocument/2006/relationships/hyperlink" Target="https://telegram.me/ru2chme/1224599" TargetMode="External"/><Relationship Id="rId31" Type="http://schemas.openxmlformats.org/officeDocument/2006/relationships/hyperlink" Target="https://telegram.me/dijkstra_ru" TargetMode="External"/><Relationship Id="rId32" Type="http://schemas.openxmlformats.org/officeDocument/2006/relationships/hyperlink" Target="https://telegram.me/ru2chme" TargetMode="External"/><Relationship Id="rId33" Type="http://schemas.openxmlformats.org/officeDocument/2006/relationships/hyperlink" Target="http://vk.com/wall-145141613_593206?reply=593222" TargetMode="External"/><Relationship Id="rId34" Type="http://schemas.openxmlformats.org/officeDocument/2006/relationships/hyperlink" Target="http://vk.com/id131746492" TargetMode="External"/><Relationship Id="rId35" Type="http://schemas.openxmlformats.org/officeDocument/2006/relationships/hyperlink" Target="http://vk.com/club145141613" TargetMode="External"/><Relationship Id="rId36" Type="http://schemas.openxmlformats.org/officeDocument/2006/relationships/hyperlink" Target="http://vk.com/wall-94160949_265567?reply=265992" TargetMode="External"/><Relationship Id="rId37" Type="http://schemas.openxmlformats.org/officeDocument/2006/relationships/hyperlink" Target="http://vk.com/id174451937" TargetMode="External"/><Relationship Id="rId38" Type="http://schemas.openxmlformats.org/officeDocument/2006/relationships/hyperlink" Target="http://vk.com/club94160949" TargetMode="External"/><Relationship Id="rId39" Type="http://schemas.openxmlformats.org/officeDocument/2006/relationships/hyperlink" Target="http://vk.com/wall762885961_377" TargetMode="External"/><Relationship Id="rId40" Type="http://schemas.openxmlformats.org/officeDocument/2006/relationships/hyperlink" Target="http://vk.com/id762885961" TargetMode="External"/><Relationship Id="rId41" Type="http://schemas.openxmlformats.org/officeDocument/2006/relationships/hyperlink" Target="http://vk.com/wall-176829518_820573?reply=821151" TargetMode="External"/><Relationship Id="rId42" Type="http://schemas.openxmlformats.org/officeDocument/2006/relationships/hyperlink" Target="http://vk.com/id384768614" TargetMode="External"/><Relationship Id="rId43" Type="http://schemas.openxmlformats.org/officeDocument/2006/relationships/hyperlink" Target="http://vk.com/club176829518" TargetMode="External"/><Relationship Id="rId44" Type="http://schemas.openxmlformats.org/officeDocument/2006/relationships/hyperlink" Target="http://vk.com/wall-81840381_3451566?reply=3451940" TargetMode="External"/><Relationship Id="rId45" Type="http://schemas.openxmlformats.org/officeDocument/2006/relationships/hyperlink" Target="http://vk.com/id652333442" TargetMode="External"/><Relationship Id="rId46" Type="http://schemas.openxmlformats.org/officeDocument/2006/relationships/hyperlink" Target="http://vk.com/club81840381" TargetMode="External"/><Relationship Id="rId47" Type="http://schemas.openxmlformats.org/officeDocument/2006/relationships/hyperlink" Target="https://telegram.me/dostavista/2433239" TargetMode="External"/><Relationship Id="rId48" Type="http://schemas.openxmlformats.org/officeDocument/2006/relationships/hyperlink" Target="https://telegram.me/Ainur1992" TargetMode="External"/><Relationship Id="rId49" Type="http://schemas.openxmlformats.org/officeDocument/2006/relationships/hyperlink" Target="https://telegram.me/dostavista" TargetMode="External"/><Relationship Id="rId50" Type="http://schemas.openxmlformats.org/officeDocument/2006/relationships/hyperlink" Target="https://telegram.me/dostavista/2433229" TargetMode="External"/><Relationship Id="rId51" Type="http://schemas.openxmlformats.org/officeDocument/2006/relationships/hyperlink" Target="https://telegram.me/gid_instruktor" TargetMode="External"/><Relationship Id="rId52" Type="http://schemas.openxmlformats.org/officeDocument/2006/relationships/hyperlink" Target="https://telegram.me/dostavista" TargetMode="External"/><Relationship Id="rId53" Type="http://schemas.openxmlformats.org/officeDocument/2006/relationships/hyperlink" Target="https://www.baby.ru/blogs/post/2611485771-1467600900/" TargetMode="External"/><Relationship Id="rId54" Type="http://schemas.openxmlformats.org/officeDocument/2006/relationships/hyperlink" Target="https://www.baby.ru/u/usr2171834/" TargetMode="External"/><Relationship Id="rId55" Type="http://schemas.openxmlformats.org/officeDocument/2006/relationships/hyperlink" Target="https://www.baby.ru/u/usr2579141/" TargetMode="External"/><Relationship Id="rId56" Type="http://schemas.openxmlformats.org/officeDocument/2006/relationships/hyperlink" Target="http://vk.com/wall470508691_401" TargetMode="External"/><Relationship Id="rId57" Type="http://schemas.openxmlformats.org/officeDocument/2006/relationships/hyperlink" Target="http://vk.com/id470508691" TargetMode="External"/><Relationship Id="rId58" Type="http://schemas.openxmlformats.org/officeDocument/2006/relationships/hyperlink" Target="http://www.ok.ru/group/53550480490576/topic/156192421844304" TargetMode="External"/><Relationship Id="rId59" Type="http://schemas.openxmlformats.org/officeDocument/2006/relationships/hyperlink" Target="http://www.ok.ru/group/53550480490576" TargetMode="External"/><Relationship Id="rId60" Type="http://schemas.openxmlformats.org/officeDocument/2006/relationships/hyperlink" Target="http://www.ok.ru/group/54223954116783/topic/156337299708847" TargetMode="External"/><Relationship Id="rId61" Type="http://schemas.openxmlformats.org/officeDocument/2006/relationships/hyperlink" Target="http://www.ok.ru/group/54223954116783" TargetMode="External"/><Relationship Id="rId62" Type="http://schemas.openxmlformats.org/officeDocument/2006/relationships/hyperlink" Target="http://vk.com/wall519037394_1200" TargetMode="External"/><Relationship Id="rId63" Type="http://schemas.openxmlformats.org/officeDocument/2006/relationships/hyperlink" Target="http://vk.com/id519037394" TargetMode="External"/><Relationship Id="rId64" Type="http://schemas.openxmlformats.org/officeDocument/2006/relationships/hyperlink" Target="http://twitter.com/ineffablewom/status/1646845408159879169" TargetMode="External"/><Relationship Id="rId65" Type="http://schemas.openxmlformats.org/officeDocument/2006/relationships/hyperlink" Target="http://twitter.com/ineffablewom" TargetMode="External"/><Relationship Id="rId66" Type="http://schemas.openxmlformats.org/officeDocument/2006/relationships/hyperlink" Target="http://twitter.com/VeOfHKslpNiVSEI" TargetMode="External"/><Relationship Id="rId67" Type="http://schemas.openxmlformats.org/officeDocument/2006/relationships/hyperlink" Target="https://telegram.me/Shri_Lanka_by_sell/69546" TargetMode="External"/><Relationship Id="rId68" Type="http://schemas.openxmlformats.org/officeDocument/2006/relationships/hyperlink" Target="https://telegram.me/" TargetMode="External"/><Relationship Id="rId69" Type="http://schemas.openxmlformats.org/officeDocument/2006/relationships/hyperlink" Target="https://telegram.me/Shri_Lanka_by_sell" TargetMode="External"/><Relationship Id="rId70" Type="http://schemas.openxmlformats.org/officeDocument/2006/relationships/hyperlink" Target="http://vk.com/wall241492303_2396" TargetMode="External"/><Relationship Id="rId71" Type="http://schemas.openxmlformats.org/officeDocument/2006/relationships/hyperlink" Target="http://vk.com/id241492303" TargetMode="External"/><Relationship Id="rId72" Type="http://schemas.openxmlformats.org/officeDocument/2006/relationships/hyperlink" Target="http://vk.com/wall261857235_186" TargetMode="External"/><Relationship Id="rId73" Type="http://schemas.openxmlformats.org/officeDocument/2006/relationships/hyperlink" Target="http://vk.com/id261857235" TargetMode="External"/><Relationship Id="rId74" Type="http://schemas.openxmlformats.org/officeDocument/2006/relationships/hyperlink" Target="http://vk.com/wall-12670685_246774?reply=247176&amp;thread=246906" TargetMode="External"/><Relationship Id="rId75" Type="http://schemas.openxmlformats.org/officeDocument/2006/relationships/hyperlink" Target="http://vk.com/id621930357" TargetMode="External"/><Relationship Id="rId76" Type="http://schemas.openxmlformats.org/officeDocument/2006/relationships/hyperlink" Target="http://vk.com/club12670685" TargetMode="External"/><Relationship Id="rId77" Type="http://schemas.openxmlformats.org/officeDocument/2006/relationships/hyperlink" Target="http://vk.com/wall680445524_996" TargetMode="External"/><Relationship Id="rId78" Type="http://schemas.openxmlformats.org/officeDocument/2006/relationships/hyperlink" Target="http://vk.com/id680445524" TargetMode="External"/><Relationship Id="rId79" Type="http://schemas.openxmlformats.org/officeDocument/2006/relationships/hyperlink" Target="http://vk.com/wall-62596804_2704672?reply=2705860&amp;thread=2704679" TargetMode="External"/><Relationship Id="rId80" Type="http://schemas.openxmlformats.org/officeDocument/2006/relationships/hyperlink" Target="http://vk.com/id564993124" TargetMode="External"/><Relationship Id="rId81" Type="http://schemas.openxmlformats.org/officeDocument/2006/relationships/hyperlink" Target="http://vk.com/club62596804" TargetMode="External"/><Relationship Id="rId82" Type="http://schemas.openxmlformats.org/officeDocument/2006/relationships/hyperlink" Target="https://www.u-mama.ru/forum/family/health/949323/2.html#mid_34755582" TargetMode="External"/><Relationship Id="rId83" Type="http://schemas.openxmlformats.org/officeDocument/2006/relationships/hyperlink" Target="http://irecommend.ru/content/effektiven-pri-lechenii-i-dlya-profilaktiki-prostud" TargetMode="External"/><Relationship Id="rId84" Type="http://schemas.openxmlformats.org/officeDocument/2006/relationships/hyperlink" Target="http://vk.com/wall782476761_90" TargetMode="External"/><Relationship Id="rId85" Type="http://schemas.openxmlformats.org/officeDocument/2006/relationships/hyperlink" Target="http://vk.com/id782476761" TargetMode="External"/><Relationship Id="rId86" Type="http://schemas.openxmlformats.org/officeDocument/2006/relationships/hyperlink" Target="http://vk.com/wall-162424850_543650?reply=543899" TargetMode="External"/><Relationship Id="rId87" Type="http://schemas.openxmlformats.org/officeDocument/2006/relationships/hyperlink" Target="http://vk.com/id793507918" TargetMode="External"/><Relationship Id="rId88" Type="http://schemas.openxmlformats.org/officeDocument/2006/relationships/hyperlink" Target="http://vk.com/club162424850" TargetMode="External"/><Relationship Id="rId89" Type="http://schemas.openxmlformats.org/officeDocument/2006/relationships/hyperlink" Target="https://telegram.me/moskva_mam/132971" TargetMode="External"/><Relationship Id="rId90" Type="http://schemas.openxmlformats.org/officeDocument/2006/relationships/hyperlink" Target="https://telegram.me/Oksana_Ridiger" TargetMode="External"/><Relationship Id="rId91" Type="http://schemas.openxmlformats.org/officeDocument/2006/relationships/hyperlink" Target="https://telegram.me/moskva_mam" TargetMode="External"/><Relationship Id="rId92" Type="http://schemas.openxmlformats.org/officeDocument/2006/relationships/hyperlink" Target="http://vk.com/wall-87598739_813314?reply=818055&amp;thread=813320" TargetMode="External"/><Relationship Id="rId93" Type="http://schemas.openxmlformats.org/officeDocument/2006/relationships/hyperlink" Target="http://vk.com/id664517657" TargetMode="External"/><Relationship Id="rId94" Type="http://schemas.openxmlformats.org/officeDocument/2006/relationships/hyperlink" Target="http://vk.com/club87598739" TargetMode="External"/><Relationship Id="rId95" Type="http://schemas.openxmlformats.org/officeDocument/2006/relationships/hyperlink" Target="http://vk.com/wall457827327_2826" TargetMode="External"/><Relationship Id="rId96" Type="http://schemas.openxmlformats.org/officeDocument/2006/relationships/hyperlink" Target="http://vk.com/id457827327" TargetMode="External"/><Relationship Id="rId97" Type="http://schemas.openxmlformats.org/officeDocument/2006/relationships/hyperlink" Target="http://vk.com/wall-207266137_775864?reply=775947&amp;thread=775904" TargetMode="External"/><Relationship Id="rId98" Type="http://schemas.openxmlformats.org/officeDocument/2006/relationships/hyperlink" Target="http://vk.com/id62146060" TargetMode="External"/><Relationship Id="rId99" Type="http://schemas.openxmlformats.org/officeDocument/2006/relationships/hyperlink" Target="http://vk.com/club207266137" TargetMode="External"/><Relationship Id="rId100" Type="http://schemas.openxmlformats.org/officeDocument/2006/relationships/hyperlink" Target="https://telegram.me/moskva_mam/132968" TargetMode="External"/><Relationship Id="rId101" Type="http://schemas.openxmlformats.org/officeDocument/2006/relationships/hyperlink" Target="https://telegram.me/Oksana_Ridiger" TargetMode="External"/><Relationship Id="rId102" Type="http://schemas.openxmlformats.org/officeDocument/2006/relationships/hyperlink" Target="https://telegram.me/moskva_mam" TargetMode="External"/><Relationship Id="rId103" Type="http://schemas.openxmlformats.org/officeDocument/2006/relationships/hyperlink" Target="http://vk.com/wall562694182_2362" TargetMode="External"/><Relationship Id="rId104" Type="http://schemas.openxmlformats.org/officeDocument/2006/relationships/hyperlink" Target="http://vk.com/id562694182" TargetMode="External"/><Relationship Id="rId105" Type="http://schemas.openxmlformats.org/officeDocument/2006/relationships/hyperlink" Target="http://vk.com/wall-133977313_256419?reply=256436" TargetMode="External"/><Relationship Id="rId106" Type="http://schemas.openxmlformats.org/officeDocument/2006/relationships/hyperlink" Target="http://vk.com/id2598036" TargetMode="External"/><Relationship Id="rId107" Type="http://schemas.openxmlformats.org/officeDocument/2006/relationships/hyperlink" Target="http://vk.com/club133977313" TargetMode="External"/><Relationship Id="rId108" Type="http://schemas.openxmlformats.org/officeDocument/2006/relationships/hyperlink" Target="http://www.ok.ru/profile/576350023352/statuses/156218830578616" TargetMode="External"/><Relationship Id="rId109" Type="http://schemas.openxmlformats.org/officeDocument/2006/relationships/hyperlink" Target="http://www.ok.ru/profile/576350023352" TargetMode="External"/><Relationship Id="rId110" Type="http://schemas.openxmlformats.org/officeDocument/2006/relationships/hyperlink" Target="http://vk.com/wall225465171_530" TargetMode="External"/><Relationship Id="rId111" Type="http://schemas.openxmlformats.org/officeDocument/2006/relationships/hyperlink" Target="http://vk.com/id225465171" TargetMode="External"/><Relationship Id="rId112" Type="http://schemas.openxmlformats.org/officeDocument/2006/relationships/hyperlink" Target="https://www.baby.ru/blogs/post/2611467562-2597681634/" TargetMode="External"/><Relationship Id="rId113" Type="http://schemas.openxmlformats.org/officeDocument/2006/relationships/hyperlink" Target="https://www.baby.ru/u/usr2171834/" TargetMode="External"/><Relationship Id="rId114" Type="http://schemas.openxmlformats.org/officeDocument/2006/relationships/hyperlink" Target="https://www.baby.ru/u/usr2710213/" TargetMode="External"/><Relationship Id="rId115" Type="http://schemas.openxmlformats.org/officeDocument/2006/relationships/hyperlink" Target="http://vk.com/wall-165495813_955937?reply=956089&amp;thread=956013" TargetMode="External"/><Relationship Id="rId116" Type="http://schemas.openxmlformats.org/officeDocument/2006/relationships/hyperlink" Target="http://vk.com/id90392475" TargetMode="External"/><Relationship Id="rId117" Type="http://schemas.openxmlformats.org/officeDocument/2006/relationships/hyperlink" Target="http://vk.com/club165495813" TargetMode="External"/><Relationship Id="rId118" Type="http://schemas.openxmlformats.org/officeDocument/2006/relationships/hyperlink" Target="http://vk.com/wall710197643_827" TargetMode="External"/><Relationship Id="rId119" Type="http://schemas.openxmlformats.org/officeDocument/2006/relationships/hyperlink" Target="http://vk.com/id710197643" TargetMode="External"/><Relationship Id="rId120" Type="http://schemas.openxmlformats.org/officeDocument/2006/relationships/hyperlink" Target="https://telegram.me/vv_volodin/633?comment=4535826" TargetMode="External"/><Relationship Id="rId121" Type="http://schemas.openxmlformats.org/officeDocument/2006/relationships/hyperlink" Target="https://telegram.me/" TargetMode="External"/><Relationship Id="rId122" Type="http://schemas.openxmlformats.org/officeDocument/2006/relationships/hyperlink" Target="https://telegram.me/vv_volodin" TargetMode="External"/><Relationship Id="rId123" Type="http://schemas.openxmlformats.org/officeDocument/2006/relationships/hyperlink" Target="http://vk.com/wall-103925_17240?reply=17613&amp;thread=17604" TargetMode="External"/><Relationship Id="rId124" Type="http://schemas.openxmlformats.org/officeDocument/2006/relationships/hyperlink" Target="http://vk.com/id168713492" TargetMode="External"/><Relationship Id="rId125" Type="http://schemas.openxmlformats.org/officeDocument/2006/relationships/hyperlink" Target="http://vk.com/club103925" TargetMode="External"/><Relationship Id="rId126" Type="http://schemas.openxmlformats.org/officeDocument/2006/relationships/hyperlink" Target="http://vk.com/wall-117339481_1474346?reply=1474641" TargetMode="External"/><Relationship Id="rId127" Type="http://schemas.openxmlformats.org/officeDocument/2006/relationships/hyperlink" Target="http://vk.com/id37940811" TargetMode="External"/><Relationship Id="rId128" Type="http://schemas.openxmlformats.org/officeDocument/2006/relationships/hyperlink" Target="http://vk.com/club117339481" TargetMode="External"/><Relationship Id="rId129" Type="http://schemas.openxmlformats.org/officeDocument/2006/relationships/hyperlink" Target="http://vk.com/wall-137658144_1433367?reply=1433879" TargetMode="External"/><Relationship Id="rId130" Type="http://schemas.openxmlformats.org/officeDocument/2006/relationships/hyperlink" Target="http://vk.com/id311007287" TargetMode="External"/><Relationship Id="rId131" Type="http://schemas.openxmlformats.org/officeDocument/2006/relationships/hyperlink" Target="http://vk.com/club137658144" TargetMode="External"/><Relationship Id="rId132" Type="http://schemas.openxmlformats.org/officeDocument/2006/relationships/hyperlink" Target="https://www.babyblog.ru/community/living/post/3308465" TargetMode="External"/><Relationship Id="rId133" Type="http://schemas.openxmlformats.org/officeDocument/2006/relationships/hyperlink" Target="http://vk.com/wall-87598739_813314?reply=818050&amp;thread=813355" TargetMode="External"/><Relationship Id="rId134" Type="http://schemas.openxmlformats.org/officeDocument/2006/relationships/hyperlink" Target="http://vk.com/id564996259" TargetMode="External"/><Relationship Id="rId135" Type="http://schemas.openxmlformats.org/officeDocument/2006/relationships/hyperlink" Target="http://vk.com/club87598739" TargetMode="External"/><Relationship Id="rId136" Type="http://schemas.openxmlformats.org/officeDocument/2006/relationships/hyperlink" Target="http://vk.com/wall-87598739_813314?reply=818049&amp;thread=813355" TargetMode="External"/><Relationship Id="rId137" Type="http://schemas.openxmlformats.org/officeDocument/2006/relationships/hyperlink" Target="http://vk.com/id564996259" TargetMode="External"/><Relationship Id="rId138" Type="http://schemas.openxmlformats.org/officeDocument/2006/relationships/hyperlink" Target="http://vk.com/club87598739" TargetMode="External"/><Relationship Id="rId139" Type="http://schemas.openxmlformats.org/officeDocument/2006/relationships/hyperlink" Target="http://vk.com/wall370183479_859" TargetMode="External"/><Relationship Id="rId140" Type="http://schemas.openxmlformats.org/officeDocument/2006/relationships/hyperlink" Target="http://vk.com/id370183479" TargetMode="External"/><Relationship Id="rId141" Type="http://schemas.openxmlformats.org/officeDocument/2006/relationships/hyperlink" Target="http://vk.com/wall-145141613_593206?reply=593210" TargetMode="External"/><Relationship Id="rId142" Type="http://schemas.openxmlformats.org/officeDocument/2006/relationships/hyperlink" Target="http://vk.com/id225439665" TargetMode="External"/><Relationship Id="rId143" Type="http://schemas.openxmlformats.org/officeDocument/2006/relationships/hyperlink" Target="http://vk.com/club145141613" TargetMode="External"/><Relationship Id="rId144" Type="http://schemas.openxmlformats.org/officeDocument/2006/relationships/hyperlink" Target="http://www.ok.ru/profile/561090531317/statuses/157997424936437" TargetMode="External"/><Relationship Id="rId145" Type="http://schemas.openxmlformats.org/officeDocument/2006/relationships/hyperlink" Target="http://www.ok.ru/profile/561090531317" TargetMode="External"/><Relationship Id="rId146" Type="http://schemas.openxmlformats.org/officeDocument/2006/relationships/hyperlink" Target="https://www.u-mama.ru/forum/family/covid-19/949493/#mid_34755539" TargetMode="External"/><Relationship Id="rId147" Type="http://schemas.openxmlformats.org/officeDocument/2006/relationships/hyperlink" Target="http://vk.com/wall-146175495_830050?reply=830269" TargetMode="External"/><Relationship Id="rId148" Type="http://schemas.openxmlformats.org/officeDocument/2006/relationships/hyperlink" Target="http://vk.com/id458717973" TargetMode="External"/><Relationship Id="rId149" Type="http://schemas.openxmlformats.org/officeDocument/2006/relationships/hyperlink" Target="http://vk.com/club146175495" TargetMode="External"/><Relationship Id="rId150" Type="http://schemas.openxmlformats.org/officeDocument/2006/relationships/hyperlink" Target="http://vk.com/wall-155386267_1060481?reply=1061545" TargetMode="External"/><Relationship Id="rId151" Type="http://schemas.openxmlformats.org/officeDocument/2006/relationships/hyperlink" Target="http://vk.com/id275048283" TargetMode="External"/><Relationship Id="rId152" Type="http://schemas.openxmlformats.org/officeDocument/2006/relationships/hyperlink" Target="http://vk.com/club155386267" TargetMode="External"/><Relationship Id="rId153" Type="http://schemas.openxmlformats.org/officeDocument/2006/relationships/hyperlink" Target="http://vk.com/wall249728264_1353" TargetMode="External"/><Relationship Id="rId154" Type="http://schemas.openxmlformats.org/officeDocument/2006/relationships/hyperlink" Target="http://vk.com/id249728264" TargetMode="External"/><Relationship Id="rId155" Type="http://schemas.openxmlformats.org/officeDocument/2006/relationships/hyperlink" Target="https://www.babyblog.ru/community/living/post/3308287" TargetMode="External"/><Relationship Id="rId156" Type="http://schemas.openxmlformats.org/officeDocument/2006/relationships/hyperlink" Target="http://vk.com/wall-146312273_12580?reply=12582" TargetMode="External"/><Relationship Id="rId157" Type="http://schemas.openxmlformats.org/officeDocument/2006/relationships/hyperlink" Target="http://vk.com/id584974798" TargetMode="External"/><Relationship Id="rId158" Type="http://schemas.openxmlformats.org/officeDocument/2006/relationships/hyperlink" Target="http://vk.com/club146312273" TargetMode="External"/><Relationship Id="rId159" Type="http://schemas.openxmlformats.org/officeDocument/2006/relationships/hyperlink" Target="http://vk.com/wall384141370_4436" TargetMode="External"/><Relationship Id="rId160" Type="http://schemas.openxmlformats.org/officeDocument/2006/relationships/hyperlink" Target="http://vk.com/id384141370" TargetMode="External"/><Relationship Id="rId161" Type="http://schemas.openxmlformats.org/officeDocument/2006/relationships/hyperlink" Target="http://vk.com/wall-136637198_109456?reply=109914&amp;thread=109482" TargetMode="External"/><Relationship Id="rId162" Type="http://schemas.openxmlformats.org/officeDocument/2006/relationships/hyperlink" Target="http://vk.com/id564994008" TargetMode="External"/><Relationship Id="rId163" Type="http://schemas.openxmlformats.org/officeDocument/2006/relationships/hyperlink" Target="http://vk.com/club136637198" TargetMode="External"/><Relationship Id="rId164" Type="http://schemas.openxmlformats.org/officeDocument/2006/relationships/hyperlink" Target="http://vk.com/wall432515116_2558" TargetMode="External"/><Relationship Id="rId165" Type="http://schemas.openxmlformats.org/officeDocument/2006/relationships/hyperlink" Target="http://vk.com/id432515116" TargetMode="External"/><Relationship Id="rId166" Type="http://schemas.openxmlformats.org/officeDocument/2006/relationships/hyperlink" Target="http://vk.com/wall-207266137_775864?reply=775904" TargetMode="External"/><Relationship Id="rId167" Type="http://schemas.openxmlformats.org/officeDocument/2006/relationships/hyperlink" Target="http://vk.com/id593784294" TargetMode="External"/><Relationship Id="rId168" Type="http://schemas.openxmlformats.org/officeDocument/2006/relationships/hyperlink" Target="http://vk.com/club207266137" TargetMode="External"/><Relationship Id="rId169" Type="http://schemas.openxmlformats.org/officeDocument/2006/relationships/hyperlink" Target="http://vk.com/wall-136637198_109456?reply=109911&amp;thread=109482" TargetMode="External"/><Relationship Id="rId170" Type="http://schemas.openxmlformats.org/officeDocument/2006/relationships/hyperlink" Target="http://vk.com/id564994008" TargetMode="External"/><Relationship Id="rId171" Type="http://schemas.openxmlformats.org/officeDocument/2006/relationships/hyperlink" Target="http://vk.com/club136637198" TargetMode="External"/><Relationship Id="rId172" Type="http://schemas.openxmlformats.org/officeDocument/2006/relationships/hyperlink" Target="http://vk.com/wall185400076_17483" TargetMode="External"/><Relationship Id="rId173" Type="http://schemas.openxmlformats.org/officeDocument/2006/relationships/hyperlink" Target="http://vk.com/id185400076" TargetMode="External"/><Relationship Id="rId174" Type="http://schemas.openxmlformats.org/officeDocument/2006/relationships/hyperlink" Target="http://vk.com/wall415220702_3969" TargetMode="External"/><Relationship Id="rId175" Type="http://schemas.openxmlformats.org/officeDocument/2006/relationships/hyperlink" Target="http://vk.com/id415220702" TargetMode="External"/><Relationship Id="rId176" Type="http://schemas.openxmlformats.org/officeDocument/2006/relationships/hyperlink" Target="http://www.ok.ru/profile/571549877864/statuses/155416678571368" TargetMode="External"/><Relationship Id="rId177" Type="http://schemas.openxmlformats.org/officeDocument/2006/relationships/hyperlink" Target="http://www.ok.ru/profile/571549877864" TargetMode="External"/><Relationship Id="rId178" Type="http://schemas.openxmlformats.org/officeDocument/2006/relationships/hyperlink" Target="http://vk.com/wall795732792_16" TargetMode="External"/><Relationship Id="rId179" Type="http://schemas.openxmlformats.org/officeDocument/2006/relationships/hyperlink" Target="http://vk.com/id795732792" TargetMode="External"/><Relationship Id="rId180" Type="http://schemas.openxmlformats.org/officeDocument/2006/relationships/hyperlink" Target="http://vk.com/wall240245860_3166" TargetMode="External"/><Relationship Id="rId181" Type="http://schemas.openxmlformats.org/officeDocument/2006/relationships/hyperlink" Target="http://vk.com/id240245860" TargetMode="External"/><Relationship Id="rId182" Type="http://schemas.openxmlformats.org/officeDocument/2006/relationships/hyperlink" Target="http://vk.com/wall-86024718_2018897?reply=2018907" TargetMode="External"/><Relationship Id="rId183" Type="http://schemas.openxmlformats.org/officeDocument/2006/relationships/hyperlink" Target="http://vk.com/id93954907" TargetMode="External"/><Relationship Id="rId184" Type="http://schemas.openxmlformats.org/officeDocument/2006/relationships/hyperlink" Target="http://vk.com/club86024718" TargetMode="External"/><Relationship Id="rId185" Type="http://schemas.openxmlformats.org/officeDocument/2006/relationships/hyperlink" Target="http://vk.com/wall208552464_13132" TargetMode="External"/><Relationship Id="rId186" Type="http://schemas.openxmlformats.org/officeDocument/2006/relationships/hyperlink" Target="http://vk.com/id208552464" TargetMode="External"/><Relationship Id="rId187" Type="http://schemas.openxmlformats.org/officeDocument/2006/relationships/hyperlink" Target="http://vk.com/wall-45712009_377043?reply=377048" TargetMode="External"/><Relationship Id="rId188" Type="http://schemas.openxmlformats.org/officeDocument/2006/relationships/hyperlink" Target="http://vk.com/id204624281" TargetMode="External"/><Relationship Id="rId189" Type="http://schemas.openxmlformats.org/officeDocument/2006/relationships/hyperlink" Target="http://vk.com/club45712009" TargetMode="External"/><Relationship Id="rId190" Type="http://schemas.openxmlformats.org/officeDocument/2006/relationships/hyperlink" Target="http://twitter.com/sergofm52/status/1646836528629309440" TargetMode="External"/><Relationship Id="rId191" Type="http://schemas.openxmlformats.org/officeDocument/2006/relationships/hyperlink" Target="http://twitter.com/sergofm52" TargetMode="External"/><Relationship Id="rId192" Type="http://schemas.openxmlformats.org/officeDocument/2006/relationships/hyperlink" Target="http://vk.com/wall-118188716_870776?reply=871163&amp;thread=870803" TargetMode="External"/><Relationship Id="rId193" Type="http://schemas.openxmlformats.org/officeDocument/2006/relationships/hyperlink" Target="http://vk.com/id521988661" TargetMode="External"/><Relationship Id="rId194" Type="http://schemas.openxmlformats.org/officeDocument/2006/relationships/hyperlink" Target="http://vk.com/club118188716" TargetMode="External"/><Relationship Id="rId195" Type="http://schemas.openxmlformats.org/officeDocument/2006/relationships/hyperlink" Target="http://vk.com/wall-202512925_25957?reply=25960" TargetMode="External"/><Relationship Id="rId196" Type="http://schemas.openxmlformats.org/officeDocument/2006/relationships/hyperlink" Target="http://vk.com/id89945845" TargetMode="External"/><Relationship Id="rId197" Type="http://schemas.openxmlformats.org/officeDocument/2006/relationships/hyperlink" Target="http://vk.com/club202512925" TargetMode="External"/><Relationship Id="rId198" Type="http://schemas.openxmlformats.org/officeDocument/2006/relationships/hyperlink" Target="http://vk.com/wall-86830443_1099901?reply=1099948&amp;thread=1099919" TargetMode="External"/><Relationship Id="rId199" Type="http://schemas.openxmlformats.org/officeDocument/2006/relationships/hyperlink" Target="http://vk.com/id497678063" TargetMode="External"/><Relationship Id="rId200" Type="http://schemas.openxmlformats.org/officeDocument/2006/relationships/hyperlink" Target="http://vk.com/club86830443" TargetMode="External"/><Relationship Id="rId201" Type="http://schemas.openxmlformats.org/officeDocument/2006/relationships/hyperlink" Target="http://vk.com/wall235608113_4530" TargetMode="External"/><Relationship Id="rId202" Type="http://schemas.openxmlformats.org/officeDocument/2006/relationships/hyperlink" Target="http://vk.com/id235608113" TargetMode="External"/><Relationship Id="rId203" Type="http://schemas.openxmlformats.org/officeDocument/2006/relationships/hyperlink" Target="http://vk.com/wall-53577941_20183?reply=20189" TargetMode="External"/><Relationship Id="rId204" Type="http://schemas.openxmlformats.org/officeDocument/2006/relationships/hyperlink" Target="http://vk.com/id29453429" TargetMode="External"/><Relationship Id="rId205" Type="http://schemas.openxmlformats.org/officeDocument/2006/relationships/hyperlink" Target="http://vk.com/club53577941" TargetMode="External"/><Relationship Id="rId206" Type="http://schemas.openxmlformats.org/officeDocument/2006/relationships/hyperlink" Target="http://vk.com/wall-126850514_1138289?reply=1139115&amp;thread=1138531" TargetMode="External"/><Relationship Id="rId207" Type="http://schemas.openxmlformats.org/officeDocument/2006/relationships/hyperlink" Target="http://vk.com/id615133572" TargetMode="External"/><Relationship Id="rId208" Type="http://schemas.openxmlformats.org/officeDocument/2006/relationships/hyperlink" Target="http://vk.com/club126850514" TargetMode="External"/><Relationship Id="rId209" Type="http://schemas.openxmlformats.org/officeDocument/2006/relationships/hyperlink" Target="http://vk.com/wall195110506_3136" TargetMode="External"/><Relationship Id="rId210" Type="http://schemas.openxmlformats.org/officeDocument/2006/relationships/hyperlink" Target="http://vk.com/id195110506" TargetMode="External"/><Relationship Id="rId211" Type="http://schemas.openxmlformats.org/officeDocument/2006/relationships/hyperlink" Target="https://www.baby.ru/blogs/post/2611503308-2549624212/" TargetMode="External"/><Relationship Id="rId212" Type="http://schemas.openxmlformats.org/officeDocument/2006/relationships/hyperlink" Target="https://www.baby.ru/u/usr2142245/" TargetMode="External"/><Relationship Id="rId213" Type="http://schemas.openxmlformats.org/officeDocument/2006/relationships/hyperlink" Target="https://www.baby.ru/u/usr2695542/" TargetMode="External"/><Relationship Id="rId214" Type="http://schemas.openxmlformats.org/officeDocument/2006/relationships/hyperlink" Target="http://vk.com/wall514074401_206" TargetMode="External"/><Relationship Id="rId215" Type="http://schemas.openxmlformats.org/officeDocument/2006/relationships/hyperlink" Target="http://vk.com/id514074401" TargetMode="External"/><Relationship Id="rId216" Type="http://schemas.openxmlformats.org/officeDocument/2006/relationships/hyperlink" Target="http://vk.com/wall-162286056_1818943?reply=1819225&amp;thread=1818948" TargetMode="External"/><Relationship Id="rId217" Type="http://schemas.openxmlformats.org/officeDocument/2006/relationships/hyperlink" Target="http://vk.com/id145490720" TargetMode="External"/><Relationship Id="rId218" Type="http://schemas.openxmlformats.org/officeDocument/2006/relationships/hyperlink" Target="http://vk.com/club162286056" TargetMode="External"/><Relationship Id="rId219" Type="http://schemas.openxmlformats.org/officeDocument/2006/relationships/hyperlink" Target="http://vk.com/wall-27062979_1180521?reply=1180964&amp;thread=1180786" TargetMode="External"/><Relationship Id="rId220" Type="http://schemas.openxmlformats.org/officeDocument/2006/relationships/hyperlink" Target="http://vk.com/id647485101" TargetMode="External"/><Relationship Id="rId221" Type="http://schemas.openxmlformats.org/officeDocument/2006/relationships/hyperlink" Target="http://vk.com/club27062979" TargetMode="External"/><Relationship Id="rId222" Type="http://schemas.openxmlformats.org/officeDocument/2006/relationships/hyperlink" Target="http://vk.com/wall419142998_449" TargetMode="External"/><Relationship Id="rId223" Type="http://schemas.openxmlformats.org/officeDocument/2006/relationships/hyperlink" Target="http://vk.com/id419142998" TargetMode="External"/><Relationship Id="rId224" Type="http://schemas.openxmlformats.org/officeDocument/2006/relationships/hyperlink" Target="http://vk.com/wall-118188716_870776?reply=871161&amp;thread=870803" TargetMode="External"/><Relationship Id="rId225" Type="http://schemas.openxmlformats.org/officeDocument/2006/relationships/hyperlink" Target="http://vk.com/id445935362" TargetMode="External"/><Relationship Id="rId226" Type="http://schemas.openxmlformats.org/officeDocument/2006/relationships/hyperlink" Target="http://vk.com/club118188716" TargetMode="External"/><Relationship Id="rId227" Type="http://schemas.openxmlformats.org/officeDocument/2006/relationships/hyperlink" Target="http://vk.com/wall696929247_238" TargetMode="External"/><Relationship Id="rId228" Type="http://schemas.openxmlformats.org/officeDocument/2006/relationships/hyperlink" Target="http://vk.com/id696929247" TargetMode="External"/><Relationship Id="rId229" Type="http://schemas.openxmlformats.org/officeDocument/2006/relationships/hyperlink" Target="http://vk.com/wall169742214_3237" TargetMode="External"/><Relationship Id="rId230" Type="http://schemas.openxmlformats.org/officeDocument/2006/relationships/hyperlink" Target="http://vk.com/id169742214" TargetMode="External"/><Relationship Id="rId231" Type="http://schemas.openxmlformats.org/officeDocument/2006/relationships/hyperlink" Target="https://telegram.me/omckmama/13701" TargetMode="External"/><Relationship Id="rId232" Type="http://schemas.openxmlformats.org/officeDocument/2006/relationships/hyperlink" Target="https://telegram.me/XeniaKur20" TargetMode="External"/><Relationship Id="rId233" Type="http://schemas.openxmlformats.org/officeDocument/2006/relationships/hyperlink" Target="https://telegram.me/omckmama" TargetMode="External"/><Relationship Id="rId234" Type="http://schemas.openxmlformats.org/officeDocument/2006/relationships/hyperlink" Target="http://businesspskov.ru/news/205794.html" TargetMode="External"/><Relationship Id="rId235" Type="http://schemas.openxmlformats.org/officeDocument/2006/relationships/hyperlink" Target="http://vk.com/wall384141370_4435" TargetMode="External"/><Relationship Id="rId236" Type="http://schemas.openxmlformats.org/officeDocument/2006/relationships/hyperlink" Target="http://vk.com/id384141370" TargetMode="External"/><Relationship Id="rId237" Type="http://schemas.openxmlformats.org/officeDocument/2006/relationships/hyperlink" Target="http://vk.com/wall-92006241_404960?reply=425047&amp;thread=405208" TargetMode="External"/><Relationship Id="rId238" Type="http://schemas.openxmlformats.org/officeDocument/2006/relationships/hyperlink" Target="http://vk.com/id564999034" TargetMode="External"/><Relationship Id="rId239" Type="http://schemas.openxmlformats.org/officeDocument/2006/relationships/hyperlink" Target="http://vk.com/club92006241" TargetMode="External"/><Relationship Id="rId240" Type="http://schemas.openxmlformats.org/officeDocument/2006/relationships/hyperlink" Target="http://vk.com/wall-193183095_78" TargetMode="External"/><Relationship Id="rId241" Type="http://schemas.openxmlformats.org/officeDocument/2006/relationships/hyperlink" Target="http://vk.com/club193183095" TargetMode="External"/><Relationship Id="rId242" Type="http://schemas.openxmlformats.org/officeDocument/2006/relationships/hyperlink" Target="http://vk.com/wall-139923997_4238168?reply=4240040&amp;thread=4238891" TargetMode="External"/><Relationship Id="rId243" Type="http://schemas.openxmlformats.org/officeDocument/2006/relationships/hyperlink" Target="http://vk.com/id168877014" TargetMode="External"/><Relationship Id="rId244" Type="http://schemas.openxmlformats.org/officeDocument/2006/relationships/hyperlink" Target="http://vk.com/club139923997" TargetMode="External"/><Relationship Id="rId245" Type="http://schemas.openxmlformats.org/officeDocument/2006/relationships/hyperlink" Target="https://www.u-mama.ru/forum/family/health/949323/#mid_34755405" TargetMode="External"/><Relationship Id="rId246" Type="http://schemas.openxmlformats.org/officeDocument/2006/relationships/hyperlink" Target="http://vk.com/wall474351320_1161" TargetMode="External"/><Relationship Id="rId247" Type="http://schemas.openxmlformats.org/officeDocument/2006/relationships/hyperlink" Target="http://vk.com/id474351320" TargetMode="External"/><Relationship Id="rId248" Type="http://schemas.openxmlformats.org/officeDocument/2006/relationships/hyperlink" Target="http://vk.com/wall474351320_1160" TargetMode="External"/><Relationship Id="rId249" Type="http://schemas.openxmlformats.org/officeDocument/2006/relationships/hyperlink" Target="http://vk.com/id474351320" TargetMode="External"/><Relationship Id="rId250" Type="http://schemas.openxmlformats.org/officeDocument/2006/relationships/hyperlink" Target="https://metlor.net/wiki/item/66758-lechenie-orvi-cenoy-raka-mozhet-li-ingavirin-vyzyvat-strashnyy-nedug" TargetMode="External"/><Relationship Id="rId251" Type="http://schemas.openxmlformats.org/officeDocument/2006/relationships/hyperlink" Target="http://vk.com/wall-165495813_955937?reply=956078&amp;thread=956013" TargetMode="External"/><Relationship Id="rId252" Type="http://schemas.openxmlformats.org/officeDocument/2006/relationships/hyperlink" Target="http://vk.com/id134770200" TargetMode="External"/><Relationship Id="rId253" Type="http://schemas.openxmlformats.org/officeDocument/2006/relationships/hyperlink" Target="http://vk.com/club165495813" TargetMode="External"/><Relationship Id="rId254" Type="http://schemas.openxmlformats.org/officeDocument/2006/relationships/hyperlink" Target="http://vk.com/wall-203023242_19254?reply=19290" TargetMode="External"/><Relationship Id="rId255" Type="http://schemas.openxmlformats.org/officeDocument/2006/relationships/hyperlink" Target="http://vk.com/id793507918" TargetMode="External"/><Relationship Id="rId256" Type="http://schemas.openxmlformats.org/officeDocument/2006/relationships/hyperlink" Target="http://vk.com/club203023242" TargetMode="External"/><Relationship Id="rId257" Type="http://schemas.openxmlformats.org/officeDocument/2006/relationships/hyperlink" Target="http://www.ok.ru/profile/561744626302/statuses/154973386342526" TargetMode="External"/><Relationship Id="rId258" Type="http://schemas.openxmlformats.org/officeDocument/2006/relationships/hyperlink" Target="http://www.ok.ru/profile/561744626302" TargetMode="External"/><Relationship Id="rId259" Type="http://schemas.openxmlformats.org/officeDocument/2006/relationships/hyperlink" Target="http://vk.com/wall-89460402_150827" TargetMode="External"/><Relationship Id="rId260" Type="http://schemas.openxmlformats.org/officeDocument/2006/relationships/hyperlink" Target="http://vk.com/club89460402" TargetMode="External"/><Relationship Id="rId261" Type="http://schemas.openxmlformats.org/officeDocument/2006/relationships/hyperlink" Target="http://vk.com/wall-121026450_71645?reply=71680" TargetMode="External"/><Relationship Id="rId262" Type="http://schemas.openxmlformats.org/officeDocument/2006/relationships/hyperlink" Target="http://vk.com/id793507918" TargetMode="External"/><Relationship Id="rId263" Type="http://schemas.openxmlformats.org/officeDocument/2006/relationships/hyperlink" Target="http://vk.com/club121026450" TargetMode="External"/><Relationship Id="rId264" Type="http://schemas.openxmlformats.org/officeDocument/2006/relationships/hyperlink" Target="http://vk.com/wall-141518790_2250357?reply=2252058" TargetMode="External"/><Relationship Id="rId265" Type="http://schemas.openxmlformats.org/officeDocument/2006/relationships/hyperlink" Target="http://vk.com/id793507918" TargetMode="External"/><Relationship Id="rId266" Type="http://schemas.openxmlformats.org/officeDocument/2006/relationships/hyperlink" Target="http://vk.com/club141518790" TargetMode="External"/><Relationship Id="rId267" Type="http://schemas.openxmlformats.org/officeDocument/2006/relationships/hyperlink" Target="https://spravka11.ru/news/100153/" TargetMode="External"/><Relationship Id="rId268" Type="http://schemas.openxmlformats.org/officeDocument/2006/relationships/hyperlink" Target="http://vk.com/wall-157771437_610132?reply=610224" TargetMode="External"/><Relationship Id="rId269" Type="http://schemas.openxmlformats.org/officeDocument/2006/relationships/hyperlink" Target="http://vk.com/id793507918" TargetMode="External"/><Relationship Id="rId270" Type="http://schemas.openxmlformats.org/officeDocument/2006/relationships/hyperlink" Target="http://vk.com/club157771437" TargetMode="External"/><Relationship Id="rId271" Type="http://schemas.openxmlformats.org/officeDocument/2006/relationships/hyperlink" Target="http://vk.com/wall100804408_3207" TargetMode="External"/><Relationship Id="rId272" Type="http://schemas.openxmlformats.org/officeDocument/2006/relationships/hyperlink" Target="http://vk.com/id100804408" TargetMode="External"/><Relationship Id="rId273" Type="http://schemas.openxmlformats.org/officeDocument/2006/relationships/hyperlink" Target="http://vk.com/wall708340693_465" TargetMode="External"/><Relationship Id="rId274" Type="http://schemas.openxmlformats.org/officeDocument/2006/relationships/hyperlink" Target="http://vk.com/id708340693" TargetMode="External"/><Relationship Id="rId275" Type="http://schemas.openxmlformats.org/officeDocument/2006/relationships/hyperlink" Target="http://vk.com/wall-136860886_525859?reply=525967" TargetMode="External"/><Relationship Id="rId276" Type="http://schemas.openxmlformats.org/officeDocument/2006/relationships/hyperlink" Target="http://vk.com/id793508038" TargetMode="External"/><Relationship Id="rId277" Type="http://schemas.openxmlformats.org/officeDocument/2006/relationships/hyperlink" Target="http://vk.com/club136860886" TargetMode="External"/><Relationship Id="rId278" Type="http://schemas.openxmlformats.org/officeDocument/2006/relationships/hyperlink" Target="http://vk.com/wall-145633574_407406?reply=411200&amp;thread=407410" TargetMode="External"/><Relationship Id="rId279" Type="http://schemas.openxmlformats.org/officeDocument/2006/relationships/hyperlink" Target="http://vk.com/id185073042" TargetMode="External"/><Relationship Id="rId280" Type="http://schemas.openxmlformats.org/officeDocument/2006/relationships/hyperlink" Target="http://vk.com/club145633574" TargetMode="External"/><Relationship Id="rId281" Type="http://schemas.openxmlformats.org/officeDocument/2006/relationships/hyperlink" Target="http://vk.com/wall-158393246_1356109?reply=1356402" TargetMode="External"/><Relationship Id="rId282" Type="http://schemas.openxmlformats.org/officeDocument/2006/relationships/hyperlink" Target="http://vk.com/id38189065" TargetMode="External"/><Relationship Id="rId283" Type="http://schemas.openxmlformats.org/officeDocument/2006/relationships/hyperlink" Target="http://vk.com/club158393246" TargetMode="External"/><Relationship Id="rId284" Type="http://schemas.openxmlformats.org/officeDocument/2006/relationships/hyperlink" Target="http://vk.com/wall-150079080_234058?reply=241987" TargetMode="External"/><Relationship Id="rId285" Type="http://schemas.openxmlformats.org/officeDocument/2006/relationships/hyperlink" Target="http://vk.com/id793508038" TargetMode="External"/><Relationship Id="rId286" Type="http://schemas.openxmlformats.org/officeDocument/2006/relationships/hyperlink" Target="http://vk.com/club150079080" TargetMode="External"/><Relationship Id="rId287" Type="http://schemas.openxmlformats.org/officeDocument/2006/relationships/hyperlink" Target="http://vk.com/wall171040136_3261" TargetMode="External"/><Relationship Id="rId288" Type="http://schemas.openxmlformats.org/officeDocument/2006/relationships/hyperlink" Target="http://vk.com/id171040136" TargetMode="External"/><Relationship Id="rId289" Type="http://schemas.openxmlformats.org/officeDocument/2006/relationships/hyperlink" Target="http://vk.com/wall-197412679_201645?reply=202221" TargetMode="External"/><Relationship Id="rId290" Type="http://schemas.openxmlformats.org/officeDocument/2006/relationships/hyperlink" Target="http://vk.com/id793508038" TargetMode="External"/><Relationship Id="rId291" Type="http://schemas.openxmlformats.org/officeDocument/2006/relationships/hyperlink" Target="http://vk.com/club197412679" TargetMode="External"/><Relationship Id="rId292" Type="http://schemas.openxmlformats.org/officeDocument/2006/relationships/hyperlink" Target="http://vk.com/wall-36274616_8349893?reply=8352411" TargetMode="External"/><Relationship Id="rId293" Type="http://schemas.openxmlformats.org/officeDocument/2006/relationships/hyperlink" Target="http://vk.com/id793508038" TargetMode="External"/><Relationship Id="rId294" Type="http://schemas.openxmlformats.org/officeDocument/2006/relationships/hyperlink" Target="http://vk.com/club36274616" TargetMode="External"/><Relationship Id="rId295" Type="http://schemas.openxmlformats.org/officeDocument/2006/relationships/hyperlink" Target="http://vk.com/wall-17577887_8007466?reply=8008643&amp;thread=8007515" TargetMode="External"/><Relationship Id="rId296" Type="http://schemas.openxmlformats.org/officeDocument/2006/relationships/hyperlink" Target="http://vk.com/id611721829" TargetMode="External"/><Relationship Id="rId297" Type="http://schemas.openxmlformats.org/officeDocument/2006/relationships/hyperlink" Target="http://vk.com/club17577887" TargetMode="External"/><Relationship Id="rId298" Type="http://schemas.openxmlformats.org/officeDocument/2006/relationships/hyperlink" Target="http://vk.com/wall-5692810_6324299?reply=6325948" TargetMode="External"/><Relationship Id="rId299" Type="http://schemas.openxmlformats.org/officeDocument/2006/relationships/hyperlink" Target="http://vk.com/id793508038" TargetMode="External"/><Relationship Id="rId300" Type="http://schemas.openxmlformats.org/officeDocument/2006/relationships/hyperlink" Target="http://vk.com/club5692810" TargetMode="External"/><Relationship Id="rId301" Type="http://schemas.openxmlformats.org/officeDocument/2006/relationships/hyperlink" Target="http://vk.com/wall-84748510_23343?reply=23434&amp;thread=23387" TargetMode="External"/><Relationship Id="rId302" Type="http://schemas.openxmlformats.org/officeDocument/2006/relationships/hyperlink" Target="http://vk.com/id793760878" TargetMode="External"/><Relationship Id="rId303" Type="http://schemas.openxmlformats.org/officeDocument/2006/relationships/hyperlink" Target="http://vk.com/club84748510" TargetMode="External"/><Relationship Id="rId304" Type="http://schemas.openxmlformats.org/officeDocument/2006/relationships/hyperlink" Target="https://telegram.me/Dorixona_Dorihona/581105" TargetMode="External"/><Relationship Id="rId305" Type="http://schemas.openxmlformats.org/officeDocument/2006/relationships/hyperlink" Target="https://telegram.me/" TargetMode="External"/><Relationship Id="rId306" Type="http://schemas.openxmlformats.org/officeDocument/2006/relationships/hyperlink" Target="https://telegram.me/Dorixona_Dorihona" TargetMode="External"/><Relationship Id="rId307" Type="http://schemas.openxmlformats.org/officeDocument/2006/relationships/hyperlink" Target="http://vk.com/wall-86024718_2018897?reply=2018903" TargetMode="External"/><Relationship Id="rId308" Type="http://schemas.openxmlformats.org/officeDocument/2006/relationships/hyperlink" Target="http://vk.com/id29759590" TargetMode="External"/><Relationship Id="rId309" Type="http://schemas.openxmlformats.org/officeDocument/2006/relationships/hyperlink" Target="http://vk.com/club86024718" TargetMode="External"/><Relationship Id="rId310" Type="http://schemas.openxmlformats.org/officeDocument/2006/relationships/hyperlink" Target="https://telegram.me/domodedovomoms/39800" TargetMode="External"/><Relationship Id="rId311" Type="http://schemas.openxmlformats.org/officeDocument/2006/relationships/hyperlink" Target="https://telegram.me/" TargetMode="External"/><Relationship Id="rId312" Type="http://schemas.openxmlformats.org/officeDocument/2006/relationships/hyperlink" Target="https://telegram.me/domodedovomoms" TargetMode="External"/><Relationship Id="rId313" Type="http://schemas.openxmlformats.org/officeDocument/2006/relationships/hyperlink" Target="http://vk.com/wall-110697191_622099?reply=622809&amp;thread=622103" TargetMode="External"/><Relationship Id="rId314" Type="http://schemas.openxmlformats.org/officeDocument/2006/relationships/hyperlink" Target="http://vk.com/id390532848" TargetMode="External"/><Relationship Id="rId315" Type="http://schemas.openxmlformats.org/officeDocument/2006/relationships/hyperlink" Target="http://vk.com/club110697191" TargetMode="External"/><Relationship Id="rId316" Type="http://schemas.openxmlformats.org/officeDocument/2006/relationships/hyperlink" Target="http://twitter.com/Vadim777K/status/1646825210623016960" TargetMode="External"/><Relationship Id="rId317" Type="http://schemas.openxmlformats.org/officeDocument/2006/relationships/hyperlink" Target="http://twitter.com/Vadim777K" TargetMode="External"/><Relationship Id="rId318" Type="http://schemas.openxmlformats.org/officeDocument/2006/relationships/hyperlink" Target="http://twitter.com/vladlar2044" TargetMode="External"/><Relationship Id="rId319" Type="http://schemas.openxmlformats.org/officeDocument/2006/relationships/hyperlink" Target="http://vk.com/wall657541141_1395" TargetMode="External"/><Relationship Id="rId320" Type="http://schemas.openxmlformats.org/officeDocument/2006/relationships/hyperlink" Target="http://vk.com/id657541141" TargetMode="External"/><Relationship Id="rId321" Type="http://schemas.openxmlformats.org/officeDocument/2006/relationships/hyperlink" Target="http://vk.com/wall-219938946_20" TargetMode="External"/><Relationship Id="rId322" Type="http://schemas.openxmlformats.org/officeDocument/2006/relationships/hyperlink" Target="http://vk.com/club219938946" TargetMode="External"/><Relationship Id="rId323" Type="http://schemas.openxmlformats.org/officeDocument/2006/relationships/hyperlink" Target="http://vk.com/wall-219938908_20" TargetMode="External"/><Relationship Id="rId324" Type="http://schemas.openxmlformats.org/officeDocument/2006/relationships/hyperlink" Target="http://vk.com/club219938908" TargetMode="External"/><Relationship Id="rId325" Type="http://schemas.openxmlformats.org/officeDocument/2006/relationships/hyperlink" Target="http://vk.com/wall-219938856_20" TargetMode="External"/><Relationship Id="rId326" Type="http://schemas.openxmlformats.org/officeDocument/2006/relationships/hyperlink" Target="http://vk.com/club219938856" TargetMode="External"/><Relationship Id="rId327" Type="http://schemas.openxmlformats.org/officeDocument/2006/relationships/hyperlink" Target="http://vk.com/wall-9416253_189000?reply=189002" TargetMode="External"/><Relationship Id="rId328" Type="http://schemas.openxmlformats.org/officeDocument/2006/relationships/hyperlink" Target="http://vk.com/id17624818" TargetMode="External"/><Relationship Id="rId329" Type="http://schemas.openxmlformats.org/officeDocument/2006/relationships/hyperlink" Target="http://vk.com/club9416253" TargetMode="External"/><Relationship Id="rId330" Type="http://schemas.openxmlformats.org/officeDocument/2006/relationships/hyperlink" Target="http://vk.com/wall-187579258_47029?reply=47788" TargetMode="External"/><Relationship Id="rId331" Type="http://schemas.openxmlformats.org/officeDocument/2006/relationships/hyperlink" Target="http://vk.com/id793508038" TargetMode="External"/><Relationship Id="rId332" Type="http://schemas.openxmlformats.org/officeDocument/2006/relationships/hyperlink" Target="http://vk.com/club187579258" TargetMode="External"/><Relationship Id="rId333" Type="http://schemas.openxmlformats.org/officeDocument/2006/relationships/hyperlink" Target="http://vk.com/wall245153990_1679" TargetMode="External"/><Relationship Id="rId334" Type="http://schemas.openxmlformats.org/officeDocument/2006/relationships/hyperlink" Target="http://vk.com/id245153990" TargetMode="External"/><Relationship Id="rId335" Type="http://schemas.openxmlformats.org/officeDocument/2006/relationships/hyperlink" Target="http://vk.com/wall215096516_9297" TargetMode="External"/><Relationship Id="rId336" Type="http://schemas.openxmlformats.org/officeDocument/2006/relationships/hyperlink" Target="http://vk.com/id215096516" TargetMode="External"/><Relationship Id="rId337" Type="http://schemas.openxmlformats.org/officeDocument/2006/relationships/hyperlink" Target="https://www.babyblog.ru/community/living/post/3308287" TargetMode="External"/><Relationship Id="rId338" Type="http://schemas.openxmlformats.org/officeDocument/2006/relationships/hyperlink" Target="http://vk.com/wall466537657_189629" TargetMode="External"/><Relationship Id="rId339" Type="http://schemas.openxmlformats.org/officeDocument/2006/relationships/hyperlink" Target="http://vk.com/id466537657" TargetMode="External"/><Relationship Id="rId340" Type="http://schemas.openxmlformats.org/officeDocument/2006/relationships/hyperlink" Target="http://www.ok.ru/group/62530505015502/topic/156147489027534" TargetMode="External"/><Relationship Id="rId341" Type="http://schemas.openxmlformats.org/officeDocument/2006/relationships/hyperlink" Target="http://www.ok.ru/group/62530505015502" TargetMode="External"/><Relationship Id="rId342" Type="http://schemas.openxmlformats.org/officeDocument/2006/relationships/hyperlink" Target="https://telegram.me/beling_krot/13335" TargetMode="External"/><Relationship Id="rId343" Type="http://schemas.openxmlformats.org/officeDocument/2006/relationships/hyperlink" Target="https://telegram.me/beling_krot" TargetMode="External"/><Relationship Id="rId344" Type="http://schemas.openxmlformats.org/officeDocument/2006/relationships/hyperlink" Target="https://telegram.me/taynay_slugba/13417" TargetMode="External"/><Relationship Id="rId345" Type="http://schemas.openxmlformats.org/officeDocument/2006/relationships/hyperlink" Target="https://telegram.me/taynay_slugba" TargetMode="External"/><Relationship Id="rId346" Type="http://schemas.openxmlformats.org/officeDocument/2006/relationships/hyperlink" Target="https://telegram.me/agentura_ru/13380" TargetMode="External"/><Relationship Id="rId347" Type="http://schemas.openxmlformats.org/officeDocument/2006/relationships/hyperlink" Target="https://telegram.me/agentura_ru" TargetMode="External"/><Relationship Id="rId348" Type="http://schemas.openxmlformats.org/officeDocument/2006/relationships/hyperlink" Target="https://telegram.me/compra_ru/13356" TargetMode="External"/><Relationship Id="rId349" Type="http://schemas.openxmlformats.org/officeDocument/2006/relationships/hyperlink" Target="https://telegram.me/compra_ru" TargetMode="External"/><Relationship Id="rId350" Type="http://schemas.openxmlformats.org/officeDocument/2006/relationships/hyperlink" Target="https://telegram.me/fbi_russia/13343" TargetMode="External"/><Relationship Id="rId351" Type="http://schemas.openxmlformats.org/officeDocument/2006/relationships/hyperlink" Target="https://telegram.me/fbi_russia" TargetMode="External"/><Relationship Id="rId352" Type="http://schemas.openxmlformats.org/officeDocument/2006/relationships/hyperlink" Target="http://vk.com/wall-153326247_488816?reply=489443&amp;thread=488903" TargetMode="External"/><Relationship Id="rId353" Type="http://schemas.openxmlformats.org/officeDocument/2006/relationships/hyperlink" Target="http://vk.com/id8871966" TargetMode="External"/><Relationship Id="rId354" Type="http://schemas.openxmlformats.org/officeDocument/2006/relationships/hyperlink" Target="http://vk.com/club153326247" TargetMode="External"/><Relationship Id="rId355" Type="http://schemas.openxmlformats.org/officeDocument/2006/relationships/hyperlink" Target="https://telegram.me/dossier_ru/13409" TargetMode="External"/><Relationship Id="rId356" Type="http://schemas.openxmlformats.org/officeDocument/2006/relationships/hyperlink" Target="https://telegram.me/dossier_ru" TargetMode="External"/><Relationship Id="rId357" Type="http://schemas.openxmlformats.org/officeDocument/2006/relationships/hyperlink" Target="http://vk.com/wall-197879931_278664?reply=278715" TargetMode="External"/><Relationship Id="rId358" Type="http://schemas.openxmlformats.org/officeDocument/2006/relationships/hyperlink" Target="http://vk.com/id786240330" TargetMode="External"/><Relationship Id="rId359" Type="http://schemas.openxmlformats.org/officeDocument/2006/relationships/hyperlink" Target="http://vk.com/club197879931" TargetMode="External"/><Relationship Id="rId360" Type="http://schemas.openxmlformats.org/officeDocument/2006/relationships/hyperlink" Target="https://telegram.me/Dorixona_Dorihona/581099" TargetMode="External"/><Relationship Id="rId361" Type="http://schemas.openxmlformats.org/officeDocument/2006/relationships/hyperlink" Target="https://telegram.me/" TargetMode="External"/><Relationship Id="rId362" Type="http://schemas.openxmlformats.org/officeDocument/2006/relationships/hyperlink" Target="https://telegram.me/Dorixona_Dorihona" TargetMode="External"/><Relationship Id="rId363" Type="http://schemas.openxmlformats.org/officeDocument/2006/relationships/hyperlink" Target="http://vk.com/wall-203023242_19133?reply=19288&amp;thread=19143" TargetMode="External"/><Relationship Id="rId364" Type="http://schemas.openxmlformats.org/officeDocument/2006/relationships/hyperlink" Target="http://vk.com/id439472" TargetMode="External"/><Relationship Id="rId365" Type="http://schemas.openxmlformats.org/officeDocument/2006/relationships/hyperlink" Target="http://vk.com/club203023242" TargetMode="External"/><Relationship Id="rId366" Type="http://schemas.openxmlformats.org/officeDocument/2006/relationships/hyperlink" Target="http://vk.com/wall471703650_36914" TargetMode="External"/><Relationship Id="rId367" Type="http://schemas.openxmlformats.org/officeDocument/2006/relationships/hyperlink" Target="http://vk.com/id471703650" TargetMode="External"/><Relationship Id="rId368" Type="http://schemas.openxmlformats.org/officeDocument/2006/relationships/hyperlink" Target="https://www.baby.ru/community/view/126276/forum/post/2611470450/" TargetMode="External"/><Relationship Id="rId369" Type="http://schemas.openxmlformats.org/officeDocument/2006/relationships/hyperlink" Target="https://www.baby.ru/u/usr2171834/" TargetMode="External"/><Relationship Id="rId370" Type="http://schemas.openxmlformats.org/officeDocument/2006/relationships/hyperlink" Target="https://www.baby.ru/u/usr2803480/" TargetMode="External"/><Relationship Id="rId371" Type="http://schemas.openxmlformats.org/officeDocument/2006/relationships/hyperlink" Target="http://www.ok.ru/profile/581059836932/statuses/155184954540804" TargetMode="External"/><Relationship Id="rId372" Type="http://schemas.openxmlformats.org/officeDocument/2006/relationships/hyperlink" Target="http://www.ok.ru/profile/581059836932" TargetMode="External"/><Relationship Id="rId373" Type="http://schemas.openxmlformats.org/officeDocument/2006/relationships/hyperlink" Target="http://vk.com/wall617952123_13883" TargetMode="External"/><Relationship Id="rId374" Type="http://schemas.openxmlformats.org/officeDocument/2006/relationships/hyperlink" Target="http://vk.com/id617952123" TargetMode="External"/><Relationship Id="rId375" Type="http://schemas.openxmlformats.org/officeDocument/2006/relationships/hyperlink" Target="http://vk.com/wall236857967_229" TargetMode="External"/><Relationship Id="rId376" Type="http://schemas.openxmlformats.org/officeDocument/2006/relationships/hyperlink" Target="http://vk.com/id236857967" TargetMode="External"/><Relationship Id="rId377" Type="http://schemas.openxmlformats.org/officeDocument/2006/relationships/hyperlink" Target="http://vk.com/wall-68518743_3738224?reply=3738655&amp;thread=3738235" TargetMode="External"/><Relationship Id="rId378" Type="http://schemas.openxmlformats.org/officeDocument/2006/relationships/hyperlink" Target="http://vk.com/id793760878" TargetMode="External"/><Relationship Id="rId379" Type="http://schemas.openxmlformats.org/officeDocument/2006/relationships/hyperlink" Target="http://vk.com/club68518743" TargetMode="External"/><Relationship Id="rId380" Type="http://schemas.openxmlformats.org/officeDocument/2006/relationships/hyperlink" Target="http://vk.com/wall583017369_3401" TargetMode="External"/><Relationship Id="rId381" Type="http://schemas.openxmlformats.org/officeDocument/2006/relationships/hyperlink" Target="http://vk.com/id583017369" TargetMode="External"/><Relationship Id="rId382" Type="http://schemas.openxmlformats.org/officeDocument/2006/relationships/hyperlink" Target="http://vk.com/wall721988169_10667" TargetMode="External"/><Relationship Id="rId383" Type="http://schemas.openxmlformats.org/officeDocument/2006/relationships/hyperlink" Target="http://vk.com/id721988169" TargetMode="External"/><Relationship Id="rId384" Type="http://schemas.openxmlformats.org/officeDocument/2006/relationships/hyperlink" Target="http://vk.com/wall-153326247_488816?reply=489442&amp;thread=488903" TargetMode="External"/><Relationship Id="rId385" Type="http://schemas.openxmlformats.org/officeDocument/2006/relationships/hyperlink" Target="http://vk.com/id611721829" TargetMode="External"/><Relationship Id="rId386" Type="http://schemas.openxmlformats.org/officeDocument/2006/relationships/hyperlink" Target="http://vk.com/club153326247" TargetMode="External"/><Relationship Id="rId387" Type="http://schemas.openxmlformats.org/officeDocument/2006/relationships/hyperlink" Target="https://telegram.me/Dorixona_Dorihona/581094" TargetMode="External"/><Relationship Id="rId388" Type="http://schemas.openxmlformats.org/officeDocument/2006/relationships/hyperlink" Target="https://telegram.me/dori_darman" TargetMode="External"/><Relationship Id="rId389" Type="http://schemas.openxmlformats.org/officeDocument/2006/relationships/hyperlink" Target="https://telegram.me/Dorixona_Dorihona" TargetMode="External"/><Relationship Id="rId390" Type="http://schemas.openxmlformats.org/officeDocument/2006/relationships/hyperlink" Target="http://vk.com/wall-86024718_2018897?reply=2018900" TargetMode="External"/><Relationship Id="rId391" Type="http://schemas.openxmlformats.org/officeDocument/2006/relationships/hyperlink" Target="http://vk.com/id28896188" TargetMode="External"/><Relationship Id="rId392" Type="http://schemas.openxmlformats.org/officeDocument/2006/relationships/hyperlink" Target="http://vk.com/club86024718" TargetMode="External"/><Relationship Id="rId393" Type="http://schemas.openxmlformats.org/officeDocument/2006/relationships/hyperlink" Target="http://vk.com/wall650143240_620" TargetMode="External"/><Relationship Id="rId394" Type="http://schemas.openxmlformats.org/officeDocument/2006/relationships/hyperlink" Target="http://vk.com/id650143240" TargetMode="External"/><Relationship Id="rId395" Type="http://schemas.openxmlformats.org/officeDocument/2006/relationships/hyperlink" Target="http://vk.com/wall-77301947_4381762?reply=4383978&amp;thread=4383099" TargetMode="External"/><Relationship Id="rId396" Type="http://schemas.openxmlformats.org/officeDocument/2006/relationships/hyperlink" Target="http://vk.com/id793760878" TargetMode="External"/><Relationship Id="rId397" Type="http://schemas.openxmlformats.org/officeDocument/2006/relationships/hyperlink" Target="http://vk.com/club77301947" TargetMode="External"/><Relationship Id="rId398" Type="http://schemas.openxmlformats.org/officeDocument/2006/relationships/hyperlink" Target="http://vk.com/wall-5692810_6324299?reply=6325938&amp;thread=6324334" TargetMode="External"/><Relationship Id="rId399" Type="http://schemas.openxmlformats.org/officeDocument/2006/relationships/hyperlink" Target="http://vk.com/id611721829" TargetMode="External"/><Relationship Id="rId400" Type="http://schemas.openxmlformats.org/officeDocument/2006/relationships/hyperlink" Target="http://vk.com/club5692810" TargetMode="External"/><Relationship Id="rId401" Type="http://schemas.openxmlformats.org/officeDocument/2006/relationships/hyperlink" Target="http://vk.com/wall231154518_6591" TargetMode="External"/><Relationship Id="rId402" Type="http://schemas.openxmlformats.org/officeDocument/2006/relationships/hyperlink" Target="http://vk.com/id231154518" TargetMode="External"/><Relationship Id="rId403" Type="http://schemas.openxmlformats.org/officeDocument/2006/relationships/hyperlink" Target="http://vk.com/wall592102761_1448" TargetMode="External"/><Relationship Id="rId404" Type="http://schemas.openxmlformats.org/officeDocument/2006/relationships/hyperlink" Target="http://vk.com/id592102761" TargetMode="External"/><Relationship Id="rId405" Type="http://schemas.openxmlformats.org/officeDocument/2006/relationships/hyperlink" Target="http://vk.com/wall-215315078_92" TargetMode="External"/><Relationship Id="rId406" Type="http://schemas.openxmlformats.org/officeDocument/2006/relationships/hyperlink" Target="http://vk.com/club215315078" TargetMode="External"/><Relationship Id="rId407" Type="http://schemas.openxmlformats.org/officeDocument/2006/relationships/hyperlink" Target="http://vk.com/wall730523579_186" TargetMode="External"/><Relationship Id="rId408" Type="http://schemas.openxmlformats.org/officeDocument/2006/relationships/hyperlink" Target="http://vk.com/id730523579" TargetMode="External"/><Relationship Id="rId409" Type="http://schemas.openxmlformats.org/officeDocument/2006/relationships/hyperlink" Target="http://vk.com/wall291913936_504" TargetMode="External"/><Relationship Id="rId410" Type="http://schemas.openxmlformats.org/officeDocument/2006/relationships/hyperlink" Target="http://vk.com/id291913936" TargetMode="External"/><Relationship Id="rId411" Type="http://schemas.openxmlformats.org/officeDocument/2006/relationships/hyperlink" Target="http://vk.com/wall629883562_11513" TargetMode="External"/><Relationship Id="rId412" Type="http://schemas.openxmlformats.org/officeDocument/2006/relationships/hyperlink" Target="http://vk.com/id629883562" TargetMode="External"/><Relationship Id="rId413" Type="http://schemas.openxmlformats.org/officeDocument/2006/relationships/hyperlink" Target="http://vk.com/wall-131908471_506717?reply=511824&amp;thread=506732" TargetMode="External"/><Relationship Id="rId414" Type="http://schemas.openxmlformats.org/officeDocument/2006/relationships/hyperlink" Target="http://vk.com/id793760878" TargetMode="External"/><Relationship Id="rId415" Type="http://schemas.openxmlformats.org/officeDocument/2006/relationships/hyperlink" Target="http://vk.com/club131908471" TargetMode="External"/><Relationship Id="rId416" Type="http://schemas.openxmlformats.org/officeDocument/2006/relationships/hyperlink" Target="http://vk.com/wall658333044_233" TargetMode="External"/><Relationship Id="rId417" Type="http://schemas.openxmlformats.org/officeDocument/2006/relationships/hyperlink" Target="http://vk.com/id658333044" TargetMode="External"/><Relationship Id="rId418" Type="http://schemas.openxmlformats.org/officeDocument/2006/relationships/hyperlink" Target="http://vk.com/wall-49066148_1530613?reply=1540573&amp;thread=1530641" TargetMode="External"/><Relationship Id="rId419" Type="http://schemas.openxmlformats.org/officeDocument/2006/relationships/hyperlink" Target="http://vk.com/id793760878" TargetMode="External"/><Relationship Id="rId420" Type="http://schemas.openxmlformats.org/officeDocument/2006/relationships/hyperlink" Target="http://vk.com/club49066148" TargetMode="External"/><Relationship Id="rId421" Type="http://schemas.openxmlformats.org/officeDocument/2006/relationships/hyperlink" Target="http://vk.com/wall-86024718_2018897?reply=2018898" TargetMode="External"/><Relationship Id="rId422" Type="http://schemas.openxmlformats.org/officeDocument/2006/relationships/hyperlink" Target="http://vk.com/id14438253" TargetMode="External"/><Relationship Id="rId423" Type="http://schemas.openxmlformats.org/officeDocument/2006/relationships/hyperlink" Target="http://vk.com/club86024718" TargetMode="External"/><Relationship Id="rId424" Type="http://schemas.openxmlformats.org/officeDocument/2006/relationships/hyperlink" Target="https://www.baby.ru/blogs/post/2611406742-1969574877/" TargetMode="External"/><Relationship Id="rId425" Type="http://schemas.openxmlformats.org/officeDocument/2006/relationships/hyperlink" Target="https://www.baby.ru/u/usr2171834/" TargetMode="External"/><Relationship Id="rId426" Type="http://schemas.openxmlformats.org/officeDocument/2006/relationships/hyperlink" Target="https://www.baby.ru/u/usr2516130/" TargetMode="External"/><Relationship Id="rId427" Type="http://schemas.openxmlformats.org/officeDocument/2006/relationships/hyperlink" Target="http://vk.com/wall-155403177_56807?reply=57247&amp;thread=56809" TargetMode="External"/><Relationship Id="rId428" Type="http://schemas.openxmlformats.org/officeDocument/2006/relationships/hyperlink" Target="http://vk.com/club155403177" TargetMode="External"/><Relationship Id="rId429" Type="http://schemas.openxmlformats.org/officeDocument/2006/relationships/hyperlink" Target="http://vk.com/wall-36274616_8349893?reply=8352377&amp;thread=8350576" TargetMode="External"/><Relationship Id="rId430" Type="http://schemas.openxmlformats.org/officeDocument/2006/relationships/hyperlink" Target="http://vk.com/id611721829" TargetMode="External"/><Relationship Id="rId431" Type="http://schemas.openxmlformats.org/officeDocument/2006/relationships/hyperlink" Target="http://vk.com/club36274616" TargetMode="External"/><Relationship Id="rId432" Type="http://schemas.openxmlformats.org/officeDocument/2006/relationships/hyperlink" Target="http://vk.com/wall-61061413_6639898?reply=6671115&amp;thread=6639927" TargetMode="External"/><Relationship Id="rId433" Type="http://schemas.openxmlformats.org/officeDocument/2006/relationships/hyperlink" Target="http://vk.com/id793760878" TargetMode="External"/><Relationship Id="rId434" Type="http://schemas.openxmlformats.org/officeDocument/2006/relationships/hyperlink" Target="http://vk.com/club61061413" TargetMode="External"/><Relationship Id="rId435" Type="http://schemas.openxmlformats.org/officeDocument/2006/relationships/hyperlink" Target="http://vk.com/wall-155341135_178485?reply=178506" TargetMode="External"/><Relationship Id="rId436" Type="http://schemas.openxmlformats.org/officeDocument/2006/relationships/hyperlink" Target="http://vk.com/id757012434" TargetMode="External"/><Relationship Id="rId437" Type="http://schemas.openxmlformats.org/officeDocument/2006/relationships/hyperlink" Target="http://vk.com/club155341135" TargetMode="External"/><Relationship Id="rId438" Type="http://schemas.openxmlformats.org/officeDocument/2006/relationships/hyperlink" Target="http://www.ok.ru/profile/573961104430/statuses/156364836641582" TargetMode="External"/><Relationship Id="rId439" Type="http://schemas.openxmlformats.org/officeDocument/2006/relationships/hyperlink" Target="http://www.ok.ru/profile/573961104430" TargetMode="External"/><Relationship Id="rId440" Type="http://schemas.openxmlformats.org/officeDocument/2006/relationships/hyperlink" Target="http://vk.com/wall-96748875_1398264?reply=1412454&amp;thread=1398294" TargetMode="External"/><Relationship Id="rId441" Type="http://schemas.openxmlformats.org/officeDocument/2006/relationships/hyperlink" Target="http://vk.com/id793760878" TargetMode="External"/><Relationship Id="rId442" Type="http://schemas.openxmlformats.org/officeDocument/2006/relationships/hyperlink" Target="http://vk.com/club96748875" TargetMode="External"/><Relationship Id="rId443" Type="http://schemas.openxmlformats.org/officeDocument/2006/relationships/hyperlink" Target="http://vk.com/wall-153326247_489378?reply=489435" TargetMode="External"/><Relationship Id="rId444" Type="http://schemas.openxmlformats.org/officeDocument/2006/relationships/hyperlink" Target="http://vk.com/id33653527" TargetMode="External"/><Relationship Id="rId445" Type="http://schemas.openxmlformats.org/officeDocument/2006/relationships/hyperlink" Target="http://vk.com/club153326247" TargetMode="External"/><Relationship Id="rId446" Type="http://schemas.openxmlformats.org/officeDocument/2006/relationships/hyperlink" Target="http://vk.com/wall-48067990_914514?reply=914586" TargetMode="External"/><Relationship Id="rId447" Type="http://schemas.openxmlformats.org/officeDocument/2006/relationships/hyperlink" Target="http://vk.com/id14884915" TargetMode="External"/><Relationship Id="rId448" Type="http://schemas.openxmlformats.org/officeDocument/2006/relationships/hyperlink" Target="http://vk.com/club48067990" TargetMode="External"/><Relationship Id="rId449" Type="http://schemas.openxmlformats.org/officeDocument/2006/relationships/hyperlink" Target="http://vk.com/wall-86024718_2018897" TargetMode="External"/><Relationship Id="rId450" Type="http://schemas.openxmlformats.org/officeDocument/2006/relationships/hyperlink" Target="http://vk.com/club86024718" TargetMode="External"/><Relationship Id="rId451" Type="http://schemas.openxmlformats.org/officeDocument/2006/relationships/hyperlink" Target="http://vk.com/wall-143721349_522695?reply=535166&amp;thread=522727" TargetMode="External"/><Relationship Id="rId452" Type="http://schemas.openxmlformats.org/officeDocument/2006/relationships/hyperlink" Target="http://vk.com/id793760878" TargetMode="External"/><Relationship Id="rId453" Type="http://schemas.openxmlformats.org/officeDocument/2006/relationships/hyperlink" Target="http://vk.com/club143721349" TargetMode="External"/><Relationship Id="rId454" Type="http://schemas.openxmlformats.org/officeDocument/2006/relationships/hyperlink" Target="http://vk.com/wall507985472_3789" TargetMode="External"/><Relationship Id="rId455" Type="http://schemas.openxmlformats.org/officeDocument/2006/relationships/hyperlink" Target="http://vk.com/id507985472" TargetMode="External"/><Relationship Id="rId456" Type="http://schemas.openxmlformats.org/officeDocument/2006/relationships/hyperlink" Target="http://vk.com/wall-149519487_117676?reply=117950&amp;thread=117705" TargetMode="External"/><Relationship Id="rId457" Type="http://schemas.openxmlformats.org/officeDocument/2006/relationships/hyperlink" Target="http://vk.com/id445935362" TargetMode="External"/><Relationship Id="rId458" Type="http://schemas.openxmlformats.org/officeDocument/2006/relationships/hyperlink" Target="http://vk.com/club149519487" TargetMode="External"/><Relationship Id="rId459" Type="http://schemas.openxmlformats.org/officeDocument/2006/relationships/hyperlink" Target="http://vk.com/wall-86830443_1099901?reply=1099919" TargetMode="External"/><Relationship Id="rId460" Type="http://schemas.openxmlformats.org/officeDocument/2006/relationships/hyperlink" Target="http://vk.com/id182563775" TargetMode="External"/><Relationship Id="rId461" Type="http://schemas.openxmlformats.org/officeDocument/2006/relationships/hyperlink" Target="http://vk.com/club86830443" TargetMode="External"/><Relationship Id="rId462" Type="http://schemas.openxmlformats.org/officeDocument/2006/relationships/hyperlink" Target="http://vk.com/wall14412407_2673" TargetMode="External"/><Relationship Id="rId463" Type="http://schemas.openxmlformats.org/officeDocument/2006/relationships/hyperlink" Target="http://vk.com/id14412407" TargetMode="External"/><Relationship Id="rId464" Type="http://schemas.openxmlformats.org/officeDocument/2006/relationships/hyperlink" Target="http://vk.com/wall266281193_5561" TargetMode="External"/><Relationship Id="rId465" Type="http://schemas.openxmlformats.org/officeDocument/2006/relationships/hyperlink" Target="http://vk.com/id266281193" TargetMode="External"/><Relationship Id="rId466" Type="http://schemas.openxmlformats.org/officeDocument/2006/relationships/hyperlink" Target="https://telegram.me/doctorafanasev/1480" TargetMode="External"/><Relationship Id="rId467" Type="http://schemas.openxmlformats.org/officeDocument/2006/relationships/hyperlink" Target="https://telegram.me/doctorafanasev" TargetMode="External"/><Relationship Id="rId468" Type="http://schemas.openxmlformats.org/officeDocument/2006/relationships/hyperlink" Target="http://vk.com/wall-80589388_315375?reply=315463&amp;thread=315382" TargetMode="External"/><Relationship Id="rId469" Type="http://schemas.openxmlformats.org/officeDocument/2006/relationships/hyperlink" Target="http://vk.com/id793760878" TargetMode="External"/><Relationship Id="rId470" Type="http://schemas.openxmlformats.org/officeDocument/2006/relationships/hyperlink" Target="http://vk.com/club80589388" TargetMode="External"/><Relationship Id="rId471" Type="http://schemas.openxmlformats.org/officeDocument/2006/relationships/hyperlink" Target="http://vk.com/wall-155386267_985789?reply=1061491&amp;thread=990783" TargetMode="External"/><Relationship Id="rId472" Type="http://schemas.openxmlformats.org/officeDocument/2006/relationships/hyperlink" Target="http://vk.com/id656608653" TargetMode="External"/><Relationship Id="rId473" Type="http://schemas.openxmlformats.org/officeDocument/2006/relationships/hyperlink" Target="http://vk.com/club155386267" TargetMode="External"/><Relationship Id="rId474" Type="http://schemas.openxmlformats.org/officeDocument/2006/relationships/hyperlink" Target="http://vk.com/wall257339701_7530" TargetMode="External"/><Relationship Id="rId475" Type="http://schemas.openxmlformats.org/officeDocument/2006/relationships/hyperlink" Target="http://vk.com/id257339701" TargetMode="External"/><Relationship Id="rId476" Type="http://schemas.openxmlformats.org/officeDocument/2006/relationships/hyperlink" Target="http://vk.com/wall790617992_11" TargetMode="External"/><Relationship Id="rId477" Type="http://schemas.openxmlformats.org/officeDocument/2006/relationships/hyperlink" Target="http://vk.com/id790617992" TargetMode="External"/><Relationship Id="rId478" Type="http://schemas.openxmlformats.org/officeDocument/2006/relationships/hyperlink" Target="http://vk.com/wall-17734054_18182436?reply=18182609" TargetMode="External"/><Relationship Id="rId479" Type="http://schemas.openxmlformats.org/officeDocument/2006/relationships/hyperlink" Target="http://vk.com/id167041620" TargetMode="External"/><Relationship Id="rId480" Type="http://schemas.openxmlformats.org/officeDocument/2006/relationships/hyperlink" Target="http://vk.com/club17734054" TargetMode="External"/><Relationship Id="rId481" Type="http://schemas.openxmlformats.org/officeDocument/2006/relationships/hyperlink" Target="http://vk.com/wall-81840381_3446714?reply=3451839&amp;thread=3446724" TargetMode="External"/><Relationship Id="rId482" Type="http://schemas.openxmlformats.org/officeDocument/2006/relationships/hyperlink" Target="http://vk.com/id445935362" TargetMode="External"/><Relationship Id="rId483" Type="http://schemas.openxmlformats.org/officeDocument/2006/relationships/hyperlink" Target="http://vk.com/club81840381" TargetMode="External"/><Relationship Id="rId484" Type="http://schemas.openxmlformats.org/officeDocument/2006/relationships/hyperlink" Target="http://vk.com/wall-92006241_404960?reply=424941&amp;thread=405208" TargetMode="External"/><Relationship Id="rId485" Type="http://schemas.openxmlformats.org/officeDocument/2006/relationships/hyperlink" Target="http://vk.com/id793516016" TargetMode="External"/><Relationship Id="rId486" Type="http://schemas.openxmlformats.org/officeDocument/2006/relationships/hyperlink" Target="http://vk.com/club92006241" TargetMode="External"/><Relationship Id="rId487" Type="http://schemas.openxmlformats.org/officeDocument/2006/relationships/hyperlink" Target="http://vk.com/wall-112011819_882893?reply=990407" TargetMode="External"/><Relationship Id="rId488" Type="http://schemas.openxmlformats.org/officeDocument/2006/relationships/hyperlink" Target="http://vk.com/id656608653" TargetMode="External"/><Relationship Id="rId489" Type="http://schemas.openxmlformats.org/officeDocument/2006/relationships/hyperlink" Target="http://vk.com/club112011819" TargetMode="External"/><Relationship Id="rId490" Type="http://schemas.openxmlformats.org/officeDocument/2006/relationships/hyperlink" Target="https://protabletky.ru/ingavirin/" TargetMode="External"/><Relationship Id="rId491" Type="http://schemas.openxmlformats.org/officeDocument/2006/relationships/hyperlink" Target="http://vk.com/wall-219920516_6" TargetMode="External"/><Relationship Id="rId492" Type="http://schemas.openxmlformats.org/officeDocument/2006/relationships/hyperlink" Target="http://vk.com/club219920516" TargetMode="External"/><Relationship Id="rId493" Type="http://schemas.openxmlformats.org/officeDocument/2006/relationships/hyperlink" Target="http://vk.com/wall-136637198_109456?reply=109902&amp;thread=109482" TargetMode="External"/><Relationship Id="rId494" Type="http://schemas.openxmlformats.org/officeDocument/2006/relationships/hyperlink" Target="http://vk.com/id793516016" TargetMode="External"/><Relationship Id="rId495" Type="http://schemas.openxmlformats.org/officeDocument/2006/relationships/hyperlink" Target="http://vk.com/club136637198" TargetMode="External"/><Relationship Id="rId496" Type="http://schemas.openxmlformats.org/officeDocument/2006/relationships/hyperlink" Target="http://vk.com/wall-153326247_489378?reply=489429&amp;thread=489408" TargetMode="External"/><Relationship Id="rId497" Type="http://schemas.openxmlformats.org/officeDocument/2006/relationships/hyperlink" Target="http://vk.com/id28856903" TargetMode="External"/><Relationship Id="rId498" Type="http://schemas.openxmlformats.org/officeDocument/2006/relationships/hyperlink" Target="http://vk.com/club153326247" TargetMode="External"/><Relationship Id="rId499" Type="http://schemas.openxmlformats.org/officeDocument/2006/relationships/hyperlink" Target="http://vk.com/wall-48067990_914514" TargetMode="External"/><Relationship Id="rId500" Type="http://schemas.openxmlformats.org/officeDocument/2006/relationships/hyperlink" Target="http://vk.com/club48067990" TargetMode="External"/><Relationship Id="rId501" Type="http://schemas.openxmlformats.org/officeDocument/2006/relationships/hyperlink" Target="http://vk.com/wall-48067990_757711?reply=914507" TargetMode="External"/><Relationship Id="rId502" Type="http://schemas.openxmlformats.org/officeDocument/2006/relationships/hyperlink" Target="http://vk.com/id656608653" TargetMode="External"/><Relationship Id="rId503" Type="http://schemas.openxmlformats.org/officeDocument/2006/relationships/hyperlink" Target="http://vk.com/club48067990" TargetMode="External"/><Relationship Id="rId504" Type="http://schemas.openxmlformats.org/officeDocument/2006/relationships/hyperlink" Target="http://vk.com/wall-62596804_2704672?reply=2705807&amp;thread=2704679" TargetMode="External"/><Relationship Id="rId505" Type="http://schemas.openxmlformats.org/officeDocument/2006/relationships/hyperlink" Target="http://vk.com/id793516016" TargetMode="External"/><Relationship Id="rId506" Type="http://schemas.openxmlformats.org/officeDocument/2006/relationships/hyperlink" Target="http://vk.com/club62596804" TargetMode="External"/><Relationship Id="rId507" Type="http://schemas.openxmlformats.org/officeDocument/2006/relationships/hyperlink" Target="http://vk.com/wall281865194_1821" TargetMode="External"/><Relationship Id="rId508" Type="http://schemas.openxmlformats.org/officeDocument/2006/relationships/hyperlink" Target="http://vk.com/id281865194" TargetMode="External"/><Relationship Id="rId509" Type="http://schemas.openxmlformats.org/officeDocument/2006/relationships/hyperlink" Target="http://vk.com/wall401016901_1329" TargetMode="External"/><Relationship Id="rId510" Type="http://schemas.openxmlformats.org/officeDocument/2006/relationships/hyperlink" Target="http://vk.com/id401016901" TargetMode="External"/><Relationship Id="rId511" Type="http://schemas.openxmlformats.org/officeDocument/2006/relationships/hyperlink" Target="http://vk.com/wall-192599495_202759?reply=203716&amp;thread=202853" TargetMode="External"/><Relationship Id="rId512" Type="http://schemas.openxmlformats.org/officeDocument/2006/relationships/hyperlink" Target="http://vk.com/id793516016" TargetMode="External"/><Relationship Id="rId513" Type="http://schemas.openxmlformats.org/officeDocument/2006/relationships/hyperlink" Target="http://vk.com/club192599495" TargetMode="External"/><Relationship Id="rId514" Type="http://schemas.openxmlformats.org/officeDocument/2006/relationships/hyperlink" Target="http://www.ok.ru/profile/570209216593/statuses/156017644689489" TargetMode="External"/><Relationship Id="rId515" Type="http://schemas.openxmlformats.org/officeDocument/2006/relationships/hyperlink" Target="http://www.ok.ru/profile/570209216593" TargetMode="External"/><Relationship Id="rId516" Type="http://schemas.openxmlformats.org/officeDocument/2006/relationships/hyperlink" Target="http://vk.com/wall-203023242_19133?reply=19285&amp;thread=19143" TargetMode="External"/><Relationship Id="rId517" Type="http://schemas.openxmlformats.org/officeDocument/2006/relationships/hyperlink" Target="http://vk.com/id795024010" TargetMode="External"/><Relationship Id="rId518" Type="http://schemas.openxmlformats.org/officeDocument/2006/relationships/hyperlink" Target="http://vk.com/club203023242" TargetMode="External"/><Relationship Id="rId519" Type="http://schemas.openxmlformats.org/officeDocument/2006/relationships/hyperlink" Target="http://vk.com/wall-120040122_179359?reply=179786&amp;thread=179366" TargetMode="External"/><Relationship Id="rId520" Type="http://schemas.openxmlformats.org/officeDocument/2006/relationships/hyperlink" Target="http://vk.com/id793516016" TargetMode="External"/><Relationship Id="rId521" Type="http://schemas.openxmlformats.org/officeDocument/2006/relationships/hyperlink" Target="http://vk.com/club120040122" TargetMode="External"/><Relationship Id="rId522" Type="http://schemas.openxmlformats.org/officeDocument/2006/relationships/hyperlink" Target="http://vk.com/wall49328161_3227" TargetMode="External"/><Relationship Id="rId523" Type="http://schemas.openxmlformats.org/officeDocument/2006/relationships/hyperlink" Target="http://vk.com/id49328161" TargetMode="External"/><Relationship Id="rId524" Type="http://schemas.openxmlformats.org/officeDocument/2006/relationships/hyperlink" Target="http://vk.com/wall-111555133_2685956?reply=2689612&amp;thread=2687658" TargetMode="External"/><Relationship Id="rId525" Type="http://schemas.openxmlformats.org/officeDocument/2006/relationships/hyperlink" Target="http://vk.com/id793516016" TargetMode="External"/><Relationship Id="rId526" Type="http://schemas.openxmlformats.org/officeDocument/2006/relationships/hyperlink" Target="http://vk.com/club111555133" TargetMode="External"/><Relationship Id="rId527" Type="http://schemas.openxmlformats.org/officeDocument/2006/relationships/hyperlink" Target="http://vk.com/wall-47120073_3193668?reply=3253891&amp;thread=3253620" TargetMode="External"/><Relationship Id="rId528" Type="http://schemas.openxmlformats.org/officeDocument/2006/relationships/hyperlink" Target="http://vk.com/id656608653" TargetMode="External"/><Relationship Id="rId529" Type="http://schemas.openxmlformats.org/officeDocument/2006/relationships/hyperlink" Target="http://vk.com/club47120073" TargetMode="External"/><Relationship Id="rId530" Type="http://schemas.openxmlformats.org/officeDocument/2006/relationships/hyperlink" Target="http://vk.com/wall304092230_5449" TargetMode="External"/><Relationship Id="rId531" Type="http://schemas.openxmlformats.org/officeDocument/2006/relationships/hyperlink" Target="http://vk.com/id304092230" TargetMode="External"/><Relationship Id="rId532" Type="http://schemas.openxmlformats.org/officeDocument/2006/relationships/hyperlink" Target="http://vk.com/wall604299732_445" TargetMode="External"/><Relationship Id="rId533" Type="http://schemas.openxmlformats.org/officeDocument/2006/relationships/hyperlink" Target="http://vk.com/id604299732" TargetMode="External"/><Relationship Id="rId534" Type="http://schemas.openxmlformats.org/officeDocument/2006/relationships/hyperlink" Target="http://vk.com/wall756395807_30" TargetMode="External"/><Relationship Id="rId535" Type="http://schemas.openxmlformats.org/officeDocument/2006/relationships/hyperlink" Target="http://vk.com/id756395807" TargetMode="External"/><Relationship Id="rId536" Type="http://schemas.openxmlformats.org/officeDocument/2006/relationships/hyperlink" Target="http://vk.com/wall-156317052_564218?reply=565510&amp;thread=564309" TargetMode="External"/><Relationship Id="rId537" Type="http://schemas.openxmlformats.org/officeDocument/2006/relationships/hyperlink" Target="http://vk.com/id793516016" TargetMode="External"/><Relationship Id="rId538" Type="http://schemas.openxmlformats.org/officeDocument/2006/relationships/hyperlink" Target="http://vk.com/club156317052" TargetMode="External"/><Relationship Id="rId539" Type="http://schemas.openxmlformats.org/officeDocument/2006/relationships/hyperlink" Target="http://vk.com/wall-158393246_1356109?reply=1356364" TargetMode="External"/><Relationship Id="rId540" Type="http://schemas.openxmlformats.org/officeDocument/2006/relationships/hyperlink" Target="http://vk.com/id91634514" TargetMode="External"/><Relationship Id="rId541" Type="http://schemas.openxmlformats.org/officeDocument/2006/relationships/hyperlink" Target="http://vk.com/club158393246" TargetMode="External"/><Relationship Id="rId542" Type="http://schemas.openxmlformats.org/officeDocument/2006/relationships/hyperlink" Target="http://vk.com/wall639669938_12" TargetMode="External"/><Relationship Id="rId543" Type="http://schemas.openxmlformats.org/officeDocument/2006/relationships/hyperlink" Target="http://vk.com/id639669938" TargetMode="External"/><Relationship Id="rId544" Type="http://schemas.openxmlformats.org/officeDocument/2006/relationships/hyperlink" Target="https://dzen.ru/news/story/Ceny_nalekarstva_vOmske_vyrosli_na04--147e74bf3c4bb24c360bc680a9f24fa5" TargetMode="External"/><Relationship Id="rId545" Type="http://schemas.openxmlformats.org/officeDocument/2006/relationships/hyperlink" Target="https://telegram.me/vzenite_chat/367944" TargetMode="External"/><Relationship Id="rId546" Type="http://schemas.openxmlformats.org/officeDocument/2006/relationships/hyperlink" Target="https://telegram.me/MikhailAlexeyevich" TargetMode="External"/><Relationship Id="rId547" Type="http://schemas.openxmlformats.org/officeDocument/2006/relationships/hyperlink" Target="https://telegram.me/vzenite_chat" TargetMode="External"/><Relationship Id="rId548" Type="http://schemas.openxmlformats.org/officeDocument/2006/relationships/hyperlink" Target="https://telegram.me/kanzlerdaddy/6336?comment=245892" TargetMode="External"/><Relationship Id="rId549" Type="http://schemas.openxmlformats.org/officeDocument/2006/relationships/hyperlink" Target="https://telegram.me/" TargetMode="External"/><Relationship Id="rId550" Type="http://schemas.openxmlformats.org/officeDocument/2006/relationships/hyperlink" Target="https://telegram.me/kanzlerdaddy" TargetMode="External"/><Relationship Id="rId551" Type="http://schemas.openxmlformats.org/officeDocument/2006/relationships/hyperlink" Target="http://vk.com/wall-36456996_616209?reply=616321&amp;thread=616247" TargetMode="External"/><Relationship Id="rId552" Type="http://schemas.openxmlformats.org/officeDocument/2006/relationships/hyperlink" Target="http://vk.com/id439912924" TargetMode="External"/><Relationship Id="rId553" Type="http://schemas.openxmlformats.org/officeDocument/2006/relationships/hyperlink" Target="http://vk.com/club36456996" TargetMode="External"/><Relationship Id="rId554" Type="http://schemas.openxmlformats.org/officeDocument/2006/relationships/hyperlink" Target="http://vk.com/wall756955843_335" TargetMode="External"/><Relationship Id="rId555" Type="http://schemas.openxmlformats.org/officeDocument/2006/relationships/hyperlink" Target="http://vk.com/id756955843" TargetMode="External"/><Relationship Id="rId556" Type="http://schemas.openxmlformats.org/officeDocument/2006/relationships/hyperlink" Target="http://vk.com/wall-42296923_568358?reply=569351&amp;thread=568368" TargetMode="External"/><Relationship Id="rId557" Type="http://schemas.openxmlformats.org/officeDocument/2006/relationships/hyperlink" Target="http://vk.com/id793516016" TargetMode="External"/><Relationship Id="rId558" Type="http://schemas.openxmlformats.org/officeDocument/2006/relationships/hyperlink" Target="http://vk.com/club42296923" TargetMode="External"/><Relationship Id="rId559" Type="http://schemas.openxmlformats.org/officeDocument/2006/relationships/hyperlink" Target="http://vk.com/wall-89460402_150821" TargetMode="External"/><Relationship Id="rId560" Type="http://schemas.openxmlformats.org/officeDocument/2006/relationships/hyperlink" Target="http://vk.com/club89460402" TargetMode="External"/><Relationship Id="rId561" Type="http://schemas.openxmlformats.org/officeDocument/2006/relationships/hyperlink" Target="http://vk.com/wall304564038_1939" TargetMode="External"/><Relationship Id="rId562" Type="http://schemas.openxmlformats.org/officeDocument/2006/relationships/hyperlink" Target="http://vk.com/id304564038" TargetMode="External"/><Relationship Id="rId563" Type="http://schemas.openxmlformats.org/officeDocument/2006/relationships/hyperlink" Target="http://vk.com/wall-75679763_5158284?reply=5179211&amp;thread=5158331" TargetMode="External"/><Relationship Id="rId564" Type="http://schemas.openxmlformats.org/officeDocument/2006/relationships/hyperlink" Target="http://vk.com/id793516016" TargetMode="External"/><Relationship Id="rId565" Type="http://schemas.openxmlformats.org/officeDocument/2006/relationships/hyperlink" Target="http://vk.com/club75679763" TargetMode="External"/><Relationship Id="rId566" Type="http://schemas.openxmlformats.org/officeDocument/2006/relationships/hyperlink" Target="http://vk.com/wall-142016348_752245?reply=752920&amp;thread=752368" TargetMode="External"/><Relationship Id="rId567" Type="http://schemas.openxmlformats.org/officeDocument/2006/relationships/hyperlink" Target="http://vk.com/id445935362" TargetMode="External"/><Relationship Id="rId568" Type="http://schemas.openxmlformats.org/officeDocument/2006/relationships/hyperlink" Target="http://vk.com/club142016348" TargetMode="External"/><Relationship Id="rId569" Type="http://schemas.openxmlformats.org/officeDocument/2006/relationships/hyperlink" Target="https://telegram.me/vv_volodin/632?comment=4535334" TargetMode="External"/><Relationship Id="rId570" Type="http://schemas.openxmlformats.org/officeDocument/2006/relationships/hyperlink" Target="https://telegram.me/ksenia_vasileyva" TargetMode="External"/><Relationship Id="rId571" Type="http://schemas.openxmlformats.org/officeDocument/2006/relationships/hyperlink" Target="https://telegram.me/vv_volodin" TargetMode="External"/><Relationship Id="rId572" Type="http://schemas.openxmlformats.org/officeDocument/2006/relationships/hyperlink" Target="https://barnaul.bezformata.com/listnews/potrebitelskie-tceni-v-respublike-altay/116243311/" TargetMode="External"/><Relationship Id="rId573" Type="http://schemas.openxmlformats.org/officeDocument/2006/relationships/hyperlink" Target="http://vk.com/wall-64735800_1253775?reply=1253957" TargetMode="External"/><Relationship Id="rId574" Type="http://schemas.openxmlformats.org/officeDocument/2006/relationships/hyperlink" Target="http://vk.com/id682650334" TargetMode="External"/><Relationship Id="rId575" Type="http://schemas.openxmlformats.org/officeDocument/2006/relationships/hyperlink" Target="http://vk.com/club64735800" TargetMode="External"/><Relationship Id="rId576" Type="http://schemas.openxmlformats.org/officeDocument/2006/relationships/hyperlink" Target="http://vk.com/wall-193197436_6093?reply=6178&amp;thread=6097" TargetMode="External"/><Relationship Id="rId577" Type="http://schemas.openxmlformats.org/officeDocument/2006/relationships/hyperlink" Target="http://vk.com/id237932195" TargetMode="External"/><Relationship Id="rId578" Type="http://schemas.openxmlformats.org/officeDocument/2006/relationships/hyperlink" Target="http://vk.com/club193197436" TargetMode="External"/><Relationship Id="rId579" Type="http://schemas.openxmlformats.org/officeDocument/2006/relationships/hyperlink" Target="http://vk.com/wall410780097_1934" TargetMode="External"/><Relationship Id="rId580" Type="http://schemas.openxmlformats.org/officeDocument/2006/relationships/hyperlink" Target="http://vk.com/id410780097" TargetMode="External"/><Relationship Id="rId581" Type="http://schemas.openxmlformats.org/officeDocument/2006/relationships/hyperlink" Target="http://vk.com/wall-110697191_622099?reply=622798&amp;thread=622772" TargetMode="External"/><Relationship Id="rId582" Type="http://schemas.openxmlformats.org/officeDocument/2006/relationships/hyperlink" Target="http://vk.com/id793516016" TargetMode="External"/><Relationship Id="rId583" Type="http://schemas.openxmlformats.org/officeDocument/2006/relationships/hyperlink" Target="http://vk.com/club110697191" TargetMode="External"/><Relationship Id="rId584" Type="http://schemas.openxmlformats.org/officeDocument/2006/relationships/hyperlink" Target="http://vk.com/wall-207192602_17988?reply=18012" TargetMode="External"/><Relationship Id="rId585" Type="http://schemas.openxmlformats.org/officeDocument/2006/relationships/hyperlink" Target="http://vk.com/id2568547" TargetMode="External"/><Relationship Id="rId586" Type="http://schemas.openxmlformats.org/officeDocument/2006/relationships/hyperlink" Target="http://vk.com/club207192602" TargetMode="External"/><Relationship Id="rId587" Type="http://schemas.openxmlformats.org/officeDocument/2006/relationships/hyperlink" Target="https://omsk.bezformata.com/listnews/potrebitelskoy-inflyatcii-na-medikamenti/116240803/" TargetMode="External"/><Relationship Id="rId588" Type="http://schemas.openxmlformats.org/officeDocument/2006/relationships/hyperlink" Target="http://vk.com/wall155612931_1584" TargetMode="External"/><Relationship Id="rId589" Type="http://schemas.openxmlformats.org/officeDocument/2006/relationships/hyperlink" Target="http://vk.com/id155612931" TargetMode="External"/><Relationship Id="rId590" Type="http://schemas.openxmlformats.org/officeDocument/2006/relationships/hyperlink" Target="http://vk.com/wall-142016348_752245?reply=752918&amp;thread=752250" TargetMode="External"/><Relationship Id="rId591" Type="http://schemas.openxmlformats.org/officeDocument/2006/relationships/hyperlink" Target="http://vk.com/id793700960" TargetMode="External"/><Relationship Id="rId592" Type="http://schemas.openxmlformats.org/officeDocument/2006/relationships/hyperlink" Target="http://vk.com/club142016348" TargetMode="External"/><Relationship Id="rId593" Type="http://schemas.openxmlformats.org/officeDocument/2006/relationships/hyperlink" Target="http://vk.com/wall-1945598_6458939?reply=6460890&amp;thread=6459069" TargetMode="External"/><Relationship Id="rId594" Type="http://schemas.openxmlformats.org/officeDocument/2006/relationships/hyperlink" Target="http://vk.com/id173758241" TargetMode="External"/><Relationship Id="rId595" Type="http://schemas.openxmlformats.org/officeDocument/2006/relationships/hyperlink" Target="http://vk.com/club1945598" TargetMode="External"/><Relationship Id="rId596" Type="http://schemas.openxmlformats.org/officeDocument/2006/relationships/hyperlink" Target="http://vk.com/wall-150079080_238166?reply=241914" TargetMode="External"/><Relationship Id="rId597" Type="http://schemas.openxmlformats.org/officeDocument/2006/relationships/hyperlink" Target="http://vk.com/id470335665" TargetMode="External"/><Relationship Id="rId598" Type="http://schemas.openxmlformats.org/officeDocument/2006/relationships/hyperlink" Target="http://vk.com/club150079080" TargetMode="External"/><Relationship Id="rId599" Type="http://schemas.openxmlformats.org/officeDocument/2006/relationships/hyperlink" Target="http://vk.com/wall-187886497_61077?reply=64775" TargetMode="External"/><Relationship Id="rId600" Type="http://schemas.openxmlformats.org/officeDocument/2006/relationships/hyperlink" Target="http://vk.com/id470335665" TargetMode="External"/><Relationship Id="rId601" Type="http://schemas.openxmlformats.org/officeDocument/2006/relationships/hyperlink" Target="http://vk.com/club187886497" TargetMode="External"/><Relationship Id="rId602" Type="http://schemas.openxmlformats.org/officeDocument/2006/relationships/hyperlink" Target="http://vk.com/wall-36274616_8349893?reply=8352342&amp;thread=8349914" TargetMode="External"/><Relationship Id="rId603" Type="http://schemas.openxmlformats.org/officeDocument/2006/relationships/hyperlink" Target="http://vk.com/id793700960" TargetMode="External"/><Relationship Id="rId604" Type="http://schemas.openxmlformats.org/officeDocument/2006/relationships/hyperlink" Target="http://vk.com/club36274616" TargetMode="External"/><Relationship Id="rId605" Type="http://schemas.openxmlformats.org/officeDocument/2006/relationships/hyperlink" Target="http://vk.com/wall-187886497_62311?reply=64774" TargetMode="External"/><Relationship Id="rId606" Type="http://schemas.openxmlformats.org/officeDocument/2006/relationships/hyperlink" Target="http://vk.com/id470335665" TargetMode="External"/><Relationship Id="rId607" Type="http://schemas.openxmlformats.org/officeDocument/2006/relationships/hyperlink" Target="http://vk.com/club187886497" TargetMode="External"/><Relationship Id="rId608" Type="http://schemas.openxmlformats.org/officeDocument/2006/relationships/hyperlink" Target="http://vk.com/wall450739719_440" TargetMode="External"/><Relationship Id="rId609" Type="http://schemas.openxmlformats.org/officeDocument/2006/relationships/hyperlink" Target="http://vk.com/id450739719" TargetMode="External"/><Relationship Id="rId610" Type="http://schemas.openxmlformats.org/officeDocument/2006/relationships/hyperlink" Target="http://vk.com/wall-136860886_525463?reply=525964&amp;thread=525493" TargetMode="External"/><Relationship Id="rId611" Type="http://schemas.openxmlformats.org/officeDocument/2006/relationships/hyperlink" Target="http://vk.com/id793700960" TargetMode="External"/><Relationship Id="rId612" Type="http://schemas.openxmlformats.org/officeDocument/2006/relationships/hyperlink" Target="http://vk.com/club136860886" TargetMode="External"/><Relationship Id="rId613" Type="http://schemas.openxmlformats.org/officeDocument/2006/relationships/hyperlink" Target="http://vk.com/wall-161957723_25668?reply=48201&amp;thread=25788" TargetMode="External"/><Relationship Id="rId614" Type="http://schemas.openxmlformats.org/officeDocument/2006/relationships/hyperlink" Target="http://vk.com/id656608653" TargetMode="External"/><Relationship Id="rId615" Type="http://schemas.openxmlformats.org/officeDocument/2006/relationships/hyperlink" Target="http://vk.com/club161957723" TargetMode="External"/><Relationship Id="rId616" Type="http://schemas.openxmlformats.org/officeDocument/2006/relationships/hyperlink" Target="http://vk.com/wall-150791024_1119734?reply=1119803" TargetMode="External"/><Relationship Id="rId617" Type="http://schemas.openxmlformats.org/officeDocument/2006/relationships/hyperlink" Target="http://vk.com/id521177943" TargetMode="External"/><Relationship Id="rId618" Type="http://schemas.openxmlformats.org/officeDocument/2006/relationships/hyperlink" Target="http://vk.com/club150791024" TargetMode="External"/><Relationship Id="rId619" Type="http://schemas.openxmlformats.org/officeDocument/2006/relationships/hyperlink" Target="http://vk.com/wall285587958_1451" TargetMode="External"/><Relationship Id="rId620" Type="http://schemas.openxmlformats.org/officeDocument/2006/relationships/hyperlink" Target="http://vk.com/id285587958" TargetMode="External"/><Relationship Id="rId621" Type="http://schemas.openxmlformats.org/officeDocument/2006/relationships/hyperlink" Target="http://vk.com/wall-158505477_1120049?reply=1120419&amp;thread=1120061" TargetMode="External"/><Relationship Id="rId622" Type="http://schemas.openxmlformats.org/officeDocument/2006/relationships/hyperlink" Target="http://vk.com/id793700960" TargetMode="External"/><Relationship Id="rId623" Type="http://schemas.openxmlformats.org/officeDocument/2006/relationships/hyperlink" Target="http://vk.com/club158505477" TargetMode="External"/><Relationship Id="rId624" Type="http://schemas.openxmlformats.org/officeDocument/2006/relationships/hyperlink" Target="https://pskov.bezformata.com/listnews/potrebitelskih-tcen-na-osnovnie/116243796/" TargetMode="External"/><Relationship Id="rId625" Type="http://schemas.openxmlformats.org/officeDocument/2006/relationships/hyperlink" Target="http://vk.com/wall-212866196_185543?reply=186890&amp;thread=186118" TargetMode="External"/><Relationship Id="rId626" Type="http://schemas.openxmlformats.org/officeDocument/2006/relationships/hyperlink" Target="http://vk.com/id173758241" TargetMode="External"/><Relationship Id="rId627" Type="http://schemas.openxmlformats.org/officeDocument/2006/relationships/hyperlink" Target="http://vk.com/club212866196" TargetMode="External"/><Relationship Id="rId628" Type="http://schemas.openxmlformats.org/officeDocument/2006/relationships/hyperlink" Target="http://vk.com/wall-193197436_6093?reply=6177&amp;thread=6097" TargetMode="External"/><Relationship Id="rId629" Type="http://schemas.openxmlformats.org/officeDocument/2006/relationships/hyperlink" Target="http://vk.com/id793700960" TargetMode="External"/><Relationship Id="rId630" Type="http://schemas.openxmlformats.org/officeDocument/2006/relationships/hyperlink" Target="http://vk.com/club193197436" TargetMode="External"/><Relationship Id="rId631" Type="http://schemas.openxmlformats.org/officeDocument/2006/relationships/hyperlink" Target="http://nsday.ru/news/140423122454" TargetMode="External"/><Relationship Id="rId632" Type="http://schemas.openxmlformats.org/officeDocument/2006/relationships/hyperlink" Target="http://vk.com/wall522631866_12" TargetMode="External"/><Relationship Id="rId633" Type="http://schemas.openxmlformats.org/officeDocument/2006/relationships/hyperlink" Target="http://vk.com/id522631866" TargetMode="External"/><Relationship Id="rId634" Type="http://schemas.openxmlformats.org/officeDocument/2006/relationships/hyperlink" Target="https://sorochinskday.ru/news/140423130354" TargetMode="External"/><Relationship Id="rId635" Type="http://schemas.openxmlformats.org/officeDocument/2006/relationships/hyperlink" Target="http://vk.com/wall-98506288_2854359?reply=2907666&amp;thread=2854389" TargetMode="External"/><Relationship Id="rId636" Type="http://schemas.openxmlformats.org/officeDocument/2006/relationships/hyperlink" Target="http://vk.com/id656608653" TargetMode="External"/><Relationship Id="rId637" Type="http://schemas.openxmlformats.org/officeDocument/2006/relationships/hyperlink" Target="http://vk.com/club98506288" TargetMode="External"/><Relationship Id="rId638" Type="http://schemas.openxmlformats.org/officeDocument/2006/relationships/hyperlink" Target="http://vk.com/wall-197412679_201645?reply=202200&amp;thread=201648" TargetMode="External"/><Relationship Id="rId639" Type="http://schemas.openxmlformats.org/officeDocument/2006/relationships/hyperlink" Target="http://vk.com/id173758241" TargetMode="External"/><Relationship Id="rId640" Type="http://schemas.openxmlformats.org/officeDocument/2006/relationships/hyperlink" Target="http://vk.com/club197412679" TargetMode="External"/><Relationship Id="rId641" Type="http://schemas.openxmlformats.org/officeDocument/2006/relationships/hyperlink" Target="http://vk.com/wall-139923997_4238168?reply=4240020&amp;thread=4238891" TargetMode="External"/><Relationship Id="rId642" Type="http://schemas.openxmlformats.org/officeDocument/2006/relationships/hyperlink" Target="http://vk.com/id793700960" TargetMode="External"/><Relationship Id="rId643" Type="http://schemas.openxmlformats.org/officeDocument/2006/relationships/hyperlink" Target="http://vk.com/club139923997" TargetMode="External"/><Relationship Id="rId644" Type="http://schemas.openxmlformats.org/officeDocument/2006/relationships/hyperlink" Target="https://progoroduhta.ru/news/42450" TargetMode="External"/><Relationship Id="rId645" Type="http://schemas.openxmlformats.org/officeDocument/2006/relationships/hyperlink" Target="https://12-kanal.ru/news/167053/" TargetMode="External"/><Relationship Id="rId646" Type="http://schemas.openxmlformats.org/officeDocument/2006/relationships/hyperlink" Target="http://vk.com/wall384996496_66" TargetMode="External"/><Relationship Id="rId647" Type="http://schemas.openxmlformats.org/officeDocument/2006/relationships/hyperlink" Target="http://vk.com/id384996496" TargetMode="External"/><Relationship Id="rId648" Type="http://schemas.openxmlformats.org/officeDocument/2006/relationships/hyperlink" Target="http://vk.com/wall-150079080_234058?reply=241902&amp;thread=238648" TargetMode="External"/><Relationship Id="rId649" Type="http://schemas.openxmlformats.org/officeDocument/2006/relationships/hyperlink" Target="http://vk.com/id173758241" TargetMode="External"/><Relationship Id="rId650" Type="http://schemas.openxmlformats.org/officeDocument/2006/relationships/hyperlink" Target="http://vk.com/club150079080" TargetMode="External"/><Relationship Id="rId651" Type="http://schemas.openxmlformats.org/officeDocument/2006/relationships/hyperlink" Target="http://vk.com/wall-196716269_1248233?reply=1465426" TargetMode="External"/><Relationship Id="rId652" Type="http://schemas.openxmlformats.org/officeDocument/2006/relationships/hyperlink" Target="http://vk.com/id656608653" TargetMode="External"/><Relationship Id="rId653" Type="http://schemas.openxmlformats.org/officeDocument/2006/relationships/hyperlink" Target="http://vk.com/club196716269" TargetMode="External"/><Relationship Id="rId654" Type="http://schemas.openxmlformats.org/officeDocument/2006/relationships/hyperlink" Target="http://vk.com/wall-93123137_11095?reply=11108&amp;thread=11105" TargetMode="External"/><Relationship Id="rId655" Type="http://schemas.openxmlformats.org/officeDocument/2006/relationships/hyperlink" Target="http://vk.com/id40820627" TargetMode="External"/><Relationship Id="rId656" Type="http://schemas.openxmlformats.org/officeDocument/2006/relationships/hyperlink" Target="http://vk.com/club93123137" TargetMode="External"/><Relationship Id="rId657" Type="http://schemas.openxmlformats.org/officeDocument/2006/relationships/hyperlink" Target="https://telegram.me/kanzlerdaddy/6336?comment=245881" TargetMode="External"/><Relationship Id="rId658" Type="http://schemas.openxmlformats.org/officeDocument/2006/relationships/hyperlink" Target="https://telegram.me/" TargetMode="External"/><Relationship Id="rId659" Type="http://schemas.openxmlformats.org/officeDocument/2006/relationships/hyperlink" Target="https://telegram.me/kanzlerdaddy" TargetMode="External"/><Relationship Id="rId660" Type="http://schemas.openxmlformats.org/officeDocument/2006/relationships/hyperlink" Target="http://vk.com/wall784424178_1390" TargetMode="External"/><Relationship Id="rId661" Type="http://schemas.openxmlformats.org/officeDocument/2006/relationships/hyperlink" Target="http://vk.com/id784424178" TargetMode="External"/><Relationship Id="rId662" Type="http://schemas.openxmlformats.org/officeDocument/2006/relationships/hyperlink" Target="http://vk.com/wall-36456996_616209?reply=616304&amp;thread=616247" TargetMode="External"/><Relationship Id="rId663" Type="http://schemas.openxmlformats.org/officeDocument/2006/relationships/hyperlink" Target="http://vk.com/id23854704" TargetMode="External"/><Relationship Id="rId664" Type="http://schemas.openxmlformats.org/officeDocument/2006/relationships/hyperlink" Target="http://vk.com/club36456996" TargetMode="External"/><Relationship Id="rId665" Type="http://schemas.openxmlformats.org/officeDocument/2006/relationships/hyperlink" Target="http://vk.com/wall111061547_8203" TargetMode="External"/><Relationship Id="rId666" Type="http://schemas.openxmlformats.org/officeDocument/2006/relationships/hyperlink" Target="http://vk.com/id111061547" TargetMode="External"/><Relationship Id="rId667" Type="http://schemas.openxmlformats.org/officeDocument/2006/relationships/hyperlink" Target="http://vk.com/wall-87598739_813314?reply=817750&amp;thread=813355" TargetMode="External"/><Relationship Id="rId668" Type="http://schemas.openxmlformats.org/officeDocument/2006/relationships/hyperlink" Target="http://vk.com/id793700960" TargetMode="External"/><Relationship Id="rId669" Type="http://schemas.openxmlformats.org/officeDocument/2006/relationships/hyperlink" Target="http://vk.com/club87598739" TargetMode="External"/><Relationship Id="rId670" Type="http://schemas.openxmlformats.org/officeDocument/2006/relationships/hyperlink" Target="https://telegram.me/piter_rogay/223831" TargetMode="External"/><Relationship Id="rId671" Type="http://schemas.openxmlformats.org/officeDocument/2006/relationships/hyperlink" Target="https://telegram.me/bubunya_spb" TargetMode="External"/><Relationship Id="rId672" Type="http://schemas.openxmlformats.org/officeDocument/2006/relationships/hyperlink" Target="https://telegram.me/piter_rogay" TargetMode="External"/><Relationship Id="rId673" Type="http://schemas.openxmlformats.org/officeDocument/2006/relationships/hyperlink" Target="http://www.ok.ru/profile/570266989430/statuses/156533708637046" TargetMode="External"/><Relationship Id="rId674" Type="http://schemas.openxmlformats.org/officeDocument/2006/relationships/hyperlink" Target="http://www.ok.ru/profile/570266989430" TargetMode="External"/><Relationship Id="rId675" Type="http://schemas.openxmlformats.org/officeDocument/2006/relationships/hyperlink" Target="http://vk.com/wall-218081747_676" TargetMode="External"/><Relationship Id="rId676" Type="http://schemas.openxmlformats.org/officeDocument/2006/relationships/hyperlink" Target="http://vk.com/club218081747" TargetMode="External"/><Relationship Id="rId677" Type="http://schemas.openxmlformats.org/officeDocument/2006/relationships/hyperlink" Target="http://vk.com/wall-150337440_368111?reply=375097" TargetMode="External"/><Relationship Id="rId678" Type="http://schemas.openxmlformats.org/officeDocument/2006/relationships/hyperlink" Target="http://vk.com/id656608653" TargetMode="External"/><Relationship Id="rId679" Type="http://schemas.openxmlformats.org/officeDocument/2006/relationships/hyperlink" Target="http://vk.com/club150337440" TargetMode="External"/><Relationship Id="rId680" Type="http://schemas.openxmlformats.org/officeDocument/2006/relationships/hyperlink" Target="http://vk.com/wall-155403177_56807?reply=57242&amp;thread=56809" TargetMode="External"/><Relationship Id="rId681" Type="http://schemas.openxmlformats.org/officeDocument/2006/relationships/hyperlink" Target="http://vk.com/id793700960" TargetMode="External"/><Relationship Id="rId682" Type="http://schemas.openxmlformats.org/officeDocument/2006/relationships/hyperlink" Target="http://vk.com/club155403177" TargetMode="External"/><Relationship Id="rId683" Type="http://schemas.openxmlformats.org/officeDocument/2006/relationships/hyperlink" Target="https://www.baby.ru/blogs/post/2611546837-484832450/" TargetMode="External"/><Relationship Id="rId684" Type="http://schemas.openxmlformats.org/officeDocument/2006/relationships/hyperlink" Target="https://www.baby.ru/u/usr1598110/" TargetMode="External"/><Relationship Id="rId685" Type="http://schemas.openxmlformats.org/officeDocument/2006/relationships/hyperlink" Target="http://vk.com/wall-36456996_616209?reply=616301&amp;thread=616247" TargetMode="External"/><Relationship Id="rId686" Type="http://schemas.openxmlformats.org/officeDocument/2006/relationships/hyperlink" Target="http://vk.com/id439912924" TargetMode="External"/><Relationship Id="rId687" Type="http://schemas.openxmlformats.org/officeDocument/2006/relationships/hyperlink" Target="http://vk.com/club36456996" TargetMode="External"/><Relationship Id="rId688" Type="http://schemas.openxmlformats.org/officeDocument/2006/relationships/hyperlink" Target="https://telegram.me/kanzlerdaddy/6336?comment=245875" TargetMode="External"/><Relationship Id="rId689" Type="http://schemas.openxmlformats.org/officeDocument/2006/relationships/hyperlink" Target="https://telegram.me/" TargetMode="External"/><Relationship Id="rId690" Type="http://schemas.openxmlformats.org/officeDocument/2006/relationships/hyperlink" Target="https://telegram.me/kanzlerdaddy" TargetMode="External"/><Relationship Id="rId691" Type="http://schemas.openxmlformats.org/officeDocument/2006/relationships/hyperlink" Target="http://vk.com/wall224498134_8884" TargetMode="External"/><Relationship Id="rId692" Type="http://schemas.openxmlformats.org/officeDocument/2006/relationships/hyperlink" Target="http://vk.com/id224498134" TargetMode="External"/><Relationship Id="rId693" Type="http://schemas.openxmlformats.org/officeDocument/2006/relationships/hyperlink" Target="http://vk.com/wall-164460003_1863466?reply=1866447&amp;thread=1864239" TargetMode="External"/><Relationship Id="rId694" Type="http://schemas.openxmlformats.org/officeDocument/2006/relationships/hyperlink" Target="http://vk.com/id656608653" TargetMode="External"/><Relationship Id="rId695" Type="http://schemas.openxmlformats.org/officeDocument/2006/relationships/hyperlink" Target="http://vk.com/club164460003" TargetMode="External"/><Relationship Id="rId696" Type="http://schemas.openxmlformats.org/officeDocument/2006/relationships/hyperlink" Target="https://www.baby.ru/blogs/post/2611463403-520375476/" TargetMode="External"/><Relationship Id="rId697" Type="http://schemas.openxmlformats.org/officeDocument/2006/relationships/hyperlink" Target="https://www.baby.ru/u/usr2510420/" TargetMode="External"/><Relationship Id="rId698" Type="http://schemas.openxmlformats.org/officeDocument/2006/relationships/hyperlink" Target="https://www.baby.ru/u/usr1132236/" TargetMode="External"/><Relationship Id="rId699" Type="http://schemas.openxmlformats.org/officeDocument/2006/relationships/hyperlink" Target="http://vk.com/wall-136860886_525859?reply=525962" TargetMode="External"/><Relationship Id="rId700" Type="http://schemas.openxmlformats.org/officeDocument/2006/relationships/hyperlink" Target="http://vk.com/id5843691" TargetMode="External"/><Relationship Id="rId701" Type="http://schemas.openxmlformats.org/officeDocument/2006/relationships/hyperlink" Target="http://vk.com/club136860886" TargetMode="External"/><Relationship Id="rId702" Type="http://schemas.openxmlformats.org/officeDocument/2006/relationships/hyperlink" Target="http://vk.com/wall318168610_57494" TargetMode="External"/><Relationship Id="rId703" Type="http://schemas.openxmlformats.org/officeDocument/2006/relationships/hyperlink" Target="http://vk.com/id318168610" TargetMode="External"/><Relationship Id="rId704" Type="http://schemas.openxmlformats.org/officeDocument/2006/relationships/hyperlink" Target="http://vk.com/wall301245570_2225" TargetMode="External"/><Relationship Id="rId705" Type="http://schemas.openxmlformats.org/officeDocument/2006/relationships/hyperlink" Target="http://vk.com/id301245570" TargetMode="External"/><Relationship Id="rId706" Type="http://schemas.openxmlformats.org/officeDocument/2006/relationships/hyperlink" Target="http://vk.com/wall456851554_86349" TargetMode="External"/><Relationship Id="rId707" Type="http://schemas.openxmlformats.org/officeDocument/2006/relationships/hyperlink" Target="http://vk.com/id456851554" TargetMode="External"/><Relationship Id="rId708" Type="http://schemas.openxmlformats.org/officeDocument/2006/relationships/hyperlink" Target="http://vk.com/wall573382094_1156" TargetMode="External"/><Relationship Id="rId709" Type="http://schemas.openxmlformats.org/officeDocument/2006/relationships/hyperlink" Target="http://vk.com/id573382094" TargetMode="External"/><Relationship Id="rId710" Type="http://schemas.openxmlformats.org/officeDocument/2006/relationships/hyperlink" Target="http://www.ok.ru/profile/574032874654/statuses/155309092810142" TargetMode="External"/><Relationship Id="rId711" Type="http://schemas.openxmlformats.org/officeDocument/2006/relationships/hyperlink" Target="http://www.ok.ru/profile/574032874654" TargetMode="External"/><Relationship Id="rId712" Type="http://schemas.openxmlformats.org/officeDocument/2006/relationships/hyperlink" Target="http://www.ok.ru/group/61119749750937/topic/155618952061081" TargetMode="External"/><Relationship Id="rId713" Type="http://schemas.openxmlformats.org/officeDocument/2006/relationships/hyperlink" Target="http://www.ok.ru/group/61119749750937" TargetMode="External"/><Relationship Id="rId714" Type="http://schemas.openxmlformats.org/officeDocument/2006/relationships/hyperlink" Target="http://vk.com/wall230177339_2932" TargetMode="External"/><Relationship Id="rId715" Type="http://schemas.openxmlformats.org/officeDocument/2006/relationships/hyperlink" Target="http://vk.com/id230177339" TargetMode="External"/><Relationship Id="rId716" Type="http://schemas.openxmlformats.org/officeDocument/2006/relationships/hyperlink" Target="http://medicmap.ru/news/1704-v-omske-podskochili-ceny-na-lekarstva-iz-spiska-zhiznenno-neobhodimyh.html" TargetMode="External"/><Relationship Id="rId717" Type="http://schemas.openxmlformats.org/officeDocument/2006/relationships/hyperlink" Target="http://vk.com/wall-214445085_1314" TargetMode="External"/><Relationship Id="rId718" Type="http://schemas.openxmlformats.org/officeDocument/2006/relationships/hyperlink" Target="http://vk.com/club214445085" TargetMode="External"/><Relationship Id="rId719" Type="http://schemas.openxmlformats.org/officeDocument/2006/relationships/hyperlink" Target="https://omsk.top24.news/obshestvo/omskstat-rasskazal-kakie-medikamenty-podorozhali-v-regione-s-nachala-goda-bolshe-vsego/" TargetMode="External"/><Relationship Id="rId720" Type="http://schemas.openxmlformats.org/officeDocument/2006/relationships/hyperlink" Target="http://vk.com/wall141877634_1442" TargetMode="External"/><Relationship Id="rId721" Type="http://schemas.openxmlformats.org/officeDocument/2006/relationships/hyperlink" Target="http://vk.com/id141877634" TargetMode="External"/><Relationship Id="rId722" Type="http://schemas.openxmlformats.org/officeDocument/2006/relationships/hyperlink" Target="http://vk.com/wall-212506983_454" TargetMode="External"/><Relationship Id="rId723" Type="http://schemas.openxmlformats.org/officeDocument/2006/relationships/hyperlink" Target="http://vk.com/club212506983" TargetMode="External"/><Relationship Id="rId724" Type="http://schemas.openxmlformats.org/officeDocument/2006/relationships/hyperlink" Target="http://vk.com/wall558237491_392" TargetMode="External"/><Relationship Id="rId725" Type="http://schemas.openxmlformats.org/officeDocument/2006/relationships/hyperlink" Target="http://vk.com/id558237491" TargetMode="External"/><Relationship Id="rId726" Type="http://schemas.openxmlformats.org/officeDocument/2006/relationships/hyperlink" Target="http://vk.com/wall-214450246_108353?reply=108382" TargetMode="External"/><Relationship Id="rId727" Type="http://schemas.openxmlformats.org/officeDocument/2006/relationships/hyperlink" Target="http://vk.com/id353556531" TargetMode="External"/><Relationship Id="rId728" Type="http://schemas.openxmlformats.org/officeDocument/2006/relationships/hyperlink" Target="http://vk.com/club214450246" TargetMode="External"/><Relationship Id="rId729" Type="http://schemas.openxmlformats.org/officeDocument/2006/relationships/hyperlink" Target="http://vk.com/wall-119249179_1024603?reply=1024899&amp;thread=1024813" TargetMode="External"/><Relationship Id="rId730" Type="http://schemas.openxmlformats.org/officeDocument/2006/relationships/hyperlink" Target="http://vk.com/id161336569" TargetMode="External"/><Relationship Id="rId731" Type="http://schemas.openxmlformats.org/officeDocument/2006/relationships/hyperlink" Target="http://vk.com/club119249179" TargetMode="External"/><Relationship Id="rId732" Type="http://schemas.openxmlformats.org/officeDocument/2006/relationships/hyperlink" Target="http://vk.com/wall-74822124_898853?reply=898933&amp;thread=898860" TargetMode="External"/><Relationship Id="rId733" Type="http://schemas.openxmlformats.org/officeDocument/2006/relationships/hyperlink" Target="http://vk.com/id673760" TargetMode="External"/><Relationship Id="rId734" Type="http://schemas.openxmlformats.org/officeDocument/2006/relationships/hyperlink" Target="http://vk.com/club74822124" TargetMode="External"/><Relationship Id="rId735" Type="http://schemas.openxmlformats.org/officeDocument/2006/relationships/hyperlink" Target="http://vk.com/wall-150791024_1119734?reply=1119782" TargetMode="External"/><Relationship Id="rId736" Type="http://schemas.openxmlformats.org/officeDocument/2006/relationships/hyperlink" Target="http://vk.com/id16453890" TargetMode="External"/><Relationship Id="rId737" Type="http://schemas.openxmlformats.org/officeDocument/2006/relationships/hyperlink" Target="http://vk.com/club150791024" TargetMode="External"/><Relationship Id="rId738" Type="http://schemas.openxmlformats.org/officeDocument/2006/relationships/hyperlink" Target="http://vk.com/wall500717328_26893" TargetMode="External"/><Relationship Id="rId739" Type="http://schemas.openxmlformats.org/officeDocument/2006/relationships/hyperlink" Target="http://vk.com/id500717328" TargetMode="External"/><Relationship Id="rId740" Type="http://schemas.openxmlformats.org/officeDocument/2006/relationships/hyperlink" Target="https://news.myseldon.com/ru/news/index/282050860" TargetMode="External"/><Relationship Id="rId741" Type="http://schemas.openxmlformats.org/officeDocument/2006/relationships/hyperlink" Target="http://vk.com/wall509488394_1568" TargetMode="External"/><Relationship Id="rId742" Type="http://schemas.openxmlformats.org/officeDocument/2006/relationships/hyperlink" Target="http://vk.com/id509488394" TargetMode="External"/><Relationship Id="rId743" Type="http://schemas.openxmlformats.org/officeDocument/2006/relationships/hyperlink" Target="http://vk.com/wall545734236_572" TargetMode="External"/><Relationship Id="rId744" Type="http://schemas.openxmlformats.org/officeDocument/2006/relationships/hyperlink" Target="http://vk.com/id545734236" TargetMode="External"/><Relationship Id="rId745" Type="http://schemas.openxmlformats.org/officeDocument/2006/relationships/hyperlink" Target="http://vk.com/wall-153326247_489378?reply=489409" TargetMode="External"/><Relationship Id="rId746" Type="http://schemas.openxmlformats.org/officeDocument/2006/relationships/hyperlink" Target="http://vk.com/id650938385" TargetMode="External"/><Relationship Id="rId747" Type="http://schemas.openxmlformats.org/officeDocument/2006/relationships/hyperlink" Target="http://vk.com/club153326247" TargetMode="External"/><Relationship Id="rId748" Type="http://schemas.openxmlformats.org/officeDocument/2006/relationships/hyperlink" Target="http://www.ok.ru/profile/583721478458/statuses/155480129151802" TargetMode="External"/><Relationship Id="rId749" Type="http://schemas.openxmlformats.org/officeDocument/2006/relationships/hyperlink" Target="http://www.ok.ru/profile/583721478458" TargetMode="External"/><Relationship Id="rId750" Type="http://schemas.openxmlformats.org/officeDocument/2006/relationships/hyperlink" Target="http://vk.com/wall-153326247_489378?reply=489408" TargetMode="External"/><Relationship Id="rId751" Type="http://schemas.openxmlformats.org/officeDocument/2006/relationships/hyperlink" Target="http://vk.com/id1488984" TargetMode="External"/><Relationship Id="rId752" Type="http://schemas.openxmlformats.org/officeDocument/2006/relationships/hyperlink" Target="http://vk.com/club153326247" TargetMode="External"/><Relationship Id="rId753" Type="http://schemas.openxmlformats.org/officeDocument/2006/relationships/hyperlink" Target="http://vk.com/wall440879026_2633" TargetMode="External"/><Relationship Id="rId754" Type="http://schemas.openxmlformats.org/officeDocument/2006/relationships/hyperlink" Target="http://vk.com/id440879026" TargetMode="External"/><Relationship Id="rId755" Type="http://schemas.openxmlformats.org/officeDocument/2006/relationships/hyperlink" Target="http://vk.com/wall-183323551_2302" TargetMode="External"/><Relationship Id="rId756" Type="http://schemas.openxmlformats.org/officeDocument/2006/relationships/hyperlink" Target="http://vk.com/club183323551" TargetMode="External"/><Relationship Id="rId757" Type="http://schemas.openxmlformats.org/officeDocument/2006/relationships/hyperlink" Target="http://vk.com/wall211185389_1454" TargetMode="External"/><Relationship Id="rId758" Type="http://schemas.openxmlformats.org/officeDocument/2006/relationships/hyperlink" Target="http://vk.com/id211185389" TargetMode="External"/><Relationship Id="rId759" Type="http://schemas.openxmlformats.org/officeDocument/2006/relationships/hyperlink" Target="http://vk.com/wall652794211_6220" TargetMode="External"/><Relationship Id="rId760" Type="http://schemas.openxmlformats.org/officeDocument/2006/relationships/hyperlink" Target="http://vk.com/id652794211" TargetMode="External"/><Relationship Id="rId761" Type="http://schemas.openxmlformats.org/officeDocument/2006/relationships/hyperlink" Target="http://vk.com/wall175709540_2043" TargetMode="External"/><Relationship Id="rId762" Type="http://schemas.openxmlformats.org/officeDocument/2006/relationships/hyperlink" Target="http://vk.com/id175709540" TargetMode="External"/><Relationship Id="rId763" Type="http://schemas.openxmlformats.org/officeDocument/2006/relationships/hyperlink" Target="http://vk.com/wall267054429_1908" TargetMode="External"/><Relationship Id="rId764" Type="http://schemas.openxmlformats.org/officeDocument/2006/relationships/hyperlink" Target="http://vk.com/id267054429" TargetMode="External"/><Relationship Id="rId765" Type="http://schemas.openxmlformats.org/officeDocument/2006/relationships/hyperlink" Target="http://vk.com/wall572527805_5866" TargetMode="External"/><Relationship Id="rId766" Type="http://schemas.openxmlformats.org/officeDocument/2006/relationships/hyperlink" Target="http://vk.com/id572527805" TargetMode="External"/><Relationship Id="rId767" Type="http://schemas.openxmlformats.org/officeDocument/2006/relationships/hyperlink" Target="http://vk.com/wall175676633_8806" TargetMode="External"/><Relationship Id="rId768" Type="http://schemas.openxmlformats.org/officeDocument/2006/relationships/hyperlink" Target="http://vk.com/id175676633" TargetMode="External"/><Relationship Id="rId769" Type="http://schemas.openxmlformats.org/officeDocument/2006/relationships/hyperlink" Target="http://www.ok.ru/profile/568011806606/statuses/156074693249934" TargetMode="External"/><Relationship Id="rId770" Type="http://schemas.openxmlformats.org/officeDocument/2006/relationships/hyperlink" Target="http://www.ok.ru/profile/568011806606" TargetMode="External"/><Relationship Id="rId771" Type="http://schemas.openxmlformats.org/officeDocument/2006/relationships/hyperlink" Target="http://vk.com/wall-178402016_167400?reply=167447&amp;thread=167402" TargetMode="External"/><Relationship Id="rId772" Type="http://schemas.openxmlformats.org/officeDocument/2006/relationships/hyperlink" Target="http://vk.com/id793503511" TargetMode="External"/><Relationship Id="rId773" Type="http://schemas.openxmlformats.org/officeDocument/2006/relationships/hyperlink" Target="http://vk.com/club178402016" TargetMode="External"/><Relationship Id="rId774" Type="http://schemas.openxmlformats.org/officeDocument/2006/relationships/hyperlink" Target="https://omskgazzeta.ru/all-news/v-omskih-aptekah-snizilis-ceny-na-zhiznenno-vazhnye-preparaty/" TargetMode="External"/><Relationship Id="rId775" Type="http://schemas.openxmlformats.org/officeDocument/2006/relationships/hyperlink" Target="https://dzen.ru/news/story/Vomskikh_aptekakh_snizilis_ceny_nazhiznenno_vazhnye_preparaty--8056e0f918a37defad903a7ad0de5ebd" TargetMode="External"/><Relationship Id="rId776" Type="http://schemas.openxmlformats.org/officeDocument/2006/relationships/hyperlink" Target="http://vk.com/wall-84895952_1623723?reply=1623753&amp;thread=1623725" TargetMode="External"/><Relationship Id="rId777" Type="http://schemas.openxmlformats.org/officeDocument/2006/relationships/hyperlink" Target="http://vk.com/id228169329" TargetMode="External"/><Relationship Id="rId778" Type="http://schemas.openxmlformats.org/officeDocument/2006/relationships/hyperlink" Target="http://vk.com/club84895952" TargetMode="External"/><Relationship Id="rId779" Type="http://schemas.openxmlformats.org/officeDocument/2006/relationships/hyperlink" Target="http://vk.com/wall573382094_1155" TargetMode="External"/><Relationship Id="rId780" Type="http://schemas.openxmlformats.org/officeDocument/2006/relationships/hyperlink" Target="http://vk.com/id573382094" TargetMode="External"/><Relationship Id="rId781" Type="http://schemas.openxmlformats.org/officeDocument/2006/relationships/hyperlink" Target="http://vk.com/wall451858981_1441" TargetMode="External"/><Relationship Id="rId782" Type="http://schemas.openxmlformats.org/officeDocument/2006/relationships/hyperlink" Target="http://vk.com/id451858981" TargetMode="External"/><Relationship Id="rId783" Type="http://schemas.openxmlformats.org/officeDocument/2006/relationships/hyperlink" Target="http://vk.com/wall-153326247_489378?reply=489397" TargetMode="External"/><Relationship Id="rId784" Type="http://schemas.openxmlformats.org/officeDocument/2006/relationships/hyperlink" Target="http://vk.com/id19383621" TargetMode="External"/><Relationship Id="rId785" Type="http://schemas.openxmlformats.org/officeDocument/2006/relationships/hyperlink" Target="http://vk.com/club153326247" TargetMode="External"/><Relationship Id="rId786" Type="http://schemas.openxmlformats.org/officeDocument/2006/relationships/hyperlink" Target="http://vk.com/wall-188861514_47789?reply=47830&amp;thread=47801" TargetMode="External"/><Relationship Id="rId787" Type="http://schemas.openxmlformats.org/officeDocument/2006/relationships/hyperlink" Target="http://vk.com/id793503511" TargetMode="External"/><Relationship Id="rId788" Type="http://schemas.openxmlformats.org/officeDocument/2006/relationships/hyperlink" Target="http://vk.com/club188861514" TargetMode="External"/><Relationship Id="rId789" Type="http://schemas.openxmlformats.org/officeDocument/2006/relationships/hyperlink" Target="http://www.ok.ru/profile/554959820666/statuses/155173222524282" TargetMode="External"/><Relationship Id="rId790" Type="http://schemas.openxmlformats.org/officeDocument/2006/relationships/hyperlink" Target="http://www.ok.ru/profile/554959820666" TargetMode="External"/><Relationship Id="rId791" Type="http://schemas.openxmlformats.org/officeDocument/2006/relationships/hyperlink" Target="https://kursk.bezformata.com/listnews/tceni-tarifi-i-indeksi-potrebitelskih/116241146/" TargetMode="External"/><Relationship Id="rId792" Type="http://schemas.openxmlformats.org/officeDocument/2006/relationships/hyperlink" Target="http://vk.com/wall414388649_2284" TargetMode="External"/><Relationship Id="rId793" Type="http://schemas.openxmlformats.org/officeDocument/2006/relationships/hyperlink" Target="http://vk.com/id414388649" TargetMode="External"/><Relationship Id="rId794" Type="http://schemas.openxmlformats.org/officeDocument/2006/relationships/hyperlink" Target="http://vk.com/wall-48142326_2090753?reply=2090887&amp;thread=2090875" TargetMode="External"/><Relationship Id="rId795" Type="http://schemas.openxmlformats.org/officeDocument/2006/relationships/hyperlink" Target="http://vk.com/id793503511" TargetMode="External"/><Relationship Id="rId796" Type="http://schemas.openxmlformats.org/officeDocument/2006/relationships/hyperlink" Target="http://vk.com/club48142326" TargetMode="External"/><Relationship Id="rId797" Type="http://schemas.openxmlformats.org/officeDocument/2006/relationships/hyperlink" Target="https://www.baby.ru/blogs/post/2611557830-407026791/" TargetMode="External"/><Relationship Id="rId798" Type="http://schemas.openxmlformats.org/officeDocument/2006/relationships/hyperlink" Target="https://www.baby.ru/u/usr2935939/" TargetMode="External"/><Relationship Id="rId799" Type="http://schemas.openxmlformats.org/officeDocument/2006/relationships/hyperlink" Target="https://www.baby.ru/u/usr2000311/" TargetMode="External"/><Relationship Id="rId800" Type="http://schemas.openxmlformats.org/officeDocument/2006/relationships/hyperlink" Target="http://vk.com/wall-26296001_86094?reply=86156&amp;thread=86112" TargetMode="External"/><Relationship Id="rId801" Type="http://schemas.openxmlformats.org/officeDocument/2006/relationships/hyperlink" Target="http://vk.com/id793503511" TargetMode="External"/><Relationship Id="rId802" Type="http://schemas.openxmlformats.org/officeDocument/2006/relationships/hyperlink" Target="http://vk.com/club26296001" TargetMode="External"/><Relationship Id="rId803" Type="http://schemas.openxmlformats.org/officeDocument/2006/relationships/hyperlink" Target="http://vk.com/wall179118757_14399" TargetMode="External"/><Relationship Id="rId804" Type="http://schemas.openxmlformats.org/officeDocument/2006/relationships/hyperlink" Target="http://vk.com/id179118757" TargetMode="External"/><Relationship Id="rId805" Type="http://schemas.openxmlformats.org/officeDocument/2006/relationships/hyperlink" Target="http://vk.com/wall695161381_40" TargetMode="External"/><Relationship Id="rId806" Type="http://schemas.openxmlformats.org/officeDocument/2006/relationships/hyperlink" Target="http://vk.com/id695161381" TargetMode="External"/><Relationship Id="rId807" Type="http://schemas.openxmlformats.org/officeDocument/2006/relationships/hyperlink" Target="https://www.baby.ru/blogs/post/2611557830-407026791/" TargetMode="External"/><Relationship Id="rId808" Type="http://schemas.openxmlformats.org/officeDocument/2006/relationships/hyperlink" Target="https://www.baby.ru/u/usr2000311/" TargetMode="External"/><Relationship Id="rId809" Type="http://schemas.openxmlformats.org/officeDocument/2006/relationships/hyperlink" Target="http://vk.com/wall94365953_14878" TargetMode="External"/><Relationship Id="rId810" Type="http://schemas.openxmlformats.org/officeDocument/2006/relationships/hyperlink" Target="http://vk.com/id94365953" TargetMode="External"/><Relationship Id="rId811" Type="http://schemas.openxmlformats.org/officeDocument/2006/relationships/hyperlink" Target="http://vk.com/wall691293962_350" TargetMode="External"/><Relationship Id="rId812" Type="http://schemas.openxmlformats.org/officeDocument/2006/relationships/hyperlink" Target="http://vk.com/id691293962" TargetMode="External"/><Relationship Id="rId813" Type="http://schemas.openxmlformats.org/officeDocument/2006/relationships/hyperlink" Target="http://vk.com/wall89026383_4959" TargetMode="External"/><Relationship Id="rId814" Type="http://schemas.openxmlformats.org/officeDocument/2006/relationships/hyperlink" Target="http://vk.com/id89026383" TargetMode="External"/><Relationship Id="rId815" Type="http://schemas.openxmlformats.org/officeDocument/2006/relationships/hyperlink" Target="https://www.baby.ru/blogs/post/2611452164-2278440064/" TargetMode="External"/><Relationship Id="rId816" Type="http://schemas.openxmlformats.org/officeDocument/2006/relationships/hyperlink" Target="https://www.baby.ru/u/usr2920513/" TargetMode="External"/><Relationship Id="rId817" Type="http://schemas.openxmlformats.org/officeDocument/2006/relationships/hyperlink" Target="https://www.baby.ru/u/usr2113670/" TargetMode="External"/><Relationship Id="rId818" Type="http://schemas.openxmlformats.org/officeDocument/2006/relationships/hyperlink" Target="http://vk.com/wall170883098_2706" TargetMode="External"/><Relationship Id="rId819" Type="http://schemas.openxmlformats.org/officeDocument/2006/relationships/hyperlink" Target="http://vk.com/id170883098" TargetMode="External"/><Relationship Id="rId820" Type="http://schemas.openxmlformats.org/officeDocument/2006/relationships/hyperlink" Target="http://vk.com/wall506429540_2374" TargetMode="External"/><Relationship Id="rId821" Type="http://schemas.openxmlformats.org/officeDocument/2006/relationships/hyperlink" Target="http://vk.com/id506429540" TargetMode="External"/><Relationship Id="rId822" Type="http://schemas.openxmlformats.org/officeDocument/2006/relationships/hyperlink" Target="http://vk.com/wall-119249179_1024603?reply=1024896&amp;thread=1024813" TargetMode="External"/><Relationship Id="rId823" Type="http://schemas.openxmlformats.org/officeDocument/2006/relationships/hyperlink" Target="http://vk.com/id793503511" TargetMode="External"/><Relationship Id="rId824" Type="http://schemas.openxmlformats.org/officeDocument/2006/relationships/hyperlink" Target="http://vk.com/club119249179" TargetMode="External"/><Relationship Id="rId825" Type="http://schemas.openxmlformats.org/officeDocument/2006/relationships/hyperlink" Target="http://www.kremlinrus.ru/article/181/166225/" TargetMode="External"/><Relationship Id="rId826" Type="http://schemas.openxmlformats.org/officeDocument/2006/relationships/hyperlink" Target="http://www.ok.ru/profile/584537664780/statuses/155453047967756" TargetMode="External"/><Relationship Id="rId827" Type="http://schemas.openxmlformats.org/officeDocument/2006/relationships/hyperlink" Target="http://www.ok.ru/profile/584537664780" TargetMode="External"/><Relationship Id="rId828" Type="http://schemas.openxmlformats.org/officeDocument/2006/relationships/hyperlink" Target="http://vk.com/wall428544023_297" TargetMode="External"/><Relationship Id="rId829" Type="http://schemas.openxmlformats.org/officeDocument/2006/relationships/hyperlink" Target="http://vk.com/id428544023" TargetMode="External"/><Relationship Id="rId830" Type="http://schemas.openxmlformats.org/officeDocument/2006/relationships/hyperlink" Target="http://www.ok.ru/profile/571378118638/statuses/156611715038190" TargetMode="External"/><Relationship Id="rId831" Type="http://schemas.openxmlformats.org/officeDocument/2006/relationships/hyperlink" Target="http://www.ok.ru/profile/571378118638" TargetMode="External"/><Relationship Id="rId832" Type="http://schemas.openxmlformats.org/officeDocument/2006/relationships/hyperlink" Target="http://vk.com/wall-187579258_47517?reply=47772&amp;thread=47528" TargetMode="External"/><Relationship Id="rId833" Type="http://schemas.openxmlformats.org/officeDocument/2006/relationships/hyperlink" Target="http://vk.com/id793503511" TargetMode="External"/><Relationship Id="rId834" Type="http://schemas.openxmlformats.org/officeDocument/2006/relationships/hyperlink" Target="http://vk.com/club187579258" TargetMode="External"/><Relationship Id="rId835" Type="http://schemas.openxmlformats.org/officeDocument/2006/relationships/hyperlink" Target="http://vk.com/wall419287591_127766" TargetMode="External"/><Relationship Id="rId836" Type="http://schemas.openxmlformats.org/officeDocument/2006/relationships/hyperlink" Target="http://vk.com/id419287591" TargetMode="External"/><Relationship Id="rId837" Type="http://schemas.openxmlformats.org/officeDocument/2006/relationships/hyperlink" Target="http://vk.com/wall-106768795_4226" TargetMode="External"/><Relationship Id="rId838" Type="http://schemas.openxmlformats.org/officeDocument/2006/relationships/hyperlink" Target="http://vk.com/club106768795" TargetMode="External"/><Relationship Id="rId839" Type="http://schemas.openxmlformats.org/officeDocument/2006/relationships/hyperlink" Target="http://vk.com/wall248287731_13936" TargetMode="External"/><Relationship Id="rId840" Type="http://schemas.openxmlformats.org/officeDocument/2006/relationships/hyperlink" Target="http://vk.com/id248287731" TargetMode="External"/><Relationship Id="rId841" Type="http://schemas.openxmlformats.org/officeDocument/2006/relationships/hyperlink" Target="http://vk.com/wall-136637198_109495?reply=109893&amp;thread=109566" TargetMode="External"/><Relationship Id="rId842" Type="http://schemas.openxmlformats.org/officeDocument/2006/relationships/hyperlink" Target="http://vk.com/id793503511" TargetMode="External"/><Relationship Id="rId843" Type="http://schemas.openxmlformats.org/officeDocument/2006/relationships/hyperlink" Target="http://vk.com/club136637198" TargetMode="External"/><Relationship Id="rId844" Type="http://schemas.openxmlformats.org/officeDocument/2006/relationships/hyperlink" Target="http://vk.com/wall221337354_2349" TargetMode="External"/><Relationship Id="rId845" Type="http://schemas.openxmlformats.org/officeDocument/2006/relationships/hyperlink" Target="http://vk.com/id221337354" TargetMode="External"/><Relationship Id="rId846" Type="http://schemas.openxmlformats.org/officeDocument/2006/relationships/hyperlink" Target="https://www.baby.ru/blogs/post/2611478834-2598052940/" TargetMode="External"/><Relationship Id="rId847" Type="http://schemas.openxmlformats.org/officeDocument/2006/relationships/hyperlink" Target="https://www.baby.ru/u/usr1776305/" TargetMode="External"/><Relationship Id="rId848" Type="http://schemas.openxmlformats.org/officeDocument/2006/relationships/hyperlink" Target="https://www.baby.ru/u/usr2977470/" TargetMode="External"/><Relationship Id="rId849" Type="http://schemas.openxmlformats.org/officeDocument/2006/relationships/hyperlink" Target="http://vk.com/wall-21671583_256044" TargetMode="External"/><Relationship Id="rId850" Type="http://schemas.openxmlformats.org/officeDocument/2006/relationships/hyperlink" Target="http://vk.com/club21671583" TargetMode="External"/><Relationship Id="rId851" Type="http://schemas.openxmlformats.org/officeDocument/2006/relationships/hyperlink" Target="https://siktivkar.bezformata.com/listnews/nedelyu-v-komi-podorozhali-kapusta/116236060/" TargetMode="External"/><Relationship Id="rId852" Type="http://schemas.openxmlformats.org/officeDocument/2006/relationships/hyperlink" Target="http://vk.com/wall430614272_238" TargetMode="External"/><Relationship Id="rId853" Type="http://schemas.openxmlformats.org/officeDocument/2006/relationships/hyperlink" Target="http://vk.com/id430614272" TargetMode="External"/><Relationship Id="rId854" Type="http://schemas.openxmlformats.org/officeDocument/2006/relationships/hyperlink" Target="http://vk.com/wall-153326278_404946?reply=405206&amp;thread=404955" TargetMode="External"/><Relationship Id="rId855" Type="http://schemas.openxmlformats.org/officeDocument/2006/relationships/hyperlink" Target="http://vk.com/id793503511" TargetMode="External"/><Relationship Id="rId856" Type="http://schemas.openxmlformats.org/officeDocument/2006/relationships/hyperlink" Target="http://vk.com/club153326278" TargetMode="External"/><Relationship Id="rId857" Type="http://schemas.openxmlformats.org/officeDocument/2006/relationships/hyperlink" Target="http://vk.com/wall-153326247_489378" TargetMode="External"/><Relationship Id="rId858" Type="http://schemas.openxmlformats.org/officeDocument/2006/relationships/hyperlink" Target="http://vk.com/club153326247" TargetMode="External"/><Relationship Id="rId859" Type="http://schemas.openxmlformats.org/officeDocument/2006/relationships/hyperlink" Target="http://vk.com/wall-110697272_513435?reply=513741&amp;thread=513440" TargetMode="External"/><Relationship Id="rId860" Type="http://schemas.openxmlformats.org/officeDocument/2006/relationships/hyperlink" Target="http://vk.com/id793503511" TargetMode="External"/><Relationship Id="rId861" Type="http://schemas.openxmlformats.org/officeDocument/2006/relationships/hyperlink" Target="http://vk.com/club110697272" TargetMode="External"/><Relationship Id="rId862" Type="http://schemas.openxmlformats.org/officeDocument/2006/relationships/hyperlink" Target="https://www.baby.ru/blogs/post/2611532555-622677534/" TargetMode="External"/><Relationship Id="rId863" Type="http://schemas.openxmlformats.org/officeDocument/2006/relationships/hyperlink" Target="https://www.baby.ru/u/usr1776305/" TargetMode="External"/><Relationship Id="rId864" Type="http://schemas.openxmlformats.org/officeDocument/2006/relationships/hyperlink" Target="https://www.baby.ru/u/usr1788801/" TargetMode="External"/><Relationship Id="rId865" Type="http://schemas.openxmlformats.org/officeDocument/2006/relationships/hyperlink" Target="http://vk.com/wall568917062_310" TargetMode="External"/><Relationship Id="rId866" Type="http://schemas.openxmlformats.org/officeDocument/2006/relationships/hyperlink" Target="http://vk.com/id568917062" TargetMode="External"/><Relationship Id="rId867" Type="http://schemas.openxmlformats.org/officeDocument/2006/relationships/hyperlink" Target="https://www.baby.ru/blogs/post/2611440906-597440755/" TargetMode="External"/><Relationship Id="rId868" Type="http://schemas.openxmlformats.org/officeDocument/2006/relationships/hyperlink" Target="https://www.baby.ru/u/usr2781259/" TargetMode="External"/><Relationship Id="rId869" Type="http://schemas.openxmlformats.org/officeDocument/2006/relationships/hyperlink" Target="https://www.baby.ru/u/usr1354704/" TargetMode="External"/><Relationship Id="rId870" Type="http://schemas.openxmlformats.org/officeDocument/2006/relationships/hyperlink" Target="https://www.baby.ru/blogs/post/2611525289-67027063/" TargetMode="External"/><Relationship Id="rId871" Type="http://schemas.openxmlformats.org/officeDocument/2006/relationships/hyperlink" Target="https://www.baby.ru/u/usr1776305/" TargetMode="External"/><Relationship Id="rId872" Type="http://schemas.openxmlformats.org/officeDocument/2006/relationships/hyperlink" Target="https://www.baby.ru/u/usr486296/" TargetMode="External"/><Relationship Id="rId873" Type="http://schemas.openxmlformats.org/officeDocument/2006/relationships/hyperlink" Target="http://vk.com/wall770557996_86" TargetMode="External"/><Relationship Id="rId874" Type="http://schemas.openxmlformats.org/officeDocument/2006/relationships/hyperlink" Target="http://vk.com/id770557996" TargetMode="External"/><Relationship Id="rId875" Type="http://schemas.openxmlformats.org/officeDocument/2006/relationships/hyperlink" Target="http://vk.com/wall502364298_1840" TargetMode="External"/><Relationship Id="rId876" Type="http://schemas.openxmlformats.org/officeDocument/2006/relationships/hyperlink" Target="http://vk.com/id502364298" TargetMode="External"/><Relationship Id="rId877" Type="http://schemas.openxmlformats.org/officeDocument/2006/relationships/hyperlink" Target="http://vk.com/wall509409524_156" TargetMode="External"/><Relationship Id="rId878" Type="http://schemas.openxmlformats.org/officeDocument/2006/relationships/hyperlink" Target="http://vk.com/id509409524" TargetMode="External"/><Relationship Id="rId879" Type="http://schemas.openxmlformats.org/officeDocument/2006/relationships/hyperlink" Target="http://vk.com/wall-146175495_828867?reply=830222&amp;thread=829839" TargetMode="External"/><Relationship Id="rId880" Type="http://schemas.openxmlformats.org/officeDocument/2006/relationships/hyperlink" Target="http://vk.com/id793503511" TargetMode="External"/><Relationship Id="rId881" Type="http://schemas.openxmlformats.org/officeDocument/2006/relationships/hyperlink" Target="http://vk.com/club146175495" TargetMode="External"/><Relationship Id="rId882" Type="http://schemas.openxmlformats.org/officeDocument/2006/relationships/hyperlink" Target="http://vk.com/wall-55087184_55957?reply=56170" TargetMode="External"/><Relationship Id="rId883" Type="http://schemas.openxmlformats.org/officeDocument/2006/relationships/hyperlink" Target="http://vk.com/id190589420" TargetMode="External"/><Relationship Id="rId884" Type="http://schemas.openxmlformats.org/officeDocument/2006/relationships/hyperlink" Target="http://vk.com/club55087184" TargetMode="External"/><Relationship Id="rId885" Type="http://schemas.openxmlformats.org/officeDocument/2006/relationships/hyperlink" Target="http://www.ok.ru/profile/564670085565/statuses/155269141348541" TargetMode="External"/><Relationship Id="rId886" Type="http://schemas.openxmlformats.org/officeDocument/2006/relationships/hyperlink" Target="http://www.ok.ru/profile/564670085565" TargetMode="External"/><Relationship Id="rId887" Type="http://schemas.openxmlformats.org/officeDocument/2006/relationships/hyperlink" Target="http://vk.com/wall-89459809_144848" TargetMode="External"/><Relationship Id="rId888" Type="http://schemas.openxmlformats.org/officeDocument/2006/relationships/hyperlink" Target="http://vk.com/club89459809" TargetMode="External"/><Relationship Id="rId889" Type="http://schemas.openxmlformats.org/officeDocument/2006/relationships/hyperlink" Target="http://vk.com/wall646416958_1437" TargetMode="External"/><Relationship Id="rId890" Type="http://schemas.openxmlformats.org/officeDocument/2006/relationships/hyperlink" Target="http://vk.com/id646416958" TargetMode="External"/><Relationship Id="rId891" Type="http://schemas.openxmlformats.org/officeDocument/2006/relationships/hyperlink" Target="http://vk.com/wall-65288136_5878695?reply=5879334&amp;thread=5878820" TargetMode="External"/><Relationship Id="rId892" Type="http://schemas.openxmlformats.org/officeDocument/2006/relationships/hyperlink" Target="http://vk.com/id793503511" TargetMode="External"/><Relationship Id="rId893" Type="http://schemas.openxmlformats.org/officeDocument/2006/relationships/hyperlink" Target="http://vk.com/club65288136" TargetMode="External"/><Relationship Id="rId894" Type="http://schemas.openxmlformats.org/officeDocument/2006/relationships/hyperlink" Target="http://vk.com/wall-168460699_384837?reply=385393" TargetMode="External"/><Relationship Id="rId895" Type="http://schemas.openxmlformats.org/officeDocument/2006/relationships/hyperlink" Target="http://vk.com/id139963867" TargetMode="External"/><Relationship Id="rId896" Type="http://schemas.openxmlformats.org/officeDocument/2006/relationships/hyperlink" Target="http://vk.com/club168460699" TargetMode="External"/><Relationship Id="rId897" Type="http://schemas.openxmlformats.org/officeDocument/2006/relationships/hyperlink" Target="https://telegram.me/bukharamedic/35788" TargetMode="External"/><Relationship Id="rId898" Type="http://schemas.openxmlformats.org/officeDocument/2006/relationships/hyperlink" Target="https://telegram.me/" TargetMode="External"/><Relationship Id="rId899" Type="http://schemas.openxmlformats.org/officeDocument/2006/relationships/hyperlink" Target="https://telegram.me/bukharamedic" TargetMode="External"/><Relationship Id="rId900" Type="http://schemas.openxmlformats.org/officeDocument/2006/relationships/hyperlink" Target="http://vk.com/wall-33277814_729930?reply=730840" TargetMode="External"/><Relationship Id="rId901" Type="http://schemas.openxmlformats.org/officeDocument/2006/relationships/hyperlink" Target="http://vk.com/id332893591" TargetMode="External"/><Relationship Id="rId902" Type="http://schemas.openxmlformats.org/officeDocument/2006/relationships/hyperlink" Target="http://vk.com/club33277814" TargetMode="External"/><Relationship Id="rId903" Type="http://schemas.openxmlformats.org/officeDocument/2006/relationships/hyperlink" Target="https://www.babyblog.ru/community/living/post/3308647" TargetMode="External"/><Relationship Id="rId904" Type="http://schemas.openxmlformats.org/officeDocument/2006/relationships/hyperlink" Target="http://vk.com/wall-110697163_959750?reply=960186" TargetMode="External"/><Relationship Id="rId905" Type="http://schemas.openxmlformats.org/officeDocument/2006/relationships/hyperlink" Target="http://vk.com/id154041057" TargetMode="External"/><Relationship Id="rId906" Type="http://schemas.openxmlformats.org/officeDocument/2006/relationships/hyperlink" Target="http://vk.com/club110697163" TargetMode="External"/><Relationship Id="rId907" Type="http://schemas.openxmlformats.org/officeDocument/2006/relationships/hyperlink" Target="https://www.baby.ru/blogs/post/2611526904-2588972979/" TargetMode="External"/><Relationship Id="rId908" Type="http://schemas.openxmlformats.org/officeDocument/2006/relationships/hyperlink" Target="https://www.baby.ru/u/usr1776305/" TargetMode="External"/><Relationship Id="rId909" Type="http://schemas.openxmlformats.org/officeDocument/2006/relationships/hyperlink" Target="https://www.baby.ru/u/usr2745608/" TargetMode="External"/><Relationship Id="rId910" Type="http://schemas.openxmlformats.org/officeDocument/2006/relationships/hyperlink" Target="http://www.ok.ru/profile/581859480380/statuses/155007951781948" TargetMode="External"/><Relationship Id="rId911" Type="http://schemas.openxmlformats.org/officeDocument/2006/relationships/hyperlink" Target="http://www.ok.ru/profile/581859480380" TargetMode="External"/><Relationship Id="rId912" Type="http://schemas.openxmlformats.org/officeDocument/2006/relationships/hyperlink" Target="http://www.ok.ru/profile/340533751996/statuses/155063366727100" TargetMode="External"/><Relationship Id="rId913" Type="http://schemas.openxmlformats.org/officeDocument/2006/relationships/hyperlink" Target="http://www.ok.ru/profile/340533751996" TargetMode="External"/><Relationship Id="rId914" Type="http://schemas.openxmlformats.org/officeDocument/2006/relationships/hyperlink" Target="http://vk.com/wall-50606574_862566?reply=862692" TargetMode="External"/><Relationship Id="rId915" Type="http://schemas.openxmlformats.org/officeDocument/2006/relationships/hyperlink" Target="http://vk.com/id793503511" TargetMode="External"/><Relationship Id="rId916" Type="http://schemas.openxmlformats.org/officeDocument/2006/relationships/hyperlink" Target="http://vk.com/club50606574" TargetMode="External"/><Relationship Id="rId917" Type="http://schemas.openxmlformats.org/officeDocument/2006/relationships/hyperlink" Target="http://vk.com/wall388619288_7845" TargetMode="External"/><Relationship Id="rId918" Type="http://schemas.openxmlformats.org/officeDocument/2006/relationships/hyperlink" Target="http://vk.com/id388619288" TargetMode="External"/><Relationship Id="rId919" Type="http://schemas.openxmlformats.org/officeDocument/2006/relationships/hyperlink" Target="https://telegram.me/covidgoodbye/255093" TargetMode="External"/><Relationship Id="rId920" Type="http://schemas.openxmlformats.org/officeDocument/2006/relationships/hyperlink" Target="https://telegram.me/Vistrus" TargetMode="External"/><Relationship Id="rId921" Type="http://schemas.openxmlformats.org/officeDocument/2006/relationships/hyperlink" Target="https://telegram.me/covidgoodbye" TargetMode="External"/><Relationship Id="rId922" Type="http://schemas.openxmlformats.org/officeDocument/2006/relationships/hyperlink" Target="http://vk.com/wall-143027530_228896?reply=229368&amp;thread=229224" TargetMode="External"/><Relationship Id="rId923" Type="http://schemas.openxmlformats.org/officeDocument/2006/relationships/hyperlink" Target="http://vk.com/id793503511" TargetMode="External"/><Relationship Id="rId924" Type="http://schemas.openxmlformats.org/officeDocument/2006/relationships/hyperlink" Target="http://vk.com/club143027530" TargetMode="External"/><Relationship Id="rId925" Type="http://schemas.openxmlformats.org/officeDocument/2006/relationships/hyperlink" Target="http://vk.com/wall-203023242_19133?reply=19276&amp;thread=19143" TargetMode="External"/><Relationship Id="rId926" Type="http://schemas.openxmlformats.org/officeDocument/2006/relationships/hyperlink" Target="http://vk.com/id793503511" TargetMode="External"/><Relationship Id="rId927" Type="http://schemas.openxmlformats.org/officeDocument/2006/relationships/hyperlink" Target="http://vk.com/club203023242" TargetMode="External"/><Relationship Id="rId928" Type="http://schemas.openxmlformats.org/officeDocument/2006/relationships/hyperlink" Target="http://vk.com/wall371040278_7824" TargetMode="External"/><Relationship Id="rId929" Type="http://schemas.openxmlformats.org/officeDocument/2006/relationships/hyperlink" Target="http://vk.com/id371040278" TargetMode="External"/><Relationship Id="rId930" Type="http://schemas.openxmlformats.org/officeDocument/2006/relationships/hyperlink" Target="http://www.ok.ru/profile/575611891077/statuses/154868459881349" TargetMode="External"/><Relationship Id="rId931" Type="http://schemas.openxmlformats.org/officeDocument/2006/relationships/hyperlink" Target="http://www.ok.ru/profile/575611891077" TargetMode="External"/><Relationship Id="rId932" Type="http://schemas.openxmlformats.org/officeDocument/2006/relationships/hyperlink" Target="http://www.ok.ru/profile/593762734099/statuses/156299927390995" TargetMode="External"/><Relationship Id="rId933" Type="http://schemas.openxmlformats.org/officeDocument/2006/relationships/hyperlink" Target="http://www.ok.ru/profile/593762734099" TargetMode="External"/><Relationship Id="rId934" Type="http://schemas.openxmlformats.org/officeDocument/2006/relationships/hyperlink" Target="http://vk.com/wall670741896_14212" TargetMode="External"/><Relationship Id="rId935" Type="http://schemas.openxmlformats.org/officeDocument/2006/relationships/hyperlink" Target="http://vk.com/id670741896" TargetMode="External"/><Relationship Id="rId936" Type="http://schemas.openxmlformats.org/officeDocument/2006/relationships/hyperlink" Target="http://vk.com/wall270249130_54694" TargetMode="External"/><Relationship Id="rId937" Type="http://schemas.openxmlformats.org/officeDocument/2006/relationships/hyperlink" Target="http://vk.com/id270249130" TargetMode="External"/><Relationship Id="rId938" Type="http://schemas.openxmlformats.org/officeDocument/2006/relationships/hyperlink" Target="http://vk.com/wall-28815494_387621" TargetMode="External"/><Relationship Id="rId939" Type="http://schemas.openxmlformats.org/officeDocument/2006/relationships/hyperlink" Target="http://vk.com/club28815494" TargetMode="External"/><Relationship Id="rId940" Type="http://schemas.openxmlformats.org/officeDocument/2006/relationships/hyperlink" Target="http://vk.com/wall-36857673_1765562?reply=1766013" TargetMode="External"/><Relationship Id="rId941" Type="http://schemas.openxmlformats.org/officeDocument/2006/relationships/hyperlink" Target="http://vk.com/id622818232" TargetMode="External"/><Relationship Id="rId942" Type="http://schemas.openxmlformats.org/officeDocument/2006/relationships/hyperlink" Target="http://vk.com/club36857673" TargetMode="External"/><Relationship Id="rId943" Type="http://schemas.openxmlformats.org/officeDocument/2006/relationships/hyperlink" Target="http://vk.com/wall-155403177_56807?reply=57239&amp;thread=56853" TargetMode="External"/><Relationship Id="rId944" Type="http://schemas.openxmlformats.org/officeDocument/2006/relationships/hyperlink" Target="http://vk.com/id793503511" TargetMode="External"/><Relationship Id="rId945" Type="http://schemas.openxmlformats.org/officeDocument/2006/relationships/hyperlink" Target="http://vk.com/club155403177" TargetMode="External"/><Relationship Id="rId946" Type="http://schemas.openxmlformats.org/officeDocument/2006/relationships/hyperlink" Target="https://news.myseldon.com/ru/news/index/282046885" TargetMode="External"/><Relationship Id="rId947" Type="http://schemas.openxmlformats.org/officeDocument/2006/relationships/hyperlink" Target="https://www.baby.ru/blogs/post/2611538869-1441733754/" TargetMode="External"/><Relationship Id="rId948" Type="http://schemas.openxmlformats.org/officeDocument/2006/relationships/hyperlink" Target="https://www.baby.ru/u/usr1776305/" TargetMode="External"/><Relationship Id="rId949" Type="http://schemas.openxmlformats.org/officeDocument/2006/relationships/hyperlink" Target="https://www.baby.ru/u/usr2705359/" TargetMode="External"/><Relationship Id="rId950" Type="http://schemas.openxmlformats.org/officeDocument/2006/relationships/hyperlink" Target="http://vk.com/wall-177698471_633040" TargetMode="External"/><Relationship Id="rId951" Type="http://schemas.openxmlformats.org/officeDocument/2006/relationships/hyperlink" Target="http://vk.com/club177698471" TargetMode="External"/><Relationship Id="rId952" Type="http://schemas.openxmlformats.org/officeDocument/2006/relationships/hyperlink" Target="http://www.ok.ru/group/55921101635792/topic/156200749001680" TargetMode="External"/><Relationship Id="rId953" Type="http://schemas.openxmlformats.org/officeDocument/2006/relationships/hyperlink" Target="http://www.ok.ru/group/55921101635792" TargetMode="External"/><Relationship Id="rId954" Type="http://schemas.openxmlformats.org/officeDocument/2006/relationships/hyperlink" Target="http://vk.com/wall695949383_397" TargetMode="External"/><Relationship Id="rId955" Type="http://schemas.openxmlformats.org/officeDocument/2006/relationships/hyperlink" Target="http://vk.com/id695949383" TargetMode="External"/><Relationship Id="rId956" Type="http://schemas.openxmlformats.org/officeDocument/2006/relationships/hyperlink" Target="http://vk.com/wall299149753_3907" TargetMode="External"/><Relationship Id="rId957" Type="http://schemas.openxmlformats.org/officeDocument/2006/relationships/hyperlink" Target="http://vk.com/id299149753" TargetMode="External"/><Relationship Id="rId958" Type="http://schemas.openxmlformats.org/officeDocument/2006/relationships/hyperlink" Target="http://vk.com/wall-176718025_2551" TargetMode="External"/><Relationship Id="rId959" Type="http://schemas.openxmlformats.org/officeDocument/2006/relationships/hyperlink" Target="http://vk.com/club176718025" TargetMode="External"/><Relationship Id="rId960" Type="http://schemas.openxmlformats.org/officeDocument/2006/relationships/hyperlink" Target="http://vk.com/wall149287437_1820" TargetMode="External"/><Relationship Id="rId961" Type="http://schemas.openxmlformats.org/officeDocument/2006/relationships/hyperlink" Target="http://vk.com/id149287437" TargetMode="External"/><Relationship Id="rId962" Type="http://schemas.openxmlformats.org/officeDocument/2006/relationships/hyperlink" Target="http://vk.com/wall488680573_1976" TargetMode="External"/><Relationship Id="rId963" Type="http://schemas.openxmlformats.org/officeDocument/2006/relationships/hyperlink" Target="http://vk.com/id488680573" TargetMode="External"/><Relationship Id="rId964" Type="http://schemas.openxmlformats.org/officeDocument/2006/relationships/hyperlink" Target="https://omsk-news.net/society/2023/04/14/476682.html" TargetMode="External"/><Relationship Id="rId965" Type="http://schemas.openxmlformats.org/officeDocument/2006/relationships/hyperlink" Target="http://vk.com/wall209887758_555" TargetMode="External"/><Relationship Id="rId966" Type="http://schemas.openxmlformats.org/officeDocument/2006/relationships/hyperlink" Target="http://vk.com/id209887758" TargetMode="External"/><Relationship Id="rId967" Type="http://schemas.openxmlformats.org/officeDocument/2006/relationships/hyperlink" Target="http://www.ok.ru/profile/569733820517/statuses/155184716995941" TargetMode="External"/><Relationship Id="rId968" Type="http://schemas.openxmlformats.org/officeDocument/2006/relationships/hyperlink" Target="http://www.ok.ru/profile/569733820517" TargetMode="External"/><Relationship Id="rId969" Type="http://schemas.openxmlformats.org/officeDocument/2006/relationships/hyperlink" Target="http://vk.com/wall-199899651_29917?reply=29934" TargetMode="External"/><Relationship Id="rId970" Type="http://schemas.openxmlformats.org/officeDocument/2006/relationships/hyperlink" Target="http://vk.com/id613838198" TargetMode="External"/><Relationship Id="rId971" Type="http://schemas.openxmlformats.org/officeDocument/2006/relationships/hyperlink" Target="http://vk.com/club199899651" TargetMode="External"/><Relationship Id="rId972" Type="http://schemas.openxmlformats.org/officeDocument/2006/relationships/hyperlink" Target="http://www.ok.ru/profile/563488377238/statuses/155736269035670" TargetMode="External"/><Relationship Id="rId973" Type="http://schemas.openxmlformats.org/officeDocument/2006/relationships/hyperlink" Target="http://www.ok.ru/profile/563488377238" TargetMode="External"/><Relationship Id="rId974" Type="http://schemas.openxmlformats.org/officeDocument/2006/relationships/hyperlink" Target="http://vk.com/wall553516526_375" TargetMode="External"/><Relationship Id="rId975" Type="http://schemas.openxmlformats.org/officeDocument/2006/relationships/hyperlink" Target="http://vk.com/id553516526" TargetMode="External"/><Relationship Id="rId976" Type="http://schemas.openxmlformats.org/officeDocument/2006/relationships/hyperlink" Target="http://www.ok.ru/profile/567830669710/statuses/156074540288910" TargetMode="External"/><Relationship Id="rId977" Type="http://schemas.openxmlformats.org/officeDocument/2006/relationships/hyperlink" Target="http://www.ok.ru/profile/567830669710" TargetMode="External"/><Relationship Id="rId978" Type="http://schemas.openxmlformats.org/officeDocument/2006/relationships/hyperlink" Target="http://vk.com/wall231692237_710" TargetMode="External"/><Relationship Id="rId979" Type="http://schemas.openxmlformats.org/officeDocument/2006/relationships/hyperlink" Target="http://vk.com/id231692237" TargetMode="External"/><Relationship Id="rId980" Type="http://schemas.openxmlformats.org/officeDocument/2006/relationships/hyperlink" Target="https://telegram.me/drleeyana/1551?comment=7574" TargetMode="External"/><Relationship Id="rId981" Type="http://schemas.openxmlformats.org/officeDocument/2006/relationships/hyperlink" Target="https://telegram.me/drleeyanasakh" TargetMode="External"/><Relationship Id="rId982" Type="http://schemas.openxmlformats.org/officeDocument/2006/relationships/hyperlink" Target="https://telegram.me/drleeyana" TargetMode="External"/><Relationship Id="rId983" Type="http://schemas.openxmlformats.org/officeDocument/2006/relationships/hyperlink" Target="http://vk.com/wall-214450246_108353" TargetMode="External"/><Relationship Id="rId984" Type="http://schemas.openxmlformats.org/officeDocument/2006/relationships/hyperlink" Target="http://vk.com/club214450246" TargetMode="External"/><Relationship Id="rId985" Type="http://schemas.openxmlformats.org/officeDocument/2006/relationships/hyperlink" Target="https://telegram.me/drleeyana/1551?comment=7571" TargetMode="External"/><Relationship Id="rId986" Type="http://schemas.openxmlformats.org/officeDocument/2006/relationships/hyperlink" Target="https://telegram.me/" TargetMode="External"/><Relationship Id="rId987" Type="http://schemas.openxmlformats.org/officeDocument/2006/relationships/hyperlink" Target="https://telegram.me/drleeyana" TargetMode="External"/><Relationship Id="rId988" Type="http://schemas.openxmlformats.org/officeDocument/2006/relationships/hyperlink" Target="http://www.ok.ru/group/70000001263514/topic/155534065226650" TargetMode="External"/><Relationship Id="rId989" Type="http://schemas.openxmlformats.org/officeDocument/2006/relationships/hyperlink" Target="http://www.ok.ru/group/70000001263514" TargetMode="External"/><Relationship Id="rId990" Type="http://schemas.openxmlformats.org/officeDocument/2006/relationships/hyperlink" Target="https://www.baby.ru/blogs/post/2611340423-1845663622/" TargetMode="External"/><Relationship Id="rId991" Type="http://schemas.openxmlformats.org/officeDocument/2006/relationships/hyperlink" Target="https://www.baby.ru/u/usr2661582/" TargetMode="External"/><Relationship Id="rId992" Type="http://schemas.openxmlformats.org/officeDocument/2006/relationships/hyperlink" Target="https://www.baby.ru/u/usr2220377/" TargetMode="External"/><Relationship Id="rId993" Type="http://schemas.openxmlformats.org/officeDocument/2006/relationships/hyperlink" Target="http://www.ok.ru/profile/354158731895/statuses/155775973647735" TargetMode="External"/><Relationship Id="rId994" Type="http://schemas.openxmlformats.org/officeDocument/2006/relationships/hyperlink" Target="http://www.ok.ru/profile/354158731895" TargetMode="External"/><Relationship Id="rId995" Type="http://schemas.openxmlformats.org/officeDocument/2006/relationships/hyperlink" Target="http://vk.com/wall257851812_33220" TargetMode="External"/><Relationship Id="rId996" Type="http://schemas.openxmlformats.org/officeDocument/2006/relationships/hyperlink" Target="http://vk.com/id257851812" TargetMode="External"/><Relationship Id="rId997" Type="http://schemas.openxmlformats.org/officeDocument/2006/relationships/hyperlink" Target="http://vk.com/wall227482249_479" TargetMode="External"/><Relationship Id="rId998" Type="http://schemas.openxmlformats.org/officeDocument/2006/relationships/hyperlink" Target="http://vk.com/id227482249" TargetMode="External"/><Relationship Id="rId999" Type="http://schemas.openxmlformats.org/officeDocument/2006/relationships/hyperlink" Target="http://www.ok.ru/profile/571168152431/statuses/157362360643695" TargetMode="External"/><Relationship Id="rId1000" Type="http://schemas.openxmlformats.org/officeDocument/2006/relationships/hyperlink" Target="http://www.ok.ru/profile/571168152431" TargetMode="External"/><Relationship Id="rId1001" Type="http://schemas.openxmlformats.org/officeDocument/2006/relationships/hyperlink" Target="http://vk.com/wall-213714758_4415" TargetMode="External"/><Relationship Id="rId1002" Type="http://schemas.openxmlformats.org/officeDocument/2006/relationships/hyperlink" Target="http://vk.com/club213714758" TargetMode="External"/><Relationship Id="rId1003" Type="http://schemas.openxmlformats.org/officeDocument/2006/relationships/hyperlink" Target="http://vk.com/wall661282221_287" TargetMode="External"/><Relationship Id="rId1004" Type="http://schemas.openxmlformats.org/officeDocument/2006/relationships/hyperlink" Target="http://vk.com/id661282221" TargetMode="External"/><Relationship Id="rId1005" Type="http://schemas.openxmlformats.org/officeDocument/2006/relationships/hyperlink" Target="http://vk.com/wall647892858_31" TargetMode="External"/><Relationship Id="rId1006" Type="http://schemas.openxmlformats.org/officeDocument/2006/relationships/hyperlink" Target="http://vk.com/id647892858" TargetMode="External"/><Relationship Id="rId1007" Type="http://schemas.openxmlformats.org/officeDocument/2006/relationships/hyperlink" Target="http://vk.com/wall-47179959_140661" TargetMode="External"/><Relationship Id="rId1008" Type="http://schemas.openxmlformats.org/officeDocument/2006/relationships/hyperlink" Target="http://vk.com/club47179959" TargetMode="External"/><Relationship Id="rId1009" Type="http://schemas.openxmlformats.org/officeDocument/2006/relationships/hyperlink" Target="https://www.baby.ru/blogs/post/2611409992-475871213/" TargetMode="External"/><Relationship Id="rId1010" Type="http://schemas.openxmlformats.org/officeDocument/2006/relationships/hyperlink" Target="https://www.baby.ru/u/usr2431988/" TargetMode="External"/><Relationship Id="rId1011" Type="http://schemas.openxmlformats.org/officeDocument/2006/relationships/hyperlink" Target="https://www.baby.ru/u/usr1392797/" TargetMode="External"/><Relationship Id="rId1012" Type="http://schemas.openxmlformats.org/officeDocument/2006/relationships/hyperlink" Target="https://12-kanal.ru/news/167049/" TargetMode="External"/><Relationship Id="rId1013" Type="http://schemas.openxmlformats.org/officeDocument/2006/relationships/hyperlink" Target="http://vk.com/wall169389452_8214" TargetMode="External"/><Relationship Id="rId1014" Type="http://schemas.openxmlformats.org/officeDocument/2006/relationships/hyperlink" Target="http://vk.com/id169389452" TargetMode="External"/><Relationship Id="rId1015" Type="http://schemas.openxmlformats.org/officeDocument/2006/relationships/hyperlink" Target="http://vk.com/wall-165495813_955937?reply=956013" TargetMode="External"/><Relationship Id="rId1016" Type="http://schemas.openxmlformats.org/officeDocument/2006/relationships/hyperlink" Target="http://vk.com/id507733686" TargetMode="External"/><Relationship Id="rId1017" Type="http://schemas.openxmlformats.org/officeDocument/2006/relationships/hyperlink" Target="http://vk.com/club165495813" TargetMode="External"/><Relationship Id="rId1018" Type="http://schemas.openxmlformats.org/officeDocument/2006/relationships/hyperlink" Target="http://vk.com/wall-110697191_622099?reply=622772" TargetMode="External"/><Relationship Id="rId1019" Type="http://schemas.openxmlformats.org/officeDocument/2006/relationships/hyperlink" Target="http://vk.com/id289688804" TargetMode="External"/><Relationship Id="rId1020" Type="http://schemas.openxmlformats.org/officeDocument/2006/relationships/hyperlink" Target="http://vk.com/club110697191" TargetMode="External"/><Relationship Id="rId1021" Type="http://schemas.openxmlformats.org/officeDocument/2006/relationships/hyperlink" Target="http://vk.com/wall-142477702_726009?reply=726447" TargetMode="External"/><Relationship Id="rId1022" Type="http://schemas.openxmlformats.org/officeDocument/2006/relationships/hyperlink" Target="http://vk.com/id353627035" TargetMode="External"/><Relationship Id="rId1023" Type="http://schemas.openxmlformats.org/officeDocument/2006/relationships/hyperlink" Target="http://vk.com/club142477702" TargetMode="External"/><Relationship Id="rId1024" Type="http://schemas.openxmlformats.org/officeDocument/2006/relationships/hyperlink" Target="http://vk.com/wall88127633_3357" TargetMode="External"/><Relationship Id="rId1025" Type="http://schemas.openxmlformats.org/officeDocument/2006/relationships/hyperlink" Target="http://vk.com/id88127633" TargetMode="External"/><Relationship Id="rId1026" Type="http://schemas.openxmlformats.org/officeDocument/2006/relationships/hyperlink" Target="http://instagram.com/p/Cq_dduVIhmC/c/17965505465371014/" TargetMode="External"/><Relationship Id="rId1027" Type="http://schemas.openxmlformats.org/officeDocument/2006/relationships/hyperlink" Target="http://instagram.com/albatrossmakesgood" TargetMode="External"/><Relationship Id="rId1028" Type="http://schemas.openxmlformats.org/officeDocument/2006/relationships/hyperlink" Target="http://instagram.com/anestesiolog.md" TargetMode="External"/><Relationship Id="rId1029" Type="http://schemas.openxmlformats.org/officeDocument/2006/relationships/hyperlink" Target="http://vk.com/wall-117981766_921038?reply=923093" TargetMode="External"/><Relationship Id="rId1030" Type="http://schemas.openxmlformats.org/officeDocument/2006/relationships/hyperlink" Target="http://vk.com/id31262266" TargetMode="External"/><Relationship Id="rId1031" Type="http://schemas.openxmlformats.org/officeDocument/2006/relationships/hyperlink" Target="http://vk.com/club117981766" TargetMode="External"/><Relationship Id="rId1032" Type="http://schemas.openxmlformats.org/officeDocument/2006/relationships/hyperlink" Target="http://vk.com/wall484592697_1417" TargetMode="External"/><Relationship Id="rId1033" Type="http://schemas.openxmlformats.org/officeDocument/2006/relationships/hyperlink" Target="http://vk.com/id484592697" TargetMode="External"/><Relationship Id="rId1034" Type="http://schemas.openxmlformats.org/officeDocument/2006/relationships/hyperlink" Target="http://www.ok.ru/profile/219430628490/statuses/155733889290378" TargetMode="External"/><Relationship Id="rId1035" Type="http://schemas.openxmlformats.org/officeDocument/2006/relationships/hyperlink" Target="http://www.ok.ru/profile/219430628490" TargetMode="External"/><Relationship Id="rId1036" Type="http://schemas.openxmlformats.org/officeDocument/2006/relationships/hyperlink" Target="http://vk.com/wall-178765450_69240" TargetMode="External"/><Relationship Id="rId1037" Type="http://schemas.openxmlformats.org/officeDocument/2006/relationships/hyperlink" Target="http://vk.com/club178765450" TargetMode="External"/><Relationship Id="rId1038" Type="http://schemas.openxmlformats.org/officeDocument/2006/relationships/hyperlink" Target="http://vk.com/wall-89460402_150812" TargetMode="External"/><Relationship Id="rId1039" Type="http://schemas.openxmlformats.org/officeDocument/2006/relationships/hyperlink" Target="http://vk.com/club89460402" TargetMode="External"/><Relationship Id="rId1040" Type="http://schemas.openxmlformats.org/officeDocument/2006/relationships/hyperlink" Target="http://vk.com/wall-14809629_2048" TargetMode="External"/><Relationship Id="rId1041" Type="http://schemas.openxmlformats.org/officeDocument/2006/relationships/hyperlink" Target="http://vk.com/club14809629" TargetMode="External"/><Relationship Id="rId1042" Type="http://schemas.openxmlformats.org/officeDocument/2006/relationships/hyperlink" Target="http://vk.com/wall609581125_1334" TargetMode="External"/><Relationship Id="rId1043" Type="http://schemas.openxmlformats.org/officeDocument/2006/relationships/hyperlink" Target="http://vk.com/id609581125" TargetMode="External"/><Relationship Id="rId1044" Type="http://schemas.openxmlformats.org/officeDocument/2006/relationships/hyperlink" Target="http://vk.com/wall-212350366_17482" TargetMode="External"/><Relationship Id="rId1045" Type="http://schemas.openxmlformats.org/officeDocument/2006/relationships/hyperlink" Target="http://vk.com/club212350366" TargetMode="External"/><Relationship Id="rId1046" Type="http://schemas.openxmlformats.org/officeDocument/2006/relationships/hyperlink" Target="https://russia24.pro/komi/346919728/" TargetMode="External"/><Relationship Id="rId1047" Type="http://schemas.openxmlformats.org/officeDocument/2006/relationships/hyperlink" Target="https://pg11.ru/news/97466" TargetMode="External"/><Relationship Id="rId1048" Type="http://schemas.openxmlformats.org/officeDocument/2006/relationships/hyperlink" Target="https://123ru.net/mix/346919728/" TargetMode="External"/><Relationship Id="rId1049" Type="http://schemas.openxmlformats.org/officeDocument/2006/relationships/hyperlink" Target="https://russian.city/syktyvkar/346919728/" TargetMode="External"/><Relationship Id="rId1050" Type="http://schemas.openxmlformats.org/officeDocument/2006/relationships/hyperlink" Target="https://ru24.net/mix/346919728/" TargetMode="External"/><Relationship Id="rId1051" Type="http://schemas.openxmlformats.org/officeDocument/2006/relationships/hyperlink" Target="https://ria.city/syktyvkar/346919728/" TargetMode="External"/><Relationship Id="rId1052" Type="http://schemas.openxmlformats.org/officeDocument/2006/relationships/hyperlink" Target="https://news-life.pro/komi/346919728/" TargetMode="External"/><Relationship Id="rId1053" Type="http://schemas.openxmlformats.org/officeDocument/2006/relationships/hyperlink" Target="https://ru24.net/pics/346919728/" TargetMode="External"/><Relationship Id="rId1054" Type="http://schemas.openxmlformats.org/officeDocument/2006/relationships/hyperlink" Target="https://ru24.net/syktyvkar/346919728/" TargetMode="External"/><Relationship Id="rId1055" Type="http://schemas.openxmlformats.org/officeDocument/2006/relationships/hyperlink" Target="http://vk.com/wall572405238_1386" TargetMode="External"/><Relationship Id="rId1056" Type="http://schemas.openxmlformats.org/officeDocument/2006/relationships/hyperlink" Target="http://vk.com/id572405238" TargetMode="External"/><Relationship Id="rId1057" Type="http://schemas.openxmlformats.org/officeDocument/2006/relationships/hyperlink" Target="http://www.ok.ru/profile/579118994597/statuses/155418568468645" TargetMode="External"/><Relationship Id="rId1058" Type="http://schemas.openxmlformats.org/officeDocument/2006/relationships/hyperlink" Target="http://www.ok.ru/profile/579118994597" TargetMode="External"/><Relationship Id="rId1059" Type="http://schemas.openxmlformats.org/officeDocument/2006/relationships/hyperlink" Target="http://vk.com/wall409572877_4991" TargetMode="External"/><Relationship Id="rId1060" Type="http://schemas.openxmlformats.org/officeDocument/2006/relationships/hyperlink" Target="http://vk.com/id409572877" TargetMode="External"/><Relationship Id="rId1061" Type="http://schemas.openxmlformats.org/officeDocument/2006/relationships/hyperlink" Target="http://vk.com/wall722693308_16" TargetMode="External"/><Relationship Id="rId1062" Type="http://schemas.openxmlformats.org/officeDocument/2006/relationships/hyperlink" Target="http://vk.com/id722693308" TargetMode="External"/><Relationship Id="rId1063" Type="http://schemas.openxmlformats.org/officeDocument/2006/relationships/hyperlink" Target="https://telegram.me/covidgoodbye/255088" TargetMode="External"/><Relationship Id="rId1064" Type="http://schemas.openxmlformats.org/officeDocument/2006/relationships/hyperlink" Target="https://telegram.me/Vistrus" TargetMode="External"/><Relationship Id="rId1065" Type="http://schemas.openxmlformats.org/officeDocument/2006/relationships/hyperlink" Target="https://telegram.me/covidgoodbye" TargetMode="External"/><Relationship Id="rId1066" Type="http://schemas.openxmlformats.org/officeDocument/2006/relationships/hyperlink" Target="http://vk.com/wall765718980_254" TargetMode="External"/><Relationship Id="rId1067" Type="http://schemas.openxmlformats.org/officeDocument/2006/relationships/hyperlink" Target="http://vk.com/id765718980" TargetMode="External"/><Relationship Id="rId1068" Type="http://schemas.openxmlformats.org/officeDocument/2006/relationships/hyperlink" Target="http://vk.com/wall-58006062_773424" TargetMode="External"/><Relationship Id="rId1069" Type="http://schemas.openxmlformats.org/officeDocument/2006/relationships/hyperlink" Target="http://vk.com/club58006062" TargetMode="External"/><Relationship Id="rId1070" Type="http://schemas.openxmlformats.org/officeDocument/2006/relationships/hyperlink" Target="http://www.ok.ru/profile/592035818027/statuses/156305358494507" TargetMode="External"/><Relationship Id="rId1071" Type="http://schemas.openxmlformats.org/officeDocument/2006/relationships/hyperlink" Target="http://www.ok.ru/profile/592035818027" TargetMode="External"/><Relationship Id="rId1072" Type="http://schemas.openxmlformats.org/officeDocument/2006/relationships/hyperlink" Target="http://vk.com/wall146809210_730" TargetMode="External"/><Relationship Id="rId1073" Type="http://schemas.openxmlformats.org/officeDocument/2006/relationships/hyperlink" Target="http://vk.com/id146809210" TargetMode="External"/><Relationship Id="rId1074" Type="http://schemas.openxmlformats.org/officeDocument/2006/relationships/hyperlink" Target="http://www.ok.ru/profile/149614669554/statuses/156056322031090" TargetMode="External"/><Relationship Id="rId1075" Type="http://schemas.openxmlformats.org/officeDocument/2006/relationships/hyperlink" Target="http://www.ok.ru/profile/149614669554" TargetMode="External"/><Relationship Id="rId1076" Type="http://schemas.openxmlformats.org/officeDocument/2006/relationships/hyperlink" Target="http://www.ok.ru/profile/564322633318/statuses/155237443528806" TargetMode="External"/><Relationship Id="rId1077" Type="http://schemas.openxmlformats.org/officeDocument/2006/relationships/hyperlink" Target="http://www.ok.ru/profile/564322633318" TargetMode="External"/><Relationship Id="rId1078" Type="http://schemas.openxmlformats.org/officeDocument/2006/relationships/hyperlink" Target="http://www.ok.ru/profile/575153304976/statuses/155899745966224" TargetMode="External"/><Relationship Id="rId1079" Type="http://schemas.openxmlformats.org/officeDocument/2006/relationships/hyperlink" Target="http://www.ok.ru/profile/575153304976" TargetMode="External"/><Relationship Id="rId1080" Type="http://schemas.openxmlformats.org/officeDocument/2006/relationships/hyperlink" Target="http://vk.com/wall795471382_16" TargetMode="External"/><Relationship Id="rId1081" Type="http://schemas.openxmlformats.org/officeDocument/2006/relationships/hyperlink" Target="http://vk.com/id795471382" TargetMode="External"/><Relationship Id="rId1082" Type="http://schemas.openxmlformats.org/officeDocument/2006/relationships/hyperlink" Target="http://vk.com/wall272353756_962" TargetMode="External"/><Relationship Id="rId1083" Type="http://schemas.openxmlformats.org/officeDocument/2006/relationships/hyperlink" Target="http://vk.com/id272353756" TargetMode="External"/><Relationship Id="rId1084" Type="http://schemas.openxmlformats.org/officeDocument/2006/relationships/hyperlink" Target="http://vk.com/wall231909786_1163" TargetMode="External"/><Relationship Id="rId1085" Type="http://schemas.openxmlformats.org/officeDocument/2006/relationships/hyperlink" Target="http://vk.com/id231909786" TargetMode="External"/><Relationship Id="rId1086" Type="http://schemas.openxmlformats.org/officeDocument/2006/relationships/hyperlink" Target="http://vk.com/wall373420855_2022" TargetMode="External"/><Relationship Id="rId1087" Type="http://schemas.openxmlformats.org/officeDocument/2006/relationships/hyperlink" Target="http://vk.com/id373420855" TargetMode="External"/><Relationship Id="rId1088" Type="http://schemas.openxmlformats.org/officeDocument/2006/relationships/hyperlink" Target="https://siktivkar.bezformata.com/listnews/komi-podorozhalo-podsolnechnoe-maslo/116232939/" TargetMode="External"/><Relationship Id="rId1089" Type="http://schemas.openxmlformats.org/officeDocument/2006/relationships/hyperlink" Target="http://vk.com/wall-94658526_588348?reply=588363" TargetMode="External"/><Relationship Id="rId1090" Type="http://schemas.openxmlformats.org/officeDocument/2006/relationships/hyperlink" Target="http://vk.com/id713660275" TargetMode="External"/><Relationship Id="rId1091" Type="http://schemas.openxmlformats.org/officeDocument/2006/relationships/hyperlink" Target="http://vk.com/club94658526" TargetMode="External"/><Relationship Id="rId1092" Type="http://schemas.openxmlformats.org/officeDocument/2006/relationships/hyperlink" Target="https://omsk.bezformata.com/listnews/omskih-aptekah-podorozhali-lekarstva/116232754/" TargetMode="External"/><Relationship Id="rId1093" Type="http://schemas.openxmlformats.org/officeDocument/2006/relationships/hyperlink" Target="http://www.ok.ru/group/54286420541455/topic/156055283437583" TargetMode="External"/><Relationship Id="rId1094" Type="http://schemas.openxmlformats.org/officeDocument/2006/relationships/hyperlink" Target="http://www.ok.ru/profile/557691741590" TargetMode="External"/><Relationship Id="rId1095" Type="http://schemas.openxmlformats.org/officeDocument/2006/relationships/hyperlink" Target="http://www.ok.ru/group/54286420541455" TargetMode="External"/><Relationship Id="rId1096" Type="http://schemas.openxmlformats.org/officeDocument/2006/relationships/hyperlink" Target="http://vk.com/wall-155386267_1061284?reply=1061378" TargetMode="External"/><Relationship Id="rId1097" Type="http://schemas.openxmlformats.org/officeDocument/2006/relationships/hyperlink" Target="http://vk.com/id146040951" TargetMode="External"/><Relationship Id="rId1098" Type="http://schemas.openxmlformats.org/officeDocument/2006/relationships/hyperlink" Target="http://vk.com/club155386267" TargetMode="External"/><Relationship Id="rId1099" Type="http://schemas.openxmlformats.org/officeDocument/2006/relationships/hyperlink" Target="http://www.ok.ru/profile/564989233737/statuses/155925723458377" TargetMode="External"/><Relationship Id="rId1100" Type="http://schemas.openxmlformats.org/officeDocument/2006/relationships/hyperlink" Target="http://www.ok.ru/profile/564989233737" TargetMode="External"/><Relationship Id="rId1101" Type="http://schemas.openxmlformats.org/officeDocument/2006/relationships/hyperlink" Target="http://vk.com/wall240169188_125" TargetMode="External"/><Relationship Id="rId1102" Type="http://schemas.openxmlformats.org/officeDocument/2006/relationships/hyperlink" Target="http://vk.com/id240169188" TargetMode="External"/><Relationship Id="rId1103" Type="http://schemas.openxmlformats.org/officeDocument/2006/relationships/hyperlink" Target="http://vk.com/wall-158936891_617063?reply=617078" TargetMode="External"/><Relationship Id="rId1104" Type="http://schemas.openxmlformats.org/officeDocument/2006/relationships/hyperlink" Target="http://vk.com/id204624281" TargetMode="External"/><Relationship Id="rId1105" Type="http://schemas.openxmlformats.org/officeDocument/2006/relationships/hyperlink" Target="http://vk.com/club158936891" TargetMode="External"/><Relationship Id="rId1106" Type="http://schemas.openxmlformats.org/officeDocument/2006/relationships/hyperlink" Target="http://vk.com/wall262270147_7942" TargetMode="External"/><Relationship Id="rId1107" Type="http://schemas.openxmlformats.org/officeDocument/2006/relationships/hyperlink" Target="http://vk.com/id262270147" TargetMode="External"/><Relationship Id="rId1108" Type="http://schemas.openxmlformats.org/officeDocument/2006/relationships/hyperlink" Target="http://twitter.com/tupuny1a/status/1646766144810893316" TargetMode="External"/><Relationship Id="rId1109" Type="http://schemas.openxmlformats.org/officeDocument/2006/relationships/hyperlink" Target="http://twitter.com/tupuny1a" TargetMode="External"/><Relationship Id="rId1110" Type="http://schemas.openxmlformats.org/officeDocument/2006/relationships/hyperlink" Target="http://vk.com/wall365256141_17545" TargetMode="External"/><Relationship Id="rId1111" Type="http://schemas.openxmlformats.org/officeDocument/2006/relationships/hyperlink" Target="http://vk.com/id365256141" TargetMode="External"/><Relationship Id="rId1112" Type="http://schemas.openxmlformats.org/officeDocument/2006/relationships/hyperlink" Target="http://vk.com/wall532881519_1890" TargetMode="External"/><Relationship Id="rId1113" Type="http://schemas.openxmlformats.org/officeDocument/2006/relationships/hyperlink" Target="http://vk.com/id532881519" TargetMode="External"/><Relationship Id="rId1114" Type="http://schemas.openxmlformats.org/officeDocument/2006/relationships/hyperlink" Target="http://www.ok.ru/profile/342803283537/statuses/156017191376977" TargetMode="External"/><Relationship Id="rId1115" Type="http://schemas.openxmlformats.org/officeDocument/2006/relationships/hyperlink" Target="http://www.ok.ru/profile/342803283537" TargetMode="External"/><Relationship Id="rId1116" Type="http://schemas.openxmlformats.org/officeDocument/2006/relationships/hyperlink" Target="http://vk.com/wall-149047382_2415266?reply=2415400" TargetMode="External"/><Relationship Id="rId1117" Type="http://schemas.openxmlformats.org/officeDocument/2006/relationships/hyperlink" Target="http://vk.com/id349860553" TargetMode="External"/><Relationship Id="rId1118" Type="http://schemas.openxmlformats.org/officeDocument/2006/relationships/hyperlink" Target="http://vk.com/club149047382" TargetMode="External"/><Relationship Id="rId1119" Type="http://schemas.openxmlformats.org/officeDocument/2006/relationships/hyperlink" Target="http://galya.ru/clubs/show.php?id=1392063&amp;nt=231" TargetMode="External"/><Relationship Id="rId1120" Type="http://schemas.openxmlformats.org/officeDocument/2006/relationships/hyperlink" Target="http://www.ok.ru/profile/586150499853/statuses/155781400070925" TargetMode="External"/><Relationship Id="rId1121" Type="http://schemas.openxmlformats.org/officeDocument/2006/relationships/hyperlink" Target="http://www.ok.ru/profile/586150499853" TargetMode="External"/><Relationship Id="rId1122" Type="http://schemas.openxmlformats.org/officeDocument/2006/relationships/hyperlink" Target="http://vk.com/wall452548225_3563" TargetMode="External"/><Relationship Id="rId1123" Type="http://schemas.openxmlformats.org/officeDocument/2006/relationships/hyperlink" Target="http://vk.com/id452548225" TargetMode="External"/><Relationship Id="rId1124" Type="http://schemas.openxmlformats.org/officeDocument/2006/relationships/hyperlink" Target="http://vk.com/wall9156611_979" TargetMode="External"/><Relationship Id="rId1125" Type="http://schemas.openxmlformats.org/officeDocument/2006/relationships/hyperlink" Target="http://vk.com/id9156611" TargetMode="External"/><Relationship Id="rId1126" Type="http://schemas.openxmlformats.org/officeDocument/2006/relationships/hyperlink" Target="http://vk.com/wall29903439_2582" TargetMode="External"/><Relationship Id="rId1127" Type="http://schemas.openxmlformats.org/officeDocument/2006/relationships/hyperlink" Target="http://vk.com/id29903439" TargetMode="External"/><Relationship Id="rId1128" Type="http://schemas.openxmlformats.org/officeDocument/2006/relationships/hyperlink" Target="http://vk.com/wall-59954620_1260" TargetMode="External"/><Relationship Id="rId1129" Type="http://schemas.openxmlformats.org/officeDocument/2006/relationships/hyperlink" Target="http://vk.com/club59954620" TargetMode="External"/><Relationship Id="rId1130" Type="http://schemas.openxmlformats.org/officeDocument/2006/relationships/hyperlink" Target="http://vk.com/wall629883562_11512" TargetMode="External"/><Relationship Id="rId1131" Type="http://schemas.openxmlformats.org/officeDocument/2006/relationships/hyperlink" Target="http://vk.com/id629883562" TargetMode="External"/><Relationship Id="rId1132" Type="http://schemas.openxmlformats.org/officeDocument/2006/relationships/hyperlink" Target="https://news.myseldon.com/ru/news/index/282042340" TargetMode="External"/><Relationship Id="rId1133" Type="http://schemas.openxmlformats.org/officeDocument/2006/relationships/hyperlink" Target="https://telegram.me/zvoinaukraina/23737?comment=11856403" TargetMode="External"/><Relationship Id="rId1134" Type="http://schemas.openxmlformats.org/officeDocument/2006/relationships/hyperlink" Target="https://telegram.me/Mamrikina" TargetMode="External"/><Relationship Id="rId1135" Type="http://schemas.openxmlformats.org/officeDocument/2006/relationships/hyperlink" Target="https://telegram.me/zvoinaukraina" TargetMode="External"/><Relationship Id="rId1136" Type="http://schemas.openxmlformats.org/officeDocument/2006/relationships/hyperlink" Target="http://vk.com/wall763571625_294" TargetMode="External"/><Relationship Id="rId1137" Type="http://schemas.openxmlformats.org/officeDocument/2006/relationships/hyperlink" Target="http://vk.com/id763571625" TargetMode="External"/><Relationship Id="rId1138" Type="http://schemas.openxmlformats.org/officeDocument/2006/relationships/hyperlink" Target="http://www.ok.ru/profile/559010279745/statuses/155657519846721" TargetMode="External"/><Relationship Id="rId1139" Type="http://schemas.openxmlformats.org/officeDocument/2006/relationships/hyperlink" Target="http://www.ok.ru/profile/559010279745" TargetMode="External"/><Relationship Id="rId1140" Type="http://schemas.openxmlformats.org/officeDocument/2006/relationships/hyperlink" Target="https://news.myseldon.com/ru/news/index/282039412" TargetMode="External"/><Relationship Id="rId1141" Type="http://schemas.openxmlformats.org/officeDocument/2006/relationships/hyperlink" Target="http://vk.com/wall602240033_3493" TargetMode="External"/><Relationship Id="rId1142" Type="http://schemas.openxmlformats.org/officeDocument/2006/relationships/hyperlink" Target="http://vk.com/id602240033" TargetMode="External"/><Relationship Id="rId1143" Type="http://schemas.openxmlformats.org/officeDocument/2006/relationships/hyperlink" Target="http://vk.com/wall55458522_1574" TargetMode="External"/><Relationship Id="rId1144" Type="http://schemas.openxmlformats.org/officeDocument/2006/relationships/hyperlink" Target="http://vk.com/id55458522" TargetMode="External"/><Relationship Id="rId1145" Type="http://schemas.openxmlformats.org/officeDocument/2006/relationships/hyperlink" Target="http://vk.com/wall441692341_1698" TargetMode="External"/><Relationship Id="rId1146" Type="http://schemas.openxmlformats.org/officeDocument/2006/relationships/hyperlink" Target="http://vk.com/id441692341" TargetMode="External"/><Relationship Id="rId1147" Type="http://schemas.openxmlformats.org/officeDocument/2006/relationships/hyperlink" Target="http://www.ok.ru/profile/520717131606/statuses/156126242446678" TargetMode="External"/><Relationship Id="rId1148" Type="http://schemas.openxmlformats.org/officeDocument/2006/relationships/hyperlink" Target="http://www.ok.ru/profile/520717131606" TargetMode="External"/><Relationship Id="rId1149" Type="http://schemas.openxmlformats.org/officeDocument/2006/relationships/hyperlink" Target="http://vk.com/wall-143027530_229294?reply=229364" TargetMode="External"/><Relationship Id="rId1150" Type="http://schemas.openxmlformats.org/officeDocument/2006/relationships/hyperlink" Target="http://vk.com/id56155989" TargetMode="External"/><Relationship Id="rId1151" Type="http://schemas.openxmlformats.org/officeDocument/2006/relationships/hyperlink" Target="http://vk.com/club143027530" TargetMode="External"/><Relationship Id="rId1152" Type="http://schemas.openxmlformats.org/officeDocument/2006/relationships/hyperlink" Target="http://www.ok.ru/profile/577450587657/statuses/155524211413001" TargetMode="External"/><Relationship Id="rId1153" Type="http://schemas.openxmlformats.org/officeDocument/2006/relationships/hyperlink" Target="http://www.ok.ru/profile/577450587657" TargetMode="External"/><Relationship Id="rId1154" Type="http://schemas.openxmlformats.org/officeDocument/2006/relationships/hyperlink" Target="http://vk.com/wall438296203_4281" TargetMode="External"/><Relationship Id="rId1155" Type="http://schemas.openxmlformats.org/officeDocument/2006/relationships/hyperlink" Target="http://vk.com/id438296203" TargetMode="External"/><Relationship Id="rId1156" Type="http://schemas.openxmlformats.org/officeDocument/2006/relationships/hyperlink" Target="http://www.ok.ru/profile/552533904993/statuses/155137106096993" TargetMode="External"/><Relationship Id="rId1157" Type="http://schemas.openxmlformats.org/officeDocument/2006/relationships/hyperlink" Target="http://www.ok.ru/profile/552533904993" TargetMode="External"/><Relationship Id="rId1158" Type="http://schemas.openxmlformats.org/officeDocument/2006/relationships/hyperlink" Target="http://vk.com/wall57789688_1659" TargetMode="External"/><Relationship Id="rId1159" Type="http://schemas.openxmlformats.org/officeDocument/2006/relationships/hyperlink" Target="http://vk.com/id57789688" TargetMode="External"/><Relationship Id="rId1160" Type="http://schemas.openxmlformats.org/officeDocument/2006/relationships/hyperlink" Target="https://telegram.me/covidgoodbye/255063" TargetMode="External"/><Relationship Id="rId1161" Type="http://schemas.openxmlformats.org/officeDocument/2006/relationships/hyperlink" Target="https://telegram.me/pavelvoronov" TargetMode="External"/><Relationship Id="rId1162" Type="http://schemas.openxmlformats.org/officeDocument/2006/relationships/hyperlink" Target="https://telegram.me/covidgoodbye" TargetMode="External"/><Relationship Id="rId1163" Type="http://schemas.openxmlformats.org/officeDocument/2006/relationships/hyperlink" Target="http://www.ok.ru/profile/570267295846/statuses/155237373077606" TargetMode="External"/><Relationship Id="rId1164" Type="http://schemas.openxmlformats.org/officeDocument/2006/relationships/hyperlink" Target="http://www.ok.ru/profile/570267295846" TargetMode="External"/><Relationship Id="rId1165" Type="http://schemas.openxmlformats.org/officeDocument/2006/relationships/hyperlink" Target="http://vk.com/wall765221912_4" TargetMode="External"/><Relationship Id="rId1166" Type="http://schemas.openxmlformats.org/officeDocument/2006/relationships/hyperlink" Target="http://vk.com/id765221912" TargetMode="External"/><Relationship Id="rId1167" Type="http://schemas.openxmlformats.org/officeDocument/2006/relationships/hyperlink" Target="http://www.ok.ru/profile/561165442806/statuses/156184555878646" TargetMode="External"/><Relationship Id="rId1168" Type="http://schemas.openxmlformats.org/officeDocument/2006/relationships/hyperlink" Target="http://www.ok.ru/profile/561165442806" TargetMode="External"/><Relationship Id="rId1169" Type="http://schemas.openxmlformats.org/officeDocument/2006/relationships/hyperlink" Target="http://vk.com/wall-115360655_1077226?reply=1078153&amp;thread=1077406" TargetMode="External"/><Relationship Id="rId1170" Type="http://schemas.openxmlformats.org/officeDocument/2006/relationships/hyperlink" Target="http://vk.com/id313362653" TargetMode="External"/><Relationship Id="rId1171" Type="http://schemas.openxmlformats.org/officeDocument/2006/relationships/hyperlink" Target="http://vk.com/club115360655" TargetMode="External"/><Relationship Id="rId1172" Type="http://schemas.openxmlformats.org/officeDocument/2006/relationships/hyperlink" Target="http://vk.com/wall147190197_907" TargetMode="External"/><Relationship Id="rId1173" Type="http://schemas.openxmlformats.org/officeDocument/2006/relationships/hyperlink" Target="http://vk.com/id147190197" TargetMode="External"/><Relationship Id="rId1174" Type="http://schemas.openxmlformats.org/officeDocument/2006/relationships/hyperlink" Target="http://vk.com/wall137856356_2359" TargetMode="External"/><Relationship Id="rId1175" Type="http://schemas.openxmlformats.org/officeDocument/2006/relationships/hyperlink" Target="http://vk.com/id137856356" TargetMode="External"/><Relationship Id="rId1176" Type="http://schemas.openxmlformats.org/officeDocument/2006/relationships/hyperlink" Target="http://vk.com/wall704667220_49" TargetMode="External"/><Relationship Id="rId1177" Type="http://schemas.openxmlformats.org/officeDocument/2006/relationships/hyperlink" Target="http://vk.com/id704667220" TargetMode="External"/><Relationship Id="rId1178" Type="http://schemas.openxmlformats.org/officeDocument/2006/relationships/hyperlink" Target="http://vk.com/wall-157771437_610132?reply=610139" TargetMode="External"/><Relationship Id="rId1179" Type="http://schemas.openxmlformats.org/officeDocument/2006/relationships/hyperlink" Target="http://vk.com/id647832699" TargetMode="External"/><Relationship Id="rId1180" Type="http://schemas.openxmlformats.org/officeDocument/2006/relationships/hyperlink" Target="http://vk.com/club157771437" TargetMode="External"/><Relationship Id="rId1181" Type="http://schemas.openxmlformats.org/officeDocument/2006/relationships/hyperlink" Target="https://omsk-news.net/society/2023/04/14/476658.html" TargetMode="External"/><Relationship Id="rId1182" Type="http://schemas.openxmlformats.org/officeDocument/2006/relationships/hyperlink" Target="https://news.myseldon.com/ru/news/index/282041163" TargetMode="External"/><Relationship Id="rId1183" Type="http://schemas.openxmlformats.org/officeDocument/2006/relationships/hyperlink" Target="http://vk.com/wall782213686_6276" TargetMode="External"/><Relationship Id="rId1184" Type="http://schemas.openxmlformats.org/officeDocument/2006/relationships/hyperlink" Target="http://vk.com/id782213686" TargetMode="External"/><Relationship Id="rId1185" Type="http://schemas.openxmlformats.org/officeDocument/2006/relationships/hyperlink" Target="http://vk.com/wall795922091_19" TargetMode="External"/><Relationship Id="rId1186" Type="http://schemas.openxmlformats.org/officeDocument/2006/relationships/hyperlink" Target="http://vk.com/id795922091" TargetMode="External"/><Relationship Id="rId1187" Type="http://schemas.openxmlformats.org/officeDocument/2006/relationships/hyperlink" Target="http://vk.com/wall591045721_126" TargetMode="External"/><Relationship Id="rId1188" Type="http://schemas.openxmlformats.org/officeDocument/2006/relationships/hyperlink" Target="http://vk.com/id591045721" TargetMode="External"/><Relationship Id="rId1189" Type="http://schemas.openxmlformats.org/officeDocument/2006/relationships/hyperlink" Target="https://telegram.me/MedicalTajikistan/5712" TargetMode="External"/><Relationship Id="rId1190" Type="http://schemas.openxmlformats.org/officeDocument/2006/relationships/hyperlink" Target="https://telegram.me/foreveryoungiwannabe23" TargetMode="External"/><Relationship Id="rId1191" Type="http://schemas.openxmlformats.org/officeDocument/2006/relationships/hyperlink" Target="https://telegram.me/MedicalTajikistan" TargetMode="External"/><Relationship Id="rId1192" Type="http://schemas.openxmlformats.org/officeDocument/2006/relationships/hyperlink" Target="http://vk.com/wall-89459809_144843" TargetMode="External"/><Relationship Id="rId1193" Type="http://schemas.openxmlformats.org/officeDocument/2006/relationships/hyperlink" Target="http://vk.com/club89459809" TargetMode="External"/><Relationship Id="rId1194" Type="http://schemas.openxmlformats.org/officeDocument/2006/relationships/hyperlink" Target="http://vk.com/wall376361973_510" TargetMode="External"/><Relationship Id="rId1195" Type="http://schemas.openxmlformats.org/officeDocument/2006/relationships/hyperlink" Target="http://vk.com/id376361973" TargetMode="External"/><Relationship Id="rId1196" Type="http://schemas.openxmlformats.org/officeDocument/2006/relationships/hyperlink" Target="http://vk.com/wall734909842_275" TargetMode="External"/><Relationship Id="rId1197" Type="http://schemas.openxmlformats.org/officeDocument/2006/relationships/hyperlink" Target="http://vk.com/id734909842" TargetMode="External"/><Relationship Id="rId1198" Type="http://schemas.openxmlformats.org/officeDocument/2006/relationships/hyperlink" Target="http://vk.com/wall509409524_101" TargetMode="External"/><Relationship Id="rId1199" Type="http://schemas.openxmlformats.org/officeDocument/2006/relationships/hyperlink" Target="http://vk.com/id509409524" TargetMode="External"/><Relationship Id="rId1200" Type="http://schemas.openxmlformats.org/officeDocument/2006/relationships/hyperlink" Target="http://vk.com/wall317756120_3543" TargetMode="External"/><Relationship Id="rId1201" Type="http://schemas.openxmlformats.org/officeDocument/2006/relationships/hyperlink" Target="http://vk.com/id317756120" TargetMode="External"/><Relationship Id="rId1202" Type="http://schemas.openxmlformats.org/officeDocument/2006/relationships/hyperlink" Target="http://www.ok.ru/profile/248947107710/statuses/154972733407358" TargetMode="External"/><Relationship Id="rId1203" Type="http://schemas.openxmlformats.org/officeDocument/2006/relationships/hyperlink" Target="http://www.ok.ru/profile/248947107710" TargetMode="External"/><Relationship Id="rId1204" Type="http://schemas.openxmlformats.org/officeDocument/2006/relationships/hyperlink" Target="http://vk.com/wall749183453_137" TargetMode="External"/><Relationship Id="rId1205" Type="http://schemas.openxmlformats.org/officeDocument/2006/relationships/hyperlink" Target="http://vk.com/id749183453" TargetMode="External"/><Relationship Id="rId1206" Type="http://schemas.openxmlformats.org/officeDocument/2006/relationships/hyperlink" Target="http://vk.com/wall-155403177_56807?reply=57238" TargetMode="External"/><Relationship Id="rId1207" Type="http://schemas.openxmlformats.org/officeDocument/2006/relationships/hyperlink" Target="http://vk.com/id310624774" TargetMode="External"/><Relationship Id="rId1208" Type="http://schemas.openxmlformats.org/officeDocument/2006/relationships/hyperlink" Target="http://vk.com/club155403177" TargetMode="External"/><Relationship Id="rId1209" Type="http://schemas.openxmlformats.org/officeDocument/2006/relationships/hyperlink" Target="http://www.ok.ru/profile/571306442950/statuses/155220711688390" TargetMode="External"/><Relationship Id="rId1210" Type="http://schemas.openxmlformats.org/officeDocument/2006/relationships/hyperlink" Target="http://www.ok.ru/profile/571306442950" TargetMode="External"/><Relationship Id="rId1211" Type="http://schemas.openxmlformats.org/officeDocument/2006/relationships/hyperlink" Target="http://vk.com/wall729974541_2" TargetMode="External"/><Relationship Id="rId1212" Type="http://schemas.openxmlformats.org/officeDocument/2006/relationships/hyperlink" Target="http://vk.com/id729974541" TargetMode="External"/><Relationship Id="rId1213" Type="http://schemas.openxmlformats.org/officeDocument/2006/relationships/hyperlink" Target="http://vk.com/wall458304676_349" TargetMode="External"/><Relationship Id="rId1214" Type="http://schemas.openxmlformats.org/officeDocument/2006/relationships/hyperlink" Target="http://vk.com/id458304676" TargetMode="External"/><Relationship Id="rId1215" Type="http://schemas.openxmlformats.org/officeDocument/2006/relationships/hyperlink" Target="http://www.ok.ru/group/54286420541455/topic/156055283437583" TargetMode="External"/><Relationship Id="rId1216" Type="http://schemas.openxmlformats.org/officeDocument/2006/relationships/hyperlink" Target="http://www.ok.ru/profile/584714139816" TargetMode="External"/><Relationship Id="rId1217" Type="http://schemas.openxmlformats.org/officeDocument/2006/relationships/hyperlink" Target="http://www.ok.ru/group/54286420541455" TargetMode="External"/><Relationship Id="rId1218" Type="http://schemas.openxmlformats.org/officeDocument/2006/relationships/hyperlink" Target="http://vk.com/wall450987703_645" TargetMode="External"/><Relationship Id="rId1219" Type="http://schemas.openxmlformats.org/officeDocument/2006/relationships/hyperlink" Target="http://vk.com/id450987703" TargetMode="External"/><Relationship Id="rId1220" Type="http://schemas.openxmlformats.org/officeDocument/2006/relationships/hyperlink" Target="http://vk.com/wall450987703_644" TargetMode="External"/><Relationship Id="rId1221" Type="http://schemas.openxmlformats.org/officeDocument/2006/relationships/hyperlink" Target="http://vk.com/id450987703" TargetMode="External"/><Relationship Id="rId1222" Type="http://schemas.openxmlformats.org/officeDocument/2006/relationships/hyperlink" Target="https://otzovik.com/review_14606366.html" TargetMode="External"/><Relationship Id="rId1223" Type="http://schemas.openxmlformats.org/officeDocument/2006/relationships/hyperlink" Target="https://otzovik.com/profile/AvocadoA" TargetMode="External"/><Relationship Id="rId1224" Type="http://schemas.openxmlformats.org/officeDocument/2006/relationships/hyperlink" Target="https://otzovik.com/" TargetMode="External"/><Relationship Id="rId1225" Type="http://schemas.openxmlformats.org/officeDocument/2006/relationships/hyperlink" Target="http://www.ok.ru/profile/571917508265/statuses/155755177040809" TargetMode="External"/><Relationship Id="rId1226" Type="http://schemas.openxmlformats.org/officeDocument/2006/relationships/hyperlink" Target="http://www.ok.ru/profile/571917508265" TargetMode="External"/><Relationship Id="rId1227" Type="http://schemas.openxmlformats.org/officeDocument/2006/relationships/hyperlink" Target="http://vk.com/wall-194617755_28664" TargetMode="External"/><Relationship Id="rId1228" Type="http://schemas.openxmlformats.org/officeDocument/2006/relationships/hyperlink" Target="http://vk.com/club194617755" TargetMode="External"/><Relationship Id="rId1229" Type="http://schemas.openxmlformats.org/officeDocument/2006/relationships/hyperlink" Target="http://vk.com/wall-141518790_2250357?reply=2251111" TargetMode="External"/><Relationship Id="rId1230" Type="http://schemas.openxmlformats.org/officeDocument/2006/relationships/hyperlink" Target="http://vk.com/id26835044" TargetMode="External"/><Relationship Id="rId1231" Type="http://schemas.openxmlformats.org/officeDocument/2006/relationships/hyperlink" Target="http://vk.com/club141518790" TargetMode="External"/><Relationship Id="rId1232" Type="http://schemas.openxmlformats.org/officeDocument/2006/relationships/hyperlink" Target="http://vk.com/wall63657409_2088" TargetMode="External"/><Relationship Id="rId1233" Type="http://schemas.openxmlformats.org/officeDocument/2006/relationships/hyperlink" Target="http://vk.com/id63657409" TargetMode="External"/><Relationship Id="rId1234" Type="http://schemas.openxmlformats.org/officeDocument/2006/relationships/hyperlink" Target="http://vk.com/wall795721869_12" TargetMode="External"/><Relationship Id="rId1235" Type="http://schemas.openxmlformats.org/officeDocument/2006/relationships/hyperlink" Target="http://vk.com/id795721869" TargetMode="External"/><Relationship Id="rId1236" Type="http://schemas.openxmlformats.org/officeDocument/2006/relationships/hyperlink" Target="https://www.om1.ru/bank/news/306699-v_omskikh_aptekakh_podorozhali_lekarstva_ot_otjokov_i_jjod/" TargetMode="External"/><Relationship Id="rId1237" Type="http://schemas.openxmlformats.org/officeDocument/2006/relationships/hyperlink" Target="http://vk.com/wall795732796_17" TargetMode="External"/><Relationship Id="rId1238" Type="http://schemas.openxmlformats.org/officeDocument/2006/relationships/hyperlink" Target="http://vk.com/id795732796" TargetMode="External"/><Relationship Id="rId1239" Type="http://schemas.openxmlformats.org/officeDocument/2006/relationships/hyperlink" Target="http://vk.com/wall-149047382_2415266?reply=2415365" TargetMode="External"/><Relationship Id="rId1240" Type="http://schemas.openxmlformats.org/officeDocument/2006/relationships/hyperlink" Target="http://vk.com/id349676611" TargetMode="External"/><Relationship Id="rId1241" Type="http://schemas.openxmlformats.org/officeDocument/2006/relationships/hyperlink" Target="http://vk.com/club149047382" TargetMode="External"/><Relationship Id="rId1242" Type="http://schemas.openxmlformats.org/officeDocument/2006/relationships/hyperlink" Target="http://vk.com/wall420983764_3022" TargetMode="External"/><Relationship Id="rId1243" Type="http://schemas.openxmlformats.org/officeDocument/2006/relationships/hyperlink" Target="http://vk.com/id420983764" TargetMode="External"/><Relationship Id="rId1244" Type="http://schemas.openxmlformats.org/officeDocument/2006/relationships/hyperlink" Target="http://www.ok.ru/profile/563822795630/statuses/156011461909870" TargetMode="External"/><Relationship Id="rId1245" Type="http://schemas.openxmlformats.org/officeDocument/2006/relationships/hyperlink" Target="http://www.ok.ru/profile/563822795630" TargetMode="External"/><Relationship Id="rId1246" Type="http://schemas.openxmlformats.org/officeDocument/2006/relationships/hyperlink" Target="http://www.youtube.com/watch?v=FxQUPQZtN5I&amp;lc=UgwlPEZ3UMKKqyYqAAB4AaABAg" TargetMode="External"/><Relationship Id="rId1247" Type="http://schemas.openxmlformats.org/officeDocument/2006/relationships/hyperlink" Target="http://www.youtube.com/channel/UC6nIx92vt1RoWrROX2FPk-w" TargetMode="External"/><Relationship Id="rId1248" Type="http://schemas.openxmlformats.org/officeDocument/2006/relationships/hyperlink" Target="http://www.youtube.com/channel/UCpm6vCgiehSKHtMFFS5ukiA" TargetMode="External"/><Relationship Id="rId1249" Type="http://schemas.openxmlformats.org/officeDocument/2006/relationships/hyperlink" Target="http://vk.com/wall519688656_1384" TargetMode="External"/><Relationship Id="rId1250" Type="http://schemas.openxmlformats.org/officeDocument/2006/relationships/hyperlink" Target="http://vk.com/id519688656" TargetMode="External"/><Relationship Id="rId1251" Type="http://schemas.openxmlformats.org/officeDocument/2006/relationships/hyperlink" Target="http://vk.com/wall-48067990_913230?reply=914034&amp;thread=913370" TargetMode="External"/><Relationship Id="rId1252" Type="http://schemas.openxmlformats.org/officeDocument/2006/relationships/hyperlink" Target="http://vk.com/id156575843" TargetMode="External"/><Relationship Id="rId1253" Type="http://schemas.openxmlformats.org/officeDocument/2006/relationships/hyperlink" Target="http://vk.com/club48067990" TargetMode="External"/><Relationship Id="rId1254" Type="http://schemas.openxmlformats.org/officeDocument/2006/relationships/hyperlink" Target="https://www.babyblog.ru/community/diseases/post/3125065" TargetMode="External"/><Relationship Id="rId1255" Type="http://schemas.openxmlformats.org/officeDocument/2006/relationships/hyperlink" Target="http://vk.com/wall573126056_1047" TargetMode="External"/><Relationship Id="rId1256" Type="http://schemas.openxmlformats.org/officeDocument/2006/relationships/hyperlink" Target="http://vk.com/id573126056" TargetMode="External"/><Relationship Id="rId1257" Type="http://schemas.openxmlformats.org/officeDocument/2006/relationships/hyperlink" Target="https://komiinform.ru/news/249037" TargetMode="External"/><Relationship Id="rId1258" Type="http://schemas.openxmlformats.org/officeDocument/2006/relationships/hyperlink" Target="http://gorodskoyportal.ru/syktyvkar/news/news/82553606/" TargetMode="External"/><Relationship Id="rId1259" Type="http://schemas.openxmlformats.org/officeDocument/2006/relationships/hyperlink" Target="http://vk.com/wall-1678339_2239126?reply=2239850&amp;thread=2239238" TargetMode="External"/><Relationship Id="rId1260" Type="http://schemas.openxmlformats.org/officeDocument/2006/relationships/hyperlink" Target="http://vk.com/id217763697" TargetMode="External"/><Relationship Id="rId1261" Type="http://schemas.openxmlformats.org/officeDocument/2006/relationships/hyperlink" Target="http://vk.com/club1678339" TargetMode="External"/><Relationship Id="rId1262" Type="http://schemas.openxmlformats.org/officeDocument/2006/relationships/hyperlink" Target="http://vk.com/wall418525205_103" TargetMode="External"/><Relationship Id="rId1263" Type="http://schemas.openxmlformats.org/officeDocument/2006/relationships/hyperlink" Target="http://vk.com/id418525205" TargetMode="External"/><Relationship Id="rId1264" Type="http://schemas.openxmlformats.org/officeDocument/2006/relationships/hyperlink" Target="http://vk.com/wall-164460003_1863466?reply=1866338&amp;thread=1864239" TargetMode="External"/><Relationship Id="rId1265" Type="http://schemas.openxmlformats.org/officeDocument/2006/relationships/hyperlink" Target="http://vk.com/id217763697" TargetMode="External"/><Relationship Id="rId1266" Type="http://schemas.openxmlformats.org/officeDocument/2006/relationships/hyperlink" Target="http://vk.com/club164460003" TargetMode="External"/><Relationship Id="rId1267" Type="http://schemas.openxmlformats.org/officeDocument/2006/relationships/hyperlink" Target="http://vk.com/wall-149047382_2415266?reply=2415360" TargetMode="External"/><Relationship Id="rId1268" Type="http://schemas.openxmlformats.org/officeDocument/2006/relationships/hyperlink" Target="http://vk.com/id87314122" TargetMode="External"/><Relationship Id="rId1269" Type="http://schemas.openxmlformats.org/officeDocument/2006/relationships/hyperlink" Target="http://vk.com/club149047382" TargetMode="External"/><Relationship Id="rId1270" Type="http://schemas.openxmlformats.org/officeDocument/2006/relationships/hyperlink" Target="https://www.consmed.ru/pediator/view/1111617/" TargetMode="External"/><Relationship Id="rId1271" Type="http://schemas.openxmlformats.org/officeDocument/2006/relationships/hyperlink" Target="http://vk.com/wall450756669_2349" TargetMode="External"/><Relationship Id="rId1272" Type="http://schemas.openxmlformats.org/officeDocument/2006/relationships/hyperlink" Target="http://vk.com/id450756669" TargetMode="External"/><Relationship Id="rId1273" Type="http://schemas.openxmlformats.org/officeDocument/2006/relationships/hyperlink" Target="http://vk.com/wall555474632_449" TargetMode="External"/><Relationship Id="rId1274" Type="http://schemas.openxmlformats.org/officeDocument/2006/relationships/hyperlink" Target="http://vk.com/id555474632" TargetMode="External"/><Relationship Id="rId1275" Type="http://schemas.openxmlformats.org/officeDocument/2006/relationships/hyperlink" Target="http://vk.com/wall-64735800_1253775?reply=1253856" TargetMode="External"/><Relationship Id="rId1276" Type="http://schemas.openxmlformats.org/officeDocument/2006/relationships/hyperlink" Target="http://vk.com/id124308192" TargetMode="External"/><Relationship Id="rId1277" Type="http://schemas.openxmlformats.org/officeDocument/2006/relationships/hyperlink" Target="http://vk.com/club64735800" TargetMode="External"/><Relationship Id="rId1278" Type="http://schemas.openxmlformats.org/officeDocument/2006/relationships/hyperlink" Target="http://vk.com/wall232933568_221" TargetMode="External"/><Relationship Id="rId1279" Type="http://schemas.openxmlformats.org/officeDocument/2006/relationships/hyperlink" Target="http://vk.com/id232933568" TargetMode="External"/><Relationship Id="rId1280" Type="http://schemas.openxmlformats.org/officeDocument/2006/relationships/hyperlink" Target="https://omsk.bezformata.com/listnews/oblasti-vzleteli-tceni-na-lekarstva/116231079/" TargetMode="External"/><Relationship Id="rId1281" Type="http://schemas.openxmlformats.org/officeDocument/2006/relationships/hyperlink" Target="http://www.ok.ru/profile/563171517418/statuses/156307981398250" TargetMode="External"/><Relationship Id="rId1282" Type="http://schemas.openxmlformats.org/officeDocument/2006/relationships/hyperlink" Target="http://www.ok.ru/profile/563171517418" TargetMode="External"/><Relationship Id="rId1283" Type="http://schemas.openxmlformats.org/officeDocument/2006/relationships/hyperlink" Target="http://vk.com/wall785237239_58" TargetMode="External"/><Relationship Id="rId1284" Type="http://schemas.openxmlformats.org/officeDocument/2006/relationships/hyperlink" Target="http://vk.com/id785237239" TargetMode="External"/><Relationship Id="rId1285" Type="http://schemas.openxmlformats.org/officeDocument/2006/relationships/hyperlink" Target="http://www.ok.ru/profile/578963237027/statuses/154942652011427" TargetMode="External"/><Relationship Id="rId1286" Type="http://schemas.openxmlformats.org/officeDocument/2006/relationships/hyperlink" Target="http://www.ok.ru/profile/578963237027" TargetMode="External"/><Relationship Id="rId1287" Type="http://schemas.openxmlformats.org/officeDocument/2006/relationships/hyperlink" Target="http://vk.com/wall-125331076_1255107" TargetMode="External"/><Relationship Id="rId1288" Type="http://schemas.openxmlformats.org/officeDocument/2006/relationships/hyperlink" Target="http://vk.com/club125331076" TargetMode="External"/><Relationship Id="rId1289" Type="http://schemas.openxmlformats.org/officeDocument/2006/relationships/hyperlink" Target="http://vk.com/wall789388063_19" TargetMode="External"/><Relationship Id="rId1290" Type="http://schemas.openxmlformats.org/officeDocument/2006/relationships/hyperlink" Target="http://vk.com/id789388063" TargetMode="External"/><Relationship Id="rId1291" Type="http://schemas.openxmlformats.org/officeDocument/2006/relationships/hyperlink" Target="http://vk.com/wall-121026450_71645" TargetMode="External"/><Relationship Id="rId1292" Type="http://schemas.openxmlformats.org/officeDocument/2006/relationships/hyperlink" Target="http://vk.com/club121026450" TargetMode="External"/><Relationship Id="rId1293" Type="http://schemas.openxmlformats.org/officeDocument/2006/relationships/hyperlink" Target="http://vk.com/wall795471498_18" TargetMode="External"/><Relationship Id="rId1294" Type="http://schemas.openxmlformats.org/officeDocument/2006/relationships/hyperlink" Target="http://vk.com/id795471498" TargetMode="External"/><Relationship Id="rId1295" Type="http://schemas.openxmlformats.org/officeDocument/2006/relationships/hyperlink" Target="http://vk.com/wall398247543_697" TargetMode="External"/><Relationship Id="rId1296" Type="http://schemas.openxmlformats.org/officeDocument/2006/relationships/hyperlink" Target="http://vk.com/id398247543" TargetMode="External"/><Relationship Id="rId1297" Type="http://schemas.openxmlformats.org/officeDocument/2006/relationships/hyperlink" Target="http://vk.com/wall-155386267_1061284?reply=1061323" TargetMode="External"/><Relationship Id="rId1298" Type="http://schemas.openxmlformats.org/officeDocument/2006/relationships/hyperlink" Target="http://vk.com/id121714327" TargetMode="External"/><Relationship Id="rId1299" Type="http://schemas.openxmlformats.org/officeDocument/2006/relationships/hyperlink" Target="http://vk.com/club155386267" TargetMode="External"/><Relationship Id="rId1300" Type="http://schemas.openxmlformats.org/officeDocument/2006/relationships/hyperlink" Target="https://dzen.ru/a/ZDgjEIYkRh3GBFBR#comment_1610534354" TargetMode="External"/><Relationship Id="rId1301" Type="http://schemas.openxmlformats.org/officeDocument/2006/relationships/hyperlink" Target="https://dzen.ru/id/60e7ed2cd0f55c5dfd1a0543" TargetMode="External"/><Relationship Id="rId1302" Type="http://schemas.openxmlformats.org/officeDocument/2006/relationships/hyperlink" Target="https://dzen.ru/id/60681da99678a719cc83d540" TargetMode="External"/><Relationship Id="rId1303" Type="http://schemas.openxmlformats.org/officeDocument/2006/relationships/hyperlink" Target="http://vk.com/wall140322705_1689" TargetMode="External"/><Relationship Id="rId1304" Type="http://schemas.openxmlformats.org/officeDocument/2006/relationships/hyperlink" Target="http://vk.com/id140322705" TargetMode="External"/><Relationship Id="rId1305" Type="http://schemas.openxmlformats.org/officeDocument/2006/relationships/hyperlink" Target="http://vk.com/wall-1678339_2239126?reply=2239848&amp;thread=2239238" TargetMode="External"/><Relationship Id="rId1306" Type="http://schemas.openxmlformats.org/officeDocument/2006/relationships/hyperlink" Target="http://vk.com/id231336952" TargetMode="External"/><Relationship Id="rId1307" Type="http://schemas.openxmlformats.org/officeDocument/2006/relationships/hyperlink" Target="http://vk.com/club1678339" TargetMode="External"/><Relationship Id="rId1308" Type="http://schemas.openxmlformats.org/officeDocument/2006/relationships/hyperlink" Target="http://vk.com/wall-169315723_35230" TargetMode="External"/><Relationship Id="rId1309" Type="http://schemas.openxmlformats.org/officeDocument/2006/relationships/hyperlink" Target="http://vk.com/club169315723" TargetMode="External"/><Relationship Id="rId1310" Type="http://schemas.openxmlformats.org/officeDocument/2006/relationships/hyperlink" Target="http://vk.com/wall564708783_9961" TargetMode="External"/><Relationship Id="rId1311" Type="http://schemas.openxmlformats.org/officeDocument/2006/relationships/hyperlink" Target="http://vk.com/id564708783" TargetMode="External"/><Relationship Id="rId1312" Type="http://schemas.openxmlformats.org/officeDocument/2006/relationships/hyperlink" Target="http://www.ok.ru/group/59030470918183/topic/155307719534631" TargetMode="External"/><Relationship Id="rId1313" Type="http://schemas.openxmlformats.org/officeDocument/2006/relationships/hyperlink" Target="http://www.ok.ru/group/59030470918183" TargetMode="External"/><Relationship Id="rId1314" Type="http://schemas.openxmlformats.org/officeDocument/2006/relationships/hyperlink" Target="http://vk.com/wall283537202_4469" TargetMode="External"/><Relationship Id="rId1315" Type="http://schemas.openxmlformats.org/officeDocument/2006/relationships/hyperlink" Target="http://vk.com/id283537202" TargetMode="External"/><Relationship Id="rId1316" Type="http://schemas.openxmlformats.org/officeDocument/2006/relationships/hyperlink" Target="http://www.ok.ru/profile/560939978957/statuses/156010804079565" TargetMode="External"/><Relationship Id="rId1317" Type="http://schemas.openxmlformats.org/officeDocument/2006/relationships/hyperlink" Target="http://www.ok.ru/profile/560939978957" TargetMode="External"/><Relationship Id="rId1318" Type="http://schemas.openxmlformats.org/officeDocument/2006/relationships/hyperlink" Target="http://vk.com/wall366296623_9160" TargetMode="External"/><Relationship Id="rId1319" Type="http://schemas.openxmlformats.org/officeDocument/2006/relationships/hyperlink" Target="http://vk.com/id366296623" TargetMode="External"/><Relationship Id="rId1320" Type="http://schemas.openxmlformats.org/officeDocument/2006/relationships/hyperlink" Target="http://vk.com/wall558109562_716" TargetMode="External"/><Relationship Id="rId1321" Type="http://schemas.openxmlformats.org/officeDocument/2006/relationships/hyperlink" Target="http://vk.com/id558109562" TargetMode="External"/><Relationship Id="rId1322" Type="http://schemas.openxmlformats.org/officeDocument/2006/relationships/hyperlink" Target="http://www.ok.ru/profile/556970098131/statuses/156201810062291" TargetMode="External"/><Relationship Id="rId1323" Type="http://schemas.openxmlformats.org/officeDocument/2006/relationships/hyperlink" Target="http://www.ok.ru/profile/556970098131" TargetMode="External"/><Relationship Id="rId1324" Type="http://schemas.openxmlformats.org/officeDocument/2006/relationships/hyperlink" Target="https://telegram.me/mamadinsk/22967" TargetMode="External"/><Relationship Id="rId1325" Type="http://schemas.openxmlformats.org/officeDocument/2006/relationships/hyperlink" Target="https://telegram.me/" TargetMode="External"/><Relationship Id="rId1326" Type="http://schemas.openxmlformats.org/officeDocument/2006/relationships/hyperlink" Target="https://telegram.me/mamadinsk" TargetMode="External"/><Relationship Id="rId1327" Type="http://schemas.openxmlformats.org/officeDocument/2006/relationships/hyperlink" Target="http://vk.com/wall-201246402_36795?reply=36796" TargetMode="External"/><Relationship Id="rId1328" Type="http://schemas.openxmlformats.org/officeDocument/2006/relationships/hyperlink" Target="http://vk.com/id184842913" TargetMode="External"/><Relationship Id="rId1329" Type="http://schemas.openxmlformats.org/officeDocument/2006/relationships/hyperlink" Target="http://vk.com/club201246402" TargetMode="External"/><Relationship Id="rId1330" Type="http://schemas.openxmlformats.org/officeDocument/2006/relationships/hyperlink" Target="http://www.ok.ru/profile/571011157866/statuses/155983167372138" TargetMode="External"/><Relationship Id="rId1331" Type="http://schemas.openxmlformats.org/officeDocument/2006/relationships/hyperlink" Target="http://www.ok.ru/profile/571011157866" TargetMode="External"/><Relationship Id="rId1332" Type="http://schemas.openxmlformats.org/officeDocument/2006/relationships/hyperlink" Target="http://www.ok.ru/group/52772700160167/topic/155079680781735" TargetMode="External"/><Relationship Id="rId1333" Type="http://schemas.openxmlformats.org/officeDocument/2006/relationships/hyperlink" Target="http://www.ok.ru/group/52772700160167" TargetMode="External"/><Relationship Id="rId1334" Type="http://schemas.openxmlformats.org/officeDocument/2006/relationships/hyperlink" Target="http://vk.com/wall-149047382_2415266?reply=2415338&amp;thread=2415270" TargetMode="External"/><Relationship Id="rId1335" Type="http://schemas.openxmlformats.org/officeDocument/2006/relationships/hyperlink" Target="http://vk.com/id32762807" TargetMode="External"/><Relationship Id="rId1336" Type="http://schemas.openxmlformats.org/officeDocument/2006/relationships/hyperlink" Target="http://vk.com/club149047382" TargetMode="External"/><Relationship Id="rId1337" Type="http://schemas.openxmlformats.org/officeDocument/2006/relationships/hyperlink" Target="http://vk.com/wall736177501_194" TargetMode="External"/><Relationship Id="rId1338" Type="http://schemas.openxmlformats.org/officeDocument/2006/relationships/hyperlink" Target="http://vk.com/id736177501" TargetMode="External"/><Relationship Id="rId1339" Type="http://schemas.openxmlformats.org/officeDocument/2006/relationships/hyperlink" Target="https://news.mail.ru/society/55825805/" TargetMode="External"/><Relationship Id="rId1340" Type="http://schemas.openxmlformats.org/officeDocument/2006/relationships/hyperlink" Target="http://vk.com/wall672184371_340" TargetMode="External"/><Relationship Id="rId1341" Type="http://schemas.openxmlformats.org/officeDocument/2006/relationships/hyperlink" Target="http://vk.com/id672184371" TargetMode="External"/><Relationship Id="rId1342" Type="http://schemas.openxmlformats.org/officeDocument/2006/relationships/hyperlink" Target="https://news.myseldon.com/ru/news/index/282038051" TargetMode="External"/><Relationship Id="rId1343" Type="http://schemas.openxmlformats.org/officeDocument/2006/relationships/hyperlink" Target="http://vk.com/wall737086339_134" TargetMode="External"/><Relationship Id="rId1344" Type="http://schemas.openxmlformats.org/officeDocument/2006/relationships/hyperlink" Target="http://vk.com/id737086339" TargetMode="External"/><Relationship Id="rId1345" Type="http://schemas.openxmlformats.org/officeDocument/2006/relationships/hyperlink" Target="http://vk.com/wall503829509_341" TargetMode="External"/><Relationship Id="rId1346" Type="http://schemas.openxmlformats.org/officeDocument/2006/relationships/hyperlink" Target="http://vk.com/id503829509" TargetMode="External"/><Relationship Id="rId1347" Type="http://schemas.openxmlformats.org/officeDocument/2006/relationships/hyperlink" Target="http://vk.com/wall83287751_84" TargetMode="External"/><Relationship Id="rId1348" Type="http://schemas.openxmlformats.org/officeDocument/2006/relationships/hyperlink" Target="http://vk.com/id83287751" TargetMode="External"/><Relationship Id="rId1349" Type="http://schemas.openxmlformats.org/officeDocument/2006/relationships/hyperlink" Target="http://vk.com/wall-171193480_1647567" TargetMode="External"/><Relationship Id="rId1350" Type="http://schemas.openxmlformats.org/officeDocument/2006/relationships/hyperlink" Target="http://vk.com/club171193480" TargetMode="External"/><Relationship Id="rId1351" Type="http://schemas.openxmlformats.org/officeDocument/2006/relationships/hyperlink" Target="http://vk.com/wall-62483764_580000" TargetMode="External"/><Relationship Id="rId1352" Type="http://schemas.openxmlformats.org/officeDocument/2006/relationships/hyperlink" Target="http://vk.com/club62483764" TargetMode="External"/><Relationship Id="rId1353" Type="http://schemas.openxmlformats.org/officeDocument/2006/relationships/hyperlink" Target="http://vk.com/wall-164339093_267557?reply=267668" TargetMode="External"/><Relationship Id="rId1354" Type="http://schemas.openxmlformats.org/officeDocument/2006/relationships/hyperlink" Target="http://vk.com/id18555294" TargetMode="External"/><Relationship Id="rId1355" Type="http://schemas.openxmlformats.org/officeDocument/2006/relationships/hyperlink" Target="http://vk.com/club164339093" TargetMode="External"/><Relationship Id="rId1356" Type="http://schemas.openxmlformats.org/officeDocument/2006/relationships/hyperlink" Target="http://vk.com/wall105594936_5220" TargetMode="External"/><Relationship Id="rId1357" Type="http://schemas.openxmlformats.org/officeDocument/2006/relationships/hyperlink" Target="http://vk.com/id105594936" TargetMode="External"/><Relationship Id="rId1358" Type="http://schemas.openxmlformats.org/officeDocument/2006/relationships/hyperlink" Target="http://vk.com/wall259199897_4940" TargetMode="External"/><Relationship Id="rId1359" Type="http://schemas.openxmlformats.org/officeDocument/2006/relationships/hyperlink" Target="http://vk.com/id259199897" TargetMode="External"/><Relationship Id="rId1360" Type="http://schemas.openxmlformats.org/officeDocument/2006/relationships/hyperlink" Target="http://vk.com/wall145063410_2423" TargetMode="External"/><Relationship Id="rId1361" Type="http://schemas.openxmlformats.org/officeDocument/2006/relationships/hyperlink" Target="http://vk.com/id145063410" TargetMode="External"/><Relationship Id="rId1362" Type="http://schemas.openxmlformats.org/officeDocument/2006/relationships/hyperlink" Target="https://dzen.ru/a/ZDjd3QVoDBX7vQyN" TargetMode="External"/><Relationship Id="rId1363" Type="http://schemas.openxmlformats.org/officeDocument/2006/relationships/hyperlink" Target="https://dzen.ru/id/5b62dc1a511a6c00a838ed3b" TargetMode="External"/><Relationship Id="rId1364" Type="http://schemas.openxmlformats.org/officeDocument/2006/relationships/hyperlink" Target="http://vk.com/wall-219236148_817" TargetMode="External"/><Relationship Id="rId1365" Type="http://schemas.openxmlformats.org/officeDocument/2006/relationships/hyperlink" Target="http://vk.com/club219236148" TargetMode="External"/><Relationship Id="rId1366" Type="http://schemas.openxmlformats.org/officeDocument/2006/relationships/hyperlink" Target="http://vk.com/wall-193231553_545151" TargetMode="External"/><Relationship Id="rId1367" Type="http://schemas.openxmlformats.org/officeDocument/2006/relationships/hyperlink" Target="http://vk.com/club193231553" TargetMode="External"/><Relationship Id="rId1368" Type="http://schemas.openxmlformats.org/officeDocument/2006/relationships/hyperlink" Target="http://vk.com/wall-91883335_571379" TargetMode="External"/><Relationship Id="rId1369" Type="http://schemas.openxmlformats.org/officeDocument/2006/relationships/hyperlink" Target="http://vk.com/club91883335" TargetMode="External"/><Relationship Id="rId1370" Type="http://schemas.openxmlformats.org/officeDocument/2006/relationships/hyperlink" Target="http://vk.com/wall-170234932_719730" TargetMode="External"/><Relationship Id="rId1371" Type="http://schemas.openxmlformats.org/officeDocument/2006/relationships/hyperlink" Target="http://vk.com/club170234932" TargetMode="External"/><Relationship Id="rId1372" Type="http://schemas.openxmlformats.org/officeDocument/2006/relationships/hyperlink" Target="https://telegram.me/solo_ninka/2167?comment=41963" TargetMode="External"/><Relationship Id="rId1373" Type="http://schemas.openxmlformats.org/officeDocument/2006/relationships/hyperlink" Target="https://telegram.me/Xalazi" TargetMode="External"/><Relationship Id="rId1374" Type="http://schemas.openxmlformats.org/officeDocument/2006/relationships/hyperlink" Target="https://telegram.me/solo_ninka" TargetMode="External"/><Relationship Id="rId1375" Type="http://schemas.openxmlformats.org/officeDocument/2006/relationships/hyperlink" Target="https://www.babyblog.ru/community/diseases/post/3125065" TargetMode="External"/><Relationship Id="rId1376" Type="http://schemas.openxmlformats.org/officeDocument/2006/relationships/hyperlink" Target="http://www.ok.ru/profile/553973577134/statuses/156494430253230" TargetMode="External"/><Relationship Id="rId1377" Type="http://schemas.openxmlformats.org/officeDocument/2006/relationships/hyperlink" Target="http://www.ok.ru/profile/553973577134" TargetMode="External"/><Relationship Id="rId1378" Type="http://schemas.openxmlformats.org/officeDocument/2006/relationships/hyperlink" Target="http://vk.com/wall-149047382_2415266?reply=2415327" TargetMode="External"/><Relationship Id="rId1379" Type="http://schemas.openxmlformats.org/officeDocument/2006/relationships/hyperlink" Target="http://vk.com/id67272581" TargetMode="External"/><Relationship Id="rId1380" Type="http://schemas.openxmlformats.org/officeDocument/2006/relationships/hyperlink" Target="http://vk.com/club149047382" TargetMode="External"/><Relationship Id="rId1381" Type="http://schemas.openxmlformats.org/officeDocument/2006/relationships/hyperlink" Target="http://vk.com/wall387697715_8720" TargetMode="External"/><Relationship Id="rId1382" Type="http://schemas.openxmlformats.org/officeDocument/2006/relationships/hyperlink" Target="http://vk.com/id387697715" TargetMode="External"/><Relationship Id="rId1383" Type="http://schemas.openxmlformats.org/officeDocument/2006/relationships/hyperlink" Target="http://vk.com/wall-80410546_502722" TargetMode="External"/><Relationship Id="rId1384" Type="http://schemas.openxmlformats.org/officeDocument/2006/relationships/hyperlink" Target="http://vk.com/club80410546" TargetMode="External"/><Relationship Id="rId1385" Type="http://schemas.openxmlformats.org/officeDocument/2006/relationships/hyperlink" Target="http://www.ok.ru/group/52047157264593/topic/156072033220049" TargetMode="External"/><Relationship Id="rId1386" Type="http://schemas.openxmlformats.org/officeDocument/2006/relationships/hyperlink" Target="http://www.ok.ru/profile/565251146826" TargetMode="External"/><Relationship Id="rId1387" Type="http://schemas.openxmlformats.org/officeDocument/2006/relationships/hyperlink" Target="http://www.ok.ru/group/52047157264593" TargetMode="External"/><Relationship Id="rId1388" Type="http://schemas.openxmlformats.org/officeDocument/2006/relationships/hyperlink" Target="https://gorod55.ru/news/2023-04-14/polechimsya-v-drugoy-raz-v-omskoy-oblasti-vzleteli-tseny-na-lekarstva-2902964" TargetMode="External"/><Relationship Id="rId1389" Type="http://schemas.openxmlformats.org/officeDocument/2006/relationships/hyperlink" Target="http://vk.com/wall169909138_4433" TargetMode="External"/><Relationship Id="rId1390" Type="http://schemas.openxmlformats.org/officeDocument/2006/relationships/hyperlink" Target="http://vk.com/id169909138" TargetMode="External"/><Relationship Id="rId1391" Type="http://schemas.openxmlformats.org/officeDocument/2006/relationships/hyperlink" Target="http://www.ok.ru/group/51948234997919/topic/155031404126367" TargetMode="External"/><Relationship Id="rId1392" Type="http://schemas.openxmlformats.org/officeDocument/2006/relationships/hyperlink" Target="http://www.ok.ru/profile/565251146826" TargetMode="External"/><Relationship Id="rId1393" Type="http://schemas.openxmlformats.org/officeDocument/2006/relationships/hyperlink" Target="http://www.ok.ru/group/51948234997919" TargetMode="External"/><Relationship Id="rId1394" Type="http://schemas.openxmlformats.org/officeDocument/2006/relationships/hyperlink" Target="https://telegram.me/Agitblog/18631?comment=1402533" TargetMode="External"/><Relationship Id="rId1395" Type="http://schemas.openxmlformats.org/officeDocument/2006/relationships/hyperlink" Target="https://telegram.me/Mariya_ariya" TargetMode="External"/><Relationship Id="rId1396" Type="http://schemas.openxmlformats.org/officeDocument/2006/relationships/hyperlink" Target="https://telegram.me/Agitblog" TargetMode="External"/><Relationship Id="rId1397" Type="http://schemas.openxmlformats.org/officeDocument/2006/relationships/hyperlink" Target="https://omskgazzeta.ru/all-news/omskstat-rasskazal-kakie-lekarstva-podesheveli-a-kakie-podorozhali/" TargetMode="External"/><Relationship Id="rId1398" Type="http://schemas.openxmlformats.org/officeDocument/2006/relationships/hyperlink" Target="http://www.ok.ru/profile/359365296655/statuses/156055076016143" TargetMode="External"/><Relationship Id="rId1399" Type="http://schemas.openxmlformats.org/officeDocument/2006/relationships/hyperlink" Target="http://www.ok.ru/profile/359365296655" TargetMode="External"/><Relationship Id="rId1400" Type="http://schemas.openxmlformats.org/officeDocument/2006/relationships/hyperlink" Target="http://www.ok.ru/group/52047157264593/topic/156072022537681" TargetMode="External"/><Relationship Id="rId1401" Type="http://schemas.openxmlformats.org/officeDocument/2006/relationships/hyperlink" Target="http://www.ok.ru/profile/565251146826" TargetMode="External"/><Relationship Id="rId1402" Type="http://schemas.openxmlformats.org/officeDocument/2006/relationships/hyperlink" Target="http://www.ok.ru/group/52047157264593" TargetMode="External"/><Relationship Id="rId1403" Type="http://schemas.openxmlformats.org/officeDocument/2006/relationships/hyperlink" Target="http://vk.com/wall-164460003_1866301" TargetMode="External"/><Relationship Id="rId1404" Type="http://schemas.openxmlformats.org/officeDocument/2006/relationships/hyperlink" Target="http://vk.com/club164460003" TargetMode="External"/><Relationship Id="rId1405" Type="http://schemas.openxmlformats.org/officeDocument/2006/relationships/hyperlink" Target="http://www.ok.ru/profile/259972109570/statuses/154611594855682" TargetMode="External"/><Relationship Id="rId1406" Type="http://schemas.openxmlformats.org/officeDocument/2006/relationships/hyperlink" Target="http://www.ok.ru/profile/259972109570" TargetMode="External"/><Relationship Id="rId1407" Type="http://schemas.openxmlformats.org/officeDocument/2006/relationships/hyperlink" Target="http://www.ok.ru/profile/188121208872/statuses/155439509216040" TargetMode="External"/><Relationship Id="rId1408" Type="http://schemas.openxmlformats.org/officeDocument/2006/relationships/hyperlink" Target="http://www.ok.ru/profile/188121208872" TargetMode="External"/><Relationship Id="rId1409" Type="http://schemas.openxmlformats.org/officeDocument/2006/relationships/hyperlink" Target="http://www.ok.ru/group/52311804215437/topic/156068734931085" TargetMode="External"/><Relationship Id="rId1410" Type="http://schemas.openxmlformats.org/officeDocument/2006/relationships/hyperlink" Target="http://www.ok.ru/profile/565251146826" TargetMode="External"/><Relationship Id="rId1411" Type="http://schemas.openxmlformats.org/officeDocument/2006/relationships/hyperlink" Target="http://www.ok.ru/group/52311804215437" TargetMode="External"/><Relationship Id="rId1412" Type="http://schemas.openxmlformats.org/officeDocument/2006/relationships/hyperlink" Target="https://telegram.me/animeechatbeseda/1692749" TargetMode="External"/><Relationship Id="rId1413" Type="http://schemas.openxmlformats.org/officeDocument/2006/relationships/hyperlink" Target="https://telegram.me/" TargetMode="External"/><Relationship Id="rId1414" Type="http://schemas.openxmlformats.org/officeDocument/2006/relationships/hyperlink" Target="https://telegram.me/animeechatbeseda" TargetMode="External"/><Relationship Id="rId1415" Type="http://schemas.openxmlformats.org/officeDocument/2006/relationships/hyperlink" Target="http://www.ok.ru/profile/530750404755/statuses/156024492103827" TargetMode="External"/><Relationship Id="rId1416" Type="http://schemas.openxmlformats.org/officeDocument/2006/relationships/hyperlink" Target="http://www.ok.ru/profile/530750404755" TargetMode="External"/><Relationship Id="rId1417" Type="http://schemas.openxmlformats.org/officeDocument/2006/relationships/hyperlink" Target="http://vk.com/wall149538968_17438" TargetMode="External"/><Relationship Id="rId1418" Type="http://schemas.openxmlformats.org/officeDocument/2006/relationships/hyperlink" Target="http://vk.com/id149538968" TargetMode="External"/><Relationship Id="rId1419" Type="http://schemas.openxmlformats.org/officeDocument/2006/relationships/hyperlink" Target="http://vk.com/wall676614947_51" TargetMode="External"/><Relationship Id="rId1420" Type="http://schemas.openxmlformats.org/officeDocument/2006/relationships/hyperlink" Target="http://vk.com/id676614947" TargetMode="External"/><Relationship Id="rId1421" Type="http://schemas.openxmlformats.org/officeDocument/2006/relationships/hyperlink" Target="http://www.ok.ru/profile/589865463330/statuses/154840457876258" TargetMode="External"/><Relationship Id="rId1422" Type="http://schemas.openxmlformats.org/officeDocument/2006/relationships/hyperlink" Target="http://www.ok.ru/profile/589865463330" TargetMode="External"/><Relationship Id="rId1423" Type="http://schemas.openxmlformats.org/officeDocument/2006/relationships/hyperlink" Target="http://www.ok.ru/profile/553658141685/statuses/157996086232565" TargetMode="External"/><Relationship Id="rId1424" Type="http://schemas.openxmlformats.org/officeDocument/2006/relationships/hyperlink" Target="http://www.ok.ru/profile/553658141685" TargetMode="External"/><Relationship Id="rId1425" Type="http://schemas.openxmlformats.org/officeDocument/2006/relationships/hyperlink" Target="http://www.ok.ru/profile/538222657024/statuses/160958103291904" TargetMode="External"/><Relationship Id="rId1426" Type="http://schemas.openxmlformats.org/officeDocument/2006/relationships/hyperlink" Target="http://www.ok.ru/profile/538222657024" TargetMode="External"/><Relationship Id="rId1427" Type="http://schemas.openxmlformats.org/officeDocument/2006/relationships/hyperlink" Target="http://www.ok.ru/profile/575503381903/statuses/156129590896015" TargetMode="External"/><Relationship Id="rId1428" Type="http://schemas.openxmlformats.org/officeDocument/2006/relationships/hyperlink" Target="http://www.ok.ru/profile/575503381903" TargetMode="External"/><Relationship Id="rId1429" Type="http://schemas.openxmlformats.org/officeDocument/2006/relationships/hyperlink" Target="http://vk.com/wall34965321_3200" TargetMode="External"/><Relationship Id="rId1430" Type="http://schemas.openxmlformats.org/officeDocument/2006/relationships/hyperlink" Target="http://vk.com/id34965321" TargetMode="External"/><Relationship Id="rId1431" Type="http://schemas.openxmlformats.org/officeDocument/2006/relationships/hyperlink" Target="https://omsk.bezformata.com/listnews/omske-podskochili-tceni-na-lekarstva/116229657/" TargetMode="External"/><Relationship Id="rId1432" Type="http://schemas.openxmlformats.org/officeDocument/2006/relationships/hyperlink" Target="http://www.ok.ru/profile/536306069978/statuses/156622571486682" TargetMode="External"/><Relationship Id="rId1433" Type="http://schemas.openxmlformats.org/officeDocument/2006/relationships/hyperlink" Target="http://www.ok.ru/profile/536306069978" TargetMode="External"/><Relationship Id="rId1434" Type="http://schemas.openxmlformats.org/officeDocument/2006/relationships/hyperlink" Target="http://vk.com/wall533585223_145" TargetMode="External"/><Relationship Id="rId1435" Type="http://schemas.openxmlformats.org/officeDocument/2006/relationships/hyperlink" Target="http://vk.com/id533585223" TargetMode="External"/><Relationship Id="rId1436" Type="http://schemas.openxmlformats.org/officeDocument/2006/relationships/hyperlink" Target="http://vk.com/wall190679892_1056" TargetMode="External"/><Relationship Id="rId1437" Type="http://schemas.openxmlformats.org/officeDocument/2006/relationships/hyperlink" Target="http://vk.com/id190679892" TargetMode="External"/><Relationship Id="rId1438" Type="http://schemas.openxmlformats.org/officeDocument/2006/relationships/hyperlink" Target="http://www.ok.ru/profile/544707643032/statuses/155610262810008" TargetMode="External"/><Relationship Id="rId1439" Type="http://schemas.openxmlformats.org/officeDocument/2006/relationships/hyperlink" Target="http://www.ok.ru/profile/544707643032" TargetMode="External"/><Relationship Id="rId1440" Type="http://schemas.openxmlformats.org/officeDocument/2006/relationships/hyperlink" Target="http://www.ok.ru/group/68983449583669/topic/156217696802101" TargetMode="External"/><Relationship Id="rId1441" Type="http://schemas.openxmlformats.org/officeDocument/2006/relationships/hyperlink" Target="http://www.ok.ru/group/68983449583669" TargetMode="External"/><Relationship Id="rId1442" Type="http://schemas.openxmlformats.org/officeDocument/2006/relationships/hyperlink" Target="http://vk.com/wall-194617464_563082" TargetMode="External"/><Relationship Id="rId1443" Type="http://schemas.openxmlformats.org/officeDocument/2006/relationships/hyperlink" Target="http://vk.com/club194617464" TargetMode="External"/><Relationship Id="rId1444" Type="http://schemas.openxmlformats.org/officeDocument/2006/relationships/hyperlink" Target="http://vk.com/wall-188434551_134574?reply=134589" TargetMode="External"/><Relationship Id="rId1445" Type="http://schemas.openxmlformats.org/officeDocument/2006/relationships/hyperlink" Target="http://vk.com/id166694960" TargetMode="External"/><Relationship Id="rId1446" Type="http://schemas.openxmlformats.org/officeDocument/2006/relationships/hyperlink" Target="http://vk.com/club188434551" TargetMode="External"/><Relationship Id="rId1447" Type="http://schemas.openxmlformats.org/officeDocument/2006/relationships/hyperlink" Target="https://telegram.me/voenacher/42900?comment=5778264" TargetMode="External"/><Relationship Id="rId1448" Type="http://schemas.openxmlformats.org/officeDocument/2006/relationships/hyperlink" Target="https://telegram.me/SergeyEvgenievis" TargetMode="External"/><Relationship Id="rId1449" Type="http://schemas.openxmlformats.org/officeDocument/2006/relationships/hyperlink" Target="https://telegram.me/voenacher" TargetMode="External"/><Relationship Id="rId1450" Type="http://schemas.openxmlformats.org/officeDocument/2006/relationships/hyperlink" Target="https://news.myseldon.com/ru/news/index/282035672" TargetMode="External"/><Relationship Id="rId1451" Type="http://schemas.openxmlformats.org/officeDocument/2006/relationships/hyperlink" Target="http://vk.com/wall-51267957_560156?reply=560160" TargetMode="External"/><Relationship Id="rId1452" Type="http://schemas.openxmlformats.org/officeDocument/2006/relationships/hyperlink" Target="http://vk.com/id217973765" TargetMode="External"/><Relationship Id="rId1453" Type="http://schemas.openxmlformats.org/officeDocument/2006/relationships/hyperlink" Target="http://vk.com/club51267957" TargetMode="External"/><Relationship Id="rId1454" Type="http://schemas.openxmlformats.org/officeDocument/2006/relationships/hyperlink" Target="http://vk.com/wall-158393246_1356109" TargetMode="External"/><Relationship Id="rId1455" Type="http://schemas.openxmlformats.org/officeDocument/2006/relationships/hyperlink" Target="http://vk.com/club158393246" TargetMode="External"/><Relationship Id="rId1456" Type="http://schemas.openxmlformats.org/officeDocument/2006/relationships/hyperlink" Target="http://vk.com/wall317674441_4059" TargetMode="External"/><Relationship Id="rId1457" Type="http://schemas.openxmlformats.org/officeDocument/2006/relationships/hyperlink" Target="http://vk.com/id317674441" TargetMode="External"/><Relationship Id="rId1458" Type="http://schemas.openxmlformats.org/officeDocument/2006/relationships/hyperlink" Target="http://vk.com/wall-211308622_569" TargetMode="External"/><Relationship Id="rId1459" Type="http://schemas.openxmlformats.org/officeDocument/2006/relationships/hyperlink" Target="http://vk.com/club211308622" TargetMode="External"/><Relationship Id="rId1460" Type="http://schemas.openxmlformats.org/officeDocument/2006/relationships/hyperlink" Target="http://vk.com/wall617408552_2508" TargetMode="External"/><Relationship Id="rId1461" Type="http://schemas.openxmlformats.org/officeDocument/2006/relationships/hyperlink" Target="http://vk.com/id617408552" TargetMode="External"/><Relationship Id="rId1462" Type="http://schemas.openxmlformats.org/officeDocument/2006/relationships/hyperlink" Target="http://instagram.com/reel/CrAKoDuM0mW" TargetMode="External"/><Relationship Id="rId1463" Type="http://schemas.openxmlformats.org/officeDocument/2006/relationships/hyperlink" Target="http://instagram.com/dr_vitalina_berezovskaya" TargetMode="External"/><Relationship Id="rId1464" Type="http://schemas.openxmlformats.org/officeDocument/2006/relationships/hyperlink" Target="http://www.ok.ru/profile/558022227661/statuses/156010504645581" TargetMode="External"/><Relationship Id="rId1465" Type="http://schemas.openxmlformats.org/officeDocument/2006/relationships/hyperlink" Target="http://www.ok.ru/profile/558022227661" TargetMode="External"/><Relationship Id="rId1466" Type="http://schemas.openxmlformats.org/officeDocument/2006/relationships/hyperlink" Target="http://vk.com/wall-149047382_2415266?reply=2415270" TargetMode="External"/><Relationship Id="rId1467" Type="http://schemas.openxmlformats.org/officeDocument/2006/relationships/hyperlink" Target="http://vk.com/id171022826" TargetMode="External"/><Relationship Id="rId1468" Type="http://schemas.openxmlformats.org/officeDocument/2006/relationships/hyperlink" Target="http://vk.com/club149047382" TargetMode="External"/><Relationship Id="rId1469" Type="http://schemas.openxmlformats.org/officeDocument/2006/relationships/hyperlink" Target="http://www.ok.ru/profile/553579171185/statuses/155997680721265" TargetMode="External"/><Relationship Id="rId1470" Type="http://schemas.openxmlformats.org/officeDocument/2006/relationships/hyperlink" Target="http://www.ok.ru/profile/553579171185" TargetMode="External"/><Relationship Id="rId1471" Type="http://schemas.openxmlformats.org/officeDocument/2006/relationships/hyperlink" Target="http://www.ok.ru/profile/539890705849/statuses/155683886560697" TargetMode="External"/><Relationship Id="rId1472" Type="http://schemas.openxmlformats.org/officeDocument/2006/relationships/hyperlink" Target="http://www.ok.ru/profile/539890705849" TargetMode="External"/><Relationship Id="rId1473" Type="http://schemas.openxmlformats.org/officeDocument/2006/relationships/hyperlink" Target="http://www.ok.ru/profile/555801501433/statuses/155284041761017" TargetMode="External"/><Relationship Id="rId1474" Type="http://schemas.openxmlformats.org/officeDocument/2006/relationships/hyperlink" Target="http://www.ok.ru/profile/555801501433" TargetMode="External"/><Relationship Id="rId1475" Type="http://schemas.openxmlformats.org/officeDocument/2006/relationships/hyperlink" Target="http://vk.com/wall381386105_36746" TargetMode="External"/><Relationship Id="rId1476" Type="http://schemas.openxmlformats.org/officeDocument/2006/relationships/hyperlink" Target="http://vk.com/id381386105" TargetMode="External"/><Relationship Id="rId1477" Type="http://schemas.openxmlformats.org/officeDocument/2006/relationships/hyperlink" Target="http://www.ok.ru/group/53329523048599/topic/155378633134999" TargetMode="External"/><Relationship Id="rId1478" Type="http://schemas.openxmlformats.org/officeDocument/2006/relationships/hyperlink" Target="http://www.ok.ru/group/53329523048599" TargetMode="External"/><Relationship Id="rId1479" Type="http://schemas.openxmlformats.org/officeDocument/2006/relationships/hyperlink" Target="http://www.ok.ru/profile/561247952113/statuses/156567547542513" TargetMode="External"/><Relationship Id="rId1480" Type="http://schemas.openxmlformats.org/officeDocument/2006/relationships/hyperlink" Target="http://www.ok.ru/profile/561247952113" TargetMode="External"/><Relationship Id="rId1481" Type="http://schemas.openxmlformats.org/officeDocument/2006/relationships/hyperlink" Target="http://www.ok.ru/profile/562669683089/statuses/156515359902609" TargetMode="External"/><Relationship Id="rId1482" Type="http://schemas.openxmlformats.org/officeDocument/2006/relationships/hyperlink" Target="http://www.ok.ru/profile/562669683089" TargetMode="External"/><Relationship Id="rId1483" Type="http://schemas.openxmlformats.org/officeDocument/2006/relationships/hyperlink" Target="https://mom.life/post/6438cb35880b3a5230586947" TargetMode="External"/><Relationship Id="rId1484" Type="http://schemas.openxmlformats.org/officeDocument/2006/relationships/hyperlink" Target="https://mom.life/profile/5e734b0223d3e14ce82410db" TargetMode="External"/><Relationship Id="rId1485" Type="http://schemas.openxmlformats.org/officeDocument/2006/relationships/hyperlink" Target="https://mom.life/" TargetMode="External"/><Relationship Id="rId1486" Type="http://schemas.openxmlformats.org/officeDocument/2006/relationships/hyperlink" Target="https://mom.life/post/6438cb35880b3a5230586947" TargetMode="External"/><Relationship Id="rId1487" Type="http://schemas.openxmlformats.org/officeDocument/2006/relationships/hyperlink" Target="https://mom.life/profile/5e734b0223d3e14ce82410db" TargetMode="External"/><Relationship Id="rId1488" Type="http://schemas.openxmlformats.org/officeDocument/2006/relationships/hyperlink" Target="https://mom.life/" TargetMode="External"/><Relationship Id="rId1489" Type="http://schemas.openxmlformats.org/officeDocument/2006/relationships/hyperlink" Target="http://www.ok.ru/profile/576168828394/statuses/156307592573162" TargetMode="External"/><Relationship Id="rId1490" Type="http://schemas.openxmlformats.org/officeDocument/2006/relationships/hyperlink" Target="http://www.ok.ru/profile/576168828394" TargetMode="External"/><Relationship Id="rId1491" Type="http://schemas.openxmlformats.org/officeDocument/2006/relationships/hyperlink" Target="https://superomsk.ru/news/124323-v_omske_podskochili_tsen_na_lekarstva_iz_spiska_ji/" TargetMode="External"/><Relationship Id="rId1492" Type="http://schemas.openxmlformats.org/officeDocument/2006/relationships/hyperlink" Target="http://www.ok.ru/profile/563151551153/statuses/156717325007025" TargetMode="External"/><Relationship Id="rId1493" Type="http://schemas.openxmlformats.org/officeDocument/2006/relationships/hyperlink" Target="http://www.ok.ru/profile/563151551153" TargetMode="External"/><Relationship Id="rId1494" Type="http://schemas.openxmlformats.org/officeDocument/2006/relationships/hyperlink" Target="https://mom.life/post/6438cb35880b3a5230586947" TargetMode="External"/><Relationship Id="rId1495" Type="http://schemas.openxmlformats.org/officeDocument/2006/relationships/hyperlink" Target="https://mom.life/" TargetMode="External"/><Relationship Id="rId1496" Type="http://schemas.openxmlformats.org/officeDocument/2006/relationships/hyperlink" Target="http://www.ok.ru/profile/165636450528/statuses/154797371833824" TargetMode="External"/><Relationship Id="rId1497" Type="http://schemas.openxmlformats.org/officeDocument/2006/relationships/hyperlink" Target="http://www.ok.ru/profile/165636450528" TargetMode="External"/><Relationship Id="rId1498" Type="http://schemas.openxmlformats.org/officeDocument/2006/relationships/hyperlink" Target="http://www.ok.ru/profile/537829469693/statuses/155068676113405" TargetMode="External"/><Relationship Id="rId1499" Type="http://schemas.openxmlformats.org/officeDocument/2006/relationships/hyperlink" Target="http://www.ok.ru/profile/537829469693" TargetMode="External"/><Relationship Id="rId1500" Type="http://schemas.openxmlformats.org/officeDocument/2006/relationships/hyperlink" Target="http://vk.com/wall425267596_2274" TargetMode="External"/><Relationship Id="rId1501" Type="http://schemas.openxmlformats.org/officeDocument/2006/relationships/hyperlink" Target="http://vk.com/id425267596" TargetMode="External"/><Relationship Id="rId1502" Type="http://schemas.openxmlformats.org/officeDocument/2006/relationships/hyperlink" Target="http://kvnews.ru/news-feed/pod-konets-zimy-v-omskoy-oblasti-zametno-podorozhalo-lekarstvo-ot-otkov" TargetMode="External"/><Relationship Id="rId1503" Type="http://schemas.openxmlformats.org/officeDocument/2006/relationships/hyperlink" Target="http://www.ok.ru/profile/537036869178/statuses/155479325418298" TargetMode="External"/><Relationship Id="rId1504" Type="http://schemas.openxmlformats.org/officeDocument/2006/relationships/hyperlink" Target="http://www.ok.ru/profile/537036869178" TargetMode="External"/><Relationship Id="rId1505" Type="http://schemas.openxmlformats.org/officeDocument/2006/relationships/hyperlink" Target="https://compromat41.com/wiki/item/70756-virus-zhadnosti-glavnoe-rossiyskoe-lekarstvo-ot-covid-19-okazalos-pustyshkoy-zakuplennoy-v-kitae-i-krayne-toksichnoy" TargetMode="External"/><Relationship Id="rId1506" Type="http://schemas.openxmlformats.org/officeDocument/2006/relationships/hyperlink" Target="https://oha.bezformata.com/listnews/rasskazal-kak-izmenilis-tceni/116228214/" TargetMode="External"/><Relationship Id="rId1507" Type="http://schemas.openxmlformats.org/officeDocument/2006/relationships/hyperlink" Target="http://www.ok.ru/group/53516342591590/topic/155236909279334" TargetMode="External"/><Relationship Id="rId1508" Type="http://schemas.openxmlformats.org/officeDocument/2006/relationships/hyperlink" Target="http://www.ok.ru/profile/569460760498" TargetMode="External"/><Relationship Id="rId1509" Type="http://schemas.openxmlformats.org/officeDocument/2006/relationships/hyperlink" Target="http://www.ok.ru/group/53516342591590" TargetMode="External"/><Relationship Id="rId1510" Type="http://schemas.openxmlformats.org/officeDocument/2006/relationships/hyperlink" Target="http://www.ok.ru/profile/568025139843/statuses/154870451922307" TargetMode="External"/><Relationship Id="rId1511" Type="http://schemas.openxmlformats.org/officeDocument/2006/relationships/hyperlink" Target="http://www.ok.ru/profile/568025139843" TargetMode="External"/><Relationship Id="rId1512" Type="http://schemas.openxmlformats.org/officeDocument/2006/relationships/hyperlink" Target="http://vk.com/wall248074270_2980" TargetMode="External"/><Relationship Id="rId1513" Type="http://schemas.openxmlformats.org/officeDocument/2006/relationships/hyperlink" Target="http://vk.com/id248074270" TargetMode="External"/><Relationship Id="rId1514" Type="http://schemas.openxmlformats.org/officeDocument/2006/relationships/hyperlink" Target="http://www.ok.ru/profile/572047729010/statuses/156144388175986" TargetMode="External"/><Relationship Id="rId1515" Type="http://schemas.openxmlformats.org/officeDocument/2006/relationships/hyperlink" Target="http://www.ok.ru/profile/572047729010" TargetMode="External"/><Relationship Id="rId1516" Type="http://schemas.openxmlformats.org/officeDocument/2006/relationships/hyperlink" Target="http://vk.com/wall709523761_155" TargetMode="External"/><Relationship Id="rId1517" Type="http://schemas.openxmlformats.org/officeDocument/2006/relationships/hyperlink" Target="http://vk.com/id709523761" TargetMode="External"/><Relationship Id="rId1518" Type="http://schemas.openxmlformats.org/officeDocument/2006/relationships/hyperlink" Target="http://www.ok.ru/group/57532833464371/topic/156008583608371" TargetMode="External"/><Relationship Id="rId1519" Type="http://schemas.openxmlformats.org/officeDocument/2006/relationships/hyperlink" Target="http://www.ok.ru/profile/325218320462" TargetMode="External"/><Relationship Id="rId1520" Type="http://schemas.openxmlformats.org/officeDocument/2006/relationships/hyperlink" Target="http://www.ok.ru/group/57532833464371" TargetMode="External"/><Relationship Id="rId1521" Type="http://schemas.openxmlformats.org/officeDocument/2006/relationships/hyperlink" Target="http://vk.com/wall489488577_213" TargetMode="External"/><Relationship Id="rId1522" Type="http://schemas.openxmlformats.org/officeDocument/2006/relationships/hyperlink" Target="http://vk.com/id489488577" TargetMode="External"/><Relationship Id="rId1523" Type="http://schemas.openxmlformats.org/officeDocument/2006/relationships/hyperlink" Target="http://www.ok.ru/profile/574051699097/statuses/155617962270873" TargetMode="External"/><Relationship Id="rId1524" Type="http://schemas.openxmlformats.org/officeDocument/2006/relationships/hyperlink" Target="http://www.ok.ru/profile/574051699097" TargetMode="External"/><Relationship Id="rId1525" Type="http://schemas.openxmlformats.org/officeDocument/2006/relationships/hyperlink" Target="https://dzen.ru/a/ZDhesJiDtg7PFCTV" TargetMode="External"/><Relationship Id="rId1526" Type="http://schemas.openxmlformats.org/officeDocument/2006/relationships/hyperlink" Target="https://dzen.ru/id/6162fa04e2620c7711b16269" TargetMode="External"/><Relationship Id="rId1527" Type="http://schemas.openxmlformats.org/officeDocument/2006/relationships/hyperlink" Target="http://gorodskoyportal.ru/omsk/news/biz/82550886/" TargetMode="External"/><Relationship Id="rId1528" Type="http://schemas.openxmlformats.org/officeDocument/2006/relationships/hyperlink" Target="http://www.ok.ru/profile/580969950263/statuses/155711994700599" TargetMode="External"/><Relationship Id="rId1529" Type="http://schemas.openxmlformats.org/officeDocument/2006/relationships/hyperlink" Target="http://www.ok.ru/profile/580969950263" TargetMode="External"/><Relationship Id="rId1530" Type="http://schemas.openxmlformats.org/officeDocument/2006/relationships/hyperlink" Target="http://vk.com/wall448488219_797" TargetMode="External"/><Relationship Id="rId1531" Type="http://schemas.openxmlformats.org/officeDocument/2006/relationships/hyperlink" Target="http://vk.com/id448488219" TargetMode="External"/><Relationship Id="rId1532" Type="http://schemas.openxmlformats.org/officeDocument/2006/relationships/hyperlink" Target="http://www.ok.ru/profile/564537194458/statuses/156622234238426" TargetMode="External"/><Relationship Id="rId1533" Type="http://schemas.openxmlformats.org/officeDocument/2006/relationships/hyperlink" Target="http://www.ok.ru/profile/564537194458" TargetMode="External"/><Relationship Id="rId1534" Type="http://schemas.openxmlformats.org/officeDocument/2006/relationships/hyperlink" Target="http://vk.com/wall-12376406_2453" TargetMode="External"/><Relationship Id="rId1535" Type="http://schemas.openxmlformats.org/officeDocument/2006/relationships/hyperlink" Target="http://vk.com/club12376406" TargetMode="External"/><Relationship Id="rId1536" Type="http://schemas.openxmlformats.org/officeDocument/2006/relationships/hyperlink" Target="http://www.ok.ru/profile/576339102256/statuses/156247510825008" TargetMode="External"/><Relationship Id="rId1537" Type="http://schemas.openxmlformats.org/officeDocument/2006/relationships/hyperlink" Target="http://www.ok.ru/profile/576339102256" TargetMode="External"/><Relationship Id="rId1538" Type="http://schemas.openxmlformats.org/officeDocument/2006/relationships/hyperlink" Target="http://www.ok.ru/profile/553862374363/statuses/155113854460123" TargetMode="External"/><Relationship Id="rId1539" Type="http://schemas.openxmlformats.org/officeDocument/2006/relationships/hyperlink" Target="http://www.ok.ru/profile/553862374363" TargetMode="External"/><Relationship Id="rId1540" Type="http://schemas.openxmlformats.org/officeDocument/2006/relationships/hyperlink" Target="http://www.ok.ru/profile/518898259383/statuses/155817884694711" TargetMode="External"/><Relationship Id="rId1541" Type="http://schemas.openxmlformats.org/officeDocument/2006/relationships/hyperlink" Target="http://www.ok.ru/profile/518898259383" TargetMode="External"/><Relationship Id="rId1542" Type="http://schemas.openxmlformats.org/officeDocument/2006/relationships/hyperlink" Target="http://vk.com/wall-141518790_2250357?reply=2250362" TargetMode="External"/><Relationship Id="rId1543" Type="http://schemas.openxmlformats.org/officeDocument/2006/relationships/hyperlink" Target="http://vk.com/id215922387" TargetMode="External"/><Relationship Id="rId1544" Type="http://schemas.openxmlformats.org/officeDocument/2006/relationships/hyperlink" Target="http://vk.com/club141518790" TargetMode="External"/><Relationship Id="rId1545" Type="http://schemas.openxmlformats.org/officeDocument/2006/relationships/hyperlink" Target="http://www.ok.ru/profile/574961685209/statuses/155522788946905" TargetMode="External"/><Relationship Id="rId1546" Type="http://schemas.openxmlformats.org/officeDocument/2006/relationships/hyperlink" Target="http://www.ok.ru/profile/574961685209" TargetMode="External"/><Relationship Id="rId1547" Type="http://schemas.openxmlformats.org/officeDocument/2006/relationships/hyperlink" Target="http://vk.com/wall-141518790_2250357?reply=2250359" TargetMode="External"/><Relationship Id="rId1548" Type="http://schemas.openxmlformats.org/officeDocument/2006/relationships/hyperlink" Target="http://vk.com/id173834894" TargetMode="External"/><Relationship Id="rId1549" Type="http://schemas.openxmlformats.org/officeDocument/2006/relationships/hyperlink" Target="http://vk.com/club141518790" TargetMode="External"/><Relationship Id="rId1550" Type="http://schemas.openxmlformats.org/officeDocument/2006/relationships/hyperlink" Target="http://www.ok.ru/profile/562686340784/statuses/156234164546992" TargetMode="External"/><Relationship Id="rId1551" Type="http://schemas.openxmlformats.org/officeDocument/2006/relationships/hyperlink" Target="http://www.ok.ru/profile/562686340784" TargetMode="External"/><Relationship Id="rId1552" Type="http://schemas.openxmlformats.org/officeDocument/2006/relationships/hyperlink" Target="http://www.ok.ru/profile/582230377991/statuses/155120185805575" TargetMode="External"/><Relationship Id="rId1553" Type="http://schemas.openxmlformats.org/officeDocument/2006/relationships/hyperlink" Target="http://www.ok.ru/profile/582230377991" TargetMode="External"/><Relationship Id="rId1554" Type="http://schemas.openxmlformats.org/officeDocument/2006/relationships/hyperlink" Target="http://www.ok.ru/profile/528350768432/statuses/156247482513456" TargetMode="External"/><Relationship Id="rId1555" Type="http://schemas.openxmlformats.org/officeDocument/2006/relationships/hyperlink" Target="http://www.ok.ru/profile/528350768432" TargetMode="External"/><Relationship Id="rId1556" Type="http://schemas.openxmlformats.org/officeDocument/2006/relationships/hyperlink" Target="http://instagram.com/p/CrAA-3ooIzG/c/18286811008107295/" TargetMode="External"/><Relationship Id="rId1557" Type="http://schemas.openxmlformats.org/officeDocument/2006/relationships/hyperlink" Target="http://instagram.com/okha65ru" TargetMode="External"/><Relationship Id="rId1558" Type="http://schemas.openxmlformats.org/officeDocument/2006/relationships/hyperlink" Target="http://www.ok.ru/profile/556735436761/statuses/155522774332377" TargetMode="External"/><Relationship Id="rId1559" Type="http://schemas.openxmlformats.org/officeDocument/2006/relationships/hyperlink" Target="http://www.ok.ru/profile/556735436761" TargetMode="External"/><Relationship Id="rId1560" Type="http://schemas.openxmlformats.org/officeDocument/2006/relationships/hyperlink" Target="https://okha65.ru/news/obschestvo/9920.html" TargetMode="External"/><Relationship Id="rId1561" Type="http://schemas.openxmlformats.org/officeDocument/2006/relationships/hyperlink" Target="http://vk.com/wall594251889_54104" TargetMode="External"/><Relationship Id="rId1562" Type="http://schemas.openxmlformats.org/officeDocument/2006/relationships/hyperlink" Target="http://vk.com/id594251889" TargetMode="External"/><Relationship Id="rId1563" Type="http://schemas.openxmlformats.org/officeDocument/2006/relationships/hyperlink" Target="http://www.ok.ru/profile/567526711507/statuses/156201207000019" TargetMode="External"/><Relationship Id="rId1564" Type="http://schemas.openxmlformats.org/officeDocument/2006/relationships/hyperlink" Target="http://www.ok.ru/profile/567526711507" TargetMode="External"/><Relationship Id="rId1565" Type="http://schemas.openxmlformats.org/officeDocument/2006/relationships/hyperlink" Target="http://vk.com/wall291475015_4232" TargetMode="External"/><Relationship Id="rId1566" Type="http://schemas.openxmlformats.org/officeDocument/2006/relationships/hyperlink" Target="http://vk.com/id291475015" TargetMode="External"/><Relationship Id="rId1567" Type="http://schemas.openxmlformats.org/officeDocument/2006/relationships/hyperlink" Target="http://vk.com/wall-165932654_51869?reply=51871" TargetMode="External"/><Relationship Id="rId1568" Type="http://schemas.openxmlformats.org/officeDocument/2006/relationships/hyperlink" Target="http://vk.com/id790491887" TargetMode="External"/><Relationship Id="rId1569" Type="http://schemas.openxmlformats.org/officeDocument/2006/relationships/hyperlink" Target="http://vk.com/club165932654" TargetMode="External"/><Relationship Id="rId1570" Type="http://schemas.openxmlformats.org/officeDocument/2006/relationships/hyperlink" Target="https://telegram.me/forumsakhcom_family/187888" TargetMode="External"/><Relationship Id="rId1571" Type="http://schemas.openxmlformats.org/officeDocument/2006/relationships/hyperlink" Target="https://telegram.me/anetsakh" TargetMode="External"/><Relationship Id="rId1572" Type="http://schemas.openxmlformats.org/officeDocument/2006/relationships/hyperlink" Target="https://telegram.me/forumsakhcom_family" TargetMode="External"/><Relationship Id="rId1573" Type="http://schemas.openxmlformats.org/officeDocument/2006/relationships/hyperlink" Target="http://www.ok.ru/profile/557047970658/statuses/155245852466530" TargetMode="External"/><Relationship Id="rId1574" Type="http://schemas.openxmlformats.org/officeDocument/2006/relationships/hyperlink" Target="http://www.ok.ru/profile/557047970658" TargetMode="External"/><Relationship Id="rId1575" Type="http://schemas.openxmlformats.org/officeDocument/2006/relationships/hyperlink" Target="http://www.ok.ru/profile/579278464934/statuses/155226073947046" TargetMode="External"/><Relationship Id="rId1576" Type="http://schemas.openxmlformats.org/officeDocument/2006/relationships/hyperlink" Target="http://www.ok.ru/profile/579278464934" TargetMode="External"/><Relationship Id="rId1577" Type="http://schemas.openxmlformats.org/officeDocument/2006/relationships/hyperlink" Target="https://telegram.me/forumsakhcom_family/187883" TargetMode="External"/><Relationship Id="rId1578" Type="http://schemas.openxmlformats.org/officeDocument/2006/relationships/hyperlink" Target="https://telegram.me/" TargetMode="External"/><Relationship Id="rId1579" Type="http://schemas.openxmlformats.org/officeDocument/2006/relationships/hyperlink" Target="https://telegram.me/forumsakhcom_family" TargetMode="External"/><Relationship Id="rId1580" Type="http://schemas.openxmlformats.org/officeDocument/2006/relationships/hyperlink" Target="http://www.ok.ru/profile/586908093700/statuses/155183588901636" TargetMode="External"/><Relationship Id="rId1581" Type="http://schemas.openxmlformats.org/officeDocument/2006/relationships/hyperlink" Target="http://www.ok.ru/profile/586908093700" TargetMode="External"/><Relationship Id="rId1582" Type="http://schemas.openxmlformats.org/officeDocument/2006/relationships/hyperlink" Target="http://vk.com/wall213058610_3393" TargetMode="External"/><Relationship Id="rId1583" Type="http://schemas.openxmlformats.org/officeDocument/2006/relationships/hyperlink" Target="http://vk.com/id213058610" TargetMode="External"/><Relationship Id="rId1584" Type="http://schemas.openxmlformats.org/officeDocument/2006/relationships/hyperlink" Target="http://www.ok.ru/profile/564617526983/statuses/155842293853127" TargetMode="External"/><Relationship Id="rId1585" Type="http://schemas.openxmlformats.org/officeDocument/2006/relationships/hyperlink" Target="http://www.ok.ru/profile/564617526983" TargetMode="External"/><Relationship Id="rId1586" Type="http://schemas.openxmlformats.org/officeDocument/2006/relationships/hyperlink" Target="http://www.ok.ru/profile/474498047233/statuses/154791686210305" TargetMode="External"/><Relationship Id="rId1587" Type="http://schemas.openxmlformats.org/officeDocument/2006/relationships/hyperlink" Target="http://www.ok.ru/profile/474498047233" TargetMode="External"/><Relationship Id="rId1588" Type="http://schemas.openxmlformats.org/officeDocument/2006/relationships/hyperlink" Target="http://www.ok.ru/profile/519066942727/statuses/155120089729799" TargetMode="External"/><Relationship Id="rId1589" Type="http://schemas.openxmlformats.org/officeDocument/2006/relationships/hyperlink" Target="http://www.ok.ru/profile/519066942727" TargetMode="External"/><Relationship Id="rId1590" Type="http://schemas.openxmlformats.org/officeDocument/2006/relationships/hyperlink" Target="http://www.ok.ru/profile/537613968913/statuses/155899677459729" TargetMode="External"/><Relationship Id="rId1591" Type="http://schemas.openxmlformats.org/officeDocument/2006/relationships/hyperlink" Target="http://www.ok.ru/profile/537613968913" TargetMode="External"/><Relationship Id="rId1592" Type="http://schemas.openxmlformats.org/officeDocument/2006/relationships/hyperlink" Target="https://telegram.me/forumsakhcom_family/187853" TargetMode="External"/><Relationship Id="rId1593" Type="http://schemas.openxmlformats.org/officeDocument/2006/relationships/hyperlink" Target="https://telegram.me/" TargetMode="External"/><Relationship Id="rId1594" Type="http://schemas.openxmlformats.org/officeDocument/2006/relationships/hyperlink" Target="https://telegram.me/forumsakhcom_family" TargetMode="External"/><Relationship Id="rId1595" Type="http://schemas.openxmlformats.org/officeDocument/2006/relationships/hyperlink" Target="http://www.ok.ru/profile/521322328899/statuses/154891174912835" TargetMode="External"/><Relationship Id="rId1596" Type="http://schemas.openxmlformats.org/officeDocument/2006/relationships/hyperlink" Target="http://www.ok.ru/profile/521322328899" TargetMode="External"/><Relationship Id="rId1597" Type="http://schemas.openxmlformats.org/officeDocument/2006/relationships/hyperlink" Target="http://vk.com/wall-200590246_862" TargetMode="External"/><Relationship Id="rId1598" Type="http://schemas.openxmlformats.org/officeDocument/2006/relationships/hyperlink" Target="http://vk.com/id302593432" TargetMode="External"/><Relationship Id="rId1599" Type="http://schemas.openxmlformats.org/officeDocument/2006/relationships/hyperlink" Target="http://vk.com/club200590246" TargetMode="External"/><Relationship Id="rId1600" Type="http://schemas.openxmlformats.org/officeDocument/2006/relationships/hyperlink" Target="http://www.ok.ru/profile/563997483623/statuses/155383780916071" TargetMode="External"/><Relationship Id="rId1601" Type="http://schemas.openxmlformats.org/officeDocument/2006/relationships/hyperlink" Target="http://www.ok.ru/profile/563997483623" TargetMode="External"/><Relationship Id="rId1602" Type="http://schemas.openxmlformats.org/officeDocument/2006/relationships/hyperlink" Target="http://www.ok.ru/profile/553763013496/statuses/155584500891768" TargetMode="External"/><Relationship Id="rId1603" Type="http://schemas.openxmlformats.org/officeDocument/2006/relationships/hyperlink" Target="http://www.ok.ru/profile/553763013496" TargetMode="External"/><Relationship Id="rId1604" Type="http://schemas.openxmlformats.org/officeDocument/2006/relationships/hyperlink" Target="http://www.ok.ru/profile/589203725861/statuses/155104884396837" TargetMode="External"/><Relationship Id="rId1605" Type="http://schemas.openxmlformats.org/officeDocument/2006/relationships/hyperlink" Target="http://www.ok.ru/profile/589203725861" TargetMode="External"/><Relationship Id="rId1606" Type="http://schemas.openxmlformats.org/officeDocument/2006/relationships/hyperlink" Target="https://ujnosahalinsk.bezformata.com/listnews/podorozhali-shini-i-sol-podesheveli/116226934/" TargetMode="External"/><Relationship Id="rId1607" Type="http://schemas.openxmlformats.org/officeDocument/2006/relationships/hyperlink" Target="http://www.ok.ru/profile/483838394145/statuses/154877660506145" TargetMode="External"/><Relationship Id="rId1608" Type="http://schemas.openxmlformats.org/officeDocument/2006/relationships/hyperlink" Target="http://www.ok.ru/profile/483838394145" TargetMode="External"/><Relationship Id="rId1609" Type="http://schemas.openxmlformats.org/officeDocument/2006/relationships/hyperlink" Target="http://www.ok.ru/profile/571665259586/statuses/155120636872770" TargetMode="External"/><Relationship Id="rId1610" Type="http://schemas.openxmlformats.org/officeDocument/2006/relationships/hyperlink" Target="http://www.ok.ru/profile/571665259586" TargetMode="External"/><Relationship Id="rId1611" Type="http://schemas.openxmlformats.org/officeDocument/2006/relationships/hyperlink" Target="http://vk.com/wall735635010_163" TargetMode="External"/><Relationship Id="rId1612" Type="http://schemas.openxmlformats.org/officeDocument/2006/relationships/hyperlink" Target="http://vk.com/id735635010" TargetMode="External"/><Relationship Id="rId1613" Type="http://schemas.openxmlformats.org/officeDocument/2006/relationships/hyperlink" Target="http://www.ok.ru/profile/569085364166/statuses/155220064979142" TargetMode="External"/><Relationship Id="rId1614" Type="http://schemas.openxmlformats.org/officeDocument/2006/relationships/hyperlink" Target="http://www.ok.ru/profile/569085364166" TargetMode="External"/><Relationship Id="rId1615" Type="http://schemas.openxmlformats.org/officeDocument/2006/relationships/hyperlink" Target="http://vk.com/wall586634584_680" TargetMode="External"/><Relationship Id="rId1616" Type="http://schemas.openxmlformats.org/officeDocument/2006/relationships/hyperlink" Target="http://vk.com/id586634584" TargetMode="External"/><Relationship Id="rId1617" Type="http://schemas.openxmlformats.org/officeDocument/2006/relationships/hyperlink" Target="https://sakhalin-news.net/society/2023/04/14/163350.html" TargetMode="External"/><Relationship Id="rId1618" Type="http://schemas.openxmlformats.org/officeDocument/2006/relationships/hyperlink" Target="http://www.ok.ru/profile/565349469069/statuses/156068129706125" TargetMode="External"/><Relationship Id="rId1619" Type="http://schemas.openxmlformats.org/officeDocument/2006/relationships/hyperlink" Target="http://www.ok.ru/profile/565349469069" TargetMode="External"/><Relationship Id="rId1620" Type="http://schemas.openxmlformats.org/officeDocument/2006/relationships/hyperlink" Target="http://vk.com/wall-205165850_49" TargetMode="External"/><Relationship Id="rId1621" Type="http://schemas.openxmlformats.org/officeDocument/2006/relationships/hyperlink" Target="http://vk.com/club205165850" TargetMode="External"/><Relationship Id="rId1622" Type="http://schemas.openxmlformats.org/officeDocument/2006/relationships/hyperlink" Target="http://vk.com/wall-219643098_651" TargetMode="External"/><Relationship Id="rId1623" Type="http://schemas.openxmlformats.org/officeDocument/2006/relationships/hyperlink" Target="http://vk.com/club219643098" TargetMode="External"/><Relationship Id="rId1624" Type="http://schemas.openxmlformats.org/officeDocument/2006/relationships/hyperlink" Target="https://ru24.net/korsakov/346907570/" TargetMode="External"/><Relationship Id="rId1625" Type="http://schemas.openxmlformats.org/officeDocument/2006/relationships/hyperlink" Target="https://ru24.net/oha/346907570/" TargetMode="External"/><Relationship Id="rId1626" Type="http://schemas.openxmlformats.org/officeDocument/2006/relationships/hyperlink" Target="https://astv.ru/news/society/2023-04-14-kurtki-citramon-i-onlajn-servisy-podorozhali-shiny-i-sol-podesheveli-kak-izmenilis-ceny-na-sahaline-za-mart" TargetMode="External"/><Relationship Id="rId1627" Type="http://schemas.openxmlformats.org/officeDocument/2006/relationships/hyperlink" Target="https://ru24.net/yuzhno-sahalinsk/346907570/" TargetMode="External"/><Relationship Id="rId1628" Type="http://schemas.openxmlformats.org/officeDocument/2006/relationships/hyperlink" Target="https://ru24.net/poronaysk/346907570/" TargetMode="External"/><Relationship Id="rId1629" Type="http://schemas.openxmlformats.org/officeDocument/2006/relationships/hyperlink" Target="https://news-life.pro/sakhalin-obl/346907570/" TargetMode="External"/><Relationship Id="rId1630" Type="http://schemas.openxmlformats.org/officeDocument/2006/relationships/hyperlink" Target="https://123ru.net/korsakov/346907570/" TargetMode="External"/><Relationship Id="rId1631" Type="http://schemas.openxmlformats.org/officeDocument/2006/relationships/hyperlink" Target="http://vk.com/wall700534188_614" TargetMode="External"/><Relationship Id="rId1632" Type="http://schemas.openxmlformats.org/officeDocument/2006/relationships/hyperlink" Target="http://vk.com/id700534188" TargetMode="External"/><Relationship Id="rId1633" Type="http://schemas.openxmlformats.org/officeDocument/2006/relationships/hyperlink" Target="https://www.baby.ru/blogs/post/2611546837-484832450/" TargetMode="External"/><Relationship Id="rId1634" Type="http://schemas.openxmlformats.org/officeDocument/2006/relationships/hyperlink" Target="https://www.baby.ru/u/usr2795461/" TargetMode="External"/><Relationship Id="rId1635" Type="http://schemas.openxmlformats.org/officeDocument/2006/relationships/hyperlink" Target="https://www.baby.ru/u/usr1598110/" TargetMode="External"/><Relationship Id="rId1636" Type="http://schemas.openxmlformats.org/officeDocument/2006/relationships/hyperlink" Target="http://vk.com/wall539331529_1016" TargetMode="External"/><Relationship Id="rId1637" Type="http://schemas.openxmlformats.org/officeDocument/2006/relationships/hyperlink" Target="http://vk.com/id539331529" TargetMode="External"/><Relationship Id="rId1638" Type="http://schemas.openxmlformats.org/officeDocument/2006/relationships/hyperlink" Target="http://vk.com/wall687189675_136" TargetMode="External"/><Relationship Id="rId1639" Type="http://schemas.openxmlformats.org/officeDocument/2006/relationships/hyperlink" Target="http://vk.com/id687189675" TargetMode="External"/><Relationship Id="rId1640" Type="http://schemas.openxmlformats.org/officeDocument/2006/relationships/hyperlink" Target="http://vk.com/wall416920486_60057" TargetMode="External"/><Relationship Id="rId1641" Type="http://schemas.openxmlformats.org/officeDocument/2006/relationships/hyperlink" Target="http://vk.com/id416920486" TargetMode="External"/><Relationship Id="rId1642" Type="http://schemas.openxmlformats.org/officeDocument/2006/relationships/hyperlink" Target="http://www.ok.ru/profile/568270414028/statuses/156123566297292" TargetMode="External"/><Relationship Id="rId1643" Type="http://schemas.openxmlformats.org/officeDocument/2006/relationships/hyperlink" Target="http://www.ok.ru/profile/568270414028" TargetMode="External"/><Relationship Id="rId1644" Type="http://schemas.openxmlformats.org/officeDocument/2006/relationships/hyperlink" Target="https://news.myseldon.com/ru/news/index/282029217" TargetMode="External"/><Relationship Id="rId1645" Type="http://schemas.openxmlformats.org/officeDocument/2006/relationships/hyperlink" Target="https://ujnosahalinsk.bezformata.com/listnews/goda-na-sahaline-podorozhali-produkti/116226559/" TargetMode="External"/><Relationship Id="rId1646" Type="http://schemas.openxmlformats.org/officeDocument/2006/relationships/hyperlink" Target="https://telegram.me/neurokids_chat/12113" TargetMode="External"/><Relationship Id="rId1647" Type="http://schemas.openxmlformats.org/officeDocument/2006/relationships/hyperlink" Target="https://telegram.me/" TargetMode="External"/><Relationship Id="rId1648" Type="http://schemas.openxmlformats.org/officeDocument/2006/relationships/hyperlink" Target="https://telegram.me/neurokids_chat" TargetMode="External"/><Relationship Id="rId1649" Type="http://schemas.openxmlformats.org/officeDocument/2006/relationships/hyperlink" Target="https://03.rosstat.gov.ru/statcurrentevents/document/203372" TargetMode="External"/><Relationship Id="rId1650" Type="http://schemas.openxmlformats.org/officeDocument/2006/relationships/hyperlink" Target="http://vk.com/wall378824526_267" TargetMode="External"/><Relationship Id="rId1651" Type="http://schemas.openxmlformats.org/officeDocument/2006/relationships/hyperlink" Target="http://vk.com/id378824526" TargetMode="External"/><Relationship Id="rId1652" Type="http://schemas.openxmlformats.org/officeDocument/2006/relationships/hyperlink" Target="https://sakhalin-news.net/society/2023/04/14/163330.html" TargetMode="External"/><Relationship Id="rId1653" Type="http://schemas.openxmlformats.org/officeDocument/2006/relationships/hyperlink" Target="http://www.ok.ru/profile/577814807790/statuses/156610374892526" TargetMode="External"/><Relationship Id="rId1654" Type="http://schemas.openxmlformats.org/officeDocument/2006/relationships/hyperlink" Target="http://www.ok.ru/profile/577814807790" TargetMode="External"/><Relationship Id="rId1655" Type="http://schemas.openxmlformats.org/officeDocument/2006/relationships/hyperlink" Target="https://dzen.ru/a/ZDVQIrdvd34J2Uos#comment_1615800063" TargetMode="External"/><Relationship Id="rId1656" Type="http://schemas.openxmlformats.org/officeDocument/2006/relationships/hyperlink" Target="https://dzen.ru/user/qjnwev7mhbej54xkeye3yb3zz4" TargetMode="External"/><Relationship Id="rId1657" Type="http://schemas.openxmlformats.org/officeDocument/2006/relationships/hyperlink" Target="https://dzen.ru/id/626eb47ab8794d4e747d8f74" TargetMode="External"/><Relationship Id="rId1658" Type="http://schemas.openxmlformats.org/officeDocument/2006/relationships/hyperlink" Target="http://www.ok.ru/profile/345828524029/statuses/155068324054013" TargetMode="External"/><Relationship Id="rId1659" Type="http://schemas.openxmlformats.org/officeDocument/2006/relationships/hyperlink" Target="http://www.ok.ru/profile/345828524029" TargetMode="External"/><Relationship Id="rId1660" Type="http://schemas.openxmlformats.org/officeDocument/2006/relationships/hyperlink" Target="http://vk.com/wall599380216_2655" TargetMode="External"/><Relationship Id="rId1661" Type="http://schemas.openxmlformats.org/officeDocument/2006/relationships/hyperlink" Target="http://vk.com/id599380216" TargetMode="External"/><Relationship Id="rId1662" Type="http://schemas.openxmlformats.org/officeDocument/2006/relationships/hyperlink" Target="https://sakhalinmedia.ru/news/1486312/" TargetMode="External"/><Relationship Id="rId1663" Type="http://schemas.openxmlformats.org/officeDocument/2006/relationships/hyperlink" Target="http://vk.com/wall614440065_166" TargetMode="External"/><Relationship Id="rId1664" Type="http://schemas.openxmlformats.org/officeDocument/2006/relationships/hyperlink" Target="http://vk.com/id614440065" TargetMode="External"/><Relationship Id="rId1665" Type="http://schemas.openxmlformats.org/officeDocument/2006/relationships/hyperlink" Target="http://vk.com/wall688425923_963" TargetMode="External"/><Relationship Id="rId1666" Type="http://schemas.openxmlformats.org/officeDocument/2006/relationships/hyperlink" Target="http://vk.com/id688425923" TargetMode="External"/><Relationship Id="rId1667" Type="http://schemas.openxmlformats.org/officeDocument/2006/relationships/hyperlink" Target="http://vk.com/wall195604528_1513" TargetMode="External"/><Relationship Id="rId1668" Type="http://schemas.openxmlformats.org/officeDocument/2006/relationships/hyperlink" Target="http://vk.com/id195604528" TargetMode="External"/><Relationship Id="rId1669" Type="http://schemas.openxmlformats.org/officeDocument/2006/relationships/hyperlink" Target="http://vk.com/wall382213682_2809" TargetMode="External"/><Relationship Id="rId1670" Type="http://schemas.openxmlformats.org/officeDocument/2006/relationships/hyperlink" Target="http://vk.com/id382213682" TargetMode="External"/><Relationship Id="rId1671" Type="http://schemas.openxmlformats.org/officeDocument/2006/relationships/hyperlink" Target="https://omsk.media/news/obschestvo/131087-v-omskih-aptekah-podorozhali-zhiznenno-neobhodimye-lekarstva-novosti-obschestvo-omsk.html" TargetMode="External"/><Relationship Id="rId1672" Type="http://schemas.openxmlformats.org/officeDocument/2006/relationships/hyperlink" Target="http://www.ok.ru/profile/522415280054/statuses/160045318256054" TargetMode="External"/><Relationship Id="rId1673" Type="http://schemas.openxmlformats.org/officeDocument/2006/relationships/hyperlink" Target="http://www.ok.ru/profile/522415280054" TargetMode="External"/><Relationship Id="rId1674" Type="http://schemas.openxmlformats.org/officeDocument/2006/relationships/hyperlink" Target="http://vk.com/wall199409160_21" TargetMode="External"/><Relationship Id="rId1675" Type="http://schemas.openxmlformats.org/officeDocument/2006/relationships/hyperlink" Target="http://vk.com/id199409160" TargetMode="External"/><Relationship Id="rId1676" Type="http://schemas.openxmlformats.org/officeDocument/2006/relationships/hyperlink" Target="http://vk.com/wall244346838_1086" TargetMode="External"/><Relationship Id="rId1677" Type="http://schemas.openxmlformats.org/officeDocument/2006/relationships/hyperlink" Target="http://vk.com/id244346838" TargetMode="External"/><Relationship Id="rId1678" Type="http://schemas.openxmlformats.org/officeDocument/2006/relationships/hyperlink" Target="https://okaygorod.com/yuzhnosakhalinsk/news/15436" TargetMode="External"/><Relationship Id="rId1679" Type="http://schemas.openxmlformats.org/officeDocument/2006/relationships/hyperlink" Target="https://telegram.me/dr_shefova/1356?comment=28310" TargetMode="External"/><Relationship Id="rId1680" Type="http://schemas.openxmlformats.org/officeDocument/2006/relationships/hyperlink" Target="https://telegram.me/Altynai_Ihsanova" TargetMode="External"/><Relationship Id="rId1681" Type="http://schemas.openxmlformats.org/officeDocument/2006/relationships/hyperlink" Target="https://telegram.me/dr_shefova" TargetMode="External"/><Relationship Id="rId1682" Type="http://schemas.openxmlformats.org/officeDocument/2006/relationships/hyperlink" Target="http://vk.com/wall688085432_1411" TargetMode="External"/><Relationship Id="rId1683" Type="http://schemas.openxmlformats.org/officeDocument/2006/relationships/hyperlink" Target="http://vk.com/id688085432" TargetMode="External"/><Relationship Id="rId1684" Type="http://schemas.openxmlformats.org/officeDocument/2006/relationships/hyperlink" Target="http://vk.com/wall136056469_204" TargetMode="External"/><Relationship Id="rId1685" Type="http://schemas.openxmlformats.org/officeDocument/2006/relationships/hyperlink" Target="http://vk.com/id136056469" TargetMode="External"/><Relationship Id="rId1686" Type="http://schemas.openxmlformats.org/officeDocument/2006/relationships/hyperlink" Target="http://www.ok.ru/group/64343868834022/topic/156600881102310" TargetMode="External"/><Relationship Id="rId1687" Type="http://schemas.openxmlformats.org/officeDocument/2006/relationships/hyperlink" Target="http://www.ok.ru/group/64343868834022" TargetMode="External"/><Relationship Id="rId1688" Type="http://schemas.openxmlformats.org/officeDocument/2006/relationships/hyperlink" Target="http://www.ok.ru/profile/525920298302/statuses/154923190097214" TargetMode="External"/><Relationship Id="rId1689" Type="http://schemas.openxmlformats.org/officeDocument/2006/relationships/hyperlink" Target="http://www.ok.ru/profile/525920298302" TargetMode="External"/><Relationship Id="rId1690" Type="http://schemas.openxmlformats.org/officeDocument/2006/relationships/hyperlink" Target="http://vk.com/wall-150337440_368111?reply=375066" TargetMode="External"/><Relationship Id="rId1691" Type="http://schemas.openxmlformats.org/officeDocument/2006/relationships/hyperlink" Target="http://vk.com/id793606446" TargetMode="External"/><Relationship Id="rId1692" Type="http://schemas.openxmlformats.org/officeDocument/2006/relationships/hyperlink" Target="http://vk.com/club150337440" TargetMode="External"/><Relationship Id="rId1693" Type="http://schemas.openxmlformats.org/officeDocument/2006/relationships/hyperlink" Target="http://vk.com/wall279447849_5400" TargetMode="External"/><Relationship Id="rId1694" Type="http://schemas.openxmlformats.org/officeDocument/2006/relationships/hyperlink" Target="http://vk.com/id279447849" TargetMode="External"/><Relationship Id="rId1695" Type="http://schemas.openxmlformats.org/officeDocument/2006/relationships/hyperlink" Target="http://vk.com/wall-196716269_1248233?reply=1464519&amp;thread=1249443" TargetMode="External"/><Relationship Id="rId1696" Type="http://schemas.openxmlformats.org/officeDocument/2006/relationships/hyperlink" Target="http://vk.com/id793606446" TargetMode="External"/><Relationship Id="rId1697" Type="http://schemas.openxmlformats.org/officeDocument/2006/relationships/hyperlink" Target="http://vk.com/club196716269" TargetMode="External"/><Relationship Id="rId1698" Type="http://schemas.openxmlformats.org/officeDocument/2006/relationships/hyperlink" Target="http://vk.com/wall-98506288_2854359?reply=2907421&amp;thread=2854389" TargetMode="External"/><Relationship Id="rId1699" Type="http://schemas.openxmlformats.org/officeDocument/2006/relationships/hyperlink" Target="http://vk.com/id793606446" TargetMode="External"/><Relationship Id="rId1700" Type="http://schemas.openxmlformats.org/officeDocument/2006/relationships/hyperlink" Target="http://vk.com/club98506288" TargetMode="External"/><Relationship Id="rId1701" Type="http://schemas.openxmlformats.org/officeDocument/2006/relationships/hyperlink" Target="http://vk.com/wall-161957723_25668?reply=48081&amp;thread=25788" TargetMode="External"/><Relationship Id="rId1702" Type="http://schemas.openxmlformats.org/officeDocument/2006/relationships/hyperlink" Target="http://vk.com/id793606446" TargetMode="External"/><Relationship Id="rId1703" Type="http://schemas.openxmlformats.org/officeDocument/2006/relationships/hyperlink" Target="http://vk.com/club161957723" TargetMode="External"/><Relationship Id="rId1704" Type="http://schemas.openxmlformats.org/officeDocument/2006/relationships/hyperlink" Target="http://vk.com/wall-142438839_84439" TargetMode="External"/><Relationship Id="rId1705" Type="http://schemas.openxmlformats.org/officeDocument/2006/relationships/hyperlink" Target="http://vk.com/club142438839" TargetMode="External"/><Relationship Id="rId1706" Type="http://schemas.openxmlformats.org/officeDocument/2006/relationships/hyperlink" Target="http://vk.com/wall-92006241_344055?reply=424435&amp;thread=344107" TargetMode="External"/><Relationship Id="rId1707" Type="http://schemas.openxmlformats.org/officeDocument/2006/relationships/hyperlink" Target="http://vk.com/id793606446" TargetMode="External"/><Relationship Id="rId1708" Type="http://schemas.openxmlformats.org/officeDocument/2006/relationships/hyperlink" Target="http://vk.com/club92006241" TargetMode="External"/><Relationship Id="rId1709" Type="http://schemas.openxmlformats.org/officeDocument/2006/relationships/hyperlink" Target="http://www.ok.ru/profile/557429871714/statuses/155245717658978" TargetMode="External"/><Relationship Id="rId1710" Type="http://schemas.openxmlformats.org/officeDocument/2006/relationships/hyperlink" Target="http://www.ok.ru/profile/557429871714" TargetMode="External"/><Relationship Id="rId1711" Type="http://schemas.openxmlformats.org/officeDocument/2006/relationships/hyperlink" Target="http://vk.com/wall698459177_293" TargetMode="External"/><Relationship Id="rId1712" Type="http://schemas.openxmlformats.org/officeDocument/2006/relationships/hyperlink" Target="http://vk.com/id698459177" TargetMode="External"/><Relationship Id="rId1713" Type="http://schemas.openxmlformats.org/officeDocument/2006/relationships/hyperlink" Target="http://vk.com/wall-162659411_50697?reply=53478&amp;thread=50699" TargetMode="External"/><Relationship Id="rId1714" Type="http://schemas.openxmlformats.org/officeDocument/2006/relationships/hyperlink" Target="http://vk.com/id793606446" TargetMode="External"/><Relationship Id="rId1715" Type="http://schemas.openxmlformats.org/officeDocument/2006/relationships/hyperlink" Target="http://vk.com/club162659411" TargetMode="External"/><Relationship Id="rId1716" Type="http://schemas.openxmlformats.org/officeDocument/2006/relationships/hyperlink" Target="http://vk.com/wall-158339750_476571?reply=491681&amp;thread=476572" TargetMode="External"/><Relationship Id="rId1717" Type="http://schemas.openxmlformats.org/officeDocument/2006/relationships/hyperlink" Target="http://vk.com/id793606446" TargetMode="External"/><Relationship Id="rId1718" Type="http://schemas.openxmlformats.org/officeDocument/2006/relationships/hyperlink" Target="http://vk.com/club158339750" TargetMode="External"/><Relationship Id="rId1719" Type="http://schemas.openxmlformats.org/officeDocument/2006/relationships/hyperlink" Target="http://vk.com/wall-47120073_3193668?reply=3253620" TargetMode="External"/><Relationship Id="rId1720" Type="http://schemas.openxmlformats.org/officeDocument/2006/relationships/hyperlink" Target="http://vk.com/id793581951" TargetMode="External"/><Relationship Id="rId1721" Type="http://schemas.openxmlformats.org/officeDocument/2006/relationships/hyperlink" Target="http://vk.com/club47120073" TargetMode="External"/><Relationship Id="rId1722" Type="http://schemas.openxmlformats.org/officeDocument/2006/relationships/hyperlink" Target="http://vk.com/wall-48067990_757711?reply=913823&amp;thread=758110" TargetMode="External"/><Relationship Id="rId1723" Type="http://schemas.openxmlformats.org/officeDocument/2006/relationships/hyperlink" Target="http://vk.com/id793581951" TargetMode="External"/><Relationship Id="rId1724" Type="http://schemas.openxmlformats.org/officeDocument/2006/relationships/hyperlink" Target="http://vk.com/club48067990" TargetMode="External"/><Relationship Id="rId1725" Type="http://schemas.openxmlformats.org/officeDocument/2006/relationships/hyperlink" Target="https://telegram.me/cardiodokstories/5376?comment=122572" TargetMode="External"/><Relationship Id="rId1726" Type="http://schemas.openxmlformats.org/officeDocument/2006/relationships/hyperlink" Target="https://telegram.me/krasnodar551" TargetMode="External"/><Relationship Id="rId1727" Type="http://schemas.openxmlformats.org/officeDocument/2006/relationships/hyperlink" Target="https://telegram.me/cardiodokstories" TargetMode="External"/><Relationship Id="rId1728" Type="http://schemas.openxmlformats.org/officeDocument/2006/relationships/hyperlink" Target="http://vk.com/wall-112011819_882893?reply=989870&amp;thread=882897" TargetMode="External"/><Relationship Id="rId1729" Type="http://schemas.openxmlformats.org/officeDocument/2006/relationships/hyperlink" Target="http://vk.com/id793581951" TargetMode="External"/><Relationship Id="rId1730" Type="http://schemas.openxmlformats.org/officeDocument/2006/relationships/hyperlink" Target="http://vk.com/club112011819" TargetMode="External"/><Relationship Id="rId1731" Type="http://schemas.openxmlformats.org/officeDocument/2006/relationships/hyperlink" Target="http://vk.com/wall-155386267_985789?reply=1061219&amp;thread=990783" TargetMode="External"/><Relationship Id="rId1732" Type="http://schemas.openxmlformats.org/officeDocument/2006/relationships/hyperlink" Target="http://vk.com/id793581951" TargetMode="External"/><Relationship Id="rId1733" Type="http://schemas.openxmlformats.org/officeDocument/2006/relationships/hyperlink" Target="http://vk.com/club155386267" TargetMode="External"/><Relationship Id="rId1734" Type="http://schemas.openxmlformats.org/officeDocument/2006/relationships/hyperlink" Target="http://www.ok.ru/profile/551777025406/statuses/154971996717182" TargetMode="External"/><Relationship Id="rId1735" Type="http://schemas.openxmlformats.org/officeDocument/2006/relationships/hyperlink" Target="http://www.ok.ru/profile/551777025406" TargetMode="External"/><Relationship Id="rId1736" Type="http://schemas.openxmlformats.org/officeDocument/2006/relationships/hyperlink" Target="http://vk.com/wall-153326247_488693?reply=489332&amp;thread=488734" TargetMode="External"/><Relationship Id="rId1737" Type="http://schemas.openxmlformats.org/officeDocument/2006/relationships/hyperlink" Target="http://vk.com/id793581951" TargetMode="External"/><Relationship Id="rId1738" Type="http://schemas.openxmlformats.org/officeDocument/2006/relationships/hyperlink" Target="http://vk.com/club153326247" TargetMode="External"/><Relationship Id="rId1739" Type="http://schemas.openxmlformats.org/officeDocument/2006/relationships/hyperlink" Target="http://vk.com/wall-47120073_3250059?reply=3253618&amp;thread=3250236" TargetMode="External"/><Relationship Id="rId1740" Type="http://schemas.openxmlformats.org/officeDocument/2006/relationships/hyperlink" Target="http://vk.com/id793581951" TargetMode="External"/><Relationship Id="rId1741" Type="http://schemas.openxmlformats.org/officeDocument/2006/relationships/hyperlink" Target="http://vk.com/club47120073" TargetMode="External"/><Relationship Id="rId1742" Type="http://schemas.openxmlformats.org/officeDocument/2006/relationships/hyperlink" Target="http://vk.com/wall-164460003_1863466?reply=1866267&amp;thread=1864239" TargetMode="External"/><Relationship Id="rId1743" Type="http://schemas.openxmlformats.org/officeDocument/2006/relationships/hyperlink" Target="http://vk.com/id793581951" TargetMode="External"/><Relationship Id="rId1744" Type="http://schemas.openxmlformats.org/officeDocument/2006/relationships/hyperlink" Target="http://vk.com/club164460003" TargetMode="External"/><Relationship Id="rId1745" Type="http://schemas.openxmlformats.org/officeDocument/2006/relationships/hyperlink" Target="http://vk.com/wall-115360655_1077226?reply=1078136&amp;thread=1077406" TargetMode="External"/><Relationship Id="rId1746" Type="http://schemas.openxmlformats.org/officeDocument/2006/relationships/hyperlink" Target="http://vk.com/id793581951" TargetMode="External"/><Relationship Id="rId1747" Type="http://schemas.openxmlformats.org/officeDocument/2006/relationships/hyperlink" Target="http://vk.com/club115360655" TargetMode="External"/><Relationship Id="rId1748" Type="http://schemas.openxmlformats.org/officeDocument/2006/relationships/hyperlink" Target="http://vk.com/wall401016901_1327" TargetMode="External"/><Relationship Id="rId1749" Type="http://schemas.openxmlformats.org/officeDocument/2006/relationships/hyperlink" Target="http://vk.com/id401016901" TargetMode="External"/><Relationship Id="rId1750" Type="http://schemas.openxmlformats.org/officeDocument/2006/relationships/hyperlink" Target="https://www.baby.ru/blogs/post/2611406742-1969574877/" TargetMode="External"/><Relationship Id="rId1751" Type="http://schemas.openxmlformats.org/officeDocument/2006/relationships/hyperlink" Target="https://www.baby.ru/u/usr2677890/" TargetMode="External"/><Relationship Id="rId1752" Type="http://schemas.openxmlformats.org/officeDocument/2006/relationships/hyperlink" Target="https://www.baby.ru/u/usr2516130/" TargetMode="External"/><Relationship Id="rId1753" Type="http://schemas.openxmlformats.org/officeDocument/2006/relationships/hyperlink" Target="http://www.ok.ru/profile/482834041816/statuses/155638151897304" TargetMode="External"/><Relationship Id="rId1754" Type="http://schemas.openxmlformats.org/officeDocument/2006/relationships/hyperlink" Target="http://www.ok.ru/profile/482834041816" TargetMode="External"/><Relationship Id="rId1755" Type="http://schemas.openxmlformats.org/officeDocument/2006/relationships/hyperlink" Target="http://vk.com/wall-124426990_212398?reply=213186&amp;thread=212415" TargetMode="External"/><Relationship Id="rId1756" Type="http://schemas.openxmlformats.org/officeDocument/2006/relationships/hyperlink" Target="http://vk.com/id793581951" TargetMode="External"/><Relationship Id="rId1757" Type="http://schemas.openxmlformats.org/officeDocument/2006/relationships/hyperlink" Target="http://vk.com/club124426990" TargetMode="External"/><Relationship Id="rId1758" Type="http://schemas.openxmlformats.org/officeDocument/2006/relationships/hyperlink" Target="http://vk.com/wall429694262_32567" TargetMode="External"/><Relationship Id="rId1759" Type="http://schemas.openxmlformats.org/officeDocument/2006/relationships/hyperlink" Target="http://vk.com/id429694262" TargetMode="External"/><Relationship Id="rId1760" Type="http://schemas.openxmlformats.org/officeDocument/2006/relationships/hyperlink" Target="https://telegram.me/VICTORIA_UA1/147906" TargetMode="External"/><Relationship Id="rId1761" Type="http://schemas.openxmlformats.org/officeDocument/2006/relationships/hyperlink" Target="https://telegram.me/VICTORIA_UA1" TargetMode="External"/><Relationship Id="rId1762" Type="http://schemas.openxmlformats.org/officeDocument/2006/relationships/hyperlink" Target="https://www.baby.ru/blogs/post/2611547795-2605572884/" TargetMode="External"/><Relationship Id="rId1763" Type="http://schemas.openxmlformats.org/officeDocument/2006/relationships/hyperlink" Target="https://www.baby.ru/u/usr2712105/" TargetMode="External"/><Relationship Id="rId1764" Type="http://schemas.openxmlformats.org/officeDocument/2006/relationships/hyperlink" Target="https://telegram.me/mamochkipoimyt/18326" TargetMode="External"/><Relationship Id="rId1765" Type="http://schemas.openxmlformats.org/officeDocument/2006/relationships/hyperlink" Target="https://telegram.me/" TargetMode="External"/><Relationship Id="rId1766" Type="http://schemas.openxmlformats.org/officeDocument/2006/relationships/hyperlink" Target="https://telegram.me/mamochkipoimyt" TargetMode="External"/><Relationship Id="rId1767" Type="http://schemas.openxmlformats.org/officeDocument/2006/relationships/hyperlink" Target="http://vk.com/wall-217172909_17" TargetMode="External"/><Relationship Id="rId1768" Type="http://schemas.openxmlformats.org/officeDocument/2006/relationships/hyperlink" Target="http://vk.com/club217172909" TargetMode="External"/><Relationship Id="rId1769" Type="http://schemas.openxmlformats.org/officeDocument/2006/relationships/hyperlink" Target="http://vk.com/wall134254005_3876" TargetMode="External"/><Relationship Id="rId1770" Type="http://schemas.openxmlformats.org/officeDocument/2006/relationships/hyperlink" Target="http://vk.com/id134254005" TargetMode="External"/><Relationship Id="rId1771" Type="http://schemas.openxmlformats.org/officeDocument/2006/relationships/hyperlink" Target="http://vk.com/wall528466769_859" TargetMode="External"/><Relationship Id="rId1772" Type="http://schemas.openxmlformats.org/officeDocument/2006/relationships/hyperlink" Target="http://vk.com/id528466769" TargetMode="External"/><Relationship Id="rId1773" Type="http://schemas.openxmlformats.org/officeDocument/2006/relationships/hyperlink" Target="http://vk.com/wall378230272_6814" TargetMode="External"/><Relationship Id="rId1774" Type="http://schemas.openxmlformats.org/officeDocument/2006/relationships/hyperlink" Target="http://vk.com/id378230272" TargetMode="External"/><Relationship Id="rId1775" Type="http://schemas.openxmlformats.org/officeDocument/2006/relationships/hyperlink" Target="https://telegram.me/pivnoychat/141666" TargetMode="External"/><Relationship Id="rId1776" Type="http://schemas.openxmlformats.org/officeDocument/2006/relationships/hyperlink" Target="https://telegram.me/Wealdman" TargetMode="External"/><Relationship Id="rId1777" Type="http://schemas.openxmlformats.org/officeDocument/2006/relationships/hyperlink" Target="https://telegram.me/pivnoychat" TargetMode="External"/><Relationship Id="rId1778" Type="http://schemas.openxmlformats.org/officeDocument/2006/relationships/hyperlink" Target="http://www.ok.ru/profile/568612302145/statuses/155656594609473" TargetMode="External"/><Relationship Id="rId1779" Type="http://schemas.openxmlformats.org/officeDocument/2006/relationships/hyperlink" Target="http://www.ok.ru/profile/568612302145" TargetMode="External"/><Relationship Id="rId1780" Type="http://schemas.openxmlformats.org/officeDocument/2006/relationships/hyperlink" Target="http://vk.com/wall290836091_2243" TargetMode="External"/><Relationship Id="rId1781" Type="http://schemas.openxmlformats.org/officeDocument/2006/relationships/hyperlink" Target="http://vk.com/id290836091" TargetMode="External"/><Relationship Id="rId1782" Type="http://schemas.openxmlformats.org/officeDocument/2006/relationships/hyperlink" Target="http://vk.com/wall497872065_3763" TargetMode="External"/><Relationship Id="rId1783" Type="http://schemas.openxmlformats.org/officeDocument/2006/relationships/hyperlink" Target="http://vk.com/id497872065" TargetMode="External"/><Relationship Id="rId1784" Type="http://schemas.openxmlformats.org/officeDocument/2006/relationships/hyperlink" Target="https://otvet.mail.ru/answer/2030796813" TargetMode="External"/><Relationship Id="rId1785" Type="http://schemas.openxmlformats.org/officeDocument/2006/relationships/hyperlink" Target="https://otvet.mail.ru/profile/id24535156" TargetMode="External"/><Relationship Id="rId1786" Type="http://schemas.openxmlformats.org/officeDocument/2006/relationships/hyperlink" Target="https://otvet.mail.ru/profile/id300186554" TargetMode="External"/><Relationship Id="rId1787" Type="http://schemas.openxmlformats.org/officeDocument/2006/relationships/hyperlink" Target="https://pikabu.ru/story/otvet_na_post_chay_ne_podslastit_i_gripp_ne_vyilechit_10135834?cid=270553384" TargetMode="External"/><Relationship Id="rId1788" Type="http://schemas.openxmlformats.org/officeDocument/2006/relationships/hyperlink" Target="https://pikabu.ru/@Agrocult" TargetMode="External"/><Relationship Id="rId1789" Type="http://schemas.openxmlformats.org/officeDocument/2006/relationships/hyperlink" Target="https://pikabu.ru/@Senseless1987" TargetMode="External"/><Relationship Id="rId1790" Type="http://schemas.openxmlformats.org/officeDocument/2006/relationships/hyperlink" Target="http://www.ok.ru/profile/560508732759/statuses/155909256206423" TargetMode="External"/><Relationship Id="rId1791" Type="http://schemas.openxmlformats.org/officeDocument/2006/relationships/hyperlink" Target="http://www.ok.ru/profile/560508732759" TargetMode="External"/><Relationship Id="rId1792" Type="http://schemas.openxmlformats.org/officeDocument/2006/relationships/hyperlink" Target="https://telegram.me/emolandparty_chat/47758" TargetMode="External"/><Relationship Id="rId1793" Type="http://schemas.openxmlformats.org/officeDocument/2006/relationships/hyperlink" Target="https://telegram.me/whymestan" TargetMode="External"/><Relationship Id="rId1794" Type="http://schemas.openxmlformats.org/officeDocument/2006/relationships/hyperlink" Target="https://telegram.me/emolandparty_chat" TargetMode="External"/><Relationship Id="rId1795" Type="http://schemas.openxmlformats.org/officeDocument/2006/relationships/hyperlink" Target="http://www.ok.ru/group/68538272186415/topic/157513687420207" TargetMode="External"/><Relationship Id="rId1796" Type="http://schemas.openxmlformats.org/officeDocument/2006/relationships/hyperlink" Target="http://www.ok.ru/group/68538272186415" TargetMode="External"/><Relationship Id="rId1797" Type="http://schemas.openxmlformats.org/officeDocument/2006/relationships/hyperlink" Target="http://vk.com/wall607343335_4321" TargetMode="External"/><Relationship Id="rId1798" Type="http://schemas.openxmlformats.org/officeDocument/2006/relationships/hyperlink" Target="http://vk.com/id607343335" TargetMode="External"/><Relationship Id="rId1799" Type="http://schemas.openxmlformats.org/officeDocument/2006/relationships/hyperlink" Target="http://www.ok.ru/profile/576683517727/statuses/155065397121823" TargetMode="External"/><Relationship Id="rId1800" Type="http://schemas.openxmlformats.org/officeDocument/2006/relationships/hyperlink" Target="http://www.ok.ru/profile/576683517727" TargetMode="External"/><Relationship Id="rId1801" Type="http://schemas.openxmlformats.org/officeDocument/2006/relationships/hyperlink" Target="http://vk.com/wall-146119392_295355?reply=295362&amp;thread=295357" TargetMode="External"/><Relationship Id="rId1802" Type="http://schemas.openxmlformats.org/officeDocument/2006/relationships/hyperlink" Target="http://vk.com/id281420944" TargetMode="External"/><Relationship Id="rId1803" Type="http://schemas.openxmlformats.org/officeDocument/2006/relationships/hyperlink" Target="http://vk.com/club146119392" TargetMode="External"/><Relationship Id="rId1804" Type="http://schemas.openxmlformats.org/officeDocument/2006/relationships/hyperlink" Target="http://www.ok.ru/profile/528811054734/statuses/156073147779982" TargetMode="External"/><Relationship Id="rId1805" Type="http://schemas.openxmlformats.org/officeDocument/2006/relationships/hyperlink" Target="http://www.ok.ru/profile/528811054734" TargetMode="External"/><Relationship Id="rId1806" Type="http://schemas.openxmlformats.org/officeDocument/2006/relationships/hyperlink" Target="http://www.ok.ru/profile/587935311872/statuses/160956862826496" TargetMode="External"/><Relationship Id="rId1807" Type="http://schemas.openxmlformats.org/officeDocument/2006/relationships/hyperlink" Target="http://www.ok.ru/profile/587935311872" TargetMode="External"/><Relationship Id="rId1808" Type="http://schemas.openxmlformats.org/officeDocument/2006/relationships/hyperlink" Target="http://www.ok.ru/profile/551981250389/statuses/155837017293653" TargetMode="External"/><Relationship Id="rId1809" Type="http://schemas.openxmlformats.org/officeDocument/2006/relationships/hyperlink" Target="http://www.ok.ru/profile/551981250389" TargetMode="External"/><Relationship Id="rId1810" Type="http://schemas.openxmlformats.org/officeDocument/2006/relationships/hyperlink" Target="http://www.ok.ru/profile/520305862555/statuses/155107105172891" TargetMode="External"/><Relationship Id="rId1811" Type="http://schemas.openxmlformats.org/officeDocument/2006/relationships/hyperlink" Target="http://www.ok.ru/profile/520305862555" TargetMode="External"/><Relationship Id="rId1812" Type="http://schemas.openxmlformats.org/officeDocument/2006/relationships/hyperlink" Target="http://www.ok.ru/profile/570772885473/statuses/155498741819617" TargetMode="External"/><Relationship Id="rId1813" Type="http://schemas.openxmlformats.org/officeDocument/2006/relationships/hyperlink" Target="http://www.ok.ru/profile/570772885473" TargetMode="External"/><Relationship Id="rId1814" Type="http://schemas.openxmlformats.org/officeDocument/2006/relationships/hyperlink" Target="http://www.ok.ru/profile/487039269171/statuses/156014926575667" TargetMode="External"/><Relationship Id="rId1815" Type="http://schemas.openxmlformats.org/officeDocument/2006/relationships/hyperlink" Target="http://www.ok.ru/profile/487039269171" TargetMode="External"/><Relationship Id="rId1816" Type="http://schemas.openxmlformats.org/officeDocument/2006/relationships/hyperlink" Target="http://www.ok.ru/profile/527966923488/statuses/154797015252448" TargetMode="External"/><Relationship Id="rId1817" Type="http://schemas.openxmlformats.org/officeDocument/2006/relationships/hyperlink" Target="http://www.ok.ru/profile/527966923488" TargetMode="External"/><Relationship Id="rId1818" Type="http://schemas.openxmlformats.org/officeDocument/2006/relationships/hyperlink" Target="http://www.ok.ru/group/57971426459692/topic/156194525744428" TargetMode="External"/><Relationship Id="rId1819" Type="http://schemas.openxmlformats.org/officeDocument/2006/relationships/hyperlink" Target="http://www.ok.ru/group/57971426459692" TargetMode="External"/><Relationship Id="rId1820" Type="http://schemas.openxmlformats.org/officeDocument/2006/relationships/hyperlink" Target="https://dzen.ru/a/ZDgjEIYkRh3GBFBR#comment_1610277494" TargetMode="External"/><Relationship Id="rId1821" Type="http://schemas.openxmlformats.org/officeDocument/2006/relationships/hyperlink" Target="https://dzen.ru/id/60e7ed2cd0f55c5dfd1a0543" TargetMode="External"/><Relationship Id="rId1822" Type="http://schemas.openxmlformats.org/officeDocument/2006/relationships/hyperlink" Target="https://dzen.ru/id/60681da99678a719cc83d540" TargetMode="External"/><Relationship Id="rId1823" Type="http://schemas.openxmlformats.org/officeDocument/2006/relationships/hyperlink" Target="http://vk.com/wall617388038_8963" TargetMode="External"/><Relationship Id="rId1824" Type="http://schemas.openxmlformats.org/officeDocument/2006/relationships/hyperlink" Target="http://vk.com/id617388038" TargetMode="External"/><Relationship Id="rId1825" Type="http://schemas.openxmlformats.org/officeDocument/2006/relationships/hyperlink" Target="http://www.ok.ru/profile/368688701375/statuses/155193632748991" TargetMode="External"/><Relationship Id="rId1826" Type="http://schemas.openxmlformats.org/officeDocument/2006/relationships/hyperlink" Target="http://www.ok.ru/profile/368688701375" TargetMode="External"/><Relationship Id="rId1827" Type="http://schemas.openxmlformats.org/officeDocument/2006/relationships/hyperlink" Target="http://vk.com/wall-169324153_71474" TargetMode="External"/><Relationship Id="rId1828" Type="http://schemas.openxmlformats.org/officeDocument/2006/relationships/hyperlink" Target="http://vk.com/club169324153" TargetMode="External"/><Relationship Id="rId1829" Type="http://schemas.openxmlformats.org/officeDocument/2006/relationships/hyperlink" Target="http://vk.com/wall773553283_327" TargetMode="External"/><Relationship Id="rId1830" Type="http://schemas.openxmlformats.org/officeDocument/2006/relationships/hyperlink" Target="http://vk.com/id773553283" TargetMode="External"/><Relationship Id="rId1831" Type="http://schemas.openxmlformats.org/officeDocument/2006/relationships/hyperlink" Target="http://www.ok.ru/profile/387163806795/statuses/156042697527371" TargetMode="External"/><Relationship Id="rId1832" Type="http://schemas.openxmlformats.org/officeDocument/2006/relationships/hyperlink" Target="http://www.ok.ru/profile/387163806795" TargetMode="External"/><Relationship Id="rId1833" Type="http://schemas.openxmlformats.org/officeDocument/2006/relationships/hyperlink" Target="http://www.ok.ru/profile/567364241318/statuses/155225819667366" TargetMode="External"/><Relationship Id="rId1834" Type="http://schemas.openxmlformats.org/officeDocument/2006/relationships/hyperlink" Target="http://www.ok.ru/profile/567364241318" TargetMode="External"/><Relationship Id="rId1835" Type="http://schemas.openxmlformats.org/officeDocument/2006/relationships/hyperlink" Target="http://vk.com/wall779649644_62" TargetMode="External"/><Relationship Id="rId1836" Type="http://schemas.openxmlformats.org/officeDocument/2006/relationships/hyperlink" Target="http://vk.com/id779649644" TargetMode="External"/><Relationship Id="rId1837" Type="http://schemas.openxmlformats.org/officeDocument/2006/relationships/hyperlink" Target="http://www.ok.ru/profile/492031209163/statuses/155832393070027" TargetMode="External"/><Relationship Id="rId1838" Type="http://schemas.openxmlformats.org/officeDocument/2006/relationships/hyperlink" Target="http://www.ok.ru/profile/492031209163" TargetMode="External"/><Relationship Id="rId1839" Type="http://schemas.openxmlformats.org/officeDocument/2006/relationships/hyperlink" Target="http://www.ok.ru/profile/532862150952/statuses/155438754896680" TargetMode="External"/><Relationship Id="rId1840" Type="http://schemas.openxmlformats.org/officeDocument/2006/relationships/hyperlink" Target="http://www.ok.ru/profile/532862150952" TargetMode="External"/><Relationship Id="rId1841" Type="http://schemas.openxmlformats.org/officeDocument/2006/relationships/hyperlink" Target="https://pikabu.ru/story/chay_ne_podslastit_i_gripp_ne_vyilechit_10134733?cid=270550932" TargetMode="External"/><Relationship Id="rId1842" Type="http://schemas.openxmlformats.org/officeDocument/2006/relationships/hyperlink" Target="https://pikabu.ru/@pashu861986" TargetMode="External"/><Relationship Id="rId1843" Type="http://schemas.openxmlformats.org/officeDocument/2006/relationships/hyperlink" Target="https://pikabu.ru/@TweekNyan" TargetMode="External"/><Relationship Id="rId1844" Type="http://schemas.openxmlformats.org/officeDocument/2006/relationships/hyperlink" Target="http://www.ok.ru/profile/355312149136/statuses/155898501240976" TargetMode="External"/><Relationship Id="rId1845" Type="http://schemas.openxmlformats.org/officeDocument/2006/relationships/hyperlink" Target="http://www.ok.ru/profile/355312149136" TargetMode="External"/><Relationship Id="rId1846" Type="http://schemas.openxmlformats.org/officeDocument/2006/relationships/hyperlink" Target="http://vk.com/wall227253501_4174" TargetMode="External"/><Relationship Id="rId1847" Type="http://schemas.openxmlformats.org/officeDocument/2006/relationships/hyperlink" Target="http://vk.com/id227253501" TargetMode="External"/><Relationship Id="rId1848" Type="http://schemas.openxmlformats.org/officeDocument/2006/relationships/hyperlink" Target="http://www.ok.ru/profile/551963741809/statuses/155996996984177" TargetMode="External"/><Relationship Id="rId1849" Type="http://schemas.openxmlformats.org/officeDocument/2006/relationships/hyperlink" Target="http://www.ok.ru/profile/551963741809" TargetMode="External"/><Relationship Id="rId1850" Type="http://schemas.openxmlformats.org/officeDocument/2006/relationships/hyperlink" Target="https://otzyvy.pro/reviews/otzyvy-anaferon-464063.html" TargetMode="External"/><Relationship Id="rId1851" Type="http://schemas.openxmlformats.org/officeDocument/2006/relationships/hyperlink" Target="http://vk.com/wall-119249179_1024603?reply=1024813" TargetMode="External"/><Relationship Id="rId1852" Type="http://schemas.openxmlformats.org/officeDocument/2006/relationships/hyperlink" Target="http://vk.com/id161336569" TargetMode="External"/><Relationship Id="rId1853" Type="http://schemas.openxmlformats.org/officeDocument/2006/relationships/hyperlink" Target="http://vk.com/club119249179" TargetMode="External"/><Relationship Id="rId1854" Type="http://schemas.openxmlformats.org/officeDocument/2006/relationships/hyperlink" Target="http://vk.com/wall-217649537_8" TargetMode="External"/><Relationship Id="rId1855" Type="http://schemas.openxmlformats.org/officeDocument/2006/relationships/hyperlink" Target="http://vk.com/club217649537" TargetMode="External"/><Relationship Id="rId1856" Type="http://schemas.openxmlformats.org/officeDocument/2006/relationships/hyperlink" Target="http://vk.com/wall-92006241_421750?reply=424351&amp;thread=421853" TargetMode="External"/><Relationship Id="rId1857" Type="http://schemas.openxmlformats.org/officeDocument/2006/relationships/hyperlink" Target="http://vk.com/id612148529" TargetMode="External"/><Relationship Id="rId1858" Type="http://schemas.openxmlformats.org/officeDocument/2006/relationships/hyperlink" Target="http://vk.com/club92006241" TargetMode="External"/><Relationship Id="rId1859" Type="http://schemas.openxmlformats.org/officeDocument/2006/relationships/hyperlink" Target="http://www.ok.ru/profile/77108265604/statuses/155088188311684" TargetMode="External"/><Relationship Id="rId1860" Type="http://schemas.openxmlformats.org/officeDocument/2006/relationships/hyperlink" Target="http://www.ok.ru/profile/77108265604" TargetMode="External"/><Relationship Id="rId1861" Type="http://schemas.openxmlformats.org/officeDocument/2006/relationships/hyperlink" Target="http://vk.com/wall160628448_10012" TargetMode="External"/><Relationship Id="rId1862" Type="http://schemas.openxmlformats.org/officeDocument/2006/relationships/hyperlink" Target="http://vk.com/id160628448" TargetMode="External"/><Relationship Id="rId1863" Type="http://schemas.openxmlformats.org/officeDocument/2006/relationships/hyperlink" Target="http://vk.com/wall492406690_4825" TargetMode="External"/><Relationship Id="rId1864" Type="http://schemas.openxmlformats.org/officeDocument/2006/relationships/hyperlink" Target="http://vk.com/id492406690" TargetMode="External"/><Relationship Id="rId1865" Type="http://schemas.openxmlformats.org/officeDocument/2006/relationships/hyperlink" Target="https://telegram.me/taobaoarenkovachat/164371" TargetMode="External"/><Relationship Id="rId1866" Type="http://schemas.openxmlformats.org/officeDocument/2006/relationships/hyperlink" Target="https://telegram.me/MishBak" TargetMode="External"/><Relationship Id="rId1867" Type="http://schemas.openxmlformats.org/officeDocument/2006/relationships/hyperlink" Target="https://telegram.me/taobaoarenkovachat" TargetMode="External"/><Relationship Id="rId1868" Type="http://schemas.openxmlformats.org/officeDocument/2006/relationships/hyperlink" Target="https://telegram.me/taobaoarenkovachat/164370" TargetMode="External"/><Relationship Id="rId1869" Type="http://schemas.openxmlformats.org/officeDocument/2006/relationships/hyperlink" Target="https://telegram.me/MishBak" TargetMode="External"/><Relationship Id="rId1870" Type="http://schemas.openxmlformats.org/officeDocument/2006/relationships/hyperlink" Target="https://telegram.me/taobaoarenkovachat" TargetMode="External"/><Relationship Id="rId1871" Type="http://schemas.openxmlformats.org/officeDocument/2006/relationships/hyperlink" Target="http://www.ok.ru/profile/555073356756/statuses/155979592646100" TargetMode="External"/><Relationship Id="rId1872" Type="http://schemas.openxmlformats.org/officeDocument/2006/relationships/hyperlink" Target="http://www.ok.ru/profile/555073356756" TargetMode="External"/><Relationship Id="rId1873" Type="http://schemas.openxmlformats.org/officeDocument/2006/relationships/hyperlink" Target="http://www.ok.ru/profile/579140160046/statuses/156362599045934" TargetMode="External"/><Relationship Id="rId1874" Type="http://schemas.openxmlformats.org/officeDocument/2006/relationships/hyperlink" Target="http://www.ok.ru/profile/579140160046" TargetMode="External"/><Relationship Id="rId1875" Type="http://schemas.openxmlformats.org/officeDocument/2006/relationships/hyperlink" Target="http://www.ok.ru/profile/298691208392/statuses/155835371042248" TargetMode="External"/><Relationship Id="rId1876" Type="http://schemas.openxmlformats.org/officeDocument/2006/relationships/hyperlink" Target="http://www.ok.ru/profile/298691208392" TargetMode="External"/><Relationship Id="rId1877" Type="http://schemas.openxmlformats.org/officeDocument/2006/relationships/hyperlink" Target="http://vk.com/wall710715831_786" TargetMode="External"/><Relationship Id="rId1878" Type="http://schemas.openxmlformats.org/officeDocument/2006/relationships/hyperlink" Target="http://vk.com/id710715831" TargetMode="External"/><Relationship Id="rId1879" Type="http://schemas.openxmlformats.org/officeDocument/2006/relationships/hyperlink" Target="http://www.ok.ru/profile/484865717694/statuses/154839063421886" TargetMode="External"/><Relationship Id="rId1880" Type="http://schemas.openxmlformats.org/officeDocument/2006/relationships/hyperlink" Target="http://www.ok.ru/profile/484865717694" TargetMode="External"/><Relationship Id="rId1881" Type="http://schemas.openxmlformats.org/officeDocument/2006/relationships/hyperlink" Target="http://vk.com/wall-17734054_18173113?reply=18181221" TargetMode="External"/><Relationship Id="rId1882" Type="http://schemas.openxmlformats.org/officeDocument/2006/relationships/hyperlink" Target="http://vk.com/id612148529" TargetMode="External"/><Relationship Id="rId1883" Type="http://schemas.openxmlformats.org/officeDocument/2006/relationships/hyperlink" Target="http://vk.com/club17734054" TargetMode="External"/><Relationship Id="rId1884" Type="http://schemas.openxmlformats.org/officeDocument/2006/relationships/hyperlink" Target="http://vk.com/wall-76846938_2689397?reply=2689808&amp;thread=2689447" TargetMode="External"/><Relationship Id="rId1885" Type="http://schemas.openxmlformats.org/officeDocument/2006/relationships/hyperlink" Target="http://vk.com/id163566544" TargetMode="External"/><Relationship Id="rId1886" Type="http://schemas.openxmlformats.org/officeDocument/2006/relationships/hyperlink" Target="http://vk.com/club76846938" TargetMode="External"/><Relationship Id="rId1887" Type="http://schemas.openxmlformats.org/officeDocument/2006/relationships/hyperlink" Target="http://vk.com/wall114339596_1659" TargetMode="External"/><Relationship Id="rId1888" Type="http://schemas.openxmlformats.org/officeDocument/2006/relationships/hyperlink" Target="http://vk.com/id114339596" TargetMode="External"/><Relationship Id="rId1889" Type="http://schemas.openxmlformats.org/officeDocument/2006/relationships/hyperlink" Target="http://www.ok.ru/profile/346238873907/statuses/156014848260147" TargetMode="External"/><Relationship Id="rId1890" Type="http://schemas.openxmlformats.org/officeDocument/2006/relationships/hyperlink" Target="http://www.ok.ru/profile/346238873907" TargetMode="External"/><Relationship Id="rId1891" Type="http://schemas.openxmlformats.org/officeDocument/2006/relationships/hyperlink" Target="http://www.ok.ru/profile/573129900034/statuses/154611022398722" TargetMode="External"/><Relationship Id="rId1892" Type="http://schemas.openxmlformats.org/officeDocument/2006/relationships/hyperlink" Target="http://www.ok.ru/profile/573129900034" TargetMode="External"/><Relationship Id="rId1893" Type="http://schemas.openxmlformats.org/officeDocument/2006/relationships/hyperlink" Target="http://vk.com/wall-203022192_15167?reply=15254" TargetMode="External"/><Relationship Id="rId1894" Type="http://schemas.openxmlformats.org/officeDocument/2006/relationships/hyperlink" Target="http://vk.com/id612148529" TargetMode="External"/><Relationship Id="rId1895" Type="http://schemas.openxmlformats.org/officeDocument/2006/relationships/hyperlink" Target="http://vk.com/club203022192" TargetMode="External"/><Relationship Id="rId1896" Type="http://schemas.openxmlformats.org/officeDocument/2006/relationships/hyperlink" Target="http://www.ok.ru/profile/256981023352/statuses/155584204931192" TargetMode="External"/><Relationship Id="rId1897" Type="http://schemas.openxmlformats.org/officeDocument/2006/relationships/hyperlink" Target="http://www.ok.ru/profile/256981023352" TargetMode="External"/><Relationship Id="rId1898" Type="http://schemas.openxmlformats.org/officeDocument/2006/relationships/hyperlink" Target="http://vk.com/wall-137444280_2094471?reply=2102774&amp;thread=2094512" TargetMode="External"/><Relationship Id="rId1899" Type="http://schemas.openxmlformats.org/officeDocument/2006/relationships/hyperlink" Target="http://vk.com/id612148529" TargetMode="External"/><Relationship Id="rId1900" Type="http://schemas.openxmlformats.org/officeDocument/2006/relationships/hyperlink" Target="http://vk.com/club137444280" TargetMode="External"/><Relationship Id="rId1901" Type="http://schemas.openxmlformats.org/officeDocument/2006/relationships/hyperlink" Target="http://vk.com/wall-76846938_2689397?reply=2689806&amp;thread=2689447" TargetMode="External"/><Relationship Id="rId1902" Type="http://schemas.openxmlformats.org/officeDocument/2006/relationships/hyperlink" Target="http://vk.com/id163566544" TargetMode="External"/><Relationship Id="rId1903" Type="http://schemas.openxmlformats.org/officeDocument/2006/relationships/hyperlink" Target="http://vk.com/club76846938" TargetMode="External"/><Relationship Id="rId1904" Type="http://schemas.openxmlformats.org/officeDocument/2006/relationships/hyperlink" Target="http://www.ok.ru/profile/571397818187/statuses/156042609709131" TargetMode="External"/><Relationship Id="rId1905" Type="http://schemas.openxmlformats.org/officeDocument/2006/relationships/hyperlink" Target="http://www.ok.ru/profile/571397818187" TargetMode="External"/><Relationship Id="rId1906" Type="http://schemas.openxmlformats.org/officeDocument/2006/relationships/hyperlink" Target="http://www.ok.ru/profile/525125774325/statuses/157994939811317" TargetMode="External"/><Relationship Id="rId1907" Type="http://schemas.openxmlformats.org/officeDocument/2006/relationships/hyperlink" Target="http://www.ok.ru/profile/525125774325" TargetMode="External"/><Relationship Id="rId1908" Type="http://schemas.openxmlformats.org/officeDocument/2006/relationships/hyperlink" Target="http://vk.com/wall766878729_400" TargetMode="External"/><Relationship Id="rId1909" Type="http://schemas.openxmlformats.org/officeDocument/2006/relationships/hyperlink" Target="http://vk.com/id766878729" TargetMode="External"/><Relationship Id="rId1910" Type="http://schemas.openxmlformats.org/officeDocument/2006/relationships/hyperlink" Target="http://vk.com/wall-202201921_284013?reply=287564" TargetMode="External"/><Relationship Id="rId1911" Type="http://schemas.openxmlformats.org/officeDocument/2006/relationships/hyperlink" Target="http://vk.com/id612148529" TargetMode="External"/><Relationship Id="rId1912" Type="http://schemas.openxmlformats.org/officeDocument/2006/relationships/hyperlink" Target="http://vk.com/club202201921" TargetMode="External"/><Relationship Id="rId1913" Type="http://schemas.openxmlformats.org/officeDocument/2006/relationships/hyperlink" Target="http://vk.com/wall358742810_47018" TargetMode="External"/><Relationship Id="rId1914" Type="http://schemas.openxmlformats.org/officeDocument/2006/relationships/hyperlink" Target="http://vk.com/id358742810" TargetMode="External"/><Relationship Id="rId1915" Type="http://schemas.openxmlformats.org/officeDocument/2006/relationships/hyperlink" Target="https://telegram.me/apple_ukraina/190364" TargetMode="External"/><Relationship Id="rId1916" Type="http://schemas.openxmlformats.org/officeDocument/2006/relationships/hyperlink" Target="https://telegram.me/" TargetMode="External"/><Relationship Id="rId1917" Type="http://schemas.openxmlformats.org/officeDocument/2006/relationships/hyperlink" Target="https://telegram.me/apple_ukraina" TargetMode="External"/><Relationship Id="rId1918" Type="http://schemas.openxmlformats.org/officeDocument/2006/relationships/hyperlink" Target="http://www.ok.ru/profile/562979437920/statuses/154974951467104" TargetMode="External"/><Relationship Id="rId1919" Type="http://schemas.openxmlformats.org/officeDocument/2006/relationships/hyperlink" Target="http://www.ok.ru/profile/562979437920" TargetMode="External"/><Relationship Id="rId1920" Type="http://schemas.openxmlformats.org/officeDocument/2006/relationships/hyperlink" Target="http://www.ok.ru/profile/146672396407/statuses/155774647919991" TargetMode="External"/><Relationship Id="rId1921" Type="http://schemas.openxmlformats.org/officeDocument/2006/relationships/hyperlink" Target="http://www.ok.ru/profile/146672396407" TargetMode="External"/><Relationship Id="rId1922" Type="http://schemas.openxmlformats.org/officeDocument/2006/relationships/hyperlink" Target="http://www.ok.ru/profile/560411193992/statuses/155484441561992" TargetMode="External"/><Relationship Id="rId1923" Type="http://schemas.openxmlformats.org/officeDocument/2006/relationships/hyperlink" Target="http://www.ok.ru/profile/560411193992" TargetMode="External"/><Relationship Id="rId1924" Type="http://schemas.openxmlformats.org/officeDocument/2006/relationships/hyperlink" Target="http://vk.com/wall-203023242_19254?reply=19259" TargetMode="External"/><Relationship Id="rId1925" Type="http://schemas.openxmlformats.org/officeDocument/2006/relationships/hyperlink" Target="http://vk.com/id636416689" TargetMode="External"/><Relationship Id="rId1926" Type="http://schemas.openxmlformats.org/officeDocument/2006/relationships/hyperlink" Target="http://vk.com/club203023242" TargetMode="External"/><Relationship Id="rId1927" Type="http://schemas.openxmlformats.org/officeDocument/2006/relationships/hyperlink" Target="http://www.ok.ru/profile/587164944177/statuses/156604224609073" TargetMode="External"/><Relationship Id="rId1928" Type="http://schemas.openxmlformats.org/officeDocument/2006/relationships/hyperlink" Target="http://www.ok.ru/profile/587164944177" TargetMode="External"/><Relationship Id="rId1929" Type="http://schemas.openxmlformats.org/officeDocument/2006/relationships/hyperlink" Target="https://www.babyblog.ru/community/ks/post/3200935" TargetMode="External"/><Relationship Id="rId1930" Type="http://schemas.openxmlformats.org/officeDocument/2006/relationships/hyperlink" Target="http://vk.com/wall13046562_392" TargetMode="External"/><Relationship Id="rId1931" Type="http://schemas.openxmlformats.org/officeDocument/2006/relationships/hyperlink" Target="http://vk.com/id13046562" TargetMode="External"/><Relationship Id="rId1932" Type="http://schemas.openxmlformats.org/officeDocument/2006/relationships/hyperlink" Target="http://www.ok.ru/profile/565737277315/statuses/154869989762435" TargetMode="External"/><Relationship Id="rId1933" Type="http://schemas.openxmlformats.org/officeDocument/2006/relationships/hyperlink" Target="http://www.ok.ru/profile/565737277315" TargetMode="External"/><Relationship Id="rId1934" Type="http://schemas.openxmlformats.org/officeDocument/2006/relationships/hyperlink" Target="http://www.ok.ru/profile/581407959215/statuses/156335328320431" TargetMode="External"/><Relationship Id="rId1935" Type="http://schemas.openxmlformats.org/officeDocument/2006/relationships/hyperlink" Target="http://www.ok.ru/profile/581407959215" TargetMode="External"/><Relationship Id="rId1936" Type="http://schemas.openxmlformats.org/officeDocument/2006/relationships/hyperlink" Target="http://vk.com/wall-17389345_920735" TargetMode="External"/><Relationship Id="rId1937" Type="http://schemas.openxmlformats.org/officeDocument/2006/relationships/hyperlink" Target="http://vk.com/club17389345" TargetMode="External"/><Relationship Id="rId1938" Type="http://schemas.openxmlformats.org/officeDocument/2006/relationships/hyperlink" Target="http://vk.com/wall-87598739_817102?reply=817258&amp;thread=817254" TargetMode="External"/><Relationship Id="rId1939" Type="http://schemas.openxmlformats.org/officeDocument/2006/relationships/hyperlink" Target="http://vk.com/id311981412" TargetMode="External"/><Relationship Id="rId1940" Type="http://schemas.openxmlformats.org/officeDocument/2006/relationships/hyperlink" Target="http://vk.com/club87598739" TargetMode="External"/><Relationship Id="rId1941" Type="http://schemas.openxmlformats.org/officeDocument/2006/relationships/hyperlink" Target="http://www.ok.ru/profile/517515058047/statuses/154845402415999" TargetMode="External"/><Relationship Id="rId1942" Type="http://schemas.openxmlformats.org/officeDocument/2006/relationships/hyperlink" Target="http://www.ok.ru/profile/517515058047" TargetMode="External"/><Relationship Id="rId1943" Type="http://schemas.openxmlformats.org/officeDocument/2006/relationships/hyperlink" Target="http://www.ok.ru/profile/294503561555/statuses/156215602697555" TargetMode="External"/><Relationship Id="rId1944" Type="http://schemas.openxmlformats.org/officeDocument/2006/relationships/hyperlink" Target="http://www.ok.ru/profile/294503561555" TargetMode="External"/><Relationship Id="rId1945" Type="http://schemas.openxmlformats.org/officeDocument/2006/relationships/hyperlink" Target="http://vk.com/wall373308779_761" TargetMode="External"/><Relationship Id="rId1946" Type="http://schemas.openxmlformats.org/officeDocument/2006/relationships/hyperlink" Target="http://vk.com/id373308779" TargetMode="External"/><Relationship Id="rId1947" Type="http://schemas.openxmlformats.org/officeDocument/2006/relationships/hyperlink" Target="http://www.ok.ru/profile/581853282084/statuses/155009447897124" TargetMode="External"/><Relationship Id="rId1948" Type="http://schemas.openxmlformats.org/officeDocument/2006/relationships/hyperlink" Target="http://www.ok.ru/profile/581853282084" TargetMode="External"/><Relationship Id="rId1949" Type="http://schemas.openxmlformats.org/officeDocument/2006/relationships/hyperlink" Target="https://vk.com/wall-111918418_3257291?reply=3320601&amp;thread=3257310" TargetMode="External"/><Relationship Id="rId1950" Type="http://schemas.openxmlformats.org/officeDocument/2006/relationships/hyperlink" Target="https://vk.com/wall-111918418_3257291?reply=3320601&amp;thread=3257310" TargetMode="External"/><Relationship Id="rId1951" Type="http://schemas.openxmlformats.org/officeDocument/2006/relationships/hyperlink" Target="http://www.ok.ru/profile/563009289372/statuses/155004002541724" TargetMode="External"/><Relationship Id="rId1952" Type="http://schemas.openxmlformats.org/officeDocument/2006/relationships/hyperlink" Target="http://www.ok.ru/profile/563009289372" TargetMode="External"/><Relationship Id="rId1953" Type="http://schemas.openxmlformats.org/officeDocument/2006/relationships/hyperlink" Target="http://vk.com/wall523685554_234" TargetMode="External"/><Relationship Id="rId1954" Type="http://schemas.openxmlformats.org/officeDocument/2006/relationships/hyperlink" Target="http://vk.com/id523685554" TargetMode="External"/><Relationship Id="rId1955" Type="http://schemas.openxmlformats.org/officeDocument/2006/relationships/hyperlink" Target="http://www.ok.ru/profile/562520318332/statuses/155155120604028" TargetMode="External"/><Relationship Id="rId1956" Type="http://schemas.openxmlformats.org/officeDocument/2006/relationships/hyperlink" Target="http://www.ok.ru/profile/562520318332" TargetMode="External"/><Relationship Id="rId1957" Type="http://schemas.openxmlformats.org/officeDocument/2006/relationships/hyperlink" Target="http://vk.com/wall-87169444_12293185?reply=12293341" TargetMode="External"/><Relationship Id="rId1958" Type="http://schemas.openxmlformats.org/officeDocument/2006/relationships/hyperlink" Target="http://vk.com/id793707190" TargetMode="External"/><Relationship Id="rId1959" Type="http://schemas.openxmlformats.org/officeDocument/2006/relationships/hyperlink" Target="http://vk.com/club87169444" TargetMode="External"/><Relationship Id="rId1960" Type="http://schemas.openxmlformats.org/officeDocument/2006/relationships/hyperlink" Target="http://vk.com/wall-206530812_2357872?reply=2358633&amp;thread=2358116" TargetMode="External"/><Relationship Id="rId1961" Type="http://schemas.openxmlformats.org/officeDocument/2006/relationships/hyperlink" Target="http://vk.com/id536598200" TargetMode="External"/><Relationship Id="rId1962" Type="http://schemas.openxmlformats.org/officeDocument/2006/relationships/hyperlink" Target="http://vk.com/club206530812" TargetMode="External"/><Relationship Id="rId1963" Type="http://schemas.openxmlformats.org/officeDocument/2006/relationships/hyperlink" Target="https://telegram.me/shukinoszao/93102" TargetMode="External"/><Relationship Id="rId1964" Type="http://schemas.openxmlformats.org/officeDocument/2006/relationships/hyperlink" Target="https://telegram.me/YuliyaTver" TargetMode="External"/><Relationship Id="rId1965" Type="http://schemas.openxmlformats.org/officeDocument/2006/relationships/hyperlink" Target="https://telegram.me/shukinoszao" TargetMode="External"/><Relationship Id="rId1966" Type="http://schemas.openxmlformats.org/officeDocument/2006/relationships/hyperlink" Target="http://www.ok.ru/profile/541135828979/statuses/156226923264243" TargetMode="External"/><Relationship Id="rId1967" Type="http://schemas.openxmlformats.org/officeDocument/2006/relationships/hyperlink" Target="http://www.ok.ru/profile/541135828979" TargetMode="External"/><Relationship Id="rId1968" Type="http://schemas.openxmlformats.org/officeDocument/2006/relationships/hyperlink" Target="https://telegram.me/we_are_vkusvill/3464?comment=225999" TargetMode="External"/><Relationship Id="rId1969" Type="http://schemas.openxmlformats.org/officeDocument/2006/relationships/hyperlink" Target="https://telegram.me/" TargetMode="External"/><Relationship Id="rId1970" Type="http://schemas.openxmlformats.org/officeDocument/2006/relationships/hyperlink" Target="https://telegram.me/we_are_vkusvill" TargetMode="External"/><Relationship Id="rId1971" Type="http://schemas.openxmlformats.org/officeDocument/2006/relationships/hyperlink" Target="http://vk.com/wall-142477702_726009?reply=726409" TargetMode="External"/><Relationship Id="rId1972" Type="http://schemas.openxmlformats.org/officeDocument/2006/relationships/hyperlink" Target="http://vk.com/id793707190" TargetMode="External"/><Relationship Id="rId1973" Type="http://schemas.openxmlformats.org/officeDocument/2006/relationships/hyperlink" Target="http://vk.com/club142477702" TargetMode="External"/><Relationship Id="rId1974" Type="http://schemas.openxmlformats.org/officeDocument/2006/relationships/hyperlink" Target="http://vk.com/wall-103474409_917610?reply=917700&amp;thread=917662" TargetMode="External"/><Relationship Id="rId1975" Type="http://schemas.openxmlformats.org/officeDocument/2006/relationships/hyperlink" Target="http://vk.com/id20323989" TargetMode="External"/><Relationship Id="rId1976" Type="http://schemas.openxmlformats.org/officeDocument/2006/relationships/hyperlink" Target="http://vk.com/club103474409" TargetMode="External"/><Relationship Id="rId1977" Type="http://schemas.openxmlformats.org/officeDocument/2006/relationships/hyperlink" Target="https://www.babyblog.ru/community/health/post/3215619" TargetMode="External"/><Relationship Id="rId1978" Type="http://schemas.openxmlformats.org/officeDocument/2006/relationships/hyperlink" Target="https://telegram.me/shukinoszao/93097" TargetMode="External"/><Relationship Id="rId1979" Type="http://schemas.openxmlformats.org/officeDocument/2006/relationships/hyperlink" Target="https://telegram.me/DerAlSem" TargetMode="External"/><Relationship Id="rId1980" Type="http://schemas.openxmlformats.org/officeDocument/2006/relationships/hyperlink" Target="https://telegram.me/shukinoszao" TargetMode="External"/><Relationship Id="rId1981" Type="http://schemas.openxmlformats.org/officeDocument/2006/relationships/hyperlink" Target="http://www.ok.ru/profile/541832290067/statuses/156298323069715" TargetMode="External"/><Relationship Id="rId1982" Type="http://schemas.openxmlformats.org/officeDocument/2006/relationships/hyperlink" Target="http://www.ok.ru/profile/541832290067" TargetMode="External"/><Relationship Id="rId1983" Type="http://schemas.openxmlformats.org/officeDocument/2006/relationships/hyperlink" Target="http://www.ok.ru/group/64283132559598/topic/156610048130030" TargetMode="External"/><Relationship Id="rId1984" Type="http://schemas.openxmlformats.org/officeDocument/2006/relationships/hyperlink" Target="http://www.ok.ru/group/64283132559598" TargetMode="External"/><Relationship Id="rId1985" Type="http://schemas.openxmlformats.org/officeDocument/2006/relationships/hyperlink" Target="http://vk.com/wall248628919_7771" TargetMode="External"/><Relationship Id="rId1986" Type="http://schemas.openxmlformats.org/officeDocument/2006/relationships/hyperlink" Target="http://vk.com/id248628919" TargetMode="External"/><Relationship Id="rId1987" Type="http://schemas.openxmlformats.org/officeDocument/2006/relationships/hyperlink" Target="http://www.ok.ru/profile/586743532848/statuses/156246835214384" TargetMode="External"/><Relationship Id="rId1988" Type="http://schemas.openxmlformats.org/officeDocument/2006/relationships/hyperlink" Target="http://www.ok.ru/profile/586743532848" TargetMode="External"/><Relationship Id="rId1989" Type="http://schemas.openxmlformats.org/officeDocument/2006/relationships/hyperlink" Target="https://www.baby.ru/blogs/post/2611543491-2600215552/" TargetMode="External"/><Relationship Id="rId1990" Type="http://schemas.openxmlformats.org/officeDocument/2006/relationships/hyperlink" Target="https://www.baby.ru/u/usr2816068/" TargetMode="External"/><Relationship Id="rId1991" Type="http://schemas.openxmlformats.org/officeDocument/2006/relationships/hyperlink" Target="https://www.baby.ru/u/usr2573509/" TargetMode="External"/><Relationship Id="rId1992" Type="http://schemas.openxmlformats.org/officeDocument/2006/relationships/hyperlink" Target="http://vk.com/wall200794158_10146" TargetMode="External"/><Relationship Id="rId1993" Type="http://schemas.openxmlformats.org/officeDocument/2006/relationships/hyperlink" Target="http://vk.com/id200794158" TargetMode="External"/><Relationship Id="rId1994" Type="http://schemas.openxmlformats.org/officeDocument/2006/relationships/hyperlink" Target="http://vk.com/wall-110697191_622636?reply=622714" TargetMode="External"/><Relationship Id="rId1995" Type="http://schemas.openxmlformats.org/officeDocument/2006/relationships/hyperlink" Target="http://vk.com/id26593557" TargetMode="External"/><Relationship Id="rId1996" Type="http://schemas.openxmlformats.org/officeDocument/2006/relationships/hyperlink" Target="http://vk.com/club110697191" TargetMode="External"/><Relationship Id="rId1997" Type="http://schemas.openxmlformats.org/officeDocument/2006/relationships/hyperlink" Target="http://www.ok.ru/profile/360069009982/statuses/154922945123646" TargetMode="External"/><Relationship Id="rId1998" Type="http://schemas.openxmlformats.org/officeDocument/2006/relationships/hyperlink" Target="http://www.ok.ru/profile/360069009982" TargetMode="External"/><Relationship Id="rId1999" Type="http://schemas.openxmlformats.org/officeDocument/2006/relationships/hyperlink" Target="http://www.ok.ru/profile/556955883488/statuses/154796855410144" TargetMode="External"/><Relationship Id="rId2000" Type="http://schemas.openxmlformats.org/officeDocument/2006/relationships/hyperlink" Target="http://www.ok.ru/profile/556955883488" TargetMode="External"/><Relationship Id="rId2001" Type="http://schemas.openxmlformats.org/officeDocument/2006/relationships/hyperlink" Target="http://www.ok.ru/profile/570639311378/statuses/156150021232658" TargetMode="External"/><Relationship Id="rId2002" Type="http://schemas.openxmlformats.org/officeDocument/2006/relationships/hyperlink" Target="http://www.ok.ru/profile/570639311378" TargetMode="External"/><Relationship Id="rId2003" Type="http://schemas.openxmlformats.org/officeDocument/2006/relationships/hyperlink" Target="http://www.ok.ru/profile/574178984761/statuses/155434230562873" TargetMode="External"/><Relationship Id="rId2004" Type="http://schemas.openxmlformats.org/officeDocument/2006/relationships/hyperlink" Target="http://www.ok.ru/profile/574178984761" TargetMode="External"/><Relationship Id="rId2005" Type="http://schemas.openxmlformats.org/officeDocument/2006/relationships/hyperlink" Target="http://vk.com/wall-176266147_201663?reply=201688" TargetMode="External"/><Relationship Id="rId2006" Type="http://schemas.openxmlformats.org/officeDocument/2006/relationships/hyperlink" Target="http://vk.com/id4017982" TargetMode="External"/><Relationship Id="rId2007" Type="http://schemas.openxmlformats.org/officeDocument/2006/relationships/hyperlink" Target="http://vk.com/club176266147" TargetMode="External"/><Relationship Id="rId2008" Type="http://schemas.openxmlformats.org/officeDocument/2006/relationships/hyperlink" Target="http://www.ok.ru/group/57003210833975/topic/155711413330743" TargetMode="External"/><Relationship Id="rId2009" Type="http://schemas.openxmlformats.org/officeDocument/2006/relationships/hyperlink" Target="http://www.ok.ru/group/57003210833975" TargetMode="External"/><Relationship Id="rId2010" Type="http://schemas.openxmlformats.org/officeDocument/2006/relationships/hyperlink" Target="http://vk.com/wall-140264116_119554" TargetMode="External"/><Relationship Id="rId2011" Type="http://schemas.openxmlformats.org/officeDocument/2006/relationships/hyperlink" Target="http://vk.com/club140264116" TargetMode="External"/><Relationship Id="rId2012" Type="http://schemas.openxmlformats.org/officeDocument/2006/relationships/hyperlink" Target="http://vk.com/wall-106437710_461209?reply=461914" TargetMode="External"/><Relationship Id="rId2013" Type="http://schemas.openxmlformats.org/officeDocument/2006/relationships/hyperlink" Target="http://vk.com/id44708086" TargetMode="External"/><Relationship Id="rId2014" Type="http://schemas.openxmlformats.org/officeDocument/2006/relationships/hyperlink" Target="http://vk.com/club106437710" TargetMode="External"/><Relationship Id="rId2015" Type="http://schemas.openxmlformats.org/officeDocument/2006/relationships/hyperlink" Target="http://www.ok.ru/profile/456332109360/statuses/156246815815728" TargetMode="External"/><Relationship Id="rId2016" Type="http://schemas.openxmlformats.org/officeDocument/2006/relationships/hyperlink" Target="http://www.ok.ru/profile/456332109360" TargetMode="External"/><Relationship Id="rId2017" Type="http://schemas.openxmlformats.org/officeDocument/2006/relationships/hyperlink" Target="http://www.ok.ru/profile/460248951407/statuses/157360864784495" TargetMode="External"/><Relationship Id="rId2018" Type="http://schemas.openxmlformats.org/officeDocument/2006/relationships/hyperlink" Target="http://www.ok.ru/profile/460248951407" TargetMode="External"/><Relationship Id="rId2019" Type="http://schemas.openxmlformats.org/officeDocument/2006/relationships/hyperlink" Target="http://www.ok.ru/profile/567504656775/statuses/155509177878663" TargetMode="External"/><Relationship Id="rId2020" Type="http://schemas.openxmlformats.org/officeDocument/2006/relationships/hyperlink" Target="http://www.ok.ru/profile/567504656775" TargetMode="External"/><Relationship Id="rId2021" Type="http://schemas.openxmlformats.org/officeDocument/2006/relationships/hyperlink" Target="http://vk.com/wall486048847_438" TargetMode="External"/><Relationship Id="rId2022" Type="http://schemas.openxmlformats.org/officeDocument/2006/relationships/hyperlink" Target="http://vk.com/id486048847" TargetMode="External"/><Relationship Id="rId2023" Type="http://schemas.openxmlformats.org/officeDocument/2006/relationships/hyperlink" Target="http://vk.com/wall25851840_11499" TargetMode="External"/><Relationship Id="rId2024" Type="http://schemas.openxmlformats.org/officeDocument/2006/relationships/hyperlink" Target="http://vk.com/id25851840" TargetMode="External"/><Relationship Id="rId2025" Type="http://schemas.openxmlformats.org/officeDocument/2006/relationships/hyperlink" Target="http://www.ok.ru/profile/562841679795/statuses/156118534843827" TargetMode="External"/><Relationship Id="rId2026" Type="http://schemas.openxmlformats.org/officeDocument/2006/relationships/hyperlink" Target="http://www.ok.ru/profile/562841679795" TargetMode="External"/><Relationship Id="rId2027" Type="http://schemas.openxmlformats.org/officeDocument/2006/relationships/hyperlink" Target="http://www.ok.ru/profile/572066912490/statuses/156306792968426" TargetMode="External"/><Relationship Id="rId2028" Type="http://schemas.openxmlformats.org/officeDocument/2006/relationships/hyperlink" Target="http://www.ok.ru/profile/572066912490" TargetMode="External"/><Relationship Id="rId2029" Type="http://schemas.openxmlformats.org/officeDocument/2006/relationships/hyperlink" Target="http://vk.com/wall-106087149_102995?reply=103066" TargetMode="External"/><Relationship Id="rId2030" Type="http://schemas.openxmlformats.org/officeDocument/2006/relationships/hyperlink" Target="http://vk.com/id600106171" TargetMode="External"/><Relationship Id="rId2031" Type="http://schemas.openxmlformats.org/officeDocument/2006/relationships/hyperlink" Target="http://vk.com/club106087149" TargetMode="External"/><Relationship Id="rId2032" Type="http://schemas.openxmlformats.org/officeDocument/2006/relationships/hyperlink" Target="http://www.ok.ru/profile/544404440311/statuses/156143201879031" TargetMode="External"/><Relationship Id="rId2033" Type="http://schemas.openxmlformats.org/officeDocument/2006/relationships/hyperlink" Target="http://www.ok.ru/profile/544404440311" TargetMode="External"/><Relationship Id="rId2034" Type="http://schemas.openxmlformats.org/officeDocument/2006/relationships/hyperlink" Target="http://www.ok.ru/profile/561287899351/statuses/155748908400087" TargetMode="External"/><Relationship Id="rId2035" Type="http://schemas.openxmlformats.org/officeDocument/2006/relationships/hyperlink" Target="http://www.ok.ru/profile/561287899351" TargetMode="External"/><Relationship Id="rId2036" Type="http://schemas.openxmlformats.org/officeDocument/2006/relationships/hyperlink" Target="http://vk.com/wall591107361_1707" TargetMode="External"/><Relationship Id="rId2037" Type="http://schemas.openxmlformats.org/officeDocument/2006/relationships/hyperlink" Target="http://vk.com/id591107361" TargetMode="External"/><Relationship Id="rId2038" Type="http://schemas.openxmlformats.org/officeDocument/2006/relationships/hyperlink" Target="http://www.ok.ru/profile/509742655209/statuses/156232721137129" TargetMode="External"/><Relationship Id="rId2039" Type="http://schemas.openxmlformats.org/officeDocument/2006/relationships/hyperlink" Target="http://www.ok.ru/profile/509742655209" TargetMode="External"/><Relationship Id="rId2040" Type="http://schemas.openxmlformats.org/officeDocument/2006/relationships/hyperlink" Target="http://www.ok.ru/profile/476031760178/statuses/157284759014706" TargetMode="External"/><Relationship Id="rId2041" Type="http://schemas.openxmlformats.org/officeDocument/2006/relationships/hyperlink" Target="http://www.ok.ru/profile/476031760178" TargetMode="External"/><Relationship Id="rId2042" Type="http://schemas.openxmlformats.org/officeDocument/2006/relationships/hyperlink" Target="http://www.ok.ru/profile/524052663107/statuses/154890819904323" TargetMode="External"/><Relationship Id="rId2043" Type="http://schemas.openxmlformats.org/officeDocument/2006/relationships/hyperlink" Target="http://www.ok.ru/profile/524052663107" TargetMode="External"/><Relationship Id="rId2044" Type="http://schemas.openxmlformats.org/officeDocument/2006/relationships/hyperlink" Target="http://www.ok.ru/profile/227504150050/statuses/154839717122850" TargetMode="External"/><Relationship Id="rId2045" Type="http://schemas.openxmlformats.org/officeDocument/2006/relationships/hyperlink" Target="http://www.ok.ru/profile/227504150050" TargetMode="External"/><Relationship Id="rId2046" Type="http://schemas.openxmlformats.org/officeDocument/2006/relationships/hyperlink" Target="http://www.ok.ru/profile/585104782105/statuses/156520503087897" TargetMode="External"/><Relationship Id="rId2047" Type="http://schemas.openxmlformats.org/officeDocument/2006/relationships/hyperlink" Target="http://www.ok.ru/profile/585104782105" TargetMode="External"/><Relationship Id="rId2048" Type="http://schemas.openxmlformats.org/officeDocument/2006/relationships/hyperlink" Target="http://www.ok.ru/profile/556773160880/statuses/156233526554032" TargetMode="External"/><Relationship Id="rId2049" Type="http://schemas.openxmlformats.org/officeDocument/2006/relationships/hyperlink" Target="http://www.ok.ru/profile/556773160880" TargetMode="External"/><Relationship Id="rId2050" Type="http://schemas.openxmlformats.org/officeDocument/2006/relationships/hyperlink" Target="http://vk.com/wall75092533_2714" TargetMode="External"/><Relationship Id="rId2051" Type="http://schemas.openxmlformats.org/officeDocument/2006/relationships/hyperlink" Target="http://vk.com/id75092533" TargetMode="External"/><Relationship Id="rId2052" Type="http://schemas.openxmlformats.org/officeDocument/2006/relationships/hyperlink" Target="http://www.ok.ru/profile/519862047238/statuses/155083715250182" TargetMode="External"/><Relationship Id="rId2053" Type="http://schemas.openxmlformats.org/officeDocument/2006/relationships/hyperlink" Target="http://www.ok.ru/profile/519862047238" TargetMode="External"/><Relationship Id="rId2054" Type="http://schemas.openxmlformats.org/officeDocument/2006/relationships/hyperlink" Target="http://www.ok.ru/profile/554792971343/statuses/156889491024719" TargetMode="External"/><Relationship Id="rId2055" Type="http://schemas.openxmlformats.org/officeDocument/2006/relationships/hyperlink" Target="http://www.ok.ru/profile/554792971343" TargetMode="External"/><Relationship Id="rId2056" Type="http://schemas.openxmlformats.org/officeDocument/2006/relationships/hyperlink" Target="http://vk.com/wall569442209_3034" TargetMode="External"/><Relationship Id="rId2057" Type="http://schemas.openxmlformats.org/officeDocument/2006/relationships/hyperlink" Target="http://vk.com/id569442209" TargetMode="External"/><Relationship Id="rId2058" Type="http://schemas.openxmlformats.org/officeDocument/2006/relationships/hyperlink" Target="http://vk.com/wall598047113_3124" TargetMode="External"/><Relationship Id="rId2059" Type="http://schemas.openxmlformats.org/officeDocument/2006/relationships/hyperlink" Target="http://vk.com/id598047113" TargetMode="External"/><Relationship Id="rId2060" Type="http://schemas.openxmlformats.org/officeDocument/2006/relationships/hyperlink" Target="http://vk.com/wall158399146_3439" TargetMode="External"/><Relationship Id="rId2061" Type="http://schemas.openxmlformats.org/officeDocument/2006/relationships/hyperlink" Target="http://vk.com/id158399146" TargetMode="External"/><Relationship Id="rId2062" Type="http://schemas.openxmlformats.org/officeDocument/2006/relationships/hyperlink" Target="http://www.ok.ru/profile/538676163632/statuses/156246765942832" TargetMode="External"/><Relationship Id="rId2063" Type="http://schemas.openxmlformats.org/officeDocument/2006/relationships/hyperlink" Target="http://www.ok.ru/profile/538676163632" TargetMode="External"/><Relationship Id="rId2064" Type="http://schemas.openxmlformats.org/officeDocument/2006/relationships/hyperlink" Target="http://vk.com/wall2052607_38402" TargetMode="External"/><Relationship Id="rId2065" Type="http://schemas.openxmlformats.org/officeDocument/2006/relationships/hyperlink" Target="http://vk.com/id2052607" TargetMode="External"/><Relationship Id="rId2066" Type="http://schemas.openxmlformats.org/officeDocument/2006/relationships/hyperlink" Target="http://www.ok.ru/profile/544704880100/statuses/155150676519140" TargetMode="External"/><Relationship Id="rId2067" Type="http://schemas.openxmlformats.org/officeDocument/2006/relationships/hyperlink" Target="http://www.ok.ru/profile/544704880100" TargetMode="External"/><Relationship Id="rId2068" Type="http://schemas.openxmlformats.org/officeDocument/2006/relationships/hyperlink" Target="http://www.ok.ru/profile/322547506864/statuses/156233487625648" TargetMode="External"/><Relationship Id="rId2069" Type="http://schemas.openxmlformats.org/officeDocument/2006/relationships/hyperlink" Target="http://www.ok.ru/profile/322547506864" TargetMode="External"/><Relationship Id="rId2070" Type="http://schemas.openxmlformats.org/officeDocument/2006/relationships/hyperlink" Target="http://vk.com/wall-151204563_1297175?reply=1297376&amp;thread=1297181" TargetMode="External"/><Relationship Id="rId2071" Type="http://schemas.openxmlformats.org/officeDocument/2006/relationships/hyperlink" Target="http://vk.com/id29195238" TargetMode="External"/><Relationship Id="rId2072" Type="http://schemas.openxmlformats.org/officeDocument/2006/relationships/hyperlink" Target="http://vk.com/club151204563" TargetMode="External"/><Relationship Id="rId2073" Type="http://schemas.openxmlformats.org/officeDocument/2006/relationships/hyperlink" Target="http://vk.com/wall301927700_14180" TargetMode="External"/><Relationship Id="rId2074" Type="http://schemas.openxmlformats.org/officeDocument/2006/relationships/hyperlink" Target="http://vk.com/id301927700" TargetMode="External"/><Relationship Id="rId2075" Type="http://schemas.openxmlformats.org/officeDocument/2006/relationships/hyperlink" Target="http://www.ok.ru/profile/515666046660/statuses/155142804759492" TargetMode="External"/><Relationship Id="rId2076" Type="http://schemas.openxmlformats.org/officeDocument/2006/relationships/hyperlink" Target="http://www.ok.ru/profile/515666046660" TargetMode="External"/><Relationship Id="rId2077" Type="http://schemas.openxmlformats.org/officeDocument/2006/relationships/hyperlink" Target="http://www.ok.ru/profile/22573058975/statuses/155030616711327" TargetMode="External"/><Relationship Id="rId2078" Type="http://schemas.openxmlformats.org/officeDocument/2006/relationships/hyperlink" Target="http://www.ok.ru/profile/22573058975" TargetMode="External"/><Relationship Id="rId2079" Type="http://schemas.openxmlformats.org/officeDocument/2006/relationships/hyperlink" Target="http://vk.com/wall-90436798_53439" TargetMode="External"/><Relationship Id="rId2080" Type="http://schemas.openxmlformats.org/officeDocument/2006/relationships/hyperlink" Target="http://vk.com/club90436798" TargetMode="External"/><Relationship Id="rId2081" Type="http://schemas.openxmlformats.org/officeDocument/2006/relationships/hyperlink" Target="http://vk.com/wall-142477702_726009?reply=726403&amp;thread=726401" TargetMode="External"/><Relationship Id="rId2082" Type="http://schemas.openxmlformats.org/officeDocument/2006/relationships/hyperlink" Target="http://vk.com/id342883465" TargetMode="External"/><Relationship Id="rId2083" Type="http://schemas.openxmlformats.org/officeDocument/2006/relationships/hyperlink" Target="http://vk.com/club142477702" TargetMode="External"/><Relationship Id="rId2084" Type="http://schemas.openxmlformats.org/officeDocument/2006/relationships/hyperlink" Target="http://vk.com/wall-137133200_67858?reply=67860" TargetMode="External"/><Relationship Id="rId2085" Type="http://schemas.openxmlformats.org/officeDocument/2006/relationships/hyperlink" Target="http://vk.com/id500965747" TargetMode="External"/><Relationship Id="rId2086" Type="http://schemas.openxmlformats.org/officeDocument/2006/relationships/hyperlink" Target="http://vk.com/club137133200" TargetMode="External"/><Relationship Id="rId2087" Type="http://schemas.openxmlformats.org/officeDocument/2006/relationships/hyperlink" Target="http://vk.com/wall-142477702_726009?reply=726401" TargetMode="External"/><Relationship Id="rId2088" Type="http://schemas.openxmlformats.org/officeDocument/2006/relationships/hyperlink" Target="http://vk.com/id342883465" TargetMode="External"/><Relationship Id="rId2089" Type="http://schemas.openxmlformats.org/officeDocument/2006/relationships/hyperlink" Target="http://vk.com/club142477702" TargetMode="External"/><Relationship Id="rId2090" Type="http://schemas.openxmlformats.org/officeDocument/2006/relationships/hyperlink" Target="http://vk.com/wall643502528_299" TargetMode="External"/><Relationship Id="rId2091" Type="http://schemas.openxmlformats.org/officeDocument/2006/relationships/hyperlink" Target="http://vk.com/id643502528" TargetMode="External"/><Relationship Id="rId2092" Type="http://schemas.openxmlformats.org/officeDocument/2006/relationships/hyperlink" Target="http://www.ok.ru/profile/577035872786/statuses/156149906479122" TargetMode="External"/><Relationship Id="rId2093" Type="http://schemas.openxmlformats.org/officeDocument/2006/relationships/hyperlink" Target="http://www.ok.ru/profile/577035872786" TargetMode="External"/><Relationship Id="rId2094" Type="http://schemas.openxmlformats.org/officeDocument/2006/relationships/hyperlink" Target="http://vk.com/wall-80494791_260029?reply=260556" TargetMode="External"/><Relationship Id="rId2095" Type="http://schemas.openxmlformats.org/officeDocument/2006/relationships/hyperlink" Target="http://vk.com/id337205722" TargetMode="External"/><Relationship Id="rId2096" Type="http://schemas.openxmlformats.org/officeDocument/2006/relationships/hyperlink" Target="http://vk.com/club80494791" TargetMode="External"/><Relationship Id="rId2097" Type="http://schemas.openxmlformats.org/officeDocument/2006/relationships/hyperlink" Target="http://vk.com/wall711822206_808" TargetMode="External"/><Relationship Id="rId2098" Type="http://schemas.openxmlformats.org/officeDocument/2006/relationships/hyperlink" Target="http://vk.com/id711822206" TargetMode="External"/><Relationship Id="rId2099" Type="http://schemas.openxmlformats.org/officeDocument/2006/relationships/hyperlink" Target="http://www.ok.ru/profile/570355273330/statuses/156143575398514" TargetMode="External"/><Relationship Id="rId2100" Type="http://schemas.openxmlformats.org/officeDocument/2006/relationships/hyperlink" Target="http://www.ok.ru/profile/570355273330" TargetMode="External"/><Relationship Id="rId2101" Type="http://schemas.openxmlformats.org/officeDocument/2006/relationships/hyperlink" Target="https://telegram.me/kambuland/1807581" TargetMode="External"/><Relationship Id="rId2102" Type="http://schemas.openxmlformats.org/officeDocument/2006/relationships/hyperlink" Target="https://telegram.me/businkaaaa1" TargetMode="External"/><Relationship Id="rId2103" Type="http://schemas.openxmlformats.org/officeDocument/2006/relationships/hyperlink" Target="https://telegram.me/kambuland" TargetMode="External"/><Relationship Id="rId2104" Type="http://schemas.openxmlformats.org/officeDocument/2006/relationships/hyperlink" Target="http://vk.com/wall334113888_3243" TargetMode="External"/><Relationship Id="rId2105" Type="http://schemas.openxmlformats.org/officeDocument/2006/relationships/hyperlink" Target="http://vk.com/id334113888" TargetMode="External"/><Relationship Id="rId2106" Type="http://schemas.openxmlformats.org/officeDocument/2006/relationships/hyperlink" Target="http://www.ok.ru/profile/561109512961/statuses/154791073317633" TargetMode="External"/><Relationship Id="rId2107" Type="http://schemas.openxmlformats.org/officeDocument/2006/relationships/hyperlink" Target="http://www.ok.ru/profile/561109512961" TargetMode="External"/><Relationship Id="rId2108" Type="http://schemas.openxmlformats.org/officeDocument/2006/relationships/hyperlink" Target="http://www.ok.ru/profile/107852049988/statuses/155466883142980" TargetMode="External"/><Relationship Id="rId2109" Type="http://schemas.openxmlformats.org/officeDocument/2006/relationships/hyperlink" Target="http://www.ok.ru/profile/107852049988" TargetMode="External"/><Relationship Id="rId2110" Type="http://schemas.openxmlformats.org/officeDocument/2006/relationships/hyperlink" Target="http://vk.com/wall429394158_460" TargetMode="External"/><Relationship Id="rId2111" Type="http://schemas.openxmlformats.org/officeDocument/2006/relationships/hyperlink" Target="http://vk.com/id429394158" TargetMode="External"/><Relationship Id="rId2112" Type="http://schemas.openxmlformats.org/officeDocument/2006/relationships/hyperlink" Target="http://www.ok.ru/profile/538784157950/statuses/155116689343998" TargetMode="External"/><Relationship Id="rId2113" Type="http://schemas.openxmlformats.org/officeDocument/2006/relationships/hyperlink" Target="http://www.ok.ru/profile/538784157950" TargetMode="External"/><Relationship Id="rId2114" Type="http://schemas.openxmlformats.org/officeDocument/2006/relationships/hyperlink" Target="http://www.ok.ru/profile/555185999326/statuses/154821646672094" TargetMode="External"/><Relationship Id="rId2115" Type="http://schemas.openxmlformats.org/officeDocument/2006/relationships/hyperlink" Target="http://www.ok.ru/profile/555185999326" TargetMode="External"/><Relationship Id="rId2116" Type="http://schemas.openxmlformats.org/officeDocument/2006/relationships/hyperlink" Target="http://vk.com/wall101336173_6983" TargetMode="External"/><Relationship Id="rId2117" Type="http://schemas.openxmlformats.org/officeDocument/2006/relationships/hyperlink" Target="http://vk.com/id101336173" TargetMode="External"/><Relationship Id="rId2118" Type="http://schemas.openxmlformats.org/officeDocument/2006/relationships/hyperlink" Target="http://www.ok.ru/profile/522467744604/statuses/155004084297052" TargetMode="External"/><Relationship Id="rId2119" Type="http://schemas.openxmlformats.org/officeDocument/2006/relationships/hyperlink" Target="http://www.ok.ru/profile/522467744604" TargetMode="External"/><Relationship Id="rId2120" Type="http://schemas.openxmlformats.org/officeDocument/2006/relationships/hyperlink" Target="http://vk.com/wall-217202374_1102?reply=1136" TargetMode="External"/><Relationship Id="rId2121" Type="http://schemas.openxmlformats.org/officeDocument/2006/relationships/hyperlink" Target="http://vk.com/id373028665" TargetMode="External"/><Relationship Id="rId2122" Type="http://schemas.openxmlformats.org/officeDocument/2006/relationships/hyperlink" Target="http://vk.com/club217202374" TargetMode="External"/><Relationship Id="rId2123" Type="http://schemas.openxmlformats.org/officeDocument/2006/relationships/hyperlink" Target="http://vk.com/wall561718327_8549" TargetMode="External"/><Relationship Id="rId2124" Type="http://schemas.openxmlformats.org/officeDocument/2006/relationships/hyperlink" Target="http://vk.com/id561718327" TargetMode="External"/><Relationship Id="rId2125" Type="http://schemas.openxmlformats.org/officeDocument/2006/relationships/hyperlink" Target="http://www.ok.ru/profile/520207415013/statuses/155347796030437" TargetMode="External"/><Relationship Id="rId2126" Type="http://schemas.openxmlformats.org/officeDocument/2006/relationships/hyperlink" Target="http://www.ok.ru/profile/520207415013" TargetMode="External"/><Relationship Id="rId2127" Type="http://schemas.openxmlformats.org/officeDocument/2006/relationships/hyperlink" Target="http://www.ok.ru/profile/555799572736/statuses/160956185708544" TargetMode="External"/><Relationship Id="rId2128" Type="http://schemas.openxmlformats.org/officeDocument/2006/relationships/hyperlink" Target="http://www.ok.ru/profile/555799572736" TargetMode="External"/><Relationship Id="rId2129" Type="http://schemas.openxmlformats.org/officeDocument/2006/relationships/hyperlink" Target="http://www.ok.ru/profile/582071662120/statuses/155438494063400" TargetMode="External"/><Relationship Id="rId2130" Type="http://schemas.openxmlformats.org/officeDocument/2006/relationships/hyperlink" Target="http://www.ok.ru/profile/582071662120" TargetMode="External"/><Relationship Id="rId2131" Type="http://schemas.openxmlformats.org/officeDocument/2006/relationships/hyperlink" Target="http://vk.com/wall387733521_1379" TargetMode="External"/><Relationship Id="rId2132" Type="http://schemas.openxmlformats.org/officeDocument/2006/relationships/hyperlink" Target="http://vk.com/id387733521" TargetMode="External"/><Relationship Id="rId2133" Type="http://schemas.openxmlformats.org/officeDocument/2006/relationships/hyperlink" Target="http://vk.com/wall-178308905_324" TargetMode="External"/><Relationship Id="rId2134" Type="http://schemas.openxmlformats.org/officeDocument/2006/relationships/hyperlink" Target="http://vk.com/club178308905" TargetMode="External"/><Relationship Id="rId2135" Type="http://schemas.openxmlformats.org/officeDocument/2006/relationships/hyperlink" Target="http://www.ok.ru/profile/538742437375/statuses/155234602189055" TargetMode="External"/><Relationship Id="rId2136" Type="http://schemas.openxmlformats.org/officeDocument/2006/relationships/hyperlink" Target="http://www.ok.ru/profile/538742437375" TargetMode="External"/><Relationship Id="rId2137" Type="http://schemas.openxmlformats.org/officeDocument/2006/relationships/hyperlink" Target="http://vk.com/wall228099412_2344" TargetMode="External"/><Relationship Id="rId2138" Type="http://schemas.openxmlformats.org/officeDocument/2006/relationships/hyperlink" Target="http://vk.com/id228099412" TargetMode="External"/><Relationship Id="rId2139" Type="http://schemas.openxmlformats.org/officeDocument/2006/relationships/hyperlink" Target="http://vk.com/wall584197107_333" TargetMode="External"/><Relationship Id="rId2140" Type="http://schemas.openxmlformats.org/officeDocument/2006/relationships/hyperlink" Target="http://vk.com/id584197107" TargetMode="External"/><Relationship Id="rId2141" Type="http://schemas.openxmlformats.org/officeDocument/2006/relationships/hyperlink" Target="http://www.ok.ru/profile/522467744604/statuses/155004056182108" TargetMode="External"/><Relationship Id="rId2142" Type="http://schemas.openxmlformats.org/officeDocument/2006/relationships/hyperlink" Target="http://www.ok.ru/profile/522467744604" TargetMode="External"/><Relationship Id="rId2143" Type="http://schemas.openxmlformats.org/officeDocument/2006/relationships/hyperlink" Target="https://telegram.me/hockei_khl/2277?comment=59619" TargetMode="External"/><Relationship Id="rId2144" Type="http://schemas.openxmlformats.org/officeDocument/2006/relationships/hyperlink" Target="https://telegram.me/Yana756" TargetMode="External"/><Relationship Id="rId2145" Type="http://schemas.openxmlformats.org/officeDocument/2006/relationships/hyperlink" Target="https://telegram.me/hockei_khl" TargetMode="External"/><Relationship Id="rId2146" Type="http://schemas.openxmlformats.org/officeDocument/2006/relationships/hyperlink" Target="http://www.ok.ru/profile/569784497524/statuses/155854399284596" TargetMode="External"/><Relationship Id="rId2147" Type="http://schemas.openxmlformats.org/officeDocument/2006/relationships/hyperlink" Target="http://www.ok.ru/profile/569784497524" TargetMode="External"/><Relationship Id="rId2148" Type="http://schemas.openxmlformats.org/officeDocument/2006/relationships/hyperlink" Target="http://vk.com/wall170371487_211163" TargetMode="External"/><Relationship Id="rId2149" Type="http://schemas.openxmlformats.org/officeDocument/2006/relationships/hyperlink" Target="http://vk.com/id170371487" TargetMode="External"/><Relationship Id="rId2150" Type="http://schemas.openxmlformats.org/officeDocument/2006/relationships/hyperlink" Target="http://www.ok.ru/profile/516545796192/statuses/154974739130464" TargetMode="External"/><Relationship Id="rId2151" Type="http://schemas.openxmlformats.org/officeDocument/2006/relationships/hyperlink" Target="http://www.ok.ru/profile/516545796192" TargetMode="External"/><Relationship Id="rId2152" Type="http://schemas.openxmlformats.org/officeDocument/2006/relationships/hyperlink" Target="http://vk.com/wall525318927_307" TargetMode="External"/><Relationship Id="rId2153" Type="http://schemas.openxmlformats.org/officeDocument/2006/relationships/hyperlink" Target="http://vk.com/id525318927" TargetMode="External"/><Relationship Id="rId2154" Type="http://schemas.openxmlformats.org/officeDocument/2006/relationships/hyperlink" Target="http://vk.com/wall-87169444_12293185?reply=12293311&amp;thread=12293217" TargetMode="External"/><Relationship Id="rId2155" Type="http://schemas.openxmlformats.org/officeDocument/2006/relationships/hyperlink" Target="http://vk.com/id749676261" TargetMode="External"/><Relationship Id="rId2156" Type="http://schemas.openxmlformats.org/officeDocument/2006/relationships/hyperlink" Target="http://vk.com/club87169444" TargetMode="External"/><Relationship Id="rId2157" Type="http://schemas.openxmlformats.org/officeDocument/2006/relationships/hyperlink" Target="http://www.ok.ru/profile/411053196041/statuses/155522841710601" TargetMode="External"/><Relationship Id="rId2158" Type="http://schemas.openxmlformats.org/officeDocument/2006/relationships/hyperlink" Target="http://www.ok.ru/profile/411053196041" TargetMode="External"/><Relationship Id="rId2159" Type="http://schemas.openxmlformats.org/officeDocument/2006/relationships/hyperlink" Target="http://www.ok.ru/profile/563749711170/statuses/155120122939458" TargetMode="External"/><Relationship Id="rId2160" Type="http://schemas.openxmlformats.org/officeDocument/2006/relationships/hyperlink" Target="http://www.ok.ru/profile/563749711170" TargetMode="External"/><Relationship Id="rId2161" Type="http://schemas.openxmlformats.org/officeDocument/2006/relationships/hyperlink" Target="http://www.ok.ru/profile/563407087064/statuses/155637765824728" TargetMode="External"/><Relationship Id="rId2162" Type="http://schemas.openxmlformats.org/officeDocument/2006/relationships/hyperlink" Target="http://www.ok.ru/profile/563407087064" TargetMode="External"/><Relationship Id="rId2163" Type="http://schemas.openxmlformats.org/officeDocument/2006/relationships/hyperlink" Target="http://vk.com/wall350562931_170" TargetMode="External"/><Relationship Id="rId2164" Type="http://schemas.openxmlformats.org/officeDocument/2006/relationships/hyperlink" Target="http://vk.com/id350562931" TargetMode="External"/><Relationship Id="rId2165" Type="http://schemas.openxmlformats.org/officeDocument/2006/relationships/hyperlink" Target="http://vk.com/wall156994122_4940" TargetMode="External"/><Relationship Id="rId2166" Type="http://schemas.openxmlformats.org/officeDocument/2006/relationships/hyperlink" Target="http://vk.com/id156994122" TargetMode="External"/><Relationship Id="rId2167" Type="http://schemas.openxmlformats.org/officeDocument/2006/relationships/hyperlink" Target="http://www.ok.ru/profile/548554419318/statuses/156531674792822" TargetMode="External"/><Relationship Id="rId2168" Type="http://schemas.openxmlformats.org/officeDocument/2006/relationships/hyperlink" Target="http://www.ok.ru/profile/548554419318" TargetMode="External"/><Relationship Id="rId2169" Type="http://schemas.openxmlformats.org/officeDocument/2006/relationships/hyperlink" Target="http://www.ok.ru/profile/563349119662/statuses/156493214494894" TargetMode="External"/><Relationship Id="rId2170" Type="http://schemas.openxmlformats.org/officeDocument/2006/relationships/hyperlink" Target="http://www.ok.ru/profile/563349119662" TargetMode="External"/><Relationship Id="rId2171" Type="http://schemas.openxmlformats.org/officeDocument/2006/relationships/hyperlink" Target="https://telegram.me/kolokol_21/3504" TargetMode="External"/><Relationship Id="rId2172" Type="http://schemas.openxmlformats.org/officeDocument/2006/relationships/hyperlink" Target="https://telegram.me/kolokol_21" TargetMode="External"/><Relationship Id="rId2173" Type="http://schemas.openxmlformats.org/officeDocument/2006/relationships/hyperlink" Target="http://vk.com/wall-155403177_57057?reply=57229&amp;thread=57063" TargetMode="External"/><Relationship Id="rId2174" Type="http://schemas.openxmlformats.org/officeDocument/2006/relationships/hyperlink" Target="http://vk.com/id564999158" TargetMode="External"/><Relationship Id="rId2175" Type="http://schemas.openxmlformats.org/officeDocument/2006/relationships/hyperlink" Target="http://vk.com/club155403177" TargetMode="External"/><Relationship Id="rId2176" Type="http://schemas.openxmlformats.org/officeDocument/2006/relationships/hyperlink" Target="http://www.ok.ru/profile/212789584072/statuses/155834967602632" TargetMode="External"/><Relationship Id="rId2177" Type="http://schemas.openxmlformats.org/officeDocument/2006/relationships/hyperlink" Target="http://www.ok.ru/profile/212789584072" TargetMode="External"/><Relationship Id="rId2178" Type="http://schemas.openxmlformats.org/officeDocument/2006/relationships/hyperlink" Target="http://www.ok.ru/profile/365817126074/statuses/155397848809658" TargetMode="External"/><Relationship Id="rId2179" Type="http://schemas.openxmlformats.org/officeDocument/2006/relationships/hyperlink" Target="http://www.ok.ru/profile/365817126074" TargetMode="External"/><Relationship Id="rId2180" Type="http://schemas.openxmlformats.org/officeDocument/2006/relationships/hyperlink" Target="http://www.ok.ru/profile/573791784916/statuses/155979256315348" TargetMode="External"/><Relationship Id="rId2181" Type="http://schemas.openxmlformats.org/officeDocument/2006/relationships/hyperlink" Target="http://www.ok.ru/profile/573791784916" TargetMode="External"/><Relationship Id="rId2182" Type="http://schemas.openxmlformats.org/officeDocument/2006/relationships/hyperlink" Target="http://vk.com/wall188988869_822" TargetMode="External"/><Relationship Id="rId2183" Type="http://schemas.openxmlformats.org/officeDocument/2006/relationships/hyperlink" Target="http://vk.com/id188988869" TargetMode="External"/><Relationship Id="rId2184" Type="http://schemas.openxmlformats.org/officeDocument/2006/relationships/hyperlink" Target="http://www.ok.ru/profile/538901049127/statuses/155306666698791" TargetMode="External"/><Relationship Id="rId2185" Type="http://schemas.openxmlformats.org/officeDocument/2006/relationships/hyperlink" Target="http://www.ok.ru/profile/538901049127" TargetMode="External"/><Relationship Id="rId2186" Type="http://schemas.openxmlformats.org/officeDocument/2006/relationships/hyperlink" Target="http://monitoring-money.com/wiki/item/65566-krugovorot-ingavirina-v-seme-reyharta" TargetMode="External"/><Relationship Id="rId2187" Type="http://schemas.openxmlformats.org/officeDocument/2006/relationships/hyperlink" Target="http://www.ok.ru/profile/545852551192/statuses/156278108069912" TargetMode="External"/><Relationship Id="rId2188" Type="http://schemas.openxmlformats.org/officeDocument/2006/relationships/hyperlink" Target="http://www.ok.ru/profile/545852551192" TargetMode="External"/><Relationship Id="rId2189" Type="http://schemas.openxmlformats.org/officeDocument/2006/relationships/hyperlink" Target="http://vk.com/wall443322588_1174" TargetMode="External"/><Relationship Id="rId2190" Type="http://schemas.openxmlformats.org/officeDocument/2006/relationships/hyperlink" Target="http://vk.com/id443322588" TargetMode="External"/><Relationship Id="rId2191" Type="http://schemas.openxmlformats.org/officeDocument/2006/relationships/hyperlink" Target="http://vk.com/wall567796735_76" TargetMode="External"/><Relationship Id="rId2192" Type="http://schemas.openxmlformats.org/officeDocument/2006/relationships/hyperlink" Target="http://vk.com/id567796735" TargetMode="External"/><Relationship Id="rId2193" Type="http://schemas.openxmlformats.org/officeDocument/2006/relationships/hyperlink" Target="http://vk.com/wall-155403177_57057?reply=57228&amp;thread=57063" TargetMode="External"/><Relationship Id="rId2194" Type="http://schemas.openxmlformats.org/officeDocument/2006/relationships/hyperlink" Target="http://vk.com/id564999158" TargetMode="External"/><Relationship Id="rId2195" Type="http://schemas.openxmlformats.org/officeDocument/2006/relationships/hyperlink" Target="http://vk.com/club155403177" TargetMode="External"/><Relationship Id="rId2196" Type="http://schemas.openxmlformats.org/officeDocument/2006/relationships/hyperlink" Target="http://www.ok.ru/profile/567428872334/statuses/156072703839118" TargetMode="External"/><Relationship Id="rId2197" Type="http://schemas.openxmlformats.org/officeDocument/2006/relationships/hyperlink" Target="http://www.ok.ru/profile/567428872334" TargetMode="External"/><Relationship Id="rId2198" Type="http://schemas.openxmlformats.org/officeDocument/2006/relationships/hyperlink" Target="https://telegram.me/anaboliki_chat/588325" TargetMode="External"/><Relationship Id="rId2199" Type="http://schemas.openxmlformats.org/officeDocument/2006/relationships/hyperlink" Target="https://telegram.me/" TargetMode="External"/><Relationship Id="rId2200" Type="http://schemas.openxmlformats.org/officeDocument/2006/relationships/hyperlink" Target="https://telegram.me/anaboliki_chat" TargetMode="External"/><Relationship Id="rId2201" Type="http://schemas.openxmlformats.org/officeDocument/2006/relationships/hyperlink" Target="https://www.babyblog.ru/community/diseases/post/3125065" TargetMode="External"/><Relationship Id="rId2202" Type="http://schemas.openxmlformats.org/officeDocument/2006/relationships/hyperlink" Target="http://vk.com/wall-114156683_126915?reply=126916" TargetMode="External"/><Relationship Id="rId2203" Type="http://schemas.openxmlformats.org/officeDocument/2006/relationships/hyperlink" Target="http://vk.com/id700967740" TargetMode="External"/><Relationship Id="rId2204" Type="http://schemas.openxmlformats.org/officeDocument/2006/relationships/hyperlink" Target="http://vk.com/club114156683" TargetMode="External"/><Relationship Id="rId2205" Type="http://schemas.openxmlformats.org/officeDocument/2006/relationships/hyperlink" Target="http://vk.com/wall-155403177_57057?reply=57226&amp;thread=57063" TargetMode="External"/><Relationship Id="rId2206" Type="http://schemas.openxmlformats.org/officeDocument/2006/relationships/hyperlink" Target="http://vk.com/id564999158" TargetMode="External"/><Relationship Id="rId2207" Type="http://schemas.openxmlformats.org/officeDocument/2006/relationships/hyperlink" Target="http://vk.com/club155403177" TargetMode="External"/><Relationship Id="rId2208" Type="http://schemas.openxmlformats.org/officeDocument/2006/relationships/hyperlink" Target="http://vk.com/wall516956480_1582" TargetMode="External"/><Relationship Id="rId2209" Type="http://schemas.openxmlformats.org/officeDocument/2006/relationships/hyperlink" Target="http://vk.com/id516956480" TargetMode="External"/><Relationship Id="rId2210" Type="http://schemas.openxmlformats.org/officeDocument/2006/relationships/hyperlink" Target="http://vk.com/wall553740263_173" TargetMode="External"/><Relationship Id="rId2211" Type="http://schemas.openxmlformats.org/officeDocument/2006/relationships/hyperlink" Target="http://vk.com/id553740263" TargetMode="External"/><Relationship Id="rId2212" Type="http://schemas.openxmlformats.org/officeDocument/2006/relationships/hyperlink" Target="http://vk.com/wall211735607_3911" TargetMode="External"/><Relationship Id="rId2213" Type="http://schemas.openxmlformats.org/officeDocument/2006/relationships/hyperlink" Target="http://vk.com/id211735607" TargetMode="External"/><Relationship Id="rId2214" Type="http://schemas.openxmlformats.org/officeDocument/2006/relationships/hyperlink" Target="http://www.youtube.com/watch?v=xfx8WR60uIA&amp;lc=UgxBHoG2O0URGGdKqQF4AaABAg.9oQtY1Piv5f9oSYI4Aehop" TargetMode="External"/><Relationship Id="rId2215" Type="http://schemas.openxmlformats.org/officeDocument/2006/relationships/hyperlink" Target="http://www.youtube.com/channel/UC4hus2HoJyRuCC3bucuRfvA" TargetMode="External"/><Relationship Id="rId2216" Type="http://schemas.openxmlformats.org/officeDocument/2006/relationships/hyperlink" Target="http://www.youtube.com/channel/UCUs4YGaEXLUtCzshe-PhbCw" TargetMode="External"/><Relationship Id="rId2217" Type="http://schemas.openxmlformats.org/officeDocument/2006/relationships/hyperlink" Target="http://vk.com/wall563468472_219" TargetMode="External"/><Relationship Id="rId2218" Type="http://schemas.openxmlformats.org/officeDocument/2006/relationships/hyperlink" Target="http://vk.com/id563468472" TargetMode="External"/><Relationship Id="rId2219" Type="http://schemas.openxmlformats.org/officeDocument/2006/relationships/hyperlink" Target="http://www.ok.ru/profile/557581145332/statuses/156304941218804" TargetMode="External"/><Relationship Id="rId2220" Type="http://schemas.openxmlformats.org/officeDocument/2006/relationships/hyperlink" Target="http://www.ok.ru/profile/557581145332" TargetMode="External"/><Relationship Id="rId2221" Type="http://schemas.openxmlformats.org/officeDocument/2006/relationships/hyperlink" Target="http://vk.com/wall-150054253_404704?reply=404708" TargetMode="External"/><Relationship Id="rId2222" Type="http://schemas.openxmlformats.org/officeDocument/2006/relationships/hyperlink" Target="http://vk.com/id105628473" TargetMode="External"/><Relationship Id="rId2223" Type="http://schemas.openxmlformats.org/officeDocument/2006/relationships/hyperlink" Target="http://vk.com/club150054253" TargetMode="External"/><Relationship Id="rId2224" Type="http://schemas.openxmlformats.org/officeDocument/2006/relationships/hyperlink" Target="http://vk.com/wall-150054253_404704?reply=404707" TargetMode="External"/><Relationship Id="rId2225" Type="http://schemas.openxmlformats.org/officeDocument/2006/relationships/hyperlink" Target="http://vk.com/id62140573" TargetMode="External"/><Relationship Id="rId2226" Type="http://schemas.openxmlformats.org/officeDocument/2006/relationships/hyperlink" Target="http://vk.com/club150054253" TargetMode="External"/><Relationship Id="rId2227" Type="http://schemas.openxmlformats.org/officeDocument/2006/relationships/hyperlink" Target="https://www.baby.ru/blogs/post/2611463403-520375476/" TargetMode="External"/><Relationship Id="rId2228" Type="http://schemas.openxmlformats.org/officeDocument/2006/relationships/hyperlink" Target="https://www.baby.ru/u/usr2601479/" TargetMode="External"/><Relationship Id="rId2229" Type="http://schemas.openxmlformats.org/officeDocument/2006/relationships/hyperlink" Target="https://www.baby.ru/u/usr1132236/" TargetMode="External"/><Relationship Id="rId2230" Type="http://schemas.openxmlformats.org/officeDocument/2006/relationships/hyperlink" Target="http://www.ok.ru/profile/572418878058/statuses/155981869562730" TargetMode="External"/><Relationship Id="rId2231" Type="http://schemas.openxmlformats.org/officeDocument/2006/relationships/hyperlink" Target="http://www.ok.ru/profile/572418878058" TargetMode="External"/><Relationship Id="rId2232" Type="http://schemas.openxmlformats.org/officeDocument/2006/relationships/hyperlink" Target="http://www.ok.ru/profile/521829647348/statuses/156304922934260" TargetMode="External"/><Relationship Id="rId2233" Type="http://schemas.openxmlformats.org/officeDocument/2006/relationships/hyperlink" Target="http://www.ok.ru/profile/521829647348" TargetMode="External"/><Relationship Id="rId2234" Type="http://schemas.openxmlformats.org/officeDocument/2006/relationships/hyperlink" Target="http://vk.com/wall512576493_1599" TargetMode="External"/><Relationship Id="rId2235" Type="http://schemas.openxmlformats.org/officeDocument/2006/relationships/hyperlink" Target="http://vk.com/id512576493" TargetMode="External"/><Relationship Id="rId2236" Type="http://schemas.openxmlformats.org/officeDocument/2006/relationships/hyperlink" Target="https://telegram.me/hhv7ru/634049" TargetMode="External"/><Relationship Id="rId2237" Type="http://schemas.openxmlformats.org/officeDocument/2006/relationships/hyperlink" Target="https://telegram.me/" TargetMode="External"/><Relationship Id="rId2238" Type="http://schemas.openxmlformats.org/officeDocument/2006/relationships/hyperlink" Target="https://telegram.me/hhv7ru" TargetMode="External"/><Relationship Id="rId2239" Type="http://schemas.openxmlformats.org/officeDocument/2006/relationships/hyperlink" Target="http://vk.com/wall-139923997_4238168?reply=4239847&amp;thread=4238180" TargetMode="External"/><Relationship Id="rId2240" Type="http://schemas.openxmlformats.org/officeDocument/2006/relationships/hyperlink" Target="http://vk.com/id564998361" TargetMode="External"/><Relationship Id="rId2241" Type="http://schemas.openxmlformats.org/officeDocument/2006/relationships/hyperlink" Target="http://vk.com/club139923997" TargetMode="External"/><Relationship Id="rId2242" Type="http://schemas.openxmlformats.org/officeDocument/2006/relationships/hyperlink" Target="http://www.ok.ru/profile/589645008146/statuses/156149677889554" TargetMode="External"/><Relationship Id="rId2243" Type="http://schemas.openxmlformats.org/officeDocument/2006/relationships/hyperlink" Target="http://www.ok.ru/profile/589645008146" TargetMode="External"/><Relationship Id="rId2244" Type="http://schemas.openxmlformats.org/officeDocument/2006/relationships/hyperlink" Target="http://vk.com/wall-175424117_692371?reply=692376" TargetMode="External"/><Relationship Id="rId2245" Type="http://schemas.openxmlformats.org/officeDocument/2006/relationships/hyperlink" Target="http://vk.com/id964445" TargetMode="External"/><Relationship Id="rId2246" Type="http://schemas.openxmlformats.org/officeDocument/2006/relationships/hyperlink" Target="http://vk.com/club175424117" TargetMode="External"/><Relationship Id="rId2247" Type="http://schemas.openxmlformats.org/officeDocument/2006/relationships/hyperlink" Target="http://www.ok.ru/profile/560137967353/statuses/155283083100409" TargetMode="External"/><Relationship Id="rId2248" Type="http://schemas.openxmlformats.org/officeDocument/2006/relationships/hyperlink" Target="http://www.ok.ru/profile/560137967353" TargetMode="External"/><Relationship Id="rId2249" Type="http://schemas.openxmlformats.org/officeDocument/2006/relationships/hyperlink" Target="http://www.ok.ru/profile/572552791405/statuses/155867299167085" TargetMode="External"/><Relationship Id="rId2250" Type="http://schemas.openxmlformats.org/officeDocument/2006/relationships/hyperlink" Target="http://www.ok.ru/profile/572552791405" TargetMode="External"/><Relationship Id="rId2251" Type="http://schemas.openxmlformats.org/officeDocument/2006/relationships/hyperlink" Target="http://vk.com/wall-1678339_2239751?reply=2239788" TargetMode="External"/><Relationship Id="rId2252" Type="http://schemas.openxmlformats.org/officeDocument/2006/relationships/hyperlink" Target="http://vk.com/id259475676" TargetMode="External"/><Relationship Id="rId2253" Type="http://schemas.openxmlformats.org/officeDocument/2006/relationships/hyperlink" Target="http://vk.com/club1678339" TargetMode="External"/><Relationship Id="rId2254" Type="http://schemas.openxmlformats.org/officeDocument/2006/relationships/hyperlink" Target="http://vk.com/wall-58073616_649555?reply=649596&amp;thread=649582" TargetMode="External"/><Relationship Id="rId2255" Type="http://schemas.openxmlformats.org/officeDocument/2006/relationships/hyperlink" Target="http://vk.com/id32185341" TargetMode="External"/><Relationship Id="rId2256" Type="http://schemas.openxmlformats.org/officeDocument/2006/relationships/hyperlink" Target="http://vk.com/club58073616" TargetMode="External"/><Relationship Id="rId2257" Type="http://schemas.openxmlformats.org/officeDocument/2006/relationships/hyperlink" Target="http://vk.com/wall66980813_2677" TargetMode="External"/><Relationship Id="rId2258" Type="http://schemas.openxmlformats.org/officeDocument/2006/relationships/hyperlink" Target="http://vk.com/id66980813" TargetMode="External"/><Relationship Id="rId2259" Type="http://schemas.openxmlformats.org/officeDocument/2006/relationships/hyperlink" Target="http://www.ok.ru/profile/562130090479/statuses/156316760931823" TargetMode="External"/><Relationship Id="rId2260" Type="http://schemas.openxmlformats.org/officeDocument/2006/relationships/hyperlink" Target="http://www.ok.ru/profile/562130090479" TargetMode="External"/><Relationship Id="rId2261" Type="http://schemas.openxmlformats.org/officeDocument/2006/relationships/hyperlink" Target="https://mom.life/post/6438385f44703c5e234cdfad" TargetMode="External"/><Relationship Id="rId2262" Type="http://schemas.openxmlformats.org/officeDocument/2006/relationships/hyperlink" Target="https://mom.life/" TargetMode="External"/><Relationship Id="rId2263" Type="http://schemas.openxmlformats.org/officeDocument/2006/relationships/hyperlink" Target="http://www.ok.ru/profile/591909245469/statuses/155023043611933" TargetMode="External"/><Relationship Id="rId2264" Type="http://schemas.openxmlformats.org/officeDocument/2006/relationships/hyperlink" Target="http://www.ok.ru/profile/591909245469" TargetMode="External"/><Relationship Id="rId2265" Type="http://schemas.openxmlformats.org/officeDocument/2006/relationships/hyperlink" Target="http://www.ok.ru/profile/507494050339/statuses/156261101391139" TargetMode="External"/><Relationship Id="rId2266" Type="http://schemas.openxmlformats.org/officeDocument/2006/relationships/hyperlink" Target="http://www.ok.ru/profile/507494050339" TargetMode="External"/><Relationship Id="rId2267" Type="http://schemas.openxmlformats.org/officeDocument/2006/relationships/hyperlink" Target="http://www.ok.ru/group/47187324633135/topic/157513051655471" TargetMode="External"/><Relationship Id="rId2268" Type="http://schemas.openxmlformats.org/officeDocument/2006/relationships/hyperlink" Target="http://www.ok.ru/group/47187324633135" TargetMode="External"/><Relationship Id="rId2269" Type="http://schemas.openxmlformats.org/officeDocument/2006/relationships/hyperlink" Target="http://vk.com/wall158894058_1313" TargetMode="External"/><Relationship Id="rId2270" Type="http://schemas.openxmlformats.org/officeDocument/2006/relationships/hyperlink" Target="http://vk.com/id158894058" TargetMode="External"/><Relationship Id="rId2271" Type="http://schemas.openxmlformats.org/officeDocument/2006/relationships/hyperlink" Target="http://vk.com/wall-127321163_1127433?reply=1128374" TargetMode="External"/><Relationship Id="rId2272" Type="http://schemas.openxmlformats.org/officeDocument/2006/relationships/hyperlink" Target="http://vk.com/id793503693" TargetMode="External"/><Relationship Id="rId2273" Type="http://schemas.openxmlformats.org/officeDocument/2006/relationships/hyperlink" Target="http://vk.com/club127321163" TargetMode="External"/><Relationship Id="rId2274" Type="http://schemas.openxmlformats.org/officeDocument/2006/relationships/hyperlink" Target="https://telegram.me/Votuum/2297" TargetMode="External"/><Relationship Id="rId2275" Type="http://schemas.openxmlformats.org/officeDocument/2006/relationships/hyperlink" Target="https://telegram.me/Votuum" TargetMode="External"/><Relationship Id="rId2276" Type="http://schemas.openxmlformats.org/officeDocument/2006/relationships/hyperlink" Target="https://telegram.me/politcircus/9751" TargetMode="External"/><Relationship Id="rId2277" Type="http://schemas.openxmlformats.org/officeDocument/2006/relationships/hyperlink" Target="https://telegram.me/politcircus" TargetMode="External"/><Relationship Id="rId2278" Type="http://schemas.openxmlformats.org/officeDocument/2006/relationships/hyperlink" Target="http://vk.com/wall198607286_16927" TargetMode="External"/><Relationship Id="rId2279" Type="http://schemas.openxmlformats.org/officeDocument/2006/relationships/hyperlink" Target="http://vk.com/id198607286" TargetMode="External"/><Relationship Id="rId2280" Type="http://schemas.openxmlformats.org/officeDocument/2006/relationships/hyperlink" Target="http://vk.com/wall-179880924_386" TargetMode="External"/><Relationship Id="rId2281" Type="http://schemas.openxmlformats.org/officeDocument/2006/relationships/hyperlink" Target="http://vk.com/club179880924" TargetMode="External"/><Relationship Id="rId2282" Type="http://schemas.openxmlformats.org/officeDocument/2006/relationships/hyperlink" Target="http://www.ok.ru/profile/564121568102/statuses/155235952060518" TargetMode="External"/><Relationship Id="rId2283" Type="http://schemas.openxmlformats.org/officeDocument/2006/relationships/hyperlink" Target="http://www.ok.ru/profile/564121568102" TargetMode="External"/><Relationship Id="rId2284" Type="http://schemas.openxmlformats.org/officeDocument/2006/relationships/hyperlink" Target="http://www.ok.ru/profile/584359559681/statuses/154790890341121" TargetMode="External"/><Relationship Id="rId2285" Type="http://schemas.openxmlformats.org/officeDocument/2006/relationships/hyperlink" Target="http://www.ok.ru/profile/584359559681" TargetMode="External"/><Relationship Id="rId2286" Type="http://schemas.openxmlformats.org/officeDocument/2006/relationships/hyperlink" Target="http://vk.com/wall-136860886_525463?reply=525902" TargetMode="External"/><Relationship Id="rId2287" Type="http://schemas.openxmlformats.org/officeDocument/2006/relationships/hyperlink" Target="http://vk.com/id793503693" TargetMode="External"/><Relationship Id="rId2288" Type="http://schemas.openxmlformats.org/officeDocument/2006/relationships/hyperlink" Target="http://vk.com/club136860886" TargetMode="External"/><Relationship Id="rId2289" Type="http://schemas.openxmlformats.org/officeDocument/2006/relationships/hyperlink" Target="https://factornews.ru/news/v-kareliju-za-nedelju-vyrosli-tseny-na-nekotorye-produkty/" TargetMode="External"/><Relationship Id="rId2290" Type="http://schemas.openxmlformats.org/officeDocument/2006/relationships/hyperlink" Target="http://vk.com/wall-110697272_513644?reply=513681" TargetMode="External"/><Relationship Id="rId2291" Type="http://schemas.openxmlformats.org/officeDocument/2006/relationships/hyperlink" Target="http://vk.com/id793503693" TargetMode="External"/><Relationship Id="rId2292" Type="http://schemas.openxmlformats.org/officeDocument/2006/relationships/hyperlink" Target="http://vk.com/club110697272" TargetMode="External"/><Relationship Id="rId2293" Type="http://schemas.openxmlformats.org/officeDocument/2006/relationships/hyperlink" Target="http://vk.com/wall-167717868_619295?reply=619297" TargetMode="External"/><Relationship Id="rId2294" Type="http://schemas.openxmlformats.org/officeDocument/2006/relationships/hyperlink" Target="http://vk.com/id32336022" TargetMode="External"/><Relationship Id="rId2295" Type="http://schemas.openxmlformats.org/officeDocument/2006/relationships/hyperlink" Target="http://vk.com/club167717868" TargetMode="External"/><Relationship Id="rId2296" Type="http://schemas.openxmlformats.org/officeDocument/2006/relationships/hyperlink" Target="http://www.ok.ru/profile/579439682071/statuses/155963918699799" TargetMode="External"/><Relationship Id="rId2297" Type="http://schemas.openxmlformats.org/officeDocument/2006/relationships/hyperlink" Target="http://www.ok.ru/profile/579439682071" TargetMode="External"/><Relationship Id="rId2298" Type="http://schemas.openxmlformats.org/officeDocument/2006/relationships/hyperlink" Target="http://www.ok.ru/profile/563116094315/statuses/156101601254763" TargetMode="External"/><Relationship Id="rId2299" Type="http://schemas.openxmlformats.org/officeDocument/2006/relationships/hyperlink" Target="http://www.ok.ru/profile/563116094315" TargetMode="External"/><Relationship Id="rId2300" Type="http://schemas.openxmlformats.org/officeDocument/2006/relationships/hyperlink" Target="http://www.ok.ru/profile/520239845039/statuses/156334907906991" TargetMode="External"/><Relationship Id="rId2301" Type="http://schemas.openxmlformats.org/officeDocument/2006/relationships/hyperlink" Target="http://www.ok.ru/profile/520239845039" TargetMode="External"/><Relationship Id="rId2302" Type="http://schemas.openxmlformats.org/officeDocument/2006/relationships/hyperlink" Target="http://www.ok.ru/profile/570056524749/statuses/156009328602061" TargetMode="External"/><Relationship Id="rId2303" Type="http://schemas.openxmlformats.org/officeDocument/2006/relationships/hyperlink" Target="http://www.ok.ru/profile/570056524749" TargetMode="External"/><Relationship Id="rId2304" Type="http://schemas.openxmlformats.org/officeDocument/2006/relationships/hyperlink" Target="http://vk.com/wall-1023421_1005034" TargetMode="External"/><Relationship Id="rId2305" Type="http://schemas.openxmlformats.org/officeDocument/2006/relationships/hyperlink" Target="http://vk.com/club1023421" TargetMode="External"/><Relationship Id="rId2306" Type="http://schemas.openxmlformats.org/officeDocument/2006/relationships/hyperlink" Target="http://vk.com/wall-95556357_683" TargetMode="External"/><Relationship Id="rId2307" Type="http://schemas.openxmlformats.org/officeDocument/2006/relationships/hyperlink" Target="http://vk.com/club95556357" TargetMode="External"/><Relationship Id="rId2308" Type="http://schemas.openxmlformats.org/officeDocument/2006/relationships/hyperlink" Target="http://vk.com/wall-135814562_2463230?reply=2470733" TargetMode="External"/><Relationship Id="rId2309" Type="http://schemas.openxmlformats.org/officeDocument/2006/relationships/hyperlink" Target="http://vk.com/id793503693" TargetMode="External"/><Relationship Id="rId2310" Type="http://schemas.openxmlformats.org/officeDocument/2006/relationships/hyperlink" Target="http://vk.com/club135814562" TargetMode="External"/><Relationship Id="rId2311" Type="http://schemas.openxmlformats.org/officeDocument/2006/relationships/hyperlink" Target="http://vk.com/wall-58073616_649555?reply=649582" TargetMode="External"/><Relationship Id="rId2312" Type="http://schemas.openxmlformats.org/officeDocument/2006/relationships/hyperlink" Target="http://vk.com/id429393167" TargetMode="External"/><Relationship Id="rId2313" Type="http://schemas.openxmlformats.org/officeDocument/2006/relationships/hyperlink" Target="http://vk.com/club58073616" TargetMode="External"/><Relationship Id="rId2314" Type="http://schemas.openxmlformats.org/officeDocument/2006/relationships/hyperlink" Target="http://vk.com/wall-111918418_3320645?reply=3320795" TargetMode="External"/><Relationship Id="rId2315" Type="http://schemas.openxmlformats.org/officeDocument/2006/relationships/hyperlink" Target="http://vk.com/id149093726" TargetMode="External"/><Relationship Id="rId2316" Type="http://schemas.openxmlformats.org/officeDocument/2006/relationships/hyperlink" Target="http://vk.com/club111918418" TargetMode="External"/><Relationship Id="rId2317" Type="http://schemas.openxmlformats.org/officeDocument/2006/relationships/hyperlink" Target="http://vk.com/wall288740654_93515" TargetMode="External"/><Relationship Id="rId2318" Type="http://schemas.openxmlformats.org/officeDocument/2006/relationships/hyperlink" Target="http://vk.com/id288740654" TargetMode="External"/><Relationship Id="rId2319" Type="http://schemas.openxmlformats.org/officeDocument/2006/relationships/hyperlink" Target="http://vk.com/wall-162424850_543650?reply=543680" TargetMode="External"/><Relationship Id="rId2320" Type="http://schemas.openxmlformats.org/officeDocument/2006/relationships/hyperlink" Target="http://vk.com/id573462212" TargetMode="External"/><Relationship Id="rId2321" Type="http://schemas.openxmlformats.org/officeDocument/2006/relationships/hyperlink" Target="http://vk.com/club162424850" TargetMode="External"/><Relationship Id="rId2322" Type="http://schemas.openxmlformats.org/officeDocument/2006/relationships/hyperlink" Target="http://www.ok.ru/profile/486659743339/statuses/156101575499115" TargetMode="External"/><Relationship Id="rId2323" Type="http://schemas.openxmlformats.org/officeDocument/2006/relationships/hyperlink" Target="http://www.ok.ru/profile/486659743339" TargetMode="External"/><Relationship Id="rId2324" Type="http://schemas.openxmlformats.org/officeDocument/2006/relationships/hyperlink" Target="http://www.ok.ru/profile/586850999841/statuses/154876992694305" TargetMode="External"/><Relationship Id="rId2325" Type="http://schemas.openxmlformats.org/officeDocument/2006/relationships/hyperlink" Target="http://www.ok.ru/profile/586850999841" TargetMode="External"/><Relationship Id="rId2326" Type="http://schemas.openxmlformats.org/officeDocument/2006/relationships/hyperlink" Target="http://vk.com/wall-118188716_869434?reply=871007" TargetMode="External"/><Relationship Id="rId2327" Type="http://schemas.openxmlformats.org/officeDocument/2006/relationships/hyperlink" Target="http://vk.com/id793503693" TargetMode="External"/><Relationship Id="rId2328" Type="http://schemas.openxmlformats.org/officeDocument/2006/relationships/hyperlink" Target="http://vk.com/club118188716" TargetMode="External"/><Relationship Id="rId2329" Type="http://schemas.openxmlformats.org/officeDocument/2006/relationships/hyperlink" Target="http://vk.com/wall713262819_417" TargetMode="External"/><Relationship Id="rId2330" Type="http://schemas.openxmlformats.org/officeDocument/2006/relationships/hyperlink" Target="http://vk.com/id713262819" TargetMode="External"/><Relationship Id="rId2331" Type="http://schemas.openxmlformats.org/officeDocument/2006/relationships/hyperlink" Target="http://www.ok.ru/group/62531117318347/topic/155831870092747" TargetMode="External"/><Relationship Id="rId2332" Type="http://schemas.openxmlformats.org/officeDocument/2006/relationships/hyperlink" Target="http://www.ok.ru/group/62531117318347" TargetMode="External"/><Relationship Id="rId2333" Type="http://schemas.openxmlformats.org/officeDocument/2006/relationships/hyperlink" Target="https://dzen.ru/a/ZDgjEIYkRh3GBFBR" TargetMode="External"/><Relationship Id="rId2334" Type="http://schemas.openxmlformats.org/officeDocument/2006/relationships/hyperlink" Target="https://dzen.ru/id/60681da99678a719cc83d540" TargetMode="External"/><Relationship Id="rId2335" Type="http://schemas.openxmlformats.org/officeDocument/2006/relationships/hyperlink" Target="http://www.ok.ru/profile/461888111230/statuses/154971460436094" TargetMode="External"/><Relationship Id="rId2336" Type="http://schemas.openxmlformats.org/officeDocument/2006/relationships/hyperlink" Target="http://www.ok.ru/profile/461888111230" TargetMode="External"/><Relationship Id="rId2337" Type="http://schemas.openxmlformats.org/officeDocument/2006/relationships/hyperlink" Target="http://vk.com/wall-17577887_8008027?reply=8008238" TargetMode="External"/><Relationship Id="rId2338" Type="http://schemas.openxmlformats.org/officeDocument/2006/relationships/hyperlink" Target="http://vk.com/id148041737" TargetMode="External"/><Relationship Id="rId2339" Type="http://schemas.openxmlformats.org/officeDocument/2006/relationships/hyperlink" Target="http://vk.com/club17577887" TargetMode="External"/><Relationship Id="rId2340" Type="http://schemas.openxmlformats.org/officeDocument/2006/relationships/hyperlink" Target="https://www.baby.ru/community/view/30500/forum/post/2611538410/" TargetMode="External"/><Relationship Id="rId2341" Type="http://schemas.openxmlformats.org/officeDocument/2006/relationships/hyperlink" Target="https://www.baby.ru/u/usr1395184/" TargetMode="External"/><Relationship Id="rId2342" Type="http://schemas.openxmlformats.org/officeDocument/2006/relationships/hyperlink" Target="https://www.baby.ru/u/usr2936254/" TargetMode="External"/><Relationship Id="rId2343" Type="http://schemas.openxmlformats.org/officeDocument/2006/relationships/hyperlink" Target="http://www.ok.ru/profile/575564183939/statuses/154869661885827" TargetMode="External"/><Relationship Id="rId2344" Type="http://schemas.openxmlformats.org/officeDocument/2006/relationships/hyperlink" Target="http://www.ok.ru/profile/575564183939" TargetMode="External"/><Relationship Id="rId2345" Type="http://schemas.openxmlformats.org/officeDocument/2006/relationships/hyperlink" Target="http://vk.com/wall468199266_713" TargetMode="External"/><Relationship Id="rId2346" Type="http://schemas.openxmlformats.org/officeDocument/2006/relationships/hyperlink" Target="http://vk.com/id468199266" TargetMode="External"/><Relationship Id="rId2347" Type="http://schemas.openxmlformats.org/officeDocument/2006/relationships/hyperlink" Target="http://vk.com/wall144338088_11010" TargetMode="External"/><Relationship Id="rId2348" Type="http://schemas.openxmlformats.org/officeDocument/2006/relationships/hyperlink" Target="http://vk.com/id144338088" TargetMode="External"/><Relationship Id="rId2349" Type="http://schemas.openxmlformats.org/officeDocument/2006/relationships/hyperlink" Target="http://www.ok.ru/profile/330157481884/statuses/155003636064412" TargetMode="External"/><Relationship Id="rId2350" Type="http://schemas.openxmlformats.org/officeDocument/2006/relationships/hyperlink" Target="http://www.ok.ru/profile/330157481884" TargetMode="External"/><Relationship Id="rId2351" Type="http://schemas.openxmlformats.org/officeDocument/2006/relationships/hyperlink" Target="http://www.ok.ru/profile/591793774873/statuses/156520185172761" TargetMode="External"/><Relationship Id="rId2352" Type="http://schemas.openxmlformats.org/officeDocument/2006/relationships/hyperlink" Target="http://www.ok.ru/profile/591793774873" TargetMode="External"/><Relationship Id="rId2353" Type="http://schemas.openxmlformats.org/officeDocument/2006/relationships/hyperlink" Target="http://vk.com/wall200200330_58089" TargetMode="External"/><Relationship Id="rId2354" Type="http://schemas.openxmlformats.org/officeDocument/2006/relationships/hyperlink" Target="http://vk.com/id200200330" TargetMode="External"/><Relationship Id="rId2355" Type="http://schemas.openxmlformats.org/officeDocument/2006/relationships/hyperlink" Target="http://www.ok.ru/profile/554335230200/statuses/155670328919544" TargetMode="External"/><Relationship Id="rId2356" Type="http://schemas.openxmlformats.org/officeDocument/2006/relationships/hyperlink" Target="http://www.ok.ru/profile/554335230200" TargetMode="External"/><Relationship Id="rId2357" Type="http://schemas.openxmlformats.org/officeDocument/2006/relationships/hyperlink" Target="http://vk.com/wall-134456770_246462?reply=246919" TargetMode="External"/><Relationship Id="rId2358" Type="http://schemas.openxmlformats.org/officeDocument/2006/relationships/hyperlink" Target="http://vk.com/id793503693" TargetMode="External"/><Relationship Id="rId2359" Type="http://schemas.openxmlformats.org/officeDocument/2006/relationships/hyperlink" Target="http://vk.com/club134456770" TargetMode="External"/><Relationship Id="rId2360" Type="http://schemas.openxmlformats.org/officeDocument/2006/relationships/hyperlink" Target="http://www.ok.ru/profile/509870544860/statuses/155434364597212" TargetMode="External"/><Relationship Id="rId2361" Type="http://schemas.openxmlformats.org/officeDocument/2006/relationships/hyperlink" Target="http://www.ok.ru/profile/509870544860" TargetMode="External"/><Relationship Id="rId2362" Type="http://schemas.openxmlformats.org/officeDocument/2006/relationships/hyperlink" Target="http://vk.com/wall-135814562_2463230?reply=2470731" TargetMode="External"/><Relationship Id="rId2363" Type="http://schemas.openxmlformats.org/officeDocument/2006/relationships/hyperlink" Target="http://vk.com/id793503693" TargetMode="External"/><Relationship Id="rId2364" Type="http://schemas.openxmlformats.org/officeDocument/2006/relationships/hyperlink" Target="http://vk.com/club135814562" TargetMode="External"/><Relationship Id="rId2365" Type="http://schemas.openxmlformats.org/officeDocument/2006/relationships/hyperlink" Target="http://vk.com/wall630989576_219" TargetMode="External"/><Relationship Id="rId2366" Type="http://schemas.openxmlformats.org/officeDocument/2006/relationships/hyperlink" Target="http://vk.com/id630989576" TargetMode="External"/><Relationship Id="rId2367" Type="http://schemas.openxmlformats.org/officeDocument/2006/relationships/hyperlink" Target="http://vk.com/wall-111555133_2688910?reply=2689009" TargetMode="External"/><Relationship Id="rId2368" Type="http://schemas.openxmlformats.org/officeDocument/2006/relationships/hyperlink" Target="http://vk.com/id793510155" TargetMode="External"/><Relationship Id="rId2369" Type="http://schemas.openxmlformats.org/officeDocument/2006/relationships/hyperlink" Target="http://vk.com/club111555133" TargetMode="External"/><Relationship Id="rId2370" Type="http://schemas.openxmlformats.org/officeDocument/2006/relationships/hyperlink" Target="http://www.ok.ru/profile/482720420070/statuses/156600225545702" TargetMode="External"/><Relationship Id="rId2371" Type="http://schemas.openxmlformats.org/officeDocument/2006/relationships/hyperlink" Target="http://www.ok.ru/profile/482720420070" TargetMode="External"/><Relationship Id="rId2372" Type="http://schemas.openxmlformats.org/officeDocument/2006/relationships/hyperlink" Target="http://www.ok.ru/profile/587606618671/statuses/157512975961391" TargetMode="External"/><Relationship Id="rId2373" Type="http://schemas.openxmlformats.org/officeDocument/2006/relationships/hyperlink" Target="http://www.ok.ru/profile/587606618671" TargetMode="External"/><Relationship Id="rId2374" Type="http://schemas.openxmlformats.org/officeDocument/2006/relationships/hyperlink" Target="http://vk.com/wall-124730601_1465" TargetMode="External"/><Relationship Id="rId2375" Type="http://schemas.openxmlformats.org/officeDocument/2006/relationships/hyperlink" Target="http://vk.com/club124730601" TargetMode="External"/><Relationship Id="rId2376" Type="http://schemas.openxmlformats.org/officeDocument/2006/relationships/hyperlink" Target="http://vk.com/wall-87169444_12293271?reply=12293292" TargetMode="External"/><Relationship Id="rId2377" Type="http://schemas.openxmlformats.org/officeDocument/2006/relationships/hyperlink" Target="http://vk.com/id785219250" TargetMode="External"/><Relationship Id="rId2378" Type="http://schemas.openxmlformats.org/officeDocument/2006/relationships/hyperlink" Target="http://vk.com/club87169444" TargetMode="External"/><Relationship Id="rId2379" Type="http://schemas.openxmlformats.org/officeDocument/2006/relationships/hyperlink" Target="http://www.ok.ru/profile/554775786465/statuses/155498159401185" TargetMode="External"/><Relationship Id="rId2380" Type="http://schemas.openxmlformats.org/officeDocument/2006/relationships/hyperlink" Target="http://www.ok.ru/profile/554775786465" TargetMode="External"/><Relationship Id="rId2381" Type="http://schemas.openxmlformats.org/officeDocument/2006/relationships/hyperlink" Target="http://www.ok.ru/profile/540781198977/statuses/154742834366593" TargetMode="External"/><Relationship Id="rId2382" Type="http://schemas.openxmlformats.org/officeDocument/2006/relationships/hyperlink" Target="http://www.ok.ru/profile/540781198977" TargetMode="External"/><Relationship Id="rId2383" Type="http://schemas.openxmlformats.org/officeDocument/2006/relationships/hyperlink" Target="http://www.ok.ru/profile/256437886698/statuses/156306373341418" TargetMode="External"/><Relationship Id="rId2384" Type="http://schemas.openxmlformats.org/officeDocument/2006/relationships/hyperlink" Target="http://www.ok.ru/profile/256437886698" TargetMode="External"/><Relationship Id="rId2385" Type="http://schemas.openxmlformats.org/officeDocument/2006/relationships/hyperlink" Target="http://vk.com/wall-51700884_1805845?reply=1806963" TargetMode="External"/><Relationship Id="rId2386" Type="http://schemas.openxmlformats.org/officeDocument/2006/relationships/hyperlink" Target="http://vk.com/id785219250" TargetMode="External"/><Relationship Id="rId2387" Type="http://schemas.openxmlformats.org/officeDocument/2006/relationships/hyperlink" Target="http://vk.com/club51700884" TargetMode="External"/><Relationship Id="rId2388" Type="http://schemas.openxmlformats.org/officeDocument/2006/relationships/hyperlink" Target="http://www.ok.ru/profile/568567359115/statuses/156160922209163" TargetMode="External"/><Relationship Id="rId2389" Type="http://schemas.openxmlformats.org/officeDocument/2006/relationships/hyperlink" Target="http://www.ok.ru/profile/568567359115" TargetMode="External"/><Relationship Id="rId2390" Type="http://schemas.openxmlformats.org/officeDocument/2006/relationships/hyperlink" Target="http://www.ok.ru/profile/554775786465/statuses/155498153240801" TargetMode="External"/><Relationship Id="rId2391" Type="http://schemas.openxmlformats.org/officeDocument/2006/relationships/hyperlink" Target="http://www.ok.ru/profile/554775786465" TargetMode="External"/><Relationship Id="rId2392" Type="http://schemas.openxmlformats.org/officeDocument/2006/relationships/hyperlink" Target="http://vk.com/wall430817000_2062" TargetMode="External"/><Relationship Id="rId2393" Type="http://schemas.openxmlformats.org/officeDocument/2006/relationships/hyperlink" Target="http://vk.com/id430817000" TargetMode="External"/><Relationship Id="rId2394" Type="http://schemas.openxmlformats.org/officeDocument/2006/relationships/hyperlink" Target="http://vk.com/wall430817000_2061" TargetMode="External"/><Relationship Id="rId2395" Type="http://schemas.openxmlformats.org/officeDocument/2006/relationships/hyperlink" Target="http://vk.com/id430817000" TargetMode="External"/><Relationship Id="rId2396" Type="http://schemas.openxmlformats.org/officeDocument/2006/relationships/hyperlink" Target="http://www.ok.ru/profile/550779649655/statuses/155774137984375" TargetMode="External"/><Relationship Id="rId2397" Type="http://schemas.openxmlformats.org/officeDocument/2006/relationships/hyperlink" Target="http://www.ok.ru/profile/550779649655" TargetMode="External"/><Relationship Id="rId2398" Type="http://schemas.openxmlformats.org/officeDocument/2006/relationships/hyperlink" Target="http://vk.com/wall-33277814_729930?reply=730715" TargetMode="External"/><Relationship Id="rId2399" Type="http://schemas.openxmlformats.org/officeDocument/2006/relationships/hyperlink" Target="http://vk.com/id785219250" TargetMode="External"/><Relationship Id="rId2400" Type="http://schemas.openxmlformats.org/officeDocument/2006/relationships/hyperlink" Target="http://vk.com/club33277814" TargetMode="External"/><Relationship Id="rId2401" Type="http://schemas.openxmlformats.org/officeDocument/2006/relationships/hyperlink" Target="https://telegram.me/sandiexpert/3905?comment=32750" TargetMode="External"/><Relationship Id="rId2402" Type="http://schemas.openxmlformats.org/officeDocument/2006/relationships/hyperlink" Target="https://telegram.me/iGilman" TargetMode="External"/><Relationship Id="rId2403" Type="http://schemas.openxmlformats.org/officeDocument/2006/relationships/hyperlink" Target="https://telegram.me/sandiexpert" TargetMode="External"/><Relationship Id="rId2404" Type="http://schemas.openxmlformats.org/officeDocument/2006/relationships/hyperlink" Target="http://www.ok.ru/profile/744458888/statuses/155483945126792" TargetMode="External"/><Relationship Id="rId2405" Type="http://schemas.openxmlformats.org/officeDocument/2006/relationships/hyperlink" Target="http://www.ok.ru/profile/744458888" TargetMode="External"/><Relationship Id="rId2406" Type="http://schemas.openxmlformats.org/officeDocument/2006/relationships/hyperlink" Target="http://vk.com/wall-111555133_2688910?reply=2688997" TargetMode="External"/><Relationship Id="rId2407" Type="http://schemas.openxmlformats.org/officeDocument/2006/relationships/hyperlink" Target="http://vk.com/id254009760" TargetMode="External"/><Relationship Id="rId2408" Type="http://schemas.openxmlformats.org/officeDocument/2006/relationships/hyperlink" Target="http://vk.com/club111555133" TargetMode="External"/><Relationship Id="rId2409" Type="http://schemas.openxmlformats.org/officeDocument/2006/relationships/hyperlink" Target="http://www.ok.ru/profile/573246594677/statuses/156155041708149" TargetMode="External"/><Relationship Id="rId2410" Type="http://schemas.openxmlformats.org/officeDocument/2006/relationships/hyperlink" Target="http://www.ok.ru/profile/573246594677" TargetMode="External"/><Relationship Id="rId2411" Type="http://schemas.openxmlformats.org/officeDocument/2006/relationships/hyperlink" Target="http://www.ok.ru/profile/590601977880/statuses/156277927125016" TargetMode="External"/><Relationship Id="rId2412" Type="http://schemas.openxmlformats.org/officeDocument/2006/relationships/hyperlink" Target="http://www.ok.ru/profile/590601977880" TargetMode="External"/><Relationship Id="rId2413" Type="http://schemas.openxmlformats.org/officeDocument/2006/relationships/hyperlink" Target="http://vk.com/wall-153326278_404946?reply=405133" TargetMode="External"/><Relationship Id="rId2414" Type="http://schemas.openxmlformats.org/officeDocument/2006/relationships/hyperlink" Target="http://vk.com/id785219250" TargetMode="External"/><Relationship Id="rId2415" Type="http://schemas.openxmlformats.org/officeDocument/2006/relationships/hyperlink" Target="http://vk.com/club153326278" TargetMode="External"/><Relationship Id="rId2416" Type="http://schemas.openxmlformats.org/officeDocument/2006/relationships/hyperlink" Target="http://vk.com/wall-151317267_158355?reply=158639" TargetMode="External"/><Relationship Id="rId2417" Type="http://schemas.openxmlformats.org/officeDocument/2006/relationships/hyperlink" Target="http://vk.com/id793510155" TargetMode="External"/><Relationship Id="rId2418" Type="http://schemas.openxmlformats.org/officeDocument/2006/relationships/hyperlink" Target="http://vk.com/club151317267" TargetMode="External"/><Relationship Id="rId2419" Type="http://schemas.openxmlformats.org/officeDocument/2006/relationships/hyperlink" Target="http://vk.com/wall-63794824_1087778?reply=1088362" TargetMode="External"/><Relationship Id="rId2420" Type="http://schemas.openxmlformats.org/officeDocument/2006/relationships/hyperlink" Target="http://vk.com/id785219250" TargetMode="External"/><Relationship Id="rId2421" Type="http://schemas.openxmlformats.org/officeDocument/2006/relationships/hyperlink" Target="http://vk.com/club63794824" TargetMode="External"/><Relationship Id="rId2422" Type="http://schemas.openxmlformats.org/officeDocument/2006/relationships/hyperlink" Target="https://telegram.me/chat_dubai/318080" TargetMode="External"/><Relationship Id="rId2423" Type="http://schemas.openxmlformats.org/officeDocument/2006/relationships/hyperlink" Target="https://telegram.me/ElenaLanski" TargetMode="External"/><Relationship Id="rId2424" Type="http://schemas.openxmlformats.org/officeDocument/2006/relationships/hyperlink" Target="https://telegram.me/chat_dubai" TargetMode="External"/><Relationship Id="rId2425" Type="http://schemas.openxmlformats.org/officeDocument/2006/relationships/hyperlink" Target="http://www.ok.ru/profile/555621913561/statuses/155521858270169" TargetMode="External"/><Relationship Id="rId2426" Type="http://schemas.openxmlformats.org/officeDocument/2006/relationships/hyperlink" Target="http://www.ok.ru/profile/555621913561" TargetMode="External"/><Relationship Id="rId2427" Type="http://schemas.openxmlformats.org/officeDocument/2006/relationships/hyperlink" Target="http://vk.com/wall-142914432_6384796?reply=6385946" TargetMode="External"/><Relationship Id="rId2428" Type="http://schemas.openxmlformats.org/officeDocument/2006/relationships/hyperlink" Target="http://vk.com/id793510155" TargetMode="External"/><Relationship Id="rId2429" Type="http://schemas.openxmlformats.org/officeDocument/2006/relationships/hyperlink" Target="http://vk.com/club142914432" TargetMode="External"/><Relationship Id="rId2430" Type="http://schemas.openxmlformats.org/officeDocument/2006/relationships/hyperlink" Target="http://vk.com/wall-207636601_71358?reply=71436" TargetMode="External"/><Relationship Id="rId2431" Type="http://schemas.openxmlformats.org/officeDocument/2006/relationships/hyperlink" Target="http://vk.com/id136166298" TargetMode="External"/><Relationship Id="rId2432" Type="http://schemas.openxmlformats.org/officeDocument/2006/relationships/hyperlink" Target="http://vk.com/club207636601" TargetMode="External"/><Relationship Id="rId2433" Type="http://schemas.openxmlformats.org/officeDocument/2006/relationships/hyperlink" Target="https://www.baby.ru/blogs/post/2611450902-2597681634/" TargetMode="External"/><Relationship Id="rId2434" Type="http://schemas.openxmlformats.org/officeDocument/2006/relationships/hyperlink" Target="https://www.baby.ru/u/usr2601479/" TargetMode="External"/><Relationship Id="rId2435" Type="http://schemas.openxmlformats.org/officeDocument/2006/relationships/hyperlink" Target="https://www.baby.ru/u/usr2710213/" TargetMode="External"/><Relationship Id="rId2436" Type="http://schemas.openxmlformats.org/officeDocument/2006/relationships/hyperlink" Target="http://vk.com/wall-138168859_290183?reply=290249" TargetMode="External"/><Relationship Id="rId2437" Type="http://schemas.openxmlformats.org/officeDocument/2006/relationships/hyperlink" Target="http://vk.com/id785219250" TargetMode="External"/><Relationship Id="rId2438" Type="http://schemas.openxmlformats.org/officeDocument/2006/relationships/hyperlink" Target="http://vk.com/club138168859" TargetMode="External"/><Relationship Id="rId2439" Type="http://schemas.openxmlformats.org/officeDocument/2006/relationships/hyperlink" Target="http://www.ok.ru/group/53445801869520/topic/156198662269904" TargetMode="External"/><Relationship Id="rId2440" Type="http://schemas.openxmlformats.org/officeDocument/2006/relationships/hyperlink" Target="http://www.ok.ru/group/53445801869520" TargetMode="External"/><Relationship Id="rId2441" Type="http://schemas.openxmlformats.org/officeDocument/2006/relationships/hyperlink" Target="http://vk.com/wall-206214408_165065?reply=165891" TargetMode="External"/><Relationship Id="rId2442" Type="http://schemas.openxmlformats.org/officeDocument/2006/relationships/hyperlink" Target="http://vk.com/id785219250" TargetMode="External"/><Relationship Id="rId2443" Type="http://schemas.openxmlformats.org/officeDocument/2006/relationships/hyperlink" Target="http://vk.com/club206214408" TargetMode="External"/><Relationship Id="rId2444" Type="http://schemas.openxmlformats.org/officeDocument/2006/relationships/hyperlink" Target="http://www.facebook.com/1173481785/posts/10227230549127552?comment_id=1203276090549898" TargetMode="External"/><Relationship Id="rId2445" Type="http://schemas.openxmlformats.org/officeDocument/2006/relationships/hyperlink" Target="http://www.facebook.com/100000413421162" TargetMode="External"/><Relationship Id="rId2446" Type="http://schemas.openxmlformats.org/officeDocument/2006/relationships/hyperlink" Target="http://www.facebook.com/1173481785" TargetMode="External"/><Relationship Id="rId2447" Type="http://schemas.openxmlformats.org/officeDocument/2006/relationships/hyperlink" Target="http://www.ok.ru/profile/513088821194/statuses/155846042020810" TargetMode="External"/><Relationship Id="rId2448" Type="http://schemas.openxmlformats.org/officeDocument/2006/relationships/hyperlink" Target="http://www.ok.ru/profile/513088821194" TargetMode="External"/><Relationship Id="rId2449" Type="http://schemas.openxmlformats.org/officeDocument/2006/relationships/hyperlink" Target="https://panorama.pub/news/sud-smozet-arestovyvat-podozrevaemyh-cerez#comment-37496" TargetMode="External"/><Relationship Id="rId2450" Type="http://schemas.openxmlformats.org/officeDocument/2006/relationships/hyperlink" Target="https://telegram.me/ia_panorama/15145?comment=165137" TargetMode="External"/><Relationship Id="rId2451" Type="http://schemas.openxmlformats.org/officeDocument/2006/relationships/hyperlink" Target="https://telegram.me/" TargetMode="External"/><Relationship Id="rId2452" Type="http://schemas.openxmlformats.org/officeDocument/2006/relationships/hyperlink" Target="https://telegram.me/ia_panorama" TargetMode="External"/><Relationship Id="rId2453" Type="http://schemas.openxmlformats.org/officeDocument/2006/relationships/hyperlink" Target="https://www.baby.ru/blogs/post/2611452164-2278440064/" TargetMode="External"/><Relationship Id="rId2454" Type="http://schemas.openxmlformats.org/officeDocument/2006/relationships/hyperlink" Target="https://www.baby.ru/u/usr2601479/" TargetMode="External"/><Relationship Id="rId2455" Type="http://schemas.openxmlformats.org/officeDocument/2006/relationships/hyperlink" Target="https://www.baby.ru/u/usr2113670/" TargetMode="External"/><Relationship Id="rId2456" Type="http://schemas.openxmlformats.org/officeDocument/2006/relationships/hyperlink" Target="http://vk.com/wall-172880205_272485?reply=272698" TargetMode="External"/><Relationship Id="rId2457" Type="http://schemas.openxmlformats.org/officeDocument/2006/relationships/hyperlink" Target="http://vk.com/id793759114" TargetMode="External"/><Relationship Id="rId2458" Type="http://schemas.openxmlformats.org/officeDocument/2006/relationships/hyperlink" Target="http://vk.com/club172880205" TargetMode="External"/><Relationship Id="rId2459" Type="http://schemas.openxmlformats.org/officeDocument/2006/relationships/hyperlink" Target="http://www.ok.ru/profile/570716786834/statuses/155936808936850" TargetMode="External"/><Relationship Id="rId2460" Type="http://schemas.openxmlformats.org/officeDocument/2006/relationships/hyperlink" Target="http://www.ok.ru/profile/570716786834" TargetMode="External"/><Relationship Id="rId2461" Type="http://schemas.openxmlformats.org/officeDocument/2006/relationships/hyperlink" Target="http://vk.com/wall-204242132_10674?reply=10683" TargetMode="External"/><Relationship Id="rId2462" Type="http://schemas.openxmlformats.org/officeDocument/2006/relationships/hyperlink" Target="http://vk.com/id276606411" TargetMode="External"/><Relationship Id="rId2463" Type="http://schemas.openxmlformats.org/officeDocument/2006/relationships/hyperlink" Target="http://vk.com/club204242132" TargetMode="External"/><Relationship Id="rId2464" Type="http://schemas.openxmlformats.org/officeDocument/2006/relationships/hyperlink" Target="http://www.ok.ru/profile/345961585880/statuses/155637522161880" TargetMode="External"/><Relationship Id="rId2465" Type="http://schemas.openxmlformats.org/officeDocument/2006/relationships/hyperlink" Target="http://www.ok.ru/profile/345961585880" TargetMode="External"/><Relationship Id="rId2466" Type="http://schemas.openxmlformats.org/officeDocument/2006/relationships/hyperlink" Target="http://vk.com/wall-23327897_40503" TargetMode="External"/><Relationship Id="rId2467" Type="http://schemas.openxmlformats.org/officeDocument/2006/relationships/hyperlink" Target="http://vk.com/club23327897" TargetMode="External"/><Relationship Id="rId2468" Type="http://schemas.openxmlformats.org/officeDocument/2006/relationships/hyperlink" Target="http://www.ok.ru/profile/447550221043/statuses/156226344646899" TargetMode="External"/><Relationship Id="rId2469" Type="http://schemas.openxmlformats.org/officeDocument/2006/relationships/hyperlink" Target="http://www.ok.ru/profile/447550221043" TargetMode="External"/><Relationship Id="rId2470" Type="http://schemas.openxmlformats.org/officeDocument/2006/relationships/hyperlink" Target="http://vk.com/wall588144209_974" TargetMode="External"/><Relationship Id="rId2471" Type="http://schemas.openxmlformats.org/officeDocument/2006/relationships/hyperlink" Target="http://vk.com/id588144209" TargetMode="External"/><Relationship Id="rId2472" Type="http://schemas.openxmlformats.org/officeDocument/2006/relationships/hyperlink" Target="http://www.ok.ru/profile/560490753893/statuses/155183110577509" TargetMode="External"/><Relationship Id="rId2473" Type="http://schemas.openxmlformats.org/officeDocument/2006/relationships/hyperlink" Target="http://www.ok.ru/profile/560490753893" TargetMode="External"/><Relationship Id="rId2474" Type="http://schemas.openxmlformats.org/officeDocument/2006/relationships/hyperlink" Target="http://vk.com/wall525757428_601" TargetMode="External"/><Relationship Id="rId2475" Type="http://schemas.openxmlformats.org/officeDocument/2006/relationships/hyperlink" Target="http://vk.com/id525757428" TargetMode="External"/><Relationship Id="rId2476" Type="http://schemas.openxmlformats.org/officeDocument/2006/relationships/hyperlink" Target="http://www.ok.ru/profile/500103441107/statuses/156200083319763" TargetMode="External"/><Relationship Id="rId2477" Type="http://schemas.openxmlformats.org/officeDocument/2006/relationships/hyperlink" Target="http://www.ok.ru/profile/500103441107" TargetMode="External"/><Relationship Id="rId2478" Type="http://schemas.openxmlformats.org/officeDocument/2006/relationships/hyperlink" Target="http://vk.com/wall166718517_1077" TargetMode="External"/><Relationship Id="rId2479" Type="http://schemas.openxmlformats.org/officeDocument/2006/relationships/hyperlink" Target="http://vk.com/id166718517" TargetMode="External"/><Relationship Id="rId2480" Type="http://schemas.openxmlformats.org/officeDocument/2006/relationships/hyperlink" Target="http://vk.com/wall-162424850_543650?reply=543666" TargetMode="External"/><Relationship Id="rId2481" Type="http://schemas.openxmlformats.org/officeDocument/2006/relationships/hyperlink" Target="http://vk.com/id555331154" TargetMode="External"/><Relationship Id="rId2482" Type="http://schemas.openxmlformats.org/officeDocument/2006/relationships/hyperlink" Target="http://vk.com/club162424850" TargetMode="External"/><Relationship Id="rId2483" Type="http://schemas.openxmlformats.org/officeDocument/2006/relationships/hyperlink" Target="http://www.ok.ru/profile/337914891964/statuses/155061702178236" TargetMode="External"/><Relationship Id="rId2484" Type="http://schemas.openxmlformats.org/officeDocument/2006/relationships/hyperlink" Target="http://www.ok.ru/profile/337914891964" TargetMode="External"/><Relationship Id="rId2485" Type="http://schemas.openxmlformats.org/officeDocument/2006/relationships/hyperlink" Target="http://vk.com/wall-66420111_792613?reply=794243" TargetMode="External"/><Relationship Id="rId2486" Type="http://schemas.openxmlformats.org/officeDocument/2006/relationships/hyperlink" Target="http://vk.com/id63919480" TargetMode="External"/><Relationship Id="rId2487" Type="http://schemas.openxmlformats.org/officeDocument/2006/relationships/hyperlink" Target="http://vk.com/club66420111" TargetMode="External"/><Relationship Id="rId2488" Type="http://schemas.openxmlformats.org/officeDocument/2006/relationships/hyperlink" Target="http://vk.com/wall-107912187_1346349?reply=1348091" TargetMode="External"/><Relationship Id="rId2489" Type="http://schemas.openxmlformats.org/officeDocument/2006/relationships/hyperlink" Target="http://vk.com/id793510155" TargetMode="External"/><Relationship Id="rId2490" Type="http://schemas.openxmlformats.org/officeDocument/2006/relationships/hyperlink" Target="http://vk.com/club107912187" TargetMode="External"/><Relationship Id="rId2491" Type="http://schemas.openxmlformats.org/officeDocument/2006/relationships/hyperlink" Target="https://www.babyblog.ru/community/diseases/post/3125065" TargetMode="External"/><Relationship Id="rId2492" Type="http://schemas.openxmlformats.org/officeDocument/2006/relationships/hyperlink" Target="http://www.ok.ru/profile/563354369960/statuses/156116972974248" TargetMode="External"/><Relationship Id="rId2493" Type="http://schemas.openxmlformats.org/officeDocument/2006/relationships/hyperlink" Target="http://www.ok.ru/profile/563354369960" TargetMode="External"/><Relationship Id="rId2494" Type="http://schemas.openxmlformats.org/officeDocument/2006/relationships/hyperlink" Target="http://vk.com/wall511017964_2674" TargetMode="External"/><Relationship Id="rId2495" Type="http://schemas.openxmlformats.org/officeDocument/2006/relationships/hyperlink" Target="http://vk.com/id511017964" TargetMode="External"/><Relationship Id="rId2496" Type="http://schemas.openxmlformats.org/officeDocument/2006/relationships/hyperlink" Target="http://vk.com/wall-126272719_685358" TargetMode="External"/><Relationship Id="rId2497" Type="http://schemas.openxmlformats.org/officeDocument/2006/relationships/hyperlink" Target="http://vk.com/id595781259" TargetMode="External"/><Relationship Id="rId2498" Type="http://schemas.openxmlformats.org/officeDocument/2006/relationships/hyperlink" Target="http://vk.com/club126272719" TargetMode="External"/><Relationship Id="rId2499" Type="http://schemas.openxmlformats.org/officeDocument/2006/relationships/hyperlink" Target="http://vk.com/wall21474245_6643" TargetMode="External"/><Relationship Id="rId2500" Type="http://schemas.openxmlformats.org/officeDocument/2006/relationships/hyperlink" Target="http://vk.com/id21474245" TargetMode="External"/><Relationship Id="rId2501" Type="http://schemas.openxmlformats.org/officeDocument/2006/relationships/hyperlink" Target="http://vk.com/wall-87598739_813314?reply=817022" TargetMode="External"/><Relationship Id="rId2502" Type="http://schemas.openxmlformats.org/officeDocument/2006/relationships/hyperlink" Target="http://vk.com/id793510155" TargetMode="External"/><Relationship Id="rId2503" Type="http://schemas.openxmlformats.org/officeDocument/2006/relationships/hyperlink" Target="http://vk.com/club87598739" TargetMode="External"/><Relationship Id="rId2504" Type="http://schemas.openxmlformats.org/officeDocument/2006/relationships/hyperlink" Target="http://www.ok.ru/profile/554874050915/statuses/155651261884515" TargetMode="External"/><Relationship Id="rId2505" Type="http://schemas.openxmlformats.org/officeDocument/2006/relationships/hyperlink" Target="http://www.ok.ru/profile/554874050915" TargetMode="External"/><Relationship Id="rId2506" Type="http://schemas.openxmlformats.org/officeDocument/2006/relationships/hyperlink" Target="http://www.ok.ru/profile/563674773686/statuses/160044059112886" TargetMode="External"/><Relationship Id="rId2507" Type="http://schemas.openxmlformats.org/officeDocument/2006/relationships/hyperlink" Target="http://www.ok.ru/profile/563674773686" TargetMode="External"/><Relationship Id="rId2508" Type="http://schemas.openxmlformats.org/officeDocument/2006/relationships/hyperlink" Target="http://vk.com/wall-172880205_272485?reply=272693" TargetMode="External"/><Relationship Id="rId2509" Type="http://schemas.openxmlformats.org/officeDocument/2006/relationships/hyperlink" Target="http://vk.com/id793510155" TargetMode="External"/><Relationship Id="rId2510" Type="http://schemas.openxmlformats.org/officeDocument/2006/relationships/hyperlink" Target="http://vk.com/club172880205" TargetMode="External"/><Relationship Id="rId2511" Type="http://schemas.openxmlformats.org/officeDocument/2006/relationships/hyperlink" Target="http://vk.com/wall-1678339_2239751?reply=2239758" TargetMode="External"/><Relationship Id="rId2512" Type="http://schemas.openxmlformats.org/officeDocument/2006/relationships/hyperlink" Target="http://vk.com/id545810130" TargetMode="External"/><Relationship Id="rId2513" Type="http://schemas.openxmlformats.org/officeDocument/2006/relationships/hyperlink" Target="http://vk.com/club1678339" TargetMode="External"/><Relationship Id="rId2514" Type="http://schemas.openxmlformats.org/officeDocument/2006/relationships/hyperlink" Target="http://instagram.com/p/Cq5T2ZMLdEn/c/17971705436260068/" TargetMode="External"/><Relationship Id="rId2515" Type="http://schemas.openxmlformats.org/officeDocument/2006/relationships/hyperlink" Target="http://instagram.com/sdobnayaplyushka" TargetMode="External"/><Relationship Id="rId2516" Type="http://schemas.openxmlformats.org/officeDocument/2006/relationships/hyperlink" Target="http://instagram.com/ainannet" TargetMode="External"/><Relationship Id="rId2517" Type="http://schemas.openxmlformats.org/officeDocument/2006/relationships/hyperlink" Target="http://vk.com/wall279356447_4347" TargetMode="External"/><Relationship Id="rId2518" Type="http://schemas.openxmlformats.org/officeDocument/2006/relationships/hyperlink" Target="http://vk.com/id279356447" TargetMode="External"/><Relationship Id="rId2519" Type="http://schemas.openxmlformats.org/officeDocument/2006/relationships/hyperlink" Target="http://www.ok.ru/profile/538612803323/statuses/157077253522939" TargetMode="External"/><Relationship Id="rId2520" Type="http://schemas.openxmlformats.org/officeDocument/2006/relationships/hyperlink" Target="http://www.ok.ru/profile/538612803323" TargetMode="External"/><Relationship Id="rId2521" Type="http://schemas.openxmlformats.org/officeDocument/2006/relationships/hyperlink" Target="http://vk.com/wall-206214408_165065?reply=165877" TargetMode="External"/><Relationship Id="rId2522" Type="http://schemas.openxmlformats.org/officeDocument/2006/relationships/hyperlink" Target="http://vk.com/id793510155" TargetMode="External"/><Relationship Id="rId2523" Type="http://schemas.openxmlformats.org/officeDocument/2006/relationships/hyperlink" Target="http://vk.com/club206214408" TargetMode="External"/><Relationship Id="rId2524" Type="http://schemas.openxmlformats.org/officeDocument/2006/relationships/hyperlink" Target="http://www.ok.ru/group/52884672020665/topic/155682670409145" TargetMode="External"/><Relationship Id="rId2525" Type="http://schemas.openxmlformats.org/officeDocument/2006/relationships/hyperlink" Target="http://www.ok.ru/group/52884672020665" TargetMode="External"/><Relationship Id="rId2526" Type="http://schemas.openxmlformats.org/officeDocument/2006/relationships/hyperlink" Target="http://vk.com/wall-47119920_205323" TargetMode="External"/><Relationship Id="rId2527" Type="http://schemas.openxmlformats.org/officeDocument/2006/relationships/hyperlink" Target="http://vk.com/club47119920" TargetMode="External"/><Relationship Id="rId2528" Type="http://schemas.openxmlformats.org/officeDocument/2006/relationships/hyperlink" Target="http://www.youtube.com/watch?v=2n3998vy0bE&amp;lc=UgzB2fssSeFQFnHK7yl4AaABAg" TargetMode="External"/><Relationship Id="rId2529" Type="http://schemas.openxmlformats.org/officeDocument/2006/relationships/hyperlink" Target="http://www.youtube.com/channel/UCahaPnnEVNBBc_8LJtbkqrQ" TargetMode="External"/><Relationship Id="rId2530" Type="http://schemas.openxmlformats.org/officeDocument/2006/relationships/hyperlink" Target="http://www.youtube.com/channel/UC3wGCqoIZmnJI65NHEq1VGg" TargetMode="External"/><Relationship Id="rId2531" Type="http://schemas.openxmlformats.org/officeDocument/2006/relationships/hyperlink" Target="http://www.ok.ru/profile/563645570794/statuses/156306187481322" TargetMode="External"/><Relationship Id="rId2532" Type="http://schemas.openxmlformats.org/officeDocument/2006/relationships/hyperlink" Target="http://www.ok.ru/profile/563645570794" TargetMode="External"/><Relationship Id="rId2533" Type="http://schemas.openxmlformats.org/officeDocument/2006/relationships/hyperlink" Target="http://www.ok.ru/profile/578092880441/statuses/155433719382073" TargetMode="External"/><Relationship Id="rId2534" Type="http://schemas.openxmlformats.org/officeDocument/2006/relationships/hyperlink" Target="http://www.ok.ru/profile/578092880441" TargetMode="External"/><Relationship Id="rId2535" Type="http://schemas.openxmlformats.org/officeDocument/2006/relationships/hyperlink" Target="http://vk.com/wall-138168859_290183?reply=290239" TargetMode="External"/><Relationship Id="rId2536" Type="http://schemas.openxmlformats.org/officeDocument/2006/relationships/hyperlink" Target="http://vk.com/id489334289" TargetMode="External"/><Relationship Id="rId2537" Type="http://schemas.openxmlformats.org/officeDocument/2006/relationships/hyperlink" Target="http://vk.com/club138168859" TargetMode="External"/><Relationship Id="rId2538" Type="http://schemas.openxmlformats.org/officeDocument/2006/relationships/hyperlink" Target="http://vk.com/wall-1678339_2239751?reply=2239756" TargetMode="External"/><Relationship Id="rId2539" Type="http://schemas.openxmlformats.org/officeDocument/2006/relationships/hyperlink" Target="http://vk.com/id171225597" TargetMode="External"/><Relationship Id="rId2540" Type="http://schemas.openxmlformats.org/officeDocument/2006/relationships/hyperlink" Target="http://vk.com/club1678339" TargetMode="External"/><Relationship Id="rId2541" Type="http://schemas.openxmlformats.org/officeDocument/2006/relationships/hyperlink" Target="http://vk.com/wall-63794824_1087778?reply=1088358&amp;thread=1088076" TargetMode="External"/><Relationship Id="rId2542" Type="http://schemas.openxmlformats.org/officeDocument/2006/relationships/hyperlink" Target="http://vk.com/id504498160" TargetMode="External"/><Relationship Id="rId2543" Type="http://schemas.openxmlformats.org/officeDocument/2006/relationships/hyperlink" Target="http://vk.com/club63794824" TargetMode="External"/><Relationship Id="rId2544" Type="http://schemas.openxmlformats.org/officeDocument/2006/relationships/hyperlink" Target="http://vk.com/wall354876372_414" TargetMode="External"/><Relationship Id="rId2545" Type="http://schemas.openxmlformats.org/officeDocument/2006/relationships/hyperlink" Target="http://vk.com/id354876372" TargetMode="External"/><Relationship Id="rId2546" Type="http://schemas.openxmlformats.org/officeDocument/2006/relationships/hyperlink" Target="http://vk.com/wall-203023242_19133?reply=19247&amp;thread=19145" TargetMode="External"/><Relationship Id="rId2547" Type="http://schemas.openxmlformats.org/officeDocument/2006/relationships/hyperlink" Target="http://vk.com/id169982201" TargetMode="External"/><Relationship Id="rId2548" Type="http://schemas.openxmlformats.org/officeDocument/2006/relationships/hyperlink" Target="http://vk.com/club203023242" TargetMode="External"/><Relationship Id="rId2549" Type="http://schemas.openxmlformats.org/officeDocument/2006/relationships/hyperlink" Target="http://www.ok.ru/profile/572772389497/statuses/155506775999353" TargetMode="External"/><Relationship Id="rId2550" Type="http://schemas.openxmlformats.org/officeDocument/2006/relationships/hyperlink" Target="http://www.ok.ru/profile/572772389497" TargetMode="External"/><Relationship Id="rId2551" Type="http://schemas.openxmlformats.org/officeDocument/2006/relationships/hyperlink" Target="http://www.ok.ru/profile/514499924962/statuses/155563172656098" TargetMode="External"/><Relationship Id="rId2552" Type="http://schemas.openxmlformats.org/officeDocument/2006/relationships/hyperlink" Target="http://www.ok.ru/profile/514499924962" TargetMode="External"/><Relationship Id="rId2553" Type="http://schemas.openxmlformats.org/officeDocument/2006/relationships/hyperlink" Target="http://vk.com/wall676265681_150" TargetMode="External"/><Relationship Id="rId2554" Type="http://schemas.openxmlformats.org/officeDocument/2006/relationships/hyperlink" Target="http://vk.com/id676265681" TargetMode="External"/><Relationship Id="rId2555" Type="http://schemas.openxmlformats.org/officeDocument/2006/relationships/hyperlink" Target="http://vk.com/wall-153326278_404946?reply=405129" TargetMode="External"/><Relationship Id="rId2556" Type="http://schemas.openxmlformats.org/officeDocument/2006/relationships/hyperlink" Target="http://vk.com/id793510155" TargetMode="External"/><Relationship Id="rId2557" Type="http://schemas.openxmlformats.org/officeDocument/2006/relationships/hyperlink" Target="http://vk.com/club153326278" TargetMode="External"/><Relationship Id="rId2558" Type="http://schemas.openxmlformats.org/officeDocument/2006/relationships/hyperlink" Target="http://vk.com/wall515318322_2521" TargetMode="External"/><Relationship Id="rId2559" Type="http://schemas.openxmlformats.org/officeDocument/2006/relationships/hyperlink" Target="http://vk.com/id515318322" TargetMode="External"/><Relationship Id="rId2560" Type="http://schemas.openxmlformats.org/officeDocument/2006/relationships/hyperlink" Target="http://vk.com/wall-203023242_19133?reply=19246&amp;thread=19143" TargetMode="External"/><Relationship Id="rId2561" Type="http://schemas.openxmlformats.org/officeDocument/2006/relationships/hyperlink" Target="http://vk.com/id439472" TargetMode="External"/><Relationship Id="rId2562" Type="http://schemas.openxmlformats.org/officeDocument/2006/relationships/hyperlink" Target="http://vk.com/club203023242" TargetMode="External"/><Relationship Id="rId2563" Type="http://schemas.openxmlformats.org/officeDocument/2006/relationships/hyperlink" Target="http://www.ok.ru/profile/354791653216/statuses/154974403455072" TargetMode="External"/><Relationship Id="rId2564" Type="http://schemas.openxmlformats.org/officeDocument/2006/relationships/hyperlink" Target="http://www.ok.ru/profile/354791653216" TargetMode="External"/><Relationship Id="rId2565" Type="http://schemas.openxmlformats.org/officeDocument/2006/relationships/hyperlink" Target="http://www.ok.ru/profile/452605201604/statuses/155142413181892" TargetMode="External"/><Relationship Id="rId2566" Type="http://schemas.openxmlformats.org/officeDocument/2006/relationships/hyperlink" Target="http://www.ok.ru/profile/452605201604" TargetMode="External"/><Relationship Id="rId2567" Type="http://schemas.openxmlformats.org/officeDocument/2006/relationships/hyperlink" Target="http://www.ok.ru/profile/556327285230/statuses/156609374682094" TargetMode="External"/><Relationship Id="rId2568" Type="http://schemas.openxmlformats.org/officeDocument/2006/relationships/hyperlink" Target="http://www.ok.ru/profile/556327285230" TargetMode="External"/><Relationship Id="rId2569" Type="http://schemas.openxmlformats.org/officeDocument/2006/relationships/hyperlink" Target="http://www.ok.ru/profile/572187247499/statuses/156160666749835" TargetMode="External"/><Relationship Id="rId2570" Type="http://schemas.openxmlformats.org/officeDocument/2006/relationships/hyperlink" Target="http://www.ok.ru/profile/572187247499" TargetMode="External"/><Relationship Id="rId2571" Type="http://schemas.openxmlformats.org/officeDocument/2006/relationships/hyperlink" Target="http://vk.com/wall245834361_924" TargetMode="External"/><Relationship Id="rId2572" Type="http://schemas.openxmlformats.org/officeDocument/2006/relationships/hyperlink" Target="http://vk.com/id245834361" TargetMode="External"/><Relationship Id="rId2573" Type="http://schemas.openxmlformats.org/officeDocument/2006/relationships/hyperlink" Target="http://vk.com/wall-33277814_729930?reply=730702" TargetMode="External"/><Relationship Id="rId2574" Type="http://schemas.openxmlformats.org/officeDocument/2006/relationships/hyperlink" Target="http://vk.com/id793510155" TargetMode="External"/><Relationship Id="rId2575" Type="http://schemas.openxmlformats.org/officeDocument/2006/relationships/hyperlink" Target="http://vk.com/club33277814" TargetMode="External"/><Relationship Id="rId2576" Type="http://schemas.openxmlformats.org/officeDocument/2006/relationships/hyperlink" Target="http://www.ok.ru/profile/568388124349/statuses/155267503276221" TargetMode="External"/><Relationship Id="rId2577" Type="http://schemas.openxmlformats.org/officeDocument/2006/relationships/hyperlink" Target="http://www.ok.ru/profile/568388124349" TargetMode="External"/><Relationship Id="rId2578" Type="http://schemas.openxmlformats.org/officeDocument/2006/relationships/hyperlink" Target="http://vk.com/wall-28182343_976236?reply=976756&amp;thread=976377" TargetMode="External"/><Relationship Id="rId2579" Type="http://schemas.openxmlformats.org/officeDocument/2006/relationships/hyperlink" Target="http://vk.com/id267798712" TargetMode="External"/><Relationship Id="rId2580" Type="http://schemas.openxmlformats.org/officeDocument/2006/relationships/hyperlink" Target="http://vk.com/club28182343" TargetMode="External"/><Relationship Id="rId2581" Type="http://schemas.openxmlformats.org/officeDocument/2006/relationships/hyperlink" Target="http://www.ok.ru/profile/529615893258/statuses/155682194262794" TargetMode="External"/><Relationship Id="rId2582" Type="http://schemas.openxmlformats.org/officeDocument/2006/relationships/hyperlink" Target="http://www.ok.ru/profile/529615893258" TargetMode="External"/><Relationship Id="rId2583" Type="http://schemas.openxmlformats.org/officeDocument/2006/relationships/hyperlink" Target="http://www.ok.ru/profile/538601967346/statuses/156054086991346" TargetMode="External"/><Relationship Id="rId2584" Type="http://schemas.openxmlformats.org/officeDocument/2006/relationships/hyperlink" Target="http://www.ok.ru/profile/538601967346" TargetMode="External"/><Relationship Id="rId2585" Type="http://schemas.openxmlformats.org/officeDocument/2006/relationships/hyperlink" Target="http://vk.com/wall-135482876_645111?reply=645741&amp;thread=645168" TargetMode="External"/><Relationship Id="rId2586" Type="http://schemas.openxmlformats.org/officeDocument/2006/relationships/hyperlink" Target="http://vk.com/id169982201" TargetMode="External"/><Relationship Id="rId2587" Type="http://schemas.openxmlformats.org/officeDocument/2006/relationships/hyperlink" Target="http://vk.com/club135482876" TargetMode="External"/><Relationship Id="rId2588" Type="http://schemas.openxmlformats.org/officeDocument/2006/relationships/hyperlink" Target="https://telegram.me/tortuga_vlg/257762" TargetMode="External"/><Relationship Id="rId2589" Type="http://schemas.openxmlformats.org/officeDocument/2006/relationships/hyperlink" Target="https://telegram.me/kostidmaho" TargetMode="External"/><Relationship Id="rId2590" Type="http://schemas.openxmlformats.org/officeDocument/2006/relationships/hyperlink" Target="https://telegram.me/tortuga_vlg" TargetMode="External"/><Relationship Id="rId2591" Type="http://schemas.openxmlformats.org/officeDocument/2006/relationships/hyperlink" Target="http://www.ok.ru/profile/547934549895/statuses/155508657981575" TargetMode="External"/><Relationship Id="rId2592" Type="http://schemas.openxmlformats.org/officeDocument/2006/relationships/hyperlink" Target="http://www.ok.ru/profile/547934549895" TargetMode="External"/><Relationship Id="rId2593" Type="http://schemas.openxmlformats.org/officeDocument/2006/relationships/hyperlink" Target="http://www.ok.ru/profile/521445150358/statuses/155734292797590" TargetMode="External"/><Relationship Id="rId2594" Type="http://schemas.openxmlformats.org/officeDocument/2006/relationships/hyperlink" Target="http://www.ok.ru/profile/521445150358" TargetMode="External"/><Relationship Id="rId2595" Type="http://schemas.openxmlformats.org/officeDocument/2006/relationships/hyperlink" Target="http://www.ok.ru/profile/573212975054/statuses/156144838227406" TargetMode="External"/><Relationship Id="rId2596" Type="http://schemas.openxmlformats.org/officeDocument/2006/relationships/hyperlink" Target="http://www.ok.ru/profile/573212975054" TargetMode="External"/><Relationship Id="rId2597" Type="http://schemas.openxmlformats.org/officeDocument/2006/relationships/hyperlink" Target="https://www.babyblog.ru/community/living/post/3308287" TargetMode="External"/><Relationship Id="rId2598" Type="http://schemas.openxmlformats.org/officeDocument/2006/relationships/hyperlink" Target="http://vk.com/wall-166506217_10849" TargetMode="External"/><Relationship Id="rId2599" Type="http://schemas.openxmlformats.org/officeDocument/2006/relationships/hyperlink" Target="http://vk.com/club166506217" TargetMode="External"/><Relationship Id="rId2600" Type="http://schemas.openxmlformats.org/officeDocument/2006/relationships/hyperlink" Target="http://www.ok.ru/profile/550916827612/statuses/155434134893532" TargetMode="External"/><Relationship Id="rId2601" Type="http://schemas.openxmlformats.org/officeDocument/2006/relationships/hyperlink" Target="http://www.ok.ru/profile/550916827612" TargetMode="External"/><Relationship Id="rId2602" Type="http://schemas.openxmlformats.org/officeDocument/2006/relationships/hyperlink" Target="http://vk.com/wall-51700884_1805845?reply=1806933" TargetMode="External"/><Relationship Id="rId2603" Type="http://schemas.openxmlformats.org/officeDocument/2006/relationships/hyperlink" Target="http://vk.com/id793510155" TargetMode="External"/><Relationship Id="rId2604" Type="http://schemas.openxmlformats.org/officeDocument/2006/relationships/hyperlink" Target="http://vk.com/club51700884" TargetMode="External"/><Relationship Id="rId2605" Type="http://schemas.openxmlformats.org/officeDocument/2006/relationships/hyperlink" Target="http://www.ok.ru/profile/419938629844/statuses/155978807459284" TargetMode="External"/><Relationship Id="rId2606" Type="http://schemas.openxmlformats.org/officeDocument/2006/relationships/hyperlink" Target="http://www.ok.ru/profile/419938629844" TargetMode="External"/><Relationship Id="rId2607" Type="http://schemas.openxmlformats.org/officeDocument/2006/relationships/hyperlink" Target="http://vk.com/wall707571042_235" TargetMode="External"/><Relationship Id="rId2608" Type="http://schemas.openxmlformats.org/officeDocument/2006/relationships/hyperlink" Target="http://vk.com/id707571042" TargetMode="External"/><Relationship Id="rId2609" Type="http://schemas.openxmlformats.org/officeDocument/2006/relationships/hyperlink" Target="http://www.ok.ru/profile/552430104662/statuses/156124506594646" TargetMode="External"/><Relationship Id="rId2610" Type="http://schemas.openxmlformats.org/officeDocument/2006/relationships/hyperlink" Target="http://www.ok.ru/profile/552430104662" TargetMode="External"/><Relationship Id="rId2611" Type="http://schemas.openxmlformats.org/officeDocument/2006/relationships/hyperlink" Target="http://vk.com/wall-131081771_1568641?reply=1591226&amp;thread=1568839" TargetMode="External"/><Relationship Id="rId2612" Type="http://schemas.openxmlformats.org/officeDocument/2006/relationships/hyperlink" Target="http://vk.com/id793566988" TargetMode="External"/><Relationship Id="rId2613" Type="http://schemas.openxmlformats.org/officeDocument/2006/relationships/hyperlink" Target="http://vk.com/club131081771" TargetMode="External"/><Relationship Id="rId2614" Type="http://schemas.openxmlformats.org/officeDocument/2006/relationships/hyperlink" Target="http://www.ok.ru/profile/580374246683/statuses/155214606442523" TargetMode="External"/><Relationship Id="rId2615" Type="http://schemas.openxmlformats.org/officeDocument/2006/relationships/hyperlink" Target="http://www.ok.ru/profile/580374246683" TargetMode="External"/><Relationship Id="rId2616" Type="http://schemas.openxmlformats.org/officeDocument/2006/relationships/hyperlink" Target="http://vk.com/wall-1678339_2239751" TargetMode="External"/><Relationship Id="rId2617" Type="http://schemas.openxmlformats.org/officeDocument/2006/relationships/hyperlink" Target="http://vk.com/club1678339" TargetMode="External"/><Relationship Id="rId2618" Type="http://schemas.openxmlformats.org/officeDocument/2006/relationships/hyperlink" Target="http://vk.com/wall-203023242_19133?reply=19241&amp;thread=19145" TargetMode="External"/><Relationship Id="rId2619" Type="http://schemas.openxmlformats.org/officeDocument/2006/relationships/hyperlink" Target="http://vk.com/id793566988" TargetMode="External"/><Relationship Id="rId2620" Type="http://schemas.openxmlformats.org/officeDocument/2006/relationships/hyperlink" Target="http://vk.com/club203023242" TargetMode="External"/><Relationship Id="rId2621" Type="http://schemas.openxmlformats.org/officeDocument/2006/relationships/hyperlink" Target="http://www.ok.ru/profile/326657424982/statuses/156124495977814" TargetMode="External"/><Relationship Id="rId2622" Type="http://schemas.openxmlformats.org/officeDocument/2006/relationships/hyperlink" Target="http://www.ok.ru/profile/326657424982" TargetMode="External"/><Relationship Id="rId2623" Type="http://schemas.openxmlformats.org/officeDocument/2006/relationships/hyperlink" Target="http://www.ok.ru/profile/578406659600/statuses/156017422699280" TargetMode="External"/><Relationship Id="rId2624" Type="http://schemas.openxmlformats.org/officeDocument/2006/relationships/hyperlink" Target="http://www.ok.ru/profile/578406659600" TargetMode="External"/><Relationship Id="rId2625" Type="http://schemas.openxmlformats.org/officeDocument/2006/relationships/hyperlink" Target="http://www.ok.ru/profile/572364710592/statuses/155622114052288" TargetMode="External"/><Relationship Id="rId2626" Type="http://schemas.openxmlformats.org/officeDocument/2006/relationships/hyperlink" Target="http://www.ok.ru/profile/572364710592" TargetMode="External"/><Relationship Id="rId2627" Type="http://schemas.openxmlformats.org/officeDocument/2006/relationships/hyperlink" Target="http://vk.com/wall610171666_555" TargetMode="External"/><Relationship Id="rId2628" Type="http://schemas.openxmlformats.org/officeDocument/2006/relationships/hyperlink" Target="http://vk.com/id610171666" TargetMode="External"/><Relationship Id="rId2629" Type="http://schemas.openxmlformats.org/officeDocument/2006/relationships/hyperlink" Target="http://vk.com/wall-136860886_525859?reply=525891" TargetMode="External"/><Relationship Id="rId2630" Type="http://schemas.openxmlformats.org/officeDocument/2006/relationships/hyperlink" Target="http://vk.com/id15987088" TargetMode="External"/><Relationship Id="rId2631" Type="http://schemas.openxmlformats.org/officeDocument/2006/relationships/hyperlink" Target="http://vk.com/club136860886" TargetMode="External"/><Relationship Id="rId2632" Type="http://schemas.openxmlformats.org/officeDocument/2006/relationships/hyperlink" Target="http://vk.com/wall55064849_3847" TargetMode="External"/><Relationship Id="rId2633" Type="http://schemas.openxmlformats.org/officeDocument/2006/relationships/hyperlink" Target="http://vk.com/id55064849" TargetMode="External"/><Relationship Id="rId2634" Type="http://schemas.openxmlformats.org/officeDocument/2006/relationships/hyperlink" Target="https://www.babyblog.ru/community/living/post/3308551" TargetMode="External"/><Relationship Id="rId2635" Type="http://schemas.openxmlformats.org/officeDocument/2006/relationships/hyperlink" Target="http://vk.com/wall501593679_919" TargetMode="External"/><Relationship Id="rId2636" Type="http://schemas.openxmlformats.org/officeDocument/2006/relationships/hyperlink" Target="http://vk.com/id501593679" TargetMode="External"/><Relationship Id="rId2637" Type="http://schemas.openxmlformats.org/officeDocument/2006/relationships/hyperlink" Target="http://vk.com/wall-172880205_272485?reply=272689" TargetMode="External"/><Relationship Id="rId2638" Type="http://schemas.openxmlformats.org/officeDocument/2006/relationships/hyperlink" Target="http://vk.com/id520742007" TargetMode="External"/><Relationship Id="rId2639" Type="http://schemas.openxmlformats.org/officeDocument/2006/relationships/hyperlink" Target="http://vk.com/club172880205" TargetMode="External"/><Relationship Id="rId2640" Type="http://schemas.openxmlformats.org/officeDocument/2006/relationships/hyperlink" Target="http://vk.com/wall-88354188_348339?reply=369134&amp;thread=348529" TargetMode="External"/><Relationship Id="rId2641" Type="http://schemas.openxmlformats.org/officeDocument/2006/relationships/hyperlink" Target="http://vk.com/id793566988" TargetMode="External"/><Relationship Id="rId2642" Type="http://schemas.openxmlformats.org/officeDocument/2006/relationships/hyperlink" Target="http://vk.com/club88354188" TargetMode="External"/><Relationship Id="rId2643" Type="http://schemas.openxmlformats.org/officeDocument/2006/relationships/hyperlink" Target="http://vk.com/wall-146175495_830050?reply=830066" TargetMode="External"/><Relationship Id="rId2644" Type="http://schemas.openxmlformats.org/officeDocument/2006/relationships/hyperlink" Target="http://vk.com/id51184594" TargetMode="External"/><Relationship Id="rId2645" Type="http://schemas.openxmlformats.org/officeDocument/2006/relationships/hyperlink" Target="http://vk.com/club146175495" TargetMode="External"/><Relationship Id="rId2646" Type="http://schemas.openxmlformats.org/officeDocument/2006/relationships/hyperlink" Target="http://vk.com/wall-206214408_165065?reply=165867" TargetMode="External"/><Relationship Id="rId2647" Type="http://schemas.openxmlformats.org/officeDocument/2006/relationships/hyperlink" Target="http://vk.com/id229144165" TargetMode="External"/><Relationship Id="rId2648" Type="http://schemas.openxmlformats.org/officeDocument/2006/relationships/hyperlink" Target="http://vk.com/club206214408" TargetMode="External"/><Relationship Id="rId2649" Type="http://schemas.openxmlformats.org/officeDocument/2006/relationships/hyperlink" Target="http://www.ok.ru/profile/585412836368/statuses/156017415555856" TargetMode="External"/><Relationship Id="rId2650" Type="http://schemas.openxmlformats.org/officeDocument/2006/relationships/hyperlink" Target="http://www.ok.ru/profile/585412836368" TargetMode="External"/><Relationship Id="rId2651" Type="http://schemas.openxmlformats.org/officeDocument/2006/relationships/hyperlink" Target="http://vk.com/wall-153326278_404946?reply=405128&amp;thread=404955" TargetMode="External"/><Relationship Id="rId2652" Type="http://schemas.openxmlformats.org/officeDocument/2006/relationships/hyperlink" Target="http://vk.com/id223323851" TargetMode="External"/><Relationship Id="rId2653" Type="http://schemas.openxmlformats.org/officeDocument/2006/relationships/hyperlink" Target="http://vk.com/club153326278" TargetMode="External"/><Relationship Id="rId2654" Type="http://schemas.openxmlformats.org/officeDocument/2006/relationships/hyperlink" Target="http://www.ok.ru/profile/586836984122/statuses/155478134039354" TargetMode="External"/><Relationship Id="rId2655" Type="http://schemas.openxmlformats.org/officeDocument/2006/relationships/hyperlink" Target="http://www.ok.ru/profile/586836984122" TargetMode="External"/><Relationship Id="rId2656" Type="http://schemas.openxmlformats.org/officeDocument/2006/relationships/hyperlink" Target="http://vk.com/wall512088771_380" TargetMode="External"/><Relationship Id="rId2657" Type="http://schemas.openxmlformats.org/officeDocument/2006/relationships/hyperlink" Target="http://vk.com/id512088771" TargetMode="External"/><Relationship Id="rId2658" Type="http://schemas.openxmlformats.org/officeDocument/2006/relationships/hyperlink" Target="http://vk.com/wall-150079080_236610?reply=241086&amp;thread=237353" TargetMode="External"/><Relationship Id="rId2659" Type="http://schemas.openxmlformats.org/officeDocument/2006/relationships/hyperlink" Target="http://vk.com/id793566988" TargetMode="External"/><Relationship Id="rId2660" Type="http://schemas.openxmlformats.org/officeDocument/2006/relationships/hyperlink" Target="http://vk.com/club150079080" TargetMode="External"/><Relationship Id="rId2661" Type="http://schemas.openxmlformats.org/officeDocument/2006/relationships/hyperlink" Target="http://vk.com/wall-36857673_1709524?reply=1765371&amp;thread=1709738" TargetMode="External"/><Relationship Id="rId2662" Type="http://schemas.openxmlformats.org/officeDocument/2006/relationships/hyperlink" Target="http://vk.com/id793566988" TargetMode="External"/><Relationship Id="rId2663" Type="http://schemas.openxmlformats.org/officeDocument/2006/relationships/hyperlink" Target="http://vk.com/club36857673" TargetMode="External"/><Relationship Id="rId2664" Type="http://schemas.openxmlformats.org/officeDocument/2006/relationships/hyperlink" Target="http://vk.com/wall-192883301_7286" TargetMode="External"/><Relationship Id="rId2665" Type="http://schemas.openxmlformats.org/officeDocument/2006/relationships/hyperlink" Target="http://vk.com/club192883301" TargetMode="External"/><Relationship Id="rId2666" Type="http://schemas.openxmlformats.org/officeDocument/2006/relationships/hyperlink" Target="http://vk.com/wall-203023242_19133?reply=19239&amp;thread=19143" TargetMode="External"/><Relationship Id="rId2667" Type="http://schemas.openxmlformats.org/officeDocument/2006/relationships/hyperlink" Target="http://vk.com/id795024010" TargetMode="External"/><Relationship Id="rId2668" Type="http://schemas.openxmlformats.org/officeDocument/2006/relationships/hyperlink" Target="http://vk.com/club203023242" TargetMode="External"/><Relationship Id="rId2669" Type="http://schemas.openxmlformats.org/officeDocument/2006/relationships/hyperlink" Target="http://vk.com/wall-203023242_19133?reply=19238&amp;thread=19145" TargetMode="External"/><Relationship Id="rId2670" Type="http://schemas.openxmlformats.org/officeDocument/2006/relationships/hyperlink" Target="http://vk.com/id344348244" TargetMode="External"/><Relationship Id="rId2671" Type="http://schemas.openxmlformats.org/officeDocument/2006/relationships/hyperlink" Target="http://vk.com/club203023242" TargetMode="External"/><Relationship Id="rId2672" Type="http://schemas.openxmlformats.org/officeDocument/2006/relationships/hyperlink" Target="http://vk.com/wall-87169444_12293271?reply=12293274" TargetMode="External"/><Relationship Id="rId2673" Type="http://schemas.openxmlformats.org/officeDocument/2006/relationships/hyperlink" Target="http://vk.com/id90704374" TargetMode="External"/><Relationship Id="rId2674" Type="http://schemas.openxmlformats.org/officeDocument/2006/relationships/hyperlink" Target="http://vk.com/club87169444" TargetMode="External"/><Relationship Id="rId2675" Type="http://schemas.openxmlformats.org/officeDocument/2006/relationships/hyperlink" Target="http://vk.com/wall-155403177_57057?reply=57209&amp;thread=57063" TargetMode="External"/><Relationship Id="rId2676" Type="http://schemas.openxmlformats.org/officeDocument/2006/relationships/hyperlink" Target="http://vk.com/club155403177" TargetMode="External"/><Relationship Id="rId2677" Type="http://schemas.openxmlformats.org/officeDocument/2006/relationships/hyperlink" Target="http://vk.com/wall-91708729_937329?reply=937835&amp;thread=937366" TargetMode="External"/><Relationship Id="rId2678" Type="http://schemas.openxmlformats.org/officeDocument/2006/relationships/hyperlink" Target="http://vk.com/id793566988" TargetMode="External"/><Relationship Id="rId2679" Type="http://schemas.openxmlformats.org/officeDocument/2006/relationships/hyperlink" Target="http://vk.com/club91708729" TargetMode="External"/><Relationship Id="rId2680" Type="http://schemas.openxmlformats.org/officeDocument/2006/relationships/hyperlink" Target="http://vk.com/wall-143027530_228896?reply=229318" TargetMode="External"/><Relationship Id="rId2681" Type="http://schemas.openxmlformats.org/officeDocument/2006/relationships/hyperlink" Target="http://vk.com/id795312301" TargetMode="External"/><Relationship Id="rId2682" Type="http://schemas.openxmlformats.org/officeDocument/2006/relationships/hyperlink" Target="http://vk.com/club143027530" TargetMode="External"/><Relationship Id="rId2683" Type="http://schemas.openxmlformats.org/officeDocument/2006/relationships/hyperlink" Target="http://vk.com/wall578780955_333" TargetMode="External"/><Relationship Id="rId2684" Type="http://schemas.openxmlformats.org/officeDocument/2006/relationships/hyperlink" Target="http://vk.com/id578780955" TargetMode="External"/><Relationship Id="rId2685" Type="http://schemas.openxmlformats.org/officeDocument/2006/relationships/hyperlink" Target="https://dzen.ru/a/ZDXTcUmnUgHIK4tP#comment_1610188562" TargetMode="External"/><Relationship Id="rId2686" Type="http://schemas.openxmlformats.org/officeDocument/2006/relationships/hyperlink" Target="https://dzen.ru/user/bujxvz2ug5agx9qc99yg8ryf1m" TargetMode="External"/><Relationship Id="rId2687" Type="http://schemas.openxmlformats.org/officeDocument/2006/relationships/hyperlink" Target="https://dzen.ru/id/5e81e335d4abfe57572f5e79" TargetMode="External"/><Relationship Id="rId2688" Type="http://schemas.openxmlformats.org/officeDocument/2006/relationships/hyperlink" Target="http://vk.com/wall-153326247_488859?reply=489267&amp;thread=488892" TargetMode="External"/><Relationship Id="rId2689" Type="http://schemas.openxmlformats.org/officeDocument/2006/relationships/hyperlink" Target="http://vk.com/id793566988" TargetMode="External"/><Relationship Id="rId2690" Type="http://schemas.openxmlformats.org/officeDocument/2006/relationships/hyperlink" Target="http://vk.com/club153326247" TargetMode="External"/><Relationship Id="rId2691" Type="http://schemas.openxmlformats.org/officeDocument/2006/relationships/hyperlink" Target="http://www.ok.ru/profile/556849102451/statuses/155884549290867" TargetMode="External"/><Relationship Id="rId2692" Type="http://schemas.openxmlformats.org/officeDocument/2006/relationships/hyperlink" Target="http://www.ok.ru/profile/556849102451" TargetMode="External"/><Relationship Id="rId2693" Type="http://schemas.openxmlformats.org/officeDocument/2006/relationships/hyperlink" Target="http://vk.com/wall-146175495_830050?reply=830061&amp;thread=830057" TargetMode="External"/><Relationship Id="rId2694" Type="http://schemas.openxmlformats.org/officeDocument/2006/relationships/hyperlink" Target="http://vk.com/id295416540" TargetMode="External"/><Relationship Id="rId2695" Type="http://schemas.openxmlformats.org/officeDocument/2006/relationships/hyperlink" Target="http://vk.com/club146175495" TargetMode="External"/><Relationship Id="rId2696" Type="http://schemas.openxmlformats.org/officeDocument/2006/relationships/hyperlink" Target="http://www.ok.ru/profile/440373986869/statuses/156215933883701" TargetMode="External"/><Relationship Id="rId2697" Type="http://schemas.openxmlformats.org/officeDocument/2006/relationships/hyperlink" Target="http://www.ok.ru/profile/440373986869" TargetMode="External"/><Relationship Id="rId2698" Type="http://schemas.openxmlformats.org/officeDocument/2006/relationships/hyperlink" Target="https://www.babyblog.ru/community/01medicina/post/3262171" TargetMode="External"/><Relationship Id="rId2699" Type="http://schemas.openxmlformats.org/officeDocument/2006/relationships/hyperlink" Target="https://telegram.me/kitchen_chef/7472" TargetMode="External"/><Relationship Id="rId2700" Type="http://schemas.openxmlformats.org/officeDocument/2006/relationships/hyperlink" Target="https://telegram.me/kitchen_chef" TargetMode="External"/><Relationship Id="rId2701" Type="http://schemas.openxmlformats.org/officeDocument/2006/relationships/hyperlink" Target="http://www.ok.ru/profile/560026181754/statuses/155171384894842" TargetMode="External"/><Relationship Id="rId2702" Type="http://schemas.openxmlformats.org/officeDocument/2006/relationships/hyperlink" Target="http://www.ok.ru/profile/560026181754" TargetMode="External"/><Relationship Id="rId2703" Type="http://schemas.openxmlformats.org/officeDocument/2006/relationships/hyperlink" Target="http://vk.com/wall162125814_4355" TargetMode="External"/><Relationship Id="rId2704" Type="http://schemas.openxmlformats.org/officeDocument/2006/relationships/hyperlink" Target="http://vk.com/id162125814" TargetMode="External"/><Relationship Id="rId2705" Type="http://schemas.openxmlformats.org/officeDocument/2006/relationships/hyperlink" Target="http://vk.com/wall220494022_734" TargetMode="External"/><Relationship Id="rId2706" Type="http://schemas.openxmlformats.org/officeDocument/2006/relationships/hyperlink" Target="http://vk.com/id220494022" TargetMode="External"/><Relationship Id="rId2707" Type="http://schemas.openxmlformats.org/officeDocument/2006/relationships/hyperlink" Target="http://vk.com/wall619892984_285" TargetMode="External"/><Relationship Id="rId2708" Type="http://schemas.openxmlformats.org/officeDocument/2006/relationships/hyperlink" Target="http://vk.com/id619892984" TargetMode="External"/><Relationship Id="rId2709" Type="http://schemas.openxmlformats.org/officeDocument/2006/relationships/hyperlink" Target="http://vk.com/wall-78602289_5653406?reply=5653455" TargetMode="External"/><Relationship Id="rId2710" Type="http://schemas.openxmlformats.org/officeDocument/2006/relationships/hyperlink" Target="http://vk.com/id795312301" TargetMode="External"/><Relationship Id="rId2711" Type="http://schemas.openxmlformats.org/officeDocument/2006/relationships/hyperlink" Target="http://vk.com/club78602289" TargetMode="External"/><Relationship Id="rId2712" Type="http://schemas.openxmlformats.org/officeDocument/2006/relationships/hyperlink" Target="http://www.ok.ru/profile/566971554130/statuses/155912968285010" TargetMode="External"/><Relationship Id="rId2713" Type="http://schemas.openxmlformats.org/officeDocument/2006/relationships/hyperlink" Target="http://www.ok.ru/profile/566971554130" TargetMode="External"/><Relationship Id="rId2714" Type="http://schemas.openxmlformats.org/officeDocument/2006/relationships/hyperlink" Target="http://vk.com/wall-76846938_2689397?reply=2689757&amp;thread=2689399" TargetMode="External"/><Relationship Id="rId2715" Type="http://schemas.openxmlformats.org/officeDocument/2006/relationships/hyperlink" Target="http://vk.com/id143720076" TargetMode="External"/><Relationship Id="rId2716" Type="http://schemas.openxmlformats.org/officeDocument/2006/relationships/hyperlink" Target="http://vk.com/club76846938" TargetMode="External"/><Relationship Id="rId2717" Type="http://schemas.openxmlformats.org/officeDocument/2006/relationships/hyperlink" Target="http://vk.com/wall303772859_688" TargetMode="External"/><Relationship Id="rId2718" Type="http://schemas.openxmlformats.org/officeDocument/2006/relationships/hyperlink" Target="http://vk.com/id303772859" TargetMode="External"/><Relationship Id="rId2719" Type="http://schemas.openxmlformats.org/officeDocument/2006/relationships/hyperlink" Target="http://vk.com/wall-76846938_2689397?reply=2689755&amp;thread=2689399" TargetMode="External"/><Relationship Id="rId2720" Type="http://schemas.openxmlformats.org/officeDocument/2006/relationships/hyperlink" Target="http://vk.com/id143720076" TargetMode="External"/><Relationship Id="rId2721" Type="http://schemas.openxmlformats.org/officeDocument/2006/relationships/hyperlink" Target="http://vk.com/club76846938" TargetMode="External"/><Relationship Id="rId2722" Type="http://schemas.openxmlformats.org/officeDocument/2006/relationships/hyperlink" Target="http://www.ok.ru/profile/561363209640/statuses/156116751528104" TargetMode="External"/><Relationship Id="rId2723" Type="http://schemas.openxmlformats.org/officeDocument/2006/relationships/hyperlink" Target="http://www.ok.ru/profile/561363209640" TargetMode="External"/><Relationship Id="rId2724" Type="http://schemas.openxmlformats.org/officeDocument/2006/relationships/hyperlink" Target="http://vk.com/wall-76846938_2689397?reply=2689753&amp;thread=2689403" TargetMode="External"/><Relationship Id="rId2725" Type="http://schemas.openxmlformats.org/officeDocument/2006/relationships/hyperlink" Target="http://vk.com/id58618726" TargetMode="External"/><Relationship Id="rId2726" Type="http://schemas.openxmlformats.org/officeDocument/2006/relationships/hyperlink" Target="http://vk.com/club76846938" TargetMode="External"/><Relationship Id="rId2727" Type="http://schemas.openxmlformats.org/officeDocument/2006/relationships/hyperlink" Target="http://vk.com/wall-146175495_830050" TargetMode="External"/><Relationship Id="rId2728" Type="http://schemas.openxmlformats.org/officeDocument/2006/relationships/hyperlink" Target="http://vk.com/club146175495" TargetMode="External"/><Relationship Id="rId2729" Type="http://schemas.openxmlformats.org/officeDocument/2006/relationships/hyperlink" Target="http://www.ok.ru/profile/559822525608/statuses/156116738420904" TargetMode="External"/><Relationship Id="rId2730" Type="http://schemas.openxmlformats.org/officeDocument/2006/relationships/hyperlink" Target="http://www.ok.ru/profile/559822525608" TargetMode="External"/><Relationship Id="rId2731" Type="http://schemas.openxmlformats.org/officeDocument/2006/relationships/hyperlink" Target="https://otzovik.com/review_14604464.html" TargetMode="External"/><Relationship Id="rId2732" Type="http://schemas.openxmlformats.org/officeDocument/2006/relationships/hyperlink" Target="https://otzovik.com/profile/Valleronna" TargetMode="External"/><Relationship Id="rId2733" Type="http://schemas.openxmlformats.org/officeDocument/2006/relationships/hyperlink" Target="https://otzovik.com/" TargetMode="External"/><Relationship Id="rId2734" Type="http://schemas.openxmlformats.org/officeDocument/2006/relationships/hyperlink" Target="http://vk.com/wall-47120073_3253174?reply=3253447" TargetMode="External"/><Relationship Id="rId2735" Type="http://schemas.openxmlformats.org/officeDocument/2006/relationships/hyperlink" Target="http://vk.com/id253465205" TargetMode="External"/><Relationship Id="rId2736" Type="http://schemas.openxmlformats.org/officeDocument/2006/relationships/hyperlink" Target="http://vk.com/club47120073" TargetMode="External"/><Relationship Id="rId2737" Type="http://schemas.openxmlformats.org/officeDocument/2006/relationships/hyperlink" Target="http://vk.com/wall444877282_819" TargetMode="External"/><Relationship Id="rId2738" Type="http://schemas.openxmlformats.org/officeDocument/2006/relationships/hyperlink" Target="http://vk.com/id444877282" TargetMode="External"/><Relationship Id="rId2739" Type="http://schemas.openxmlformats.org/officeDocument/2006/relationships/hyperlink" Target="http://vk.com/wall714473222_223" TargetMode="External"/><Relationship Id="rId2740" Type="http://schemas.openxmlformats.org/officeDocument/2006/relationships/hyperlink" Target="http://vk.com/id714473222" TargetMode="External"/><Relationship Id="rId2741" Type="http://schemas.openxmlformats.org/officeDocument/2006/relationships/hyperlink" Target="http://vk.com/wall592957230_248" TargetMode="External"/><Relationship Id="rId2742" Type="http://schemas.openxmlformats.org/officeDocument/2006/relationships/hyperlink" Target="http://vk.com/id592957230" TargetMode="External"/><Relationship Id="rId2743" Type="http://schemas.openxmlformats.org/officeDocument/2006/relationships/hyperlink" Target="http://www.ok.ru/profile/446804201659/statuses/155157028922299" TargetMode="External"/><Relationship Id="rId2744" Type="http://schemas.openxmlformats.org/officeDocument/2006/relationships/hyperlink" Target="http://www.ok.ru/profile/446804201659" TargetMode="External"/><Relationship Id="rId2745" Type="http://schemas.openxmlformats.org/officeDocument/2006/relationships/hyperlink" Target="http://irecommend.ru/content/virus-ne-proidet-tsitovir-ne-podvedet" TargetMode="External"/><Relationship Id="rId2746" Type="http://schemas.openxmlformats.org/officeDocument/2006/relationships/hyperlink" Target="http://www.ok.ru/profile/561780937468/statuses/154939660370172" TargetMode="External"/><Relationship Id="rId2747" Type="http://schemas.openxmlformats.org/officeDocument/2006/relationships/hyperlink" Target="http://www.ok.ru/profile/561780937468" TargetMode="External"/><Relationship Id="rId2748" Type="http://schemas.openxmlformats.org/officeDocument/2006/relationships/hyperlink" Target="http://vk.com/wall-47120073_3252674?reply=3253443" TargetMode="External"/><Relationship Id="rId2749" Type="http://schemas.openxmlformats.org/officeDocument/2006/relationships/hyperlink" Target="http://vk.com/id795312301" TargetMode="External"/><Relationship Id="rId2750" Type="http://schemas.openxmlformats.org/officeDocument/2006/relationships/hyperlink" Target="http://vk.com/club47120073" TargetMode="External"/><Relationship Id="rId2751" Type="http://schemas.openxmlformats.org/officeDocument/2006/relationships/hyperlink" Target="http://www.ok.ru/profile/563416390467/statuses/154890200130371" TargetMode="External"/><Relationship Id="rId2752" Type="http://schemas.openxmlformats.org/officeDocument/2006/relationships/hyperlink" Target="http://www.ok.ru/profile/563416390467" TargetMode="External"/><Relationship Id="rId2753" Type="http://schemas.openxmlformats.org/officeDocument/2006/relationships/hyperlink" Target="http://vk.com/wall748639065_43" TargetMode="External"/><Relationship Id="rId2754" Type="http://schemas.openxmlformats.org/officeDocument/2006/relationships/hyperlink" Target="http://vk.com/id748639065" TargetMode="External"/><Relationship Id="rId2755" Type="http://schemas.openxmlformats.org/officeDocument/2006/relationships/hyperlink" Target="http://www.ok.ru/profile/556178349231/statuses/156334448368559" TargetMode="External"/><Relationship Id="rId2756" Type="http://schemas.openxmlformats.org/officeDocument/2006/relationships/hyperlink" Target="http://www.ok.ru/profile/556178349231" TargetMode="External"/><Relationship Id="rId2757" Type="http://schemas.openxmlformats.org/officeDocument/2006/relationships/hyperlink" Target="http://www.ok.ru/profile/526176730491/statuses/155013401575547" TargetMode="External"/><Relationship Id="rId2758" Type="http://schemas.openxmlformats.org/officeDocument/2006/relationships/hyperlink" Target="http://www.ok.ru/profile/526176730491" TargetMode="External"/><Relationship Id="rId2759" Type="http://schemas.openxmlformats.org/officeDocument/2006/relationships/hyperlink" Target="http://www.facebook.com/100001119678747/posts/6179764995404095" TargetMode="External"/><Relationship Id="rId2760" Type="http://schemas.openxmlformats.org/officeDocument/2006/relationships/hyperlink" Target="http://www.facebook.com/100001119678747" TargetMode="External"/><Relationship Id="rId2761" Type="http://schemas.openxmlformats.org/officeDocument/2006/relationships/hyperlink" Target="http://vk.com/wall-70396129_85733?reply=85756" TargetMode="External"/><Relationship Id="rId2762" Type="http://schemas.openxmlformats.org/officeDocument/2006/relationships/hyperlink" Target="http://vk.com/id87861473" TargetMode="External"/><Relationship Id="rId2763" Type="http://schemas.openxmlformats.org/officeDocument/2006/relationships/hyperlink" Target="http://vk.com/club70396129" TargetMode="External"/><Relationship Id="rId2764" Type="http://schemas.openxmlformats.org/officeDocument/2006/relationships/hyperlink" Target="http://instagram.com/p/Cq-uVH1N8R8" TargetMode="External"/><Relationship Id="rId2765" Type="http://schemas.openxmlformats.org/officeDocument/2006/relationships/hyperlink" Target="http://instagram.com/55.news.55" TargetMode="External"/><Relationship Id="rId2766" Type="http://schemas.openxmlformats.org/officeDocument/2006/relationships/hyperlink" Target="http://www.ok.ru/profile/573645137555/statuses/156022772701331" TargetMode="External"/><Relationship Id="rId2767" Type="http://schemas.openxmlformats.org/officeDocument/2006/relationships/hyperlink" Target="http://www.ok.ru/profile/573645137555" TargetMode="External"/><Relationship Id="rId2768" Type="http://schemas.openxmlformats.org/officeDocument/2006/relationships/hyperlink" Target="http://vk.com/wall751015243_40" TargetMode="External"/><Relationship Id="rId2769" Type="http://schemas.openxmlformats.org/officeDocument/2006/relationships/hyperlink" Target="http://vk.com/id751015243" TargetMode="External"/><Relationship Id="rId2770" Type="http://schemas.openxmlformats.org/officeDocument/2006/relationships/hyperlink" Target="http://www.ok.ru/profile/572711739423/statuses/155064576873247" TargetMode="External"/><Relationship Id="rId2771" Type="http://schemas.openxmlformats.org/officeDocument/2006/relationships/hyperlink" Target="http://www.ok.ru/profile/572711739423" TargetMode="External"/><Relationship Id="rId2772" Type="http://schemas.openxmlformats.org/officeDocument/2006/relationships/hyperlink" Target="http://www.ok.ru/profile/487057420122/statuses/155567274942554" TargetMode="External"/><Relationship Id="rId2773" Type="http://schemas.openxmlformats.org/officeDocument/2006/relationships/hyperlink" Target="http://www.ok.ru/profile/487057420122" TargetMode="External"/><Relationship Id="rId2774" Type="http://schemas.openxmlformats.org/officeDocument/2006/relationships/hyperlink" Target="http://www.ok.ru/profile/542128340628/statuses/156146986994580" TargetMode="External"/><Relationship Id="rId2775" Type="http://schemas.openxmlformats.org/officeDocument/2006/relationships/hyperlink" Target="http://www.ok.ru/profile/542128340628" TargetMode="External"/><Relationship Id="rId2776" Type="http://schemas.openxmlformats.org/officeDocument/2006/relationships/hyperlink" Target="http://vk.com/wall-110697191_622099?reply=622666&amp;thread=622103" TargetMode="External"/><Relationship Id="rId2777" Type="http://schemas.openxmlformats.org/officeDocument/2006/relationships/hyperlink" Target="http://vk.com/id43619696" TargetMode="External"/><Relationship Id="rId2778" Type="http://schemas.openxmlformats.org/officeDocument/2006/relationships/hyperlink" Target="http://vk.com/club110697191" TargetMode="External"/><Relationship Id="rId2779" Type="http://schemas.openxmlformats.org/officeDocument/2006/relationships/hyperlink" Target="http://www.ok.ru/group/55921101635792/topic/156198285175760" TargetMode="External"/><Relationship Id="rId2780" Type="http://schemas.openxmlformats.org/officeDocument/2006/relationships/hyperlink" Target="http://www.ok.ru/group/55921101635792" TargetMode="External"/><Relationship Id="rId2781" Type="http://schemas.openxmlformats.org/officeDocument/2006/relationships/hyperlink" Target="http://www.ok.ru/profile/223365176763/statuses/155156996023227" TargetMode="External"/><Relationship Id="rId2782" Type="http://schemas.openxmlformats.org/officeDocument/2006/relationships/hyperlink" Target="http://www.ok.ru/profile/223365176763" TargetMode="External"/><Relationship Id="rId2783" Type="http://schemas.openxmlformats.org/officeDocument/2006/relationships/hyperlink" Target="http://vk.com/wall-172591640_69807?reply=69869" TargetMode="External"/><Relationship Id="rId2784" Type="http://schemas.openxmlformats.org/officeDocument/2006/relationships/hyperlink" Target="http://vk.com/id795312301" TargetMode="External"/><Relationship Id="rId2785" Type="http://schemas.openxmlformats.org/officeDocument/2006/relationships/hyperlink" Target="http://vk.com/club172591640" TargetMode="External"/><Relationship Id="rId2786" Type="http://schemas.openxmlformats.org/officeDocument/2006/relationships/hyperlink" Target="http://www.ok.ru/profile/564560866489/statuses/155682426680761" TargetMode="External"/><Relationship Id="rId2787" Type="http://schemas.openxmlformats.org/officeDocument/2006/relationships/hyperlink" Target="http://www.ok.ru/profile/564560866489" TargetMode="External"/><Relationship Id="rId2788" Type="http://schemas.openxmlformats.org/officeDocument/2006/relationships/hyperlink" Target="http://www.ok.ru/profile/563274866812/statuses/155154211750780" TargetMode="External"/><Relationship Id="rId2789" Type="http://schemas.openxmlformats.org/officeDocument/2006/relationships/hyperlink" Target="http://www.ok.ru/profile/563274866812" TargetMode="External"/><Relationship Id="rId2790" Type="http://schemas.openxmlformats.org/officeDocument/2006/relationships/hyperlink" Target="http://vk.com/wall-117339481_1474346?reply=1474476" TargetMode="External"/><Relationship Id="rId2791" Type="http://schemas.openxmlformats.org/officeDocument/2006/relationships/hyperlink" Target="http://vk.com/id136527754" TargetMode="External"/><Relationship Id="rId2792" Type="http://schemas.openxmlformats.org/officeDocument/2006/relationships/hyperlink" Target="http://vk.com/club117339481" TargetMode="External"/><Relationship Id="rId2793" Type="http://schemas.openxmlformats.org/officeDocument/2006/relationships/hyperlink" Target="http://vk.com/wall-203023242_19203?reply=19235" TargetMode="External"/><Relationship Id="rId2794" Type="http://schemas.openxmlformats.org/officeDocument/2006/relationships/hyperlink" Target="http://vk.com/id795312301" TargetMode="External"/><Relationship Id="rId2795" Type="http://schemas.openxmlformats.org/officeDocument/2006/relationships/hyperlink" Target="http://vk.com/club203023242" TargetMode="External"/><Relationship Id="rId2796" Type="http://schemas.openxmlformats.org/officeDocument/2006/relationships/hyperlink" Target="http://vk.com/wall-153326247_489241?reply=489255&amp;thread=489252" TargetMode="External"/><Relationship Id="rId2797" Type="http://schemas.openxmlformats.org/officeDocument/2006/relationships/hyperlink" Target="http://vk.com/id8546862" TargetMode="External"/><Relationship Id="rId2798" Type="http://schemas.openxmlformats.org/officeDocument/2006/relationships/hyperlink" Target="http://vk.com/club153326247" TargetMode="External"/><Relationship Id="rId2799" Type="http://schemas.openxmlformats.org/officeDocument/2006/relationships/hyperlink" Target="http://www.ok.ru/profile/465060141936/statuses/156100729584496" TargetMode="External"/><Relationship Id="rId2800" Type="http://schemas.openxmlformats.org/officeDocument/2006/relationships/hyperlink" Target="http://www.ok.ru/profile/465060141936" TargetMode="External"/><Relationship Id="rId2801" Type="http://schemas.openxmlformats.org/officeDocument/2006/relationships/hyperlink" Target="http://www.ok.ru/profile/529727971754/statuses/155986703834538" TargetMode="External"/><Relationship Id="rId2802" Type="http://schemas.openxmlformats.org/officeDocument/2006/relationships/hyperlink" Target="http://www.ok.ru/profile/529727971754" TargetMode="External"/><Relationship Id="rId2803" Type="http://schemas.openxmlformats.org/officeDocument/2006/relationships/hyperlink" Target="https://telegram.me/doctorbloger_life/1369?comment=42409" TargetMode="External"/><Relationship Id="rId2804" Type="http://schemas.openxmlformats.org/officeDocument/2006/relationships/hyperlink" Target="https://telegram.me/july_rusa" TargetMode="External"/><Relationship Id="rId2805" Type="http://schemas.openxmlformats.org/officeDocument/2006/relationships/hyperlink" Target="https://telegram.me/doctorbloger_life" TargetMode="External"/><Relationship Id="rId2806" Type="http://schemas.openxmlformats.org/officeDocument/2006/relationships/hyperlink" Target="http://vk.com/wall-87598739_813314?reply=816894&amp;thread=813355" TargetMode="External"/><Relationship Id="rId2807" Type="http://schemas.openxmlformats.org/officeDocument/2006/relationships/hyperlink" Target="http://vk.com/id191746976" TargetMode="External"/><Relationship Id="rId2808" Type="http://schemas.openxmlformats.org/officeDocument/2006/relationships/hyperlink" Target="http://vk.com/club87598739" TargetMode="External"/><Relationship Id="rId2809" Type="http://schemas.openxmlformats.org/officeDocument/2006/relationships/hyperlink" Target="http://vk.com/wall-203023242_19133?reply=19234&amp;thread=19145" TargetMode="External"/><Relationship Id="rId2810" Type="http://schemas.openxmlformats.org/officeDocument/2006/relationships/hyperlink" Target="http://vk.com/id612148529" TargetMode="External"/><Relationship Id="rId2811" Type="http://schemas.openxmlformats.org/officeDocument/2006/relationships/hyperlink" Target="http://vk.com/club203023242" TargetMode="External"/><Relationship Id="rId2812" Type="http://schemas.openxmlformats.org/officeDocument/2006/relationships/hyperlink" Target="http://www.ok.ru/profile/571139847801/statuses/155506522243961" TargetMode="External"/><Relationship Id="rId2813" Type="http://schemas.openxmlformats.org/officeDocument/2006/relationships/hyperlink" Target="http://www.ok.ru/profile/571139847801" TargetMode="External"/><Relationship Id="rId2814" Type="http://schemas.openxmlformats.org/officeDocument/2006/relationships/hyperlink" Target="http://www.ok.ru/profile/571934611137/statuses/155213076620225" TargetMode="External"/><Relationship Id="rId2815" Type="http://schemas.openxmlformats.org/officeDocument/2006/relationships/hyperlink" Target="http://www.ok.ru/profile/571934611137" TargetMode="External"/><Relationship Id="rId2816" Type="http://schemas.openxmlformats.org/officeDocument/2006/relationships/hyperlink" Target="http://vk.com/wall-111555133_2688910?reply=2688912" TargetMode="External"/><Relationship Id="rId2817" Type="http://schemas.openxmlformats.org/officeDocument/2006/relationships/hyperlink" Target="http://vk.com/id151585684" TargetMode="External"/><Relationship Id="rId2818" Type="http://schemas.openxmlformats.org/officeDocument/2006/relationships/hyperlink" Target="http://vk.com/club111555133" TargetMode="External"/><Relationship Id="rId2819" Type="http://schemas.openxmlformats.org/officeDocument/2006/relationships/hyperlink" Target="http://vk.com/wall-203023242_19133?reply=19233&amp;thread=19143" TargetMode="External"/><Relationship Id="rId2820" Type="http://schemas.openxmlformats.org/officeDocument/2006/relationships/hyperlink" Target="http://vk.com/id390931197" TargetMode="External"/><Relationship Id="rId2821" Type="http://schemas.openxmlformats.org/officeDocument/2006/relationships/hyperlink" Target="http://vk.com/club203023242" TargetMode="External"/><Relationship Id="rId2822" Type="http://schemas.openxmlformats.org/officeDocument/2006/relationships/hyperlink" Target="http://vk.com/wall187453131_12374" TargetMode="External"/><Relationship Id="rId2823" Type="http://schemas.openxmlformats.org/officeDocument/2006/relationships/hyperlink" Target="http://vk.com/id187453131" TargetMode="External"/><Relationship Id="rId2824" Type="http://schemas.openxmlformats.org/officeDocument/2006/relationships/hyperlink" Target="http://vk.com/wall-158867732_89565?reply=89764" TargetMode="External"/><Relationship Id="rId2825" Type="http://schemas.openxmlformats.org/officeDocument/2006/relationships/hyperlink" Target="http://vk.com/id612148529" TargetMode="External"/><Relationship Id="rId2826" Type="http://schemas.openxmlformats.org/officeDocument/2006/relationships/hyperlink" Target="http://vk.com/club158867732" TargetMode="External"/><Relationship Id="rId2827" Type="http://schemas.openxmlformats.org/officeDocument/2006/relationships/hyperlink" Target="http://vk.com/wall-175014530_460805?reply=461853&amp;thread=460925" TargetMode="External"/><Relationship Id="rId2828" Type="http://schemas.openxmlformats.org/officeDocument/2006/relationships/hyperlink" Target="http://vk.com/id774448813" TargetMode="External"/><Relationship Id="rId2829" Type="http://schemas.openxmlformats.org/officeDocument/2006/relationships/hyperlink" Target="http://vk.com/club175014530" TargetMode="External"/><Relationship Id="rId2830" Type="http://schemas.openxmlformats.org/officeDocument/2006/relationships/hyperlink" Target="http://vk.com/wall-197339283_111710?reply=111774" TargetMode="External"/><Relationship Id="rId2831" Type="http://schemas.openxmlformats.org/officeDocument/2006/relationships/hyperlink" Target="http://vk.com/id72535541" TargetMode="External"/><Relationship Id="rId2832" Type="http://schemas.openxmlformats.org/officeDocument/2006/relationships/hyperlink" Target="http://vk.com/club197339283" TargetMode="External"/><Relationship Id="rId2833" Type="http://schemas.openxmlformats.org/officeDocument/2006/relationships/hyperlink" Target="http://vk.com/wall-135482876_645111?reply=645714&amp;thread=645168" TargetMode="External"/><Relationship Id="rId2834" Type="http://schemas.openxmlformats.org/officeDocument/2006/relationships/hyperlink" Target="http://vk.com/id612148529" TargetMode="External"/><Relationship Id="rId2835" Type="http://schemas.openxmlformats.org/officeDocument/2006/relationships/hyperlink" Target="http://vk.com/club135482876" TargetMode="External"/><Relationship Id="rId2836" Type="http://schemas.openxmlformats.org/officeDocument/2006/relationships/hyperlink" Target="http://vk.com/wall774794574_294" TargetMode="External"/><Relationship Id="rId2837" Type="http://schemas.openxmlformats.org/officeDocument/2006/relationships/hyperlink" Target="http://vk.com/id774794574" TargetMode="External"/><Relationship Id="rId2838" Type="http://schemas.openxmlformats.org/officeDocument/2006/relationships/hyperlink" Target="http://www.ok.ru/profile/568679431047/statuses/155508430112903" TargetMode="External"/><Relationship Id="rId2839" Type="http://schemas.openxmlformats.org/officeDocument/2006/relationships/hyperlink" Target="http://www.ok.ru/profile/568679431047" TargetMode="External"/><Relationship Id="rId2840" Type="http://schemas.openxmlformats.org/officeDocument/2006/relationships/hyperlink" Target="http://www.ok.ru/profile/541043399246/statuses/155884238622798" TargetMode="External"/><Relationship Id="rId2841" Type="http://schemas.openxmlformats.org/officeDocument/2006/relationships/hyperlink" Target="http://www.ok.ru/profile/541043399246" TargetMode="External"/><Relationship Id="rId2842" Type="http://schemas.openxmlformats.org/officeDocument/2006/relationships/hyperlink" Target="http://vk.com/wall-143027530_228896?reply=229306&amp;thread=229224" TargetMode="External"/><Relationship Id="rId2843" Type="http://schemas.openxmlformats.org/officeDocument/2006/relationships/hyperlink" Target="http://vk.com/id391277875" TargetMode="External"/><Relationship Id="rId2844" Type="http://schemas.openxmlformats.org/officeDocument/2006/relationships/hyperlink" Target="http://vk.com/club143027530" TargetMode="External"/><Relationship Id="rId2845" Type="http://schemas.openxmlformats.org/officeDocument/2006/relationships/hyperlink" Target="http://vk.com/wall-193163431_499" TargetMode="External"/><Relationship Id="rId2846" Type="http://schemas.openxmlformats.org/officeDocument/2006/relationships/hyperlink" Target="http://vk.com/club193163431" TargetMode="External"/><Relationship Id="rId2847" Type="http://schemas.openxmlformats.org/officeDocument/2006/relationships/hyperlink" Target="http://vk.com/wall342079914_331" TargetMode="External"/><Relationship Id="rId2848" Type="http://schemas.openxmlformats.org/officeDocument/2006/relationships/hyperlink" Target="http://vk.com/id342079914" TargetMode="External"/><Relationship Id="rId2849" Type="http://schemas.openxmlformats.org/officeDocument/2006/relationships/hyperlink" Target="http://vk.com/wall756884510_53" TargetMode="External"/><Relationship Id="rId2850" Type="http://schemas.openxmlformats.org/officeDocument/2006/relationships/hyperlink" Target="http://vk.com/id756884510" TargetMode="External"/><Relationship Id="rId2851" Type="http://schemas.openxmlformats.org/officeDocument/2006/relationships/hyperlink" Target="http://www.ok.ru/profile/515580049551/statuses/156127184872847" TargetMode="External"/><Relationship Id="rId2852" Type="http://schemas.openxmlformats.org/officeDocument/2006/relationships/hyperlink" Target="http://www.ok.ru/profile/515580049551" TargetMode="External"/><Relationship Id="rId2853" Type="http://schemas.openxmlformats.org/officeDocument/2006/relationships/hyperlink" Target="http://vk.com/wall574072831_6905" TargetMode="External"/><Relationship Id="rId2854" Type="http://schemas.openxmlformats.org/officeDocument/2006/relationships/hyperlink" Target="http://vk.com/id574072831" TargetMode="External"/><Relationship Id="rId2855" Type="http://schemas.openxmlformats.org/officeDocument/2006/relationships/hyperlink" Target="http://vk.com/wall1077974_15060" TargetMode="External"/><Relationship Id="rId2856" Type="http://schemas.openxmlformats.org/officeDocument/2006/relationships/hyperlink" Target="http://vk.com/id1077974" TargetMode="External"/><Relationship Id="rId2857" Type="http://schemas.openxmlformats.org/officeDocument/2006/relationships/hyperlink" Target="https://omsk.bezformata.com/listnews/omskih-aptekah-podorozhali-zhiznenno/116212181/" TargetMode="External"/><Relationship Id="rId2858" Type="http://schemas.openxmlformats.org/officeDocument/2006/relationships/hyperlink" Target="http://vk.com/wall-143027530_228896?reply=229305" TargetMode="External"/><Relationship Id="rId2859" Type="http://schemas.openxmlformats.org/officeDocument/2006/relationships/hyperlink" Target="http://vk.com/id612148529" TargetMode="External"/><Relationship Id="rId2860" Type="http://schemas.openxmlformats.org/officeDocument/2006/relationships/hyperlink" Target="http://vk.com/club143027530" TargetMode="External"/><Relationship Id="rId2861" Type="http://schemas.openxmlformats.org/officeDocument/2006/relationships/hyperlink" Target="http://www.ok.ru/profile/535493990030/statuses/156072048085902" TargetMode="External"/><Relationship Id="rId2862" Type="http://schemas.openxmlformats.org/officeDocument/2006/relationships/hyperlink" Target="http://www.ok.ru/profile/535493990030" TargetMode="External"/><Relationship Id="rId2863" Type="http://schemas.openxmlformats.org/officeDocument/2006/relationships/hyperlink" Target="http://vk.com/wall-110697272_513644?reply=513666" TargetMode="External"/><Relationship Id="rId2864" Type="http://schemas.openxmlformats.org/officeDocument/2006/relationships/hyperlink" Target="http://vk.com/id795312301" TargetMode="External"/><Relationship Id="rId2865" Type="http://schemas.openxmlformats.org/officeDocument/2006/relationships/hyperlink" Target="http://vk.com/club110697272" TargetMode="External"/><Relationship Id="rId2866" Type="http://schemas.openxmlformats.org/officeDocument/2006/relationships/hyperlink" Target="http://vk.com/wall-110697191_622099?reply=622661&amp;thread=622103" TargetMode="External"/><Relationship Id="rId2867" Type="http://schemas.openxmlformats.org/officeDocument/2006/relationships/hyperlink" Target="http://vk.com/id390532848" TargetMode="External"/><Relationship Id="rId2868" Type="http://schemas.openxmlformats.org/officeDocument/2006/relationships/hyperlink" Target="http://vk.com/club110697191" TargetMode="External"/><Relationship Id="rId2869" Type="http://schemas.openxmlformats.org/officeDocument/2006/relationships/hyperlink" Target="http://www.ok.ru/profile/478312207928/statuses/155816120358200" TargetMode="External"/><Relationship Id="rId2870" Type="http://schemas.openxmlformats.org/officeDocument/2006/relationships/hyperlink" Target="http://www.ok.ru/profile/478312207928" TargetMode="External"/><Relationship Id="rId2871" Type="http://schemas.openxmlformats.org/officeDocument/2006/relationships/hyperlink" Target="http://vk.com/wall-219360701_558" TargetMode="External"/><Relationship Id="rId2872" Type="http://schemas.openxmlformats.org/officeDocument/2006/relationships/hyperlink" Target="http://vk.com/club219360701" TargetMode="External"/><Relationship Id="rId2873" Type="http://schemas.openxmlformats.org/officeDocument/2006/relationships/hyperlink" Target="http://www.ok.ru/profile/574009000592/statuses/155897316546704" TargetMode="External"/><Relationship Id="rId2874" Type="http://schemas.openxmlformats.org/officeDocument/2006/relationships/hyperlink" Target="http://www.ok.ru/profile/574009000592" TargetMode="External"/><Relationship Id="rId2875" Type="http://schemas.openxmlformats.org/officeDocument/2006/relationships/hyperlink" Target="http://www.ok.ru/profile/570947168621/statuses/155866664057709" TargetMode="External"/><Relationship Id="rId2876" Type="http://schemas.openxmlformats.org/officeDocument/2006/relationships/hyperlink" Target="http://www.ok.ru/profile/570947168621" TargetMode="External"/><Relationship Id="rId2877" Type="http://schemas.openxmlformats.org/officeDocument/2006/relationships/hyperlink" Target="http://vk.com/wall-87598739_813314?reply=816885&amp;thread=813320" TargetMode="External"/><Relationship Id="rId2878" Type="http://schemas.openxmlformats.org/officeDocument/2006/relationships/hyperlink" Target="http://vk.com/id794370688" TargetMode="External"/><Relationship Id="rId2879" Type="http://schemas.openxmlformats.org/officeDocument/2006/relationships/hyperlink" Target="http://vk.com/club87598739" TargetMode="External"/><Relationship Id="rId2880" Type="http://schemas.openxmlformats.org/officeDocument/2006/relationships/hyperlink" Target="http://vk.com/wall168250689_349531" TargetMode="External"/><Relationship Id="rId2881" Type="http://schemas.openxmlformats.org/officeDocument/2006/relationships/hyperlink" Target="http://vk.com/id168250689" TargetMode="External"/><Relationship Id="rId2882" Type="http://schemas.openxmlformats.org/officeDocument/2006/relationships/hyperlink" Target="http://vk.com/wall-178617605_453608" TargetMode="External"/><Relationship Id="rId2883" Type="http://schemas.openxmlformats.org/officeDocument/2006/relationships/hyperlink" Target="http://vk.com/club178617605" TargetMode="External"/><Relationship Id="rId2884" Type="http://schemas.openxmlformats.org/officeDocument/2006/relationships/hyperlink" Target="http://www.ok.ru/profile/591511337490/statuses/156148856002578" TargetMode="External"/><Relationship Id="rId2885" Type="http://schemas.openxmlformats.org/officeDocument/2006/relationships/hyperlink" Target="http://www.ok.ru/profile/591511337490" TargetMode="External"/><Relationship Id="rId2886" Type="http://schemas.openxmlformats.org/officeDocument/2006/relationships/hyperlink" Target="http://vk.com/wall-88354188_348339?reply=369103&amp;thread=348529" TargetMode="External"/><Relationship Id="rId2887" Type="http://schemas.openxmlformats.org/officeDocument/2006/relationships/hyperlink" Target="http://vk.com/id612148529" TargetMode="External"/><Relationship Id="rId2888" Type="http://schemas.openxmlformats.org/officeDocument/2006/relationships/hyperlink" Target="http://vk.com/club88354188" TargetMode="External"/><Relationship Id="rId2889" Type="http://schemas.openxmlformats.org/officeDocument/2006/relationships/hyperlink" Target="http://vk.com/wall-164460003_1865336?reply=1866087" TargetMode="External"/><Relationship Id="rId2890" Type="http://schemas.openxmlformats.org/officeDocument/2006/relationships/hyperlink" Target="http://vk.com/id612148529" TargetMode="External"/><Relationship Id="rId2891" Type="http://schemas.openxmlformats.org/officeDocument/2006/relationships/hyperlink" Target="http://vk.com/club164460003" TargetMode="External"/><Relationship Id="rId2892" Type="http://schemas.openxmlformats.org/officeDocument/2006/relationships/hyperlink" Target="https://vk.com/wall-112011819_914128?reply=989465&amp;thread=914154" TargetMode="External"/><Relationship Id="rId2893" Type="http://schemas.openxmlformats.org/officeDocument/2006/relationships/hyperlink" Target="https://vk.com/wall-112011819_914128?reply=989465&amp;thread=914154" TargetMode="External"/><Relationship Id="rId2894" Type="http://schemas.openxmlformats.org/officeDocument/2006/relationships/hyperlink" Target="https://petrozavodsk.bezformata.com/listnews/kakie-produkti-podorozhali-v-karelii/116215947/" TargetMode="External"/><Relationship Id="rId2895" Type="http://schemas.openxmlformats.org/officeDocument/2006/relationships/hyperlink" Target="http://vk.com/wall-155386267_1060849?reply=1060944" TargetMode="External"/><Relationship Id="rId2896" Type="http://schemas.openxmlformats.org/officeDocument/2006/relationships/hyperlink" Target="http://vk.com/id202805916" TargetMode="External"/><Relationship Id="rId2897" Type="http://schemas.openxmlformats.org/officeDocument/2006/relationships/hyperlink" Target="http://vk.com/club155386267" TargetMode="External"/><Relationship Id="rId2898" Type="http://schemas.openxmlformats.org/officeDocument/2006/relationships/hyperlink" Target="http://vk.com/wall-47179959_140636" TargetMode="External"/><Relationship Id="rId2899" Type="http://schemas.openxmlformats.org/officeDocument/2006/relationships/hyperlink" Target="http://vk.com/club47179959" TargetMode="External"/><Relationship Id="rId2900" Type="http://schemas.openxmlformats.org/officeDocument/2006/relationships/hyperlink" Target="http://www.ok.ru/profile/561815644913/statuses/156565649095665" TargetMode="External"/><Relationship Id="rId2901" Type="http://schemas.openxmlformats.org/officeDocument/2006/relationships/hyperlink" Target="http://www.ok.ru/profile/561815644913" TargetMode="External"/><Relationship Id="rId2902" Type="http://schemas.openxmlformats.org/officeDocument/2006/relationships/hyperlink" Target="http://www.ok.ru/profile/569501793617/statuses/156015063947345" TargetMode="External"/><Relationship Id="rId2903" Type="http://schemas.openxmlformats.org/officeDocument/2006/relationships/hyperlink" Target="http://www.ok.ru/profile/569501793617" TargetMode="External"/><Relationship Id="rId2904" Type="http://schemas.openxmlformats.org/officeDocument/2006/relationships/hyperlink" Target="http://vk.com/wall-17734054_18176816?reply=18180192" TargetMode="External"/><Relationship Id="rId2905" Type="http://schemas.openxmlformats.org/officeDocument/2006/relationships/hyperlink" Target="http://vk.com/id652333442" TargetMode="External"/><Relationship Id="rId2906" Type="http://schemas.openxmlformats.org/officeDocument/2006/relationships/hyperlink" Target="http://vk.com/club17734054" TargetMode="External"/><Relationship Id="rId2907" Type="http://schemas.openxmlformats.org/officeDocument/2006/relationships/hyperlink" Target="http://www.ok.ru/profile/566777642308/statuses/155466158839108" TargetMode="External"/><Relationship Id="rId2908" Type="http://schemas.openxmlformats.org/officeDocument/2006/relationships/hyperlink" Target="http://www.ok.ru/profile/566777642308" TargetMode="External"/><Relationship Id="rId2909" Type="http://schemas.openxmlformats.org/officeDocument/2006/relationships/hyperlink" Target="http://vk.com/wall-110697191_622636?reply=622656" TargetMode="External"/><Relationship Id="rId2910" Type="http://schemas.openxmlformats.org/officeDocument/2006/relationships/hyperlink" Target="http://vk.com/id16453890" TargetMode="External"/><Relationship Id="rId2911" Type="http://schemas.openxmlformats.org/officeDocument/2006/relationships/hyperlink" Target="http://vk.com/club110697191" TargetMode="External"/><Relationship Id="rId2912" Type="http://schemas.openxmlformats.org/officeDocument/2006/relationships/hyperlink" Target="https://telegram.me/doctorbloger_life/1369?comment=42405" TargetMode="External"/><Relationship Id="rId2913" Type="http://schemas.openxmlformats.org/officeDocument/2006/relationships/hyperlink" Target="https://telegram.me/" TargetMode="External"/><Relationship Id="rId2914" Type="http://schemas.openxmlformats.org/officeDocument/2006/relationships/hyperlink" Target="https://telegram.me/doctorbloger_life" TargetMode="External"/><Relationship Id="rId2915" Type="http://schemas.openxmlformats.org/officeDocument/2006/relationships/hyperlink" Target="http://www.ok.ru/profile/571232175280/statuses/156232468606384" TargetMode="External"/><Relationship Id="rId2916" Type="http://schemas.openxmlformats.org/officeDocument/2006/relationships/hyperlink" Target="http://www.ok.ru/profile/571232175280" TargetMode="External"/><Relationship Id="rId2917" Type="http://schemas.openxmlformats.org/officeDocument/2006/relationships/hyperlink" Target="http://www.ok.ru/profile/512226650434/statuses/155119500412994" TargetMode="External"/><Relationship Id="rId2918" Type="http://schemas.openxmlformats.org/officeDocument/2006/relationships/hyperlink" Target="http://www.ok.ru/profile/512226650434" TargetMode="External"/><Relationship Id="rId2919" Type="http://schemas.openxmlformats.org/officeDocument/2006/relationships/hyperlink" Target="http://vk.com/wall728391957_152" TargetMode="External"/><Relationship Id="rId2920" Type="http://schemas.openxmlformats.org/officeDocument/2006/relationships/hyperlink" Target="http://vk.com/id728391957" TargetMode="External"/><Relationship Id="rId2921" Type="http://schemas.openxmlformats.org/officeDocument/2006/relationships/hyperlink" Target="http://vk.com/wall-136860886_525859?reply=525876" TargetMode="External"/><Relationship Id="rId2922" Type="http://schemas.openxmlformats.org/officeDocument/2006/relationships/hyperlink" Target="http://vk.com/id202805916" TargetMode="External"/><Relationship Id="rId2923" Type="http://schemas.openxmlformats.org/officeDocument/2006/relationships/hyperlink" Target="http://vk.com/club136860886" TargetMode="External"/><Relationship Id="rId2924" Type="http://schemas.openxmlformats.org/officeDocument/2006/relationships/hyperlink" Target="http://www.ok.ru/profile/512226650434/statuses/155119497529410" TargetMode="External"/><Relationship Id="rId2925" Type="http://schemas.openxmlformats.org/officeDocument/2006/relationships/hyperlink" Target="http://www.ok.ru/profile/512226650434" TargetMode="External"/><Relationship Id="rId2926" Type="http://schemas.openxmlformats.org/officeDocument/2006/relationships/hyperlink" Target="http://www.ok.ru/profile/529381131613/statuses/154907343282269" TargetMode="External"/><Relationship Id="rId2927" Type="http://schemas.openxmlformats.org/officeDocument/2006/relationships/hyperlink" Target="http://www.ok.ru/profile/529381131613" TargetMode="External"/><Relationship Id="rId2928" Type="http://schemas.openxmlformats.org/officeDocument/2006/relationships/hyperlink" Target="http://vk.com/wall416463604_10166" TargetMode="External"/><Relationship Id="rId2929" Type="http://schemas.openxmlformats.org/officeDocument/2006/relationships/hyperlink" Target="http://vk.com/id416463604" TargetMode="External"/><Relationship Id="rId2930" Type="http://schemas.openxmlformats.org/officeDocument/2006/relationships/hyperlink" Target="http://vk.com/wall-48067990_909943?reply=913400&amp;thread=913054" TargetMode="External"/><Relationship Id="rId2931" Type="http://schemas.openxmlformats.org/officeDocument/2006/relationships/hyperlink" Target="http://vk.com/id612148529" TargetMode="External"/><Relationship Id="rId2932" Type="http://schemas.openxmlformats.org/officeDocument/2006/relationships/hyperlink" Target="http://vk.com/club48067990" TargetMode="External"/><Relationship Id="rId2933" Type="http://schemas.openxmlformats.org/officeDocument/2006/relationships/hyperlink" Target="https://telegram.me/obodzinskaya/119?comment=1206" TargetMode="External"/><Relationship Id="rId2934" Type="http://schemas.openxmlformats.org/officeDocument/2006/relationships/hyperlink" Target="https://telegram.me/Innisolnce" TargetMode="External"/><Relationship Id="rId2935" Type="http://schemas.openxmlformats.org/officeDocument/2006/relationships/hyperlink" Target="https://telegram.me/obodzinskaya" TargetMode="External"/><Relationship Id="rId2936" Type="http://schemas.openxmlformats.org/officeDocument/2006/relationships/hyperlink" Target="http://www.ok.ru/profile/590861217808/statuses/156017083812624" TargetMode="External"/><Relationship Id="rId2937" Type="http://schemas.openxmlformats.org/officeDocument/2006/relationships/hyperlink" Target="http://www.ok.ru/profile/590861217808" TargetMode="External"/><Relationship Id="rId2938" Type="http://schemas.openxmlformats.org/officeDocument/2006/relationships/hyperlink" Target="http://www.ok.ru/profile/536130639147/statuses/156302764120875" TargetMode="External"/><Relationship Id="rId2939" Type="http://schemas.openxmlformats.org/officeDocument/2006/relationships/hyperlink" Target="http://www.ok.ru/profile/536130639147" TargetMode="External"/><Relationship Id="rId2940" Type="http://schemas.openxmlformats.org/officeDocument/2006/relationships/hyperlink" Target="http://vk.com/wall-131081771_1590104?reply=1591193" TargetMode="External"/><Relationship Id="rId2941" Type="http://schemas.openxmlformats.org/officeDocument/2006/relationships/hyperlink" Target="http://vk.com/id612148529" TargetMode="External"/><Relationship Id="rId2942" Type="http://schemas.openxmlformats.org/officeDocument/2006/relationships/hyperlink" Target="http://vk.com/club131081771" TargetMode="External"/><Relationship Id="rId2943" Type="http://schemas.openxmlformats.org/officeDocument/2006/relationships/hyperlink" Target="https://telegram.me/children_covid/7896" TargetMode="External"/><Relationship Id="rId2944" Type="http://schemas.openxmlformats.org/officeDocument/2006/relationships/hyperlink" Target="https://telegram.me/" TargetMode="External"/><Relationship Id="rId2945" Type="http://schemas.openxmlformats.org/officeDocument/2006/relationships/hyperlink" Target="https://telegram.me/children_covid" TargetMode="External"/><Relationship Id="rId2946" Type="http://schemas.openxmlformats.org/officeDocument/2006/relationships/hyperlink" Target="http://irecommend.ru/content/medovaya-kladez-iz-lichinok-voskovoi-moli-spasenie-dlya-detok-kotorye-ne-mogut-otkhodit-v-sa" TargetMode="External"/><Relationship Id="rId2947" Type="http://schemas.openxmlformats.org/officeDocument/2006/relationships/hyperlink" Target="http://www.ok.ru/profile/561252405483/statuses/155826617056235" TargetMode="External"/><Relationship Id="rId2948" Type="http://schemas.openxmlformats.org/officeDocument/2006/relationships/hyperlink" Target="http://www.ok.ru/profile/561252405483" TargetMode="External"/><Relationship Id="rId2949" Type="http://schemas.openxmlformats.org/officeDocument/2006/relationships/hyperlink" Target="http://vk.com/wall335284590_284" TargetMode="External"/><Relationship Id="rId2950" Type="http://schemas.openxmlformats.org/officeDocument/2006/relationships/hyperlink" Target="http://vk.com/id335284590" TargetMode="External"/><Relationship Id="rId2951" Type="http://schemas.openxmlformats.org/officeDocument/2006/relationships/hyperlink" Target="http://www.ok.ru/profile/552808131998/statuses/155306191465886" TargetMode="External"/><Relationship Id="rId2952" Type="http://schemas.openxmlformats.org/officeDocument/2006/relationships/hyperlink" Target="http://www.ok.ru/profile/552808131998" TargetMode="External"/><Relationship Id="rId2953" Type="http://schemas.openxmlformats.org/officeDocument/2006/relationships/hyperlink" Target="https://www.babyblog.ru/community/ks/post/3200963" TargetMode="External"/><Relationship Id="rId2954" Type="http://schemas.openxmlformats.org/officeDocument/2006/relationships/hyperlink" Target="http://vk.com/wall771714477_491" TargetMode="External"/><Relationship Id="rId2955" Type="http://schemas.openxmlformats.org/officeDocument/2006/relationships/hyperlink" Target="http://vk.com/id771714477" TargetMode="External"/><Relationship Id="rId2956" Type="http://schemas.openxmlformats.org/officeDocument/2006/relationships/hyperlink" Target="http://www.ok.ru/profile/576339859000/statuses/155816019301688" TargetMode="External"/><Relationship Id="rId2957" Type="http://schemas.openxmlformats.org/officeDocument/2006/relationships/hyperlink" Target="http://www.ok.ru/profile/576339859000" TargetMode="External"/><Relationship Id="rId2958" Type="http://schemas.openxmlformats.org/officeDocument/2006/relationships/hyperlink" Target="http://vk.com/wall555290823_2522" TargetMode="External"/><Relationship Id="rId2959" Type="http://schemas.openxmlformats.org/officeDocument/2006/relationships/hyperlink" Target="http://vk.com/id555290823" TargetMode="External"/><Relationship Id="rId2960" Type="http://schemas.openxmlformats.org/officeDocument/2006/relationships/hyperlink" Target="https://telegram.me/pediatry_chat_pediatrov/66985" TargetMode="External"/><Relationship Id="rId2961" Type="http://schemas.openxmlformats.org/officeDocument/2006/relationships/hyperlink" Target="https://telegram.me/bob_na" TargetMode="External"/><Relationship Id="rId2962" Type="http://schemas.openxmlformats.org/officeDocument/2006/relationships/hyperlink" Target="https://telegram.me/pediatry_chat_pediatrov" TargetMode="External"/><Relationship Id="rId2963" Type="http://schemas.openxmlformats.org/officeDocument/2006/relationships/hyperlink" Target="http://vk.com/wall-81840381_3445957?reply=3451005" TargetMode="External"/><Relationship Id="rId2964" Type="http://schemas.openxmlformats.org/officeDocument/2006/relationships/hyperlink" Target="http://vk.com/id652333442" TargetMode="External"/><Relationship Id="rId2965" Type="http://schemas.openxmlformats.org/officeDocument/2006/relationships/hyperlink" Target="http://vk.com/club81840381" TargetMode="External"/><Relationship Id="rId2966" Type="http://schemas.openxmlformats.org/officeDocument/2006/relationships/hyperlink" Target="http://vk.com/wall224746185_11432" TargetMode="External"/><Relationship Id="rId2967" Type="http://schemas.openxmlformats.org/officeDocument/2006/relationships/hyperlink" Target="http://vk.com/id224746185" TargetMode="External"/><Relationship Id="rId2968" Type="http://schemas.openxmlformats.org/officeDocument/2006/relationships/hyperlink" Target="http://vk.com/wall-17577887_8008027?reply=8008085" TargetMode="External"/><Relationship Id="rId2969" Type="http://schemas.openxmlformats.org/officeDocument/2006/relationships/hyperlink" Target="http://vk.com/id155915274" TargetMode="External"/><Relationship Id="rId2970" Type="http://schemas.openxmlformats.org/officeDocument/2006/relationships/hyperlink" Target="http://vk.com/club17577887" TargetMode="External"/><Relationship Id="rId2971" Type="http://schemas.openxmlformats.org/officeDocument/2006/relationships/hyperlink" Target="http://www.ok.ru/profile/522098105051/statuses/155112468242651" TargetMode="External"/><Relationship Id="rId2972" Type="http://schemas.openxmlformats.org/officeDocument/2006/relationships/hyperlink" Target="http://www.ok.ru/profile/522098105051" TargetMode="External"/><Relationship Id="rId2973" Type="http://schemas.openxmlformats.org/officeDocument/2006/relationships/hyperlink" Target="http://vk.com/wall761951280_148" TargetMode="External"/><Relationship Id="rId2974" Type="http://schemas.openxmlformats.org/officeDocument/2006/relationships/hyperlink" Target="http://vk.com/id761951280" TargetMode="External"/><Relationship Id="rId2975" Type="http://schemas.openxmlformats.org/officeDocument/2006/relationships/hyperlink" Target="http://www.ok.ru/group/64368221159654/topic/156599622680038" TargetMode="External"/><Relationship Id="rId2976" Type="http://schemas.openxmlformats.org/officeDocument/2006/relationships/hyperlink" Target="http://www.ok.ru/group/64368221159654" TargetMode="External"/><Relationship Id="rId2977" Type="http://schemas.openxmlformats.org/officeDocument/2006/relationships/hyperlink" Target="http://www.kremlinrus.ru/article/181/166157/" TargetMode="External"/><Relationship Id="rId2978" Type="http://schemas.openxmlformats.org/officeDocument/2006/relationships/hyperlink" Target="https://www.babyblog.ru/community/bolshiedeti/post/3198831" TargetMode="External"/><Relationship Id="rId2979" Type="http://schemas.openxmlformats.org/officeDocument/2006/relationships/hyperlink" Target="http://www.ok.ru/profile/360746112718/statuses/156144383735246" TargetMode="External"/><Relationship Id="rId2980" Type="http://schemas.openxmlformats.org/officeDocument/2006/relationships/hyperlink" Target="http://www.ok.ru/profile/360746112718" TargetMode="External"/><Relationship Id="rId2981" Type="http://schemas.openxmlformats.org/officeDocument/2006/relationships/hyperlink" Target="http://www.ok.ru/profile/548865689238/statuses/155733892896918" TargetMode="External"/><Relationship Id="rId2982" Type="http://schemas.openxmlformats.org/officeDocument/2006/relationships/hyperlink" Target="http://www.ok.ru/profile/548865689238" TargetMode="External"/><Relationship Id="rId2983" Type="http://schemas.openxmlformats.org/officeDocument/2006/relationships/hyperlink" Target="http://www.ok.ru/profile/577192192530/statuses/156148720801810" TargetMode="External"/><Relationship Id="rId2984" Type="http://schemas.openxmlformats.org/officeDocument/2006/relationships/hyperlink" Target="http://www.ok.ru/profile/577192192530" TargetMode="External"/><Relationship Id="rId2985" Type="http://schemas.openxmlformats.org/officeDocument/2006/relationships/hyperlink" Target="http://vk.com/wall746730811_439" TargetMode="External"/><Relationship Id="rId2986" Type="http://schemas.openxmlformats.org/officeDocument/2006/relationships/hyperlink" Target="http://vk.com/id746730811" TargetMode="External"/><Relationship Id="rId2987" Type="http://schemas.openxmlformats.org/officeDocument/2006/relationships/hyperlink" Target="http://vk.com/wall-31317167_5930?reply=5964&amp;thread=5955" TargetMode="External"/><Relationship Id="rId2988" Type="http://schemas.openxmlformats.org/officeDocument/2006/relationships/hyperlink" Target="http://vk.com/id612148529" TargetMode="External"/><Relationship Id="rId2989" Type="http://schemas.openxmlformats.org/officeDocument/2006/relationships/hyperlink" Target="http://vk.com/club31317167" TargetMode="External"/><Relationship Id="rId2990" Type="http://schemas.openxmlformats.org/officeDocument/2006/relationships/hyperlink" Target="http://vk.com/wall-216859333_3708" TargetMode="External"/><Relationship Id="rId2991" Type="http://schemas.openxmlformats.org/officeDocument/2006/relationships/hyperlink" Target="http://vk.com/club216859333" TargetMode="External"/><Relationship Id="rId2992" Type="http://schemas.openxmlformats.org/officeDocument/2006/relationships/hyperlink" Target="https://telegram.me/srklub/454234" TargetMode="External"/><Relationship Id="rId2993" Type="http://schemas.openxmlformats.org/officeDocument/2006/relationships/hyperlink" Target="https://telegram.me/Laisa_Lisa" TargetMode="External"/><Relationship Id="rId2994" Type="http://schemas.openxmlformats.org/officeDocument/2006/relationships/hyperlink" Target="https://telegram.me/srklub" TargetMode="External"/><Relationship Id="rId2995" Type="http://schemas.openxmlformats.org/officeDocument/2006/relationships/hyperlink" Target="http://www.ok.ru/profile/564706315074/statuses/155119442675778" TargetMode="External"/><Relationship Id="rId2996" Type="http://schemas.openxmlformats.org/officeDocument/2006/relationships/hyperlink" Target="http://www.ok.ru/profile/564706315074" TargetMode="External"/><Relationship Id="rId2997" Type="http://schemas.openxmlformats.org/officeDocument/2006/relationships/hyperlink" Target="http://vk.com/wall-155403177_56807?reply=57198&amp;thread=56845" TargetMode="External"/><Relationship Id="rId2998" Type="http://schemas.openxmlformats.org/officeDocument/2006/relationships/hyperlink" Target="http://vk.com/id222505574" TargetMode="External"/><Relationship Id="rId2999" Type="http://schemas.openxmlformats.org/officeDocument/2006/relationships/hyperlink" Target="http://vk.com/club155403177" TargetMode="External"/><Relationship Id="rId3000" Type="http://schemas.openxmlformats.org/officeDocument/2006/relationships/hyperlink" Target="http://www.ok.ru/profile/575465544379/statuses/155156801512379" TargetMode="External"/><Relationship Id="rId3001" Type="http://schemas.openxmlformats.org/officeDocument/2006/relationships/hyperlink" Target="http://www.ok.ru/profile/575465544379" TargetMode="External"/><Relationship Id="rId3002" Type="http://schemas.openxmlformats.org/officeDocument/2006/relationships/hyperlink" Target="http://www.ok.ru/profile/591641422613/statuses/155863940405269" TargetMode="External"/><Relationship Id="rId3003" Type="http://schemas.openxmlformats.org/officeDocument/2006/relationships/hyperlink" Target="http://www.ok.ru/profile/591641422613" TargetMode="External"/><Relationship Id="rId3004" Type="http://schemas.openxmlformats.org/officeDocument/2006/relationships/hyperlink" Target="http://vk.com/wall638595057_289" TargetMode="External"/><Relationship Id="rId3005" Type="http://schemas.openxmlformats.org/officeDocument/2006/relationships/hyperlink" Target="http://vk.com/id638595057" TargetMode="External"/><Relationship Id="rId3006" Type="http://schemas.openxmlformats.org/officeDocument/2006/relationships/hyperlink" Target="http://www.ok.ru/profile/531368500639/statuses/155029802229919" TargetMode="External"/><Relationship Id="rId3007" Type="http://schemas.openxmlformats.org/officeDocument/2006/relationships/hyperlink" Target="http://www.ok.ru/profile/531368500639" TargetMode="External"/><Relationship Id="rId3008" Type="http://schemas.openxmlformats.org/officeDocument/2006/relationships/hyperlink" Target="http://www.ok.ru/profile/573027605416/statuses/156116433481896" TargetMode="External"/><Relationship Id="rId3009" Type="http://schemas.openxmlformats.org/officeDocument/2006/relationships/hyperlink" Target="http://www.ok.ru/profile/573027605416" TargetMode="External"/><Relationship Id="rId3010" Type="http://schemas.openxmlformats.org/officeDocument/2006/relationships/hyperlink" Target="http://www.ok.ru/profile/562405010525/statuses/154907278532701" TargetMode="External"/><Relationship Id="rId3011" Type="http://schemas.openxmlformats.org/officeDocument/2006/relationships/hyperlink" Target="http://www.ok.ru/profile/562405010525" TargetMode="External"/><Relationship Id="rId3012" Type="http://schemas.openxmlformats.org/officeDocument/2006/relationships/hyperlink" Target="http://www.ok.ru/profile/354048186132/statuses/155970873789716" TargetMode="External"/><Relationship Id="rId3013" Type="http://schemas.openxmlformats.org/officeDocument/2006/relationships/hyperlink" Target="http://www.ok.ru/profile/354048186132" TargetMode="External"/><Relationship Id="rId3014"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outlinePr summaryBelow="true" summaryRight="true"/>
    <pageSetUpPr fitToPage="false"/>
  </sheetPr>
  <dimension ref="A1:J138"/>
  <sheetViews>
    <sheetView workbookViewId="0" showZeros="true" showFormulas="false" showGridLines="true" showRowColHeaders="true">
      <selection sqref="F78" activeCell="F78"/>
    </sheetView>
  </sheetViews>
  <sheetFormatPr defaultColWidth="8.85546875" customHeight="true" defaultRowHeight="14.25"/>
  <cols>
    <col max="1" min="1" style="0" width="8.85546875" customWidth="true" bestFit="true"/>
    <col max="2" min="2" style="0" width="16.7109375" customWidth="true"/>
    <col max="3" min="3" style="0" width="15.7109375" customWidth="true"/>
    <col max="4" min="4" style="0" width="13.85546875" customWidth="true"/>
    <col max="5" min="5" style="0" width="15.7109375" customWidth="true"/>
    <col max="6" min="6" style="0" width="13.85546875" customWidth="true"/>
    <col max="7" min="7" style="0" width="9.140625" customWidth="true"/>
    <col max="8" min="8" style="0" width="8.85546875" customWidth="true" bestFit="true"/>
    <col max="10" min="9" style="0" width="9.140625" customWidth="true"/>
    <col max="11" min="11" style="0" width="8.85546875" customWidth="true" bestFit="true"/>
    <col max="14" min="12" style="0" width="9.140625" customWidth="true"/>
    <col max="15" min="15" style="0" width="8.85546875" customWidth="true" bestFit="true"/>
  </cols>
  <sheetData>
    <row r="1" customHeight="true" ht="34.5">
      <c r="B1" s="1"/>
    </row>
    <row r="2">
      <c r="D2" s="2"/>
      <c r="J2" s="1"/>
    </row>
    <row r="3">
      <c r="B3" s="3" t="s">
        <v>0</v>
      </c>
      <c r="C3" s="4" t="s">
        <v>1</v>
      </c>
      <c r="D3" s="5"/>
      <c r="J3" s="1"/>
    </row>
    <row r="4">
      <c r="B4" s="3" t="s">
        <v>2</v>
      </c>
      <c r="C4" s="4" t="s">
        <v>3</v>
      </c>
      <c r="H4" s="1"/>
    </row>
    <row r="5">
      <c r="C5" s="4"/>
      <c r="D5" s="4"/>
      <c r="E5" s="4"/>
      <c r="F5" s="4"/>
      <c r="G5" s="4"/>
      <c r="H5" s="6"/>
      <c r="I5" s="4"/>
      <c r="J5" s="4"/>
    </row>
    <row r="6">
      <c r="B6" s="1" t="s">
        <v>4</v>
      </c>
      <c r="C6" s="7" t="n">
        <v>1333</v>
      </c>
      <c r="D6" s="8" t="n">
        <v>-0.064561403508772</v>
      </c>
      <c r="E6" s="4"/>
      <c r="F6" s="4"/>
      <c r="G6" s="6"/>
      <c r="H6" s="4"/>
      <c r="I6" s="4"/>
    </row>
    <row r="7">
      <c r="B7" s="1" t="s">
        <v>5</v>
      </c>
      <c r="C7" s="7" t="n">
        <v>1072</v>
      </c>
      <c r="D7" s="8" t="n">
        <v>-0.1006711409396</v>
      </c>
      <c r="E7" s="4"/>
      <c r="F7" s="4"/>
      <c r="G7" s="6"/>
      <c r="H7" s="4"/>
      <c r="I7" s="4"/>
    </row>
    <row r="8">
      <c r="A8" s="4"/>
      <c r="B8" s="1" t="s">
        <v>6</v>
      </c>
      <c r="C8" s="9" t="n">
        <v>3.3333333333333</v>
      </c>
      <c r="D8" s="10" t="n">
        <v>0.34408602150538</v>
      </c>
      <c r="E8" s="11"/>
      <c r="F8" s="4"/>
      <c r="G8" s="6"/>
      <c r="H8" s="4"/>
      <c r="I8" s="4"/>
      <c r="J8" s="4"/>
    </row>
    <row r="9">
      <c r="A9" s="6"/>
      <c r="B9" s="1" t="s">
        <v>7</v>
      </c>
      <c r="C9" s="12" t="n">
        <v>2500</v>
      </c>
      <c r="D9" s="8" t="n">
        <v>-0.63186570460904</v>
      </c>
      <c r="E9" s="11"/>
      <c r="F9" s="4"/>
    </row>
    <row r="10">
      <c r="B10" s="1" t="s">
        <v>8</v>
      </c>
      <c r="C10" s="12" t="n">
        <v>44860793</v>
      </c>
      <c r="D10" s="10" t="n">
        <v>0.20041349045039</v>
      </c>
      <c r="E10" s="4"/>
      <c r="F10" s="4"/>
      <c r="G10" s="13"/>
      <c r="H10" s="4"/>
      <c r="I10" s="4"/>
      <c r="J10" s="4"/>
    </row>
    <row r="11">
      <c r="B11" s="4"/>
      <c r="G11" s="1"/>
    </row>
    <row r="12">
      <c r="G12" s="1"/>
    </row>
    <row r="13">
      <c r="G13" s="1"/>
    </row>
    <row r="14">
      <c r="G14" s="1"/>
    </row>
    <row r="15">
      <c r="G15" s="1"/>
    </row>
    <row r="16">
      <c r="G16" s="1"/>
    </row>
    <row r="17">
      <c r="G17" s="1"/>
    </row>
    <row r="18">
      <c r="G18" s="1"/>
    </row>
    <row r="19">
      <c r="G19" s="1"/>
    </row>
    <row r="20">
      <c r="G20" s="1"/>
    </row>
    <row r="21">
      <c r="G21" s="1"/>
    </row>
    <row r="22">
      <c r="G22" s="1"/>
    </row>
    <row r="23">
      <c r="G23" s="1"/>
    </row>
    <row r="24">
      <c r="G24" s="1"/>
    </row>
    <row r="25">
      <c r="G25" s="1"/>
    </row>
    <row r="26">
      <c r="G26" s="1"/>
    </row>
    <row r="27">
      <c r="B27" s="14"/>
      <c r="G27" s="1"/>
    </row>
    <row r="28">
      <c r="A28" s="4"/>
      <c r="B28" s="14"/>
      <c r="D28" s="4"/>
      <c r="E28" s="4"/>
      <c r="F28" s="4"/>
      <c r="G28" s="6"/>
      <c r="H28" s="4"/>
      <c r="I28" s="4"/>
      <c r="J28" s="4"/>
    </row>
    <row r="29">
      <c r="B29" s="15" t="s">
        <v>9</v>
      </c>
      <c r="C29" s="16" t="s">
        <v>10</v>
      </c>
      <c r="D29" s="16" t="s">
        <v>11</v>
      </c>
      <c r="E29" s="16" t="s">
        <v>12</v>
      </c>
      <c r="F29" s="16" t="s">
        <v>13</v>
      </c>
      <c r="G29" s="1"/>
    </row>
    <row r="30">
      <c r="B30" s="17" t="s">
        <v>14</v>
      </c>
      <c r="C30" s="18" t="n">
        <v>26</v>
      </c>
      <c r="D30" s="19" t="n">
        <v>25</v>
      </c>
      <c r="E30" s="19" t="n">
        <v>31</v>
      </c>
      <c r="F30" s="19" t="n">
        <v>321878</v>
      </c>
      <c r="G30" s="1"/>
    </row>
    <row r="31">
      <c r="B31" s="17" t="s">
        <v>15</v>
      </c>
      <c r="C31" s="18" t="n">
        <v>26</v>
      </c>
      <c r="D31" s="19" t="n">
        <v>24</v>
      </c>
      <c r="E31" s="19" t="n">
        <v>34</v>
      </c>
      <c r="F31" s="19" t="n">
        <v>336582</v>
      </c>
      <c r="G31" s="1"/>
    </row>
    <row r="32">
      <c r="B32" s="17" t="s">
        <v>16</v>
      </c>
      <c r="C32" s="18" t="n">
        <v>44</v>
      </c>
      <c r="D32" s="19" t="n">
        <v>37</v>
      </c>
      <c r="E32" s="19" t="n">
        <v>220</v>
      </c>
      <c r="F32" s="19" t="n">
        <v>1704726</v>
      </c>
      <c r="G32" s="1"/>
    </row>
    <row r="33">
      <c r="B33" s="17" t="s">
        <v>17</v>
      </c>
      <c r="C33" s="18" t="n">
        <v>30</v>
      </c>
      <c r="D33" s="19" t="n">
        <v>28</v>
      </c>
      <c r="E33" s="19" t="n">
        <v>46</v>
      </c>
      <c r="F33" s="19" t="n">
        <v>569088</v>
      </c>
      <c r="G33" s="1"/>
    </row>
    <row r="34">
      <c r="B34" s="17" t="s">
        <v>18</v>
      </c>
      <c r="C34" s="18" t="n">
        <v>48</v>
      </c>
      <c r="D34" s="19" t="n">
        <v>40</v>
      </c>
      <c r="E34" s="19" t="n">
        <v>85</v>
      </c>
      <c r="F34" s="19" t="n">
        <v>1312893</v>
      </c>
      <c r="G34" s="1"/>
    </row>
    <row r="35">
      <c r="B35" s="17" t="s">
        <v>19</v>
      </c>
      <c r="C35" s="18" t="n">
        <v>36</v>
      </c>
      <c r="D35" s="19" t="n">
        <v>33</v>
      </c>
      <c r="E35" s="19" t="n">
        <v>32</v>
      </c>
      <c r="F35" s="19" t="n">
        <v>521537</v>
      </c>
      <c r="G35" s="1"/>
    </row>
    <row r="36">
      <c r="B36" s="17" t="s">
        <v>20</v>
      </c>
      <c r="C36" s="18" t="n">
        <v>26</v>
      </c>
      <c r="D36" s="19" t="n">
        <v>23</v>
      </c>
      <c r="E36" s="19" t="n">
        <v>57</v>
      </c>
      <c r="F36" s="19" t="n">
        <v>3902752</v>
      </c>
      <c r="G36" s="1"/>
    </row>
    <row r="37">
      <c r="B37" s="17" t="s">
        <v>21</v>
      </c>
      <c r="C37" s="18" t="n">
        <v>53</v>
      </c>
      <c r="D37" s="19" t="n">
        <v>41</v>
      </c>
      <c r="E37" s="19" t="n">
        <v>152</v>
      </c>
      <c r="F37" s="19" t="n">
        <v>1701620</v>
      </c>
    </row>
    <row r="38">
      <c r="B38" s="17" t="s">
        <v>22</v>
      </c>
      <c r="C38" s="18" t="n">
        <v>48</v>
      </c>
      <c r="D38" s="19" t="n">
        <v>43</v>
      </c>
      <c r="E38" s="19" t="n">
        <v>167</v>
      </c>
      <c r="F38" s="19" t="n">
        <v>3460098</v>
      </c>
    </row>
    <row r="39">
      <c r="B39" s="17" t="s">
        <v>23</v>
      </c>
      <c r="C39" s="18" t="n">
        <v>31</v>
      </c>
      <c r="D39" s="19" t="n">
        <v>28</v>
      </c>
      <c r="E39" s="19" t="n">
        <v>57</v>
      </c>
      <c r="F39" s="19" t="n">
        <v>419059</v>
      </c>
      <c r="G39" s="1"/>
    </row>
    <row r="40">
      <c r="B40" s="17" t="s">
        <v>24</v>
      </c>
      <c r="C40" s="18" t="n">
        <v>32</v>
      </c>
      <c r="D40" s="19" t="n">
        <v>31</v>
      </c>
      <c r="E40" s="19" t="n">
        <v>29</v>
      </c>
      <c r="F40" s="19" t="n">
        <v>236848</v>
      </c>
      <c r="G40" s="1"/>
    </row>
    <row r="41">
      <c r="B41" s="17" t="s">
        <v>25</v>
      </c>
      <c r="C41" s="18" t="n">
        <v>31</v>
      </c>
      <c r="D41" s="19" t="n">
        <v>30</v>
      </c>
      <c r="E41" s="19" t="n">
        <v>43</v>
      </c>
      <c r="F41" s="19" t="n">
        <v>1034723</v>
      </c>
      <c r="G41" s="1"/>
    </row>
    <row r="42">
      <c r="B42" s="17" t="s">
        <v>26</v>
      </c>
      <c r="C42" s="18" t="n">
        <v>31</v>
      </c>
      <c r="D42" s="19" t="n">
        <v>30</v>
      </c>
      <c r="E42" s="19" t="n">
        <v>20</v>
      </c>
      <c r="F42" s="19" t="n">
        <v>819173</v>
      </c>
    </row>
    <row r="43">
      <c r="B43" s="17" t="s">
        <v>27</v>
      </c>
      <c r="C43" s="18" t="n">
        <v>28</v>
      </c>
      <c r="D43" s="19" t="n">
        <v>26</v>
      </c>
      <c r="E43" s="19" t="n">
        <v>68</v>
      </c>
      <c r="F43" s="19" t="n">
        <v>653018</v>
      </c>
    </row>
    <row r="44">
      <c r="B44" s="17" t="s">
        <v>28</v>
      </c>
      <c r="C44" s="18" t="n">
        <v>16</v>
      </c>
      <c r="D44" s="20" t="n">
        <v>14</v>
      </c>
      <c r="E44" s="20" t="n">
        <v>10</v>
      </c>
      <c r="F44" s="19" t="n">
        <v>659295</v>
      </c>
    </row>
    <row r="45">
      <c r="B45" s="17" t="s">
        <v>29</v>
      </c>
      <c r="C45" s="18" t="n">
        <v>13</v>
      </c>
      <c r="D45" s="20" t="n">
        <v>13</v>
      </c>
      <c r="E45" s="20" t="n">
        <v>12</v>
      </c>
      <c r="F45" s="19" t="n">
        <v>22350</v>
      </c>
    </row>
    <row r="46">
      <c r="B46" s="17" t="s">
        <v>30</v>
      </c>
      <c r="C46" s="18" t="n">
        <v>15</v>
      </c>
      <c r="D46" s="20" t="n">
        <v>15</v>
      </c>
      <c r="E46" s="20" t="n">
        <v>51</v>
      </c>
      <c r="F46" s="19" t="n">
        <v>125213</v>
      </c>
    </row>
    <row r="47">
      <c r="B47" s="17" t="s">
        <v>31</v>
      </c>
      <c r="C47" s="18" t="n">
        <v>12</v>
      </c>
      <c r="D47" s="19" t="n">
        <v>12</v>
      </c>
      <c r="E47" s="19" t="n">
        <v>0</v>
      </c>
      <c r="F47" s="19" t="n">
        <v>7913</v>
      </c>
      <c r="G47" s="1"/>
    </row>
    <row r="48">
      <c r="B48" s="17" t="s">
        <v>32</v>
      </c>
      <c r="C48" s="18" t="n">
        <v>5</v>
      </c>
      <c r="D48" s="19" t="n">
        <v>5</v>
      </c>
      <c r="E48" s="19" t="n">
        <v>7</v>
      </c>
      <c r="F48" s="19" t="n">
        <v>1962</v>
      </c>
      <c r="G48" s="1"/>
    </row>
    <row r="49">
      <c r="B49" s="17" t="s">
        <v>33</v>
      </c>
      <c r="C49" s="18" t="n">
        <v>15</v>
      </c>
      <c r="D49" s="19" t="n">
        <v>7</v>
      </c>
      <c r="E49" s="19" t="n">
        <v>2</v>
      </c>
      <c r="F49" s="19" t="n">
        <v>1007273</v>
      </c>
      <c r="G49" s="1"/>
    </row>
    <row r="50">
      <c r="B50" s="17" t="s">
        <v>34</v>
      </c>
      <c r="C50" s="18" t="n">
        <v>13</v>
      </c>
      <c r="D50" s="19" t="n">
        <v>8</v>
      </c>
      <c r="E50" s="19" t="n">
        <v>157</v>
      </c>
      <c r="F50" s="19" t="n">
        <v>515421</v>
      </c>
      <c r="G50" s="1"/>
    </row>
    <row r="51">
      <c r="B51" s="17" t="s">
        <v>35</v>
      </c>
      <c r="C51" s="18" t="n">
        <v>11</v>
      </c>
      <c r="D51" s="19" t="n">
        <v>9</v>
      </c>
      <c r="E51" s="19" t="n">
        <v>3</v>
      </c>
      <c r="F51" s="19" t="n">
        <v>51823</v>
      </c>
      <c r="G51" s="1"/>
    </row>
    <row r="52">
      <c r="B52" s="17" t="s">
        <v>36</v>
      </c>
      <c r="C52" s="18" t="n">
        <v>11</v>
      </c>
      <c r="D52" s="19" t="n">
        <v>6</v>
      </c>
      <c r="E52" s="19" t="n">
        <v>1</v>
      </c>
      <c r="F52" s="19" t="n">
        <v>5756</v>
      </c>
      <c r="G52" s="1"/>
    </row>
    <row r="53">
      <c r="B53" s="17" t="s">
        <v>37</v>
      </c>
      <c r="C53" s="18" t="n">
        <v>15</v>
      </c>
      <c r="D53" s="19" t="n">
        <v>8</v>
      </c>
      <c r="E53" s="19" t="n">
        <v>0</v>
      </c>
      <c r="F53" s="19" t="n">
        <v>1674</v>
      </c>
      <c r="G53" s="1"/>
    </row>
    <row r="54">
      <c r="B54" s="17" t="s">
        <v>38</v>
      </c>
      <c r="C54" s="18" t="n">
        <v>6</v>
      </c>
      <c r="D54" s="19" t="n">
        <v>5</v>
      </c>
      <c r="E54" s="19" t="n">
        <v>7</v>
      </c>
      <c r="F54" s="19" t="n">
        <v>800</v>
      </c>
      <c r="G54" s="1"/>
    </row>
    <row r="55">
      <c r="B55" s="17" t="s">
        <v>39</v>
      </c>
      <c r="C55" s="18" t="n">
        <v>11</v>
      </c>
      <c r="D55" s="19" t="n">
        <v>10</v>
      </c>
      <c r="E55" s="19" t="n">
        <v>6</v>
      </c>
      <c r="F55" s="19" t="n">
        <v>6655</v>
      </c>
      <c r="G55" s="1"/>
    </row>
    <row r="56">
      <c r="B56" s="17" t="s">
        <v>40</v>
      </c>
      <c r="C56" s="18" t="n">
        <v>7</v>
      </c>
      <c r="D56" s="19" t="n">
        <v>7</v>
      </c>
      <c r="E56" s="19" t="n">
        <v>5</v>
      </c>
      <c r="F56" s="19" t="n">
        <v>9109</v>
      </c>
      <c r="G56" s="1"/>
    </row>
    <row r="57">
      <c r="B57" s="17" t="s">
        <v>41</v>
      </c>
      <c r="C57" s="18" t="n">
        <v>16</v>
      </c>
      <c r="D57" s="19" t="n">
        <v>15</v>
      </c>
      <c r="E57" s="19" t="n">
        <v>19</v>
      </c>
      <c r="F57" s="19" t="n">
        <v>83268</v>
      </c>
      <c r="G57" s="1"/>
    </row>
    <row r="58">
      <c r="B58" s="17" t="s">
        <v>42</v>
      </c>
      <c r="C58" s="18" t="n">
        <v>13</v>
      </c>
      <c r="D58" s="19" t="n">
        <v>12</v>
      </c>
      <c r="E58" s="19" t="n">
        <v>6</v>
      </c>
      <c r="F58" s="19" t="n">
        <v>14040</v>
      </c>
      <c r="G58" s="1"/>
    </row>
    <row r="59">
      <c r="B59" s="17" t="s">
        <v>43</v>
      </c>
      <c r="C59" s="18" t="n">
        <v>17</v>
      </c>
      <c r="D59" s="19" t="n">
        <v>12</v>
      </c>
      <c r="E59" s="19" t="n">
        <v>108</v>
      </c>
      <c r="F59" s="19" t="n">
        <v>31152</v>
      </c>
      <c r="G59" s="1"/>
    </row>
    <row r="60">
      <c r="B60" s="21" t="s">
        <v>44</v>
      </c>
      <c r="C60" s="18" t="n">
        <v>15</v>
      </c>
      <c r="D60" s="19" t="n">
        <v>14</v>
      </c>
      <c r="E60" s="19" t="n">
        <v>41</v>
      </c>
      <c r="F60" s="19" t="n">
        <v>1695585</v>
      </c>
      <c r="G60" s="1"/>
    </row>
    <row r="61">
      <c r="B61" s="21" t="s">
        <v>45</v>
      </c>
      <c r="C61" s="18" t="n">
        <v>33</v>
      </c>
      <c r="D61" s="19" t="n">
        <v>27</v>
      </c>
      <c r="E61" s="19" t="n">
        <v>288</v>
      </c>
      <c r="F61" s="19" t="n">
        <v>2913959</v>
      </c>
      <c r="G61" s="1"/>
    </row>
    <row r="62">
      <c r="B62" s="21" t="s">
        <v>46</v>
      </c>
      <c r="C62" s="18" t="n">
        <v>34</v>
      </c>
      <c r="D62" s="19" t="n">
        <v>32</v>
      </c>
      <c r="E62" s="19" t="n">
        <v>375</v>
      </c>
      <c r="F62" s="19" t="n">
        <v>6593038</v>
      </c>
      <c r="G62" s="1"/>
    </row>
    <row r="63">
      <c r="B63" s="21" t="s">
        <v>47</v>
      </c>
      <c r="C63" s="18" t="n">
        <v>35</v>
      </c>
      <c r="D63" s="19" t="n">
        <v>30</v>
      </c>
      <c r="E63" s="19" t="n">
        <v>17</v>
      </c>
      <c r="F63" s="19" t="n">
        <v>3325104</v>
      </c>
      <c r="G63" s="1"/>
    </row>
    <row r="64">
      <c r="B64" s="21" t="s">
        <v>48</v>
      </c>
      <c r="C64" s="18" t="n">
        <v>46</v>
      </c>
      <c r="D64" s="19" t="n">
        <v>41</v>
      </c>
      <c r="E64" s="19" t="n">
        <v>47</v>
      </c>
      <c r="F64" s="19" t="n">
        <v>1908165</v>
      </c>
      <c r="G64" s="1"/>
    </row>
    <row r="65">
      <c r="B65" s="21" t="s">
        <v>49</v>
      </c>
      <c r="C65" s="18" t="n">
        <v>37</v>
      </c>
      <c r="D65" s="19" t="n">
        <v>35</v>
      </c>
      <c r="E65" s="19" t="n">
        <v>63</v>
      </c>
      <c r="F65" s="19" t="n">
        <v>2510296</v>
      </c>
      <c r="G65" s="1"/>
    </row>
    <row r="66">
      <c r="B66" s="21" t="s">
        <v>50</v>
      </c>
      <c r="C66" s="18" t="n">
        <v>40</v>
      </c>
      <c r="D66" s="19" t="n">
        <v>30</v>
      </c>
      <c r="E66" s="19" t="n">
        <v>117</v>
      </c>
      <c r="F66" s="19" t="n">
        <v>911731</v>
      </c>
      <c r="G66" s="1"/>
    </row>
    <row r="67">
      <c r="B67" s="21" t="s">
        <v>51</v>
      </c>
      <c r="C67" s="18" t="n">
        <v>48</v>
      </c>
      <c r="D67" s="19" t="n">
        <v>39</v>
      </c>
      <c r="E67" s="19" t="n">
        <v>28</v>
      </c>
      <c r="F67" s="19" t="n">
        <v>931603</v>
      </c>
      <c r="G67" s="1"/>
    </row>
    <row r="68">
      <c r="B68" s="21" t="s">
        <v>52</v>
      </c>
      <c r="C68" s="18" t="n">
        <v>48</v>
      </c>
      <c r="D68" s="19" t="n">
        <v>34</v>
      </c>
      <c r="E68" s="19" t="n">
        <v>39</v>
      </c>
      <c r="F68" s="19" t="n">
        <v>400099</v>
      </c>
      <c r="G68" s="1"/>
    </row>
    <row r="69">
      <c r="B69" s="21" t="s">
        <v>53</v>
      </c>
      <c r="C69" s="18" t="n">
        <v>33</v>
      </c>
      <c r="D69" s="19" t="n">
        <v>30</v>
      </c>
      <c r="E69" s="19" t="n">
        <v>1</v>
      </c>
      <c r="F69" s="19" t="n">
        <v>699881</v>
      </c>
      <c r="G69" s="1"/>
    </row>
    <row r="70">
      <c r="B70" s="21" t="s">
        <v>54</v>
      </c>
      <c r="C70" s="18" t="n">
        <v>50</v>
      </c>
      <c r="D70" s="19" t="n">
        <v>27</v>
      </c>
      <c r="E70" s="19" t="n">
        <v>6</v>
      </c>
      <c r="F70" s="19" t="n">
        <v>6286738</v>
      </c>
      <c r="G70" s="1"/>
    </row>
    <row r="71">
      <c r="B71" s="21" t="s">
        <v>55</v>
      </c>
      <c r="C71" s="18" t="n">
        <v>34</v>
      </c>
      <c r="D71" s="19" t="n">
        <v>24</v>
      </c>
      <c r="E71" s="19" t="n">
        <v>8</v>
      </c>
      <c r="F71" s="19" t="n">
        <v>2384346</v>
      </c>
      <c r="G71" s="1"/>
    </row>
    <row r="72">
      <c r="B72" s="21" t="s">
        <v>56</v>
      </c>
      <c r="C72" s="18" t="n">
        <v>43</v>
      </c>
      <c r="D72" s="19" t="n">
        <v>33</v>
      </c>
      <c r="E72" s="19" t="n">
        <v>21</v>
      </c>
      <c r="F72" s="19" t="n">
        <v>3280455</v>
      </c>
      <c r="G72" s="1"/>
    </row>
    <row r="73">
      <c r="B73" s="21" t="s">
        <v>57</v>
      </c>
      <c r="C73" s="18" t="n">
        <v>42</v>
      </c>
      <c r="D73" s="19" t="n">
        <v>35</v>
      </c>
      <c r="E73" s="19" t="n">
        <v>5</v>
      </c>
      <c r="F73" s="19" t="n">
        <v>1523392</v>
      </c>
      <c r="G73" s="1"/>
    </row>
    <row r="74">
      <c r="B74" s="21" t="s">
        <v>58</v>
      </c>
      <c r="C74" s="18" t="n">
        <v>39</v>
      </c>
      <c r="D74" s="19" t="n">
        <v>35</v>
      </c>
      <c r="E74" s="19" t="n">
        <v>3</v>
      </c>
      <c r="F74" s="19" t="n">
        <v>4073460</v>
      </c>
      <c r="G74" s="1"/>
    </row>
    <row r="75">
      <c r="B75" s="21" t="s">
        <v>59</v>
      </c>
      <c r="C75" s="18" t="n">
        <v>45</v>
      </c>
      <c r="D75" s="19" t="n">
        <v>42</v>
      </c>
      <c r="E75" s="19" t="n">
        <v>1</v>
      </c>
      <c r="F75" s="19" t="n">
        <v>2185596</v>
      </c>
      <c r="G75" s="1"/>
    </row>
    <row r="76">
      <c r="B76" s="21" t="s">
        <v>60</v>
      </c>
      <c r="C76" s="18" t="n">
        <v>14</v>
      </c>
      <c r="D76" s="19" t="n">
        <v>13</v>
      </c>
      <c r="E76" s="19" t="n">
        <v>4</v>
      </c>
      <c r="F76" s="19" t="n">
        <v>566706</v>
      </c>
      <c r="G76" s="1"/>
    </row>
    <row r="77">
      <c r="B77" s="21" t="s">
        <v>61</v>
      </c>
      <c r="C77" s="18" t="n">
        <v>11</v>
      </c>
      <c r="D77" s="19" t="n">
        <v>7</v>
      </c>
      <c r="E77" s="19" t="n">
        <v>1</v>
      </c>
      <c r="F77" s="19" t="n">
        <v>5248</v>
      </c>
      <c r="G77" s="1"/>
    </row>
    <row r="78">
      <c r="B78" s="21" t="s">
        <v>14</v>
      </c>
      <c r="C78" s="18" t="n">
        <v>0</v>
      </c>
      <c r="D78" s="19" t="n">
        <v>0</v>
      </c>
      <c r="E78" s="19" t="n">
        <v>0</v>
      </c>
      <c r="F78" s="19" t="n">
        <v>0</v>
      </c>
      <c r="G78" s="1"/>
    </row>
    <row r="79">
      <c r="B79" s="14"/>
      <c r="C79" s="22"/>
      <c r="G79" s="1"/>
    </row>
    <row r="80">
      <c r="B80" s="14"/>
      <c r="C80" s="22"/>
      <c r="G80" s="1"/>
    </row>
    <row r="81">
      <c r="B81" s="14"/>
      <c r="C81" s="22"/>
      <c r="G81" s="1"/>
    </row>
    <row r="82">
      <c r="B82" s="14"/>
      <c r="C82" s="22"/>
      <c r="G82" s="1"/>
    </row>
    <row r="83">
      <c r="B83" s="14"/>
      <c r="C83" s="22"/>
      <c r="G83" s="1"/>
    </row>
    <row r="84">
      <c r="B84" s="14"/>
      <c r="C84" s="22"/>
      <c r="G84" s="1"/>
    </row>
    <row r="85">
      <c r="B85" s="14"/>
      <c r="C85" s="22"/>
      <c r="G85" s="1"/>
    </row>
    <row r="86">
      <c r="B86" s="14"/>
      <c r="C86" s="22"/>
      <c r="G86" s="1"/>
    </row>
    <row r="87">
      <c r="B87" s="14"/>
      <c r="C87" s="22"/>
      <c r="G87" s="1"/>
    </row>
    <row r="88">
      <c r="B88" s="14"/>
      <c r="C88" s="22"/>
      <c r="G88" s="1"/>
    </row>
    <row r="89">
      <c r="B89" s="14"/>
      <c r="C89" s="22"/>
      <c r="G89" s="1"/>
    </row>
    <row r="90">
      <c r="B90" s="14"/>
      <c r="C90" s="22"/>
      <c r="G90" s="1"/>
    </row>
    <row r="91">
      <c r="B91" s="14"/>
      <c r="C91" s="22"/>
      <c r="G91" s="1"/>
    </row>
    <row r="92">
      <c r="B92" s="14"/>
      <c r="C92" s="22"/>
      <c r="G92" s="1"/>
    </row>
    <row r="93">
      <c r="B93" s="14"/>
      <c r="C93" s="22"/>
      <c r="G93" s="1"/>
    </row>
    <row r="94">
      <c r="B94" s="14"/>
      <c r="C94" s="22"/>
      <c r="G94" s="1"/>
    </row>
    <row r="95">
      <c r="B95" s="14"/>
      <c r="C95" s="22"/>
      <c r="G95" s="1"/>
    </row>
    <row r="96">
      <c r="B96" s="14"/>
      <c r="C96" s="22"/>
      <c r="G96" s="1"/>
    </row>
    <row r="97">
      <c r="B97" s="14"/>
      <c r="C97" s="22"/>
      <c r="G97" s="1"/>
    </row>
    <row r="98">
      <c r="B98" s="14"/>
      <c r="C98" s="22"/>
      <c r="G98" s="1"/>
    </row>
    <row r="99">
      <c r="B99" s="14"/>
      <c r="C99" s="22"/>
      <c r="G99" s="1"/>
    </row>
    <row r="100">
      <c r="B100" s="14"/>
      <c r="C100" s="22"/>
      <c r="G100" s="1"/>
    </row>
    <row r="101">
      <c r="B101" s="14"/>
      <c r="C101" s="22"/>
      <c r="G101" s="1"/>
    </row>
    <row r="102">
      <c r="B102" s="14"/>
      <c r="C102" s="22"/>
      <c r="G102" s="1"/>
    </row>
    <row r="103">
      <c r="B103" s="14"/>
      <c r="C103" s="22"/>
      <c r="G103" s="1"/>
    </row>
    <row r="104">
      <c r="B104" s="14"/>
      <c r="C104" s="22"/>
      <c r="G104" s="1"/>
    </row>
    <row r="105">
      <c r="B105" s="14"/>
      <c r="C105" s="22"/>
      <c r="G105" s="1"/>
    </row>
    <row r="106">
      <c r="B106" s="14"/>
      <c r="C106" s="22"/>
      <c r="G106" s="1"/>
    </row>
    <row r="107">
      <c r="B107" s="14"/>
      <c r="C107" s="22"/>
      <c r="G107" s="1"/>
    </row>
    <row r="108">
      <c r="B108" s="14"/>
      <c r="C108" s="22"/>
      <c r="G108" s="1"/>
    </row>
    <row r="109">
      <c r="B109" s="14"/>
      <c r="C109" s="22"/>
      <c r="G109" s="1"/>
    </row>
    <row r="110">
      <c r="B110" s="14"/>
      <c r="C110" s="22"/>
      <c r="G110" s="1"/>
    </row>
    <row r="111">
      <c r="B111" s="14"/>
      <c r="C111" s="22"/>
      <c r="G111" s="1"/>
    </row>
    <row r="112">
      <c r="B112" s="14"/>
      <c r="C112" s="22"/>
      <c r="G112" s="1"/>
    </row>
    <row r="113">
      <c r="B113" s="14"/>
      <c r="C113" s="22"/>
      <c r="G113" s="1"/>
    </row>
    <row r="114">
      <c r="B114" s="14"/>
      <c r="C114" s="22"/>
      <c r="G114" s="1"/>
    </row>
    <row r="115">
      <c r="B115" s="14"/>
      <c r="C115" s="22"/>
      <c r="G115" s="1"/>
    </row>
    <row r="116">
      <c r="B116" s="14"/>
      <c r="C116" s="22"/>
      <c r="G116" s="1"/>
    </row>
    <row r="117">
      <c r="B117" s="14"/>
      <c r="C117" s="22"/>
      <c r="G117" s="1"/>
    </row>
    <row r="118">
      <c r="B118" s="14"/>
      <c r="C118" s="22"/>
      <c r="G118" s="1"/>
    </row>
    <row r="119">
      <c r="B119" s="14"/>
      <c r="C119" s="22"/>
      <c r="G119" s="1"/>
    </row>
    <row r="120">
      <c r="B120" s="14"/>
      <c r="C120" s="22"/>
      <c r="G120" s="1"/>
    </row>
    <row r="121">
      <c r="B121" s="14"/>
      <c r="C121" s="22"/>
      <c r="G121" s="1"/>
    </row>
    <row r="122">
      <c r="B122" s="14"/>
      <c r="C122" s="22"/>
      <c r="G122" s="1"/>
    </row>
    <row r="123">
      <c r="B123" s="14"/>
      <c r="C123" s="22"/>
      <c r="G123" s="1"/>
    </row>
    <row r="124">
      <c r="B124" s="14"/>
      <c r="C124" s="22"/>
      <c r="G124" s="1"/>
    </row>
    <row r="125">
      <c r="B125" s="14"/>
      <c r="C125" s="22"/>
      <c r="G125" s="1"/>
    </row>
    <row r="126">
      <c r="B126" s="14"/>
      <c r="C126" s="22"/>
      <c r="G126" s="1"/>
    </row>
    <row r="127">
      <c r="B127" s="14"/>
      <c r="C127" s="22"/>
      <c r="G127" s="1"/>
    </row>
    <row r="128">
      <c r="B128" s="14"/>
      <c r="C128" s="22"/>
      <c r="G128" s="1"/>
    </row>
    <row r="129">
      <c r="B129" s="14"/>
      <c r="C129" s="22"/>
      <c r="G129" s="1"/>
    </row>
    <row r="130">
      <c r="B130" s="14"/>
      <c r="C130" s="22"/>
      <c r="G130" s="1"/>
    </row>
    <row r="131">
      <c r="B131" s="14"/>
      <c r="C131" s="22"/>
      <c r="G131" s="1"/>
    </row>
    <row r="132">
      <c r="B132" s="14"/>
    </row>
    <row r="133">
      <c r="B133" s="14"/>
    </row>
    <row r="134">
      <c r="B134" s="14"/>
    </row>
    <row r="135">
      <c r="B135" s="14"/>
    </row>
    <row r="136">
      <c r="B136" s="14"/>
    </row>
    <row r="137">
      <c r="B137" s="14"/>
    </row>
    <row r="138">
      <c r="B138" s="14"/>
    </row>
  </sheetData>
  <printOptions gridLines="false" gridLinesSet="true"/>
  <pageMargins left="0.699999988079071" top="0.75" right="0.699999988079071" bottom="0.75" header="0.300000011920929" footer="0.300000011920929"/>
  <pageSetup orientation="default" fitToHeight="1" fitToWidth="1" paperSize="1" cellComments="none"/>
  <headerFooter alignWithMargins="true" scaleWithDoc="true">
    <oddHeader/>
    <oddFooter/>
  </headerFooter>
  <drawing r:id="rId1"/>
</worksheet>
</file>

<file path=xl/worksheets/sheet2.xml><?xml version="1.0" encoding="utf-8"?>
<worksheet xmlns:r="http://schemas.openxmlformats.org/officeDocument/2006/relationships" xmlns="http://schemas.openxmlformats.org/spreadsheetml/2006/main">
  <sheetPr>
    <outlinePr summaryBelow="true" summaryRight="true"/>
    <pageSetUpPr fitToPage="false"/>
  </sheetPr>
  <dimension ref="A1:DE1339"/>
  <sheetViews>
    <sheetView workbookViewId="0" tabSelected="true" showZeros="true" showFormulas="false" showGridLines="true" showRowColHeaders="true">
      <selection sqref="E4" activeCell="E4"/>
    </sheetView>
  </sheetViews>
  <sheetFormatPr defaultColWidth="8.85546875" customHeight="true" defaultRowHeight="14.25"/>
  <cols>
    <col max="1" min="1" style="0" width="8.85546875" customWidth="true" bestFit="true"/>
    <col max="2" min="2" style="0" width="20.99609375" customWidth="true"/>
    <col max="4" min="3" style="0" width="13" customWidth="true"/>
    <col max="5" min="5" style="14" width="72" customWidth="true"/>
    <col max="9" min="6" style="14" width="13" customWidth="true"/>
    <col max="10" min="10" style="1" width="13" customWidth="true"/>
    <col max="11" min="11" style="0" width="13" customWidth="true"/>
    <col max="12" min="12" style="1" width="13" customWidth="true"/>
    <col max="17" min="13" style="14" width="13" customWidth="true"/>
    <col max="109" min="18" style="0" width="13" customWidth="true"/>
  </cols>
  <sheetData>
    <row r="1" customHeight="true" ht="34.5">
      <c r="B1" s="0"/>
      <c r="E1" s="0"/>
      <c r="F1" s="0"/>
      <c r="G1" s="0"/>
      <c r="H1" s="0"/>
      <c r="I1" s="0"/>
      <c r="J1" s="0"/>
    </row>
    <row r="2">
      <c r="C2" s="2"/>
      <c r="K2" s="1"/>
    </row>
    <row r="3">
      <c r="B3" s="3" t="s">
        <v>0</v>
      </c>
      <c r="C3" s="4" t="s">
        <v>1</v>
      </c>
      <c r="K3" s="1"/>
    </row>
    <row r="4">
      <c r="B4" s="3" t="s">
        <v>2</v>
      </c>
      <c r="C4" s="4" t="s">
        <v>3</v>
      </c>
    </row>
    <row r="5">
      <c r="C5" s="4"/>
      <c r="D5" s="4"/>
      <c r="E5" s="23"/>
      <c r="F5" s="23"/>
      <c r="G5" s="23"/>
      <c r="H5" s="23"/>
      <c r="I5" s="23"/>
      <c r="J5" s="6"/>
      <c r="K5" s="4"/>
    </row>
    <row r="6">
      <c r="B6" s="15" t="s">
        <v>9</v>
      </c>
      <c r="C6" s="15" t="s">
        <v>62</v>
      </c>
      <c r="D6" s="15" t="s">
        <v>63</v>
      </c>
      <c r="E6" s="15" t="s">
        <v>64</v>
      </c>
      <c r="F6" s="15" t="s">
        <v>65</v>
      </c>
      <c r="G6" s="15" t="s">
        <v>66</v>
      </c>
      <c r="H6" s="15" t="s">
        <v>67</v>
      </c>
      <c r="I6" s="15" t="s">
        <v>68</v>
      </c>
      <c r="J6" s="15" t="s">
        <v>69</v>
      </c>
      <c r="K6" s="15" t="s">
        <v>70</v>
      </c>
      <c r="L6" s="15" t="s">
        <v>71</v>
      </c>
      <c r="M6" s="24" t="s">
        <v>72</v>
      </c>
      <c r="N6" s="24" t="s">
        <v>73</v>
      </c>
      <c r="O6" s="15" t="s">
        <v>74</v>
      </c>
      <c r="P6" s="15" t="s">
        <v>75</v>
      </c>
      <c r="Q6" s="15" t="s">
        <v>13</v>
      </c>
      <c r="R6" s="15" t="s">
        <v>76</v>
      </c>
      <c r="S6" s="15" t="s">
        <v>77</v>
      </c>
      <c r="T6" s="15" t="s">
        <v>78</v>
      </c>
      <c r="U6" s="15" t="s">
        <v>79</v>
      </c>
      <c r="V6" s="15" t="s">
        <v>12</v>
      </c>
      <c r="W6" s="15" t="s">
        <v>80</v>
      </c>
      <c r="X6" s="15" t="s">
        <v>81</v>
      </c>
      <c r="Y6" s="15" t="s">
        <v>82</v>
      </c>
      <c r="Z6" s="15" t="s">
        <v>83</v>
      </c>
      <c r="AA6" s="15" t="s">
        <v>84</v>
      </c>
      <c r="AB6" s="15" t="s">
        <v>85</v>
      </c>
      <c r="AC6" s="15" t="s">
        <v>86</v>
      </c>
      <c r="AD6" s="15" t="s">
        <v>87</v>
      </c>
      <c r="AE6" s="15" t="s">
        <v>88</v>
      </c>
      <c r="AF6" s="15" t="s">
        <v>89</v>
      </c>
      <c r="AG6" s="15" t="s">
        <v>90</v>
      </c>
      <c r="AH6" s="15" t="s">
        <v>91</v>
      </c>
      <c r="AI6" s="15" t="s">
        <v>92</v>
      </c>
      <c r="AJ6" s="15" t="s">
        <v>93</v>
      </c>
      <c r="AK6" s="15" t="s">
        <v>94</v>
      </c>
      <c r="AL6" s="15" t="s">
        <v>95</v>
      </c>
      <c r="AM6" s="15" t="s">
        <v>96</v>
      </c>
      <c r="AN6" s="15" t="s">
        <v>97</v>
      </c>
      <c r="AO6" s="15" t="s">
        <v>98</v>
      </c>
      <c r="AP6" s="15" t="s">
        <v>99</v>
      </c>
      <c r="AQ6" s="15" t="s">
        <v>100</v>
      </c>
      <c r="AR6" s="15" t="s">
        <v>101</v>
      </c>
      <c r="AS6" s="15" t="s">
        <v>102</v>
      </c>
      <c r="AT6" s="15" t="s">
        <v>103</v>
      </c>
      <c r="AU6" s="15" t="s">
        <v>104</v>
      </c>
      <c r="AV6" s="15" t="s">
        <v>105</v>
      </c>
      <c r="AW6" s="15" t="s">
        <v>106</v>
      </c>
      <c r="AX6" s="15" t="s">
        <v>107</v>
      </c>
      <c r="AY6" s="15" t="s">
        <v>108</v>
      </c>
      <c r="AZ6" s="15" t="s">
        <v>109</v>
      </c>
      <c r="BA6" s="15" t="s">
        <v>110</v>
      </c>
      <c r="BB6" s="15" t="s">
        <v>111</v>
      </c>
      <c r="BC6" s="15" t="s">
        <v>112</v>
      </c>
      <c r="BD6" s="15" t="s">
        <v>113</v>
      </c>
      <c r="BE6" s="15" t="s">
        <v>114</v>
      </c>
      <c r="BF6" s="15" t="s">
        <v>115</v>
      </c>
      <c r="BG6" s="15" t="s">
        <v>116</v>
      </c>
      <c r="BH6" s="15" t="s">
        <v>117</v>
      </c>
      <c r="BI6" s="15" t="s">
        <v>118</v>
      </c>
      <c r="BJ6" s="15" t="s">
        <v>119</v>
      </c>
      <c r="BK6" s="15" t="s">
        <v>120</v>
      </c>
      <c r="BL6" s="15" t="s">
        <v>121</v>
      </c>
      <c r="BM6" s="15" t="s">
        <v>122</v>
      </c>
      <c r="BN6" s="15" t="s">
        <v>123</v>
      </c>
      <c r="BO6" s="15" t="s">
        <v>124</v>
      </c>
      <c r="BP6" s="15" t="s">
        <v>125</v>
      </c>
      <c r="BQ6" s="15" t="s">
        <v>126</v>
      </c>
      <c r="BR6" s="15" t="s">
        <v>127</v>
      </c>
      <c r="BS6" s="15" t="s">
        <v>128</v>
      </c>
      <c r="BT6" s="15" t="s">
        <v>129</v>
      </c>
      <c r="BU6" s="15" t="s">
        <v>130</v>
      </c>
      <c r="BV6" s="15" t="s">
        <v>131</v>
      </c>
      <c r="BW6" s="15" t="s">
        <v>132</v>
      </c>
      <c r="BX6" s="15" t="s">
        <v>133</v>
      </c>
      <c r="BY6" s="15" t="s">
        <v>134</v>
      </c>
      <c r="BZ6" s="15" t="s">
        <v>135</v>
      </c>
      <c r="CA6" s="15" t="s">
        <v>136</v>
      </c>
      <c r="CB6" s="15" t="s">
        <v>137</v>
      </c>
      <c r="CC6" s="15" t="s">
        <v>138</v>
      </c>
      <c r="CD6" s="15" t="s">
        <v>139</v>
      </c>
      <c r="CE6" s="15" t="s">
        <v>140</v>
      </c>
      <c r="CF6" s="15" t="s">
        <v>141</v>
      </c>
      <c r="CG6" s="15" t="s">
        <v>142</v>
      </c>
      <c r="CH6" s="15" t="s">
        <v>143</v>
      </c>
      <c r="CI6" s="15" t="s">
        <v>144</v>
      </c>
      <c r="CJ6" s="15" t="s">
        <v>145</v>
      </c>
      <c r="CK6" s="15" t="s">
        <v>146</v>
      </c>
      <c r="CL6" s="15" t="s">
        <v>147</v>
      </c>
      <c r="CM6" s="15" t="s">
        <v>148</v>
      </c>
      <c r="CN6" s="15" t="s">
        <v>149</v>
      </c>
      <c r="CO6" s="15" t="s">
        <v>150</v>
      </c>
      <c r="CP6" s="15" t="s">
        <v>151</v>
      </c>
      <c r="CQ6" s="15" t="s">
        <v>152</v>
      </c>
      <c r="CR6" s="15" t="s">
        <v>153</v>
      </c>
      <c r="CS6" s="15" t="s">
        <v>154</v>
      </c>
      <c r="CT6" s="15" t="s">
        <v>155</v>
      </c>
      <c r="CU6" s="15" t="s">
        <v>156</v>
      </c>
      <c r="CV6" s="15" t="s">
        <v>157</v>
      </c>
      <c r="CW6" s="15" t="s">
        <v>158</v>
      </c>
      <c r="CX6" s="15" t="s">
        <v>159</v>
      </c>
      <c r="CY6" s="15" t="s">
        <v>160</v>
      </c>
      <c r="CZ6" s="15" t="s">
        <v>161</v>
      </c>
      <c r="DA6" s="15" t="s">
        <v>162</v>
      </c>
      <c r="DB6" s="15" t="s">
        <v>163</v>
      </c>
      <c r="DC6" s="15" t="s">
        <v>164</v>
      </c>
      <c r="DD6" s="15" t="s">
        <v>165</v>
      </c>
      <c r="DE6" s="15" t="s">
        <v>166</v>
      </c>
    </row>
    <row r="7" ht="1332.75">
      <c r="B7" s="0" t="s">
        <v>167</v>
      </c>
      <c r="C7" s="1" t="n">
        <v>354153</v>
      </c>
      <c r="E7" s="14" t="s">
        <v>168</v>
      </c>
      <c r="F7" s="14" t="s">
        <v>169</v>
      </c>
      <c r="G7" s="25" t="str">
        <f>HYPERLINK("http://www.ok.ru/profile/571050411863/statuses/155911399364695")</f>
      </c>
      <c r="H7" s="14" t="s">
        <v>170</v>
      </c>
      <c r="I7" s="14" t="s">
        <v>171</v>
      </c>
      <c r="J7" s="14" t="s">
        <v>172</v>
      </c>
      <c r="K7" s="26" t="str">
        <f>HYPERLINK("http://www.ok.ru/profile/571050411863")</f>
      </c>
      <c r="L7" s="14" t="s">
        <v>173</v>
      </c>
      <c r="O7" s="1" t="s">
        <v>174</v>
      </c>
      <c r="P7" s="1" t="n">
        <v>73</v>
      </c>
      <c r="Q7" s="1" t="n">
        <v>205</v>
      </c>
      <c r="R7" s="1" t="n">
        <v>0</v>
      </c>
      <c r="S7" s="1"/>
      <c r="T7" s="1" t="n">
        <v>0</v>
      </c>
      <c r="U7" s="1" t="n">
        <v>0</v>
      </c>
      <c r="V7" s="1" t="n">
        <v>0</v>
      </c>
      <c r="W7" s="1"/>
      <c r="Y7" s="1" t="n">
        <v>1</v>
      </c>
      <c r="Z7" s="0" t="s">
        <v>175</v>
      </c>
      <c r="AA7" s="0" t="s">
        <v>176</v>
      </c>
      <c r="AC7" s="0" t="s">
        <v>177</v>
      </c>
      <c r="AD7" s="0" t="s">
        <v>178</v>
      </c>
      <c r="AE7" s="0" t="s">
        <v>179</v>
      </c>
      <c r="AH7" s="0" t="s">
        <v>180</v>
      </c>
      <c r="AJ7" s="0" t="s">
        <v>181</v>
      </c>
      <c r="AK7" s="0" t="s">
        <v>94</v>
      </c>
      <c r="AM7" s="0" t="s">
        <v>96</v>
      </c>
      <c r="AN7" s="0" t="s">
        <v>97</v>
      </c>
      <c r="AO7" s="0" t="s">
        <v>98</v>
      </c>
      <c r="AQ7" s="0" t="s">
        <v>100</v>
      </c>
      <c r="AS7" s="0" t="s">
        <v>102</v>
      </c>
      <c r="AW7" s="0" t="s">
        <v>106</v>
      </c>
      <c r="BB7" s="0" t="s">
        <v>111</v>
      </c>
      <c r="BG7" s="0" t="s">
        <v>116</v>
      </c>
      <c r="BL7" s="0" t="s">
        <v>121</v>
      </c>
      <c r="BM7" s="0" t="s">
        <v>122</v>
      </c>
      <c r="BQ7" s="0" t="s">
        <v>126</v>
      </c>
    </row>
    <row r="8" ht="24.75">
      <c r="B8" s="0" t="s">
        <v>182</v>
      </c>
      <c r="C8" s="1" t="n">
        <v>354157</v>
      </c>
      <c r="E8" s="14" t="s">
        <v>183</v>
      </c>
      <c r="F8" s="14" t="s">
        <v>184</v>
      </c>
      <c r="G8" s="25" t="str">
        <f>HYPERLINK("http://vk.com/wall100631263_352")</f>
      </c>
      <c r="H8" s="14" t="s">
        <v>170</v>
      </c>
      <c r="I8" s="14" t="s">
        <v>171</v>
      </c>
      <c r="J8" s="14" t="s">
        <v>185</v>
      </c>
      <c r="K8" s="26" t="str">
        <f>HYPERLINK("http://vk.com/id100631263")</f>
      </c>
      <c r="L8" s="14" t="s">
        <v>173</v>
      </c>
      <c r="O8" s="1" t="s">
        <v>186</v>
      </c>
      <c r="P8" s="1"/>
      <c r="Q8" s="1" t="n">
        <v>56</v>
      </c>
      <c r="R8" s="1" t="n">
        <v>0</v>
      </c>
      <c r="S8" s="1"/>
      <c r="T8" s="1" t="n">
        <v>0</v>
      </c>
      <c r="U8" s="1" t="n">
        <v>0</v>
      </c>
      <c r="V8" s="1" t="n">
        <v>0</v>
      </c>
      <c r="W8" s="1"/>
      <c r="Y8" s="1" t="n">
        <v>62</v>
      </c>
      <c r="Z8" s="0" t="s">
        <v>175</v>
      </c>
      <c r="AA8" s="0" t="s">
        <v>187</v>
      </c>
      <c r="AC8" s="0" t="s">
        <v>177</v>
      </c>
      <c r="AD8" s="0" t="s">
        <v>188</v>
      </c>
      <c r="AE8" s="0" t="s">
        <v>189</v>
      </c>
      <c r="AH8" s="0" t="s">
        <v>180</v>
      </c>
      <c r="AJ8" s="0" t="s">
        <v>181</v>
      </c>
      <c r="AK8" s="0" t="s">
        <v>94</v>
      </c>
      <c r="AN8" s="0" t="s">
        <v>97</v>
      </c>
      <c r="AR8" s="0" t="s">
        <v>101</v>
      </c>
      <c r="AS8" s="0" t="s">
        <v>102</v>
      </c>
      <c r="AW8" s="0" t="s">
        <v>106</v>
      </c>
      <c r="BB8" s="0" t="s">
        <v>111</v>
      </c>
      <c r="BE8" s="0" t="s">
        <v>114</v>
      </c>
    </row>
    <row r="9">
      <c r="B9" s="0" t="s">
        <v>190</v>
      </c>
      <c r="C9" s="1" t="n">
        <v>354143</v>
      </c>
      <c r="E9" s="14" t="s">
        <v>191</v>
      </c>
      <c r="F9" s="14" t="s">
        <v>192</v>
      </c>
      <c r="G9" s="25" t="str">
        <f>HYPERLINK("https://telegram.me/spayscccchat/932410")</f>
      </c>
      <c r="H9" s="14" t="s">
        <v>193</v>
      </c>
      <c r="I9" s="14" t="s">
        <v>194</v>
      </c>
      <c r="J9" s="14" t="s">
        <v>195</v>
      </c>
      <c r="K9" s="26" t="str">
        <f>HYPERLINK("https://telegram.me/rildedinsaid")</f>
      </c>
      <c r="L9" s="14" t="s">
        <v>173</v>
      </c>
      <c r="M9" s="14" t="s">
        <v>196</v>
      </c>
      <c r="N9" s="25" t="str">
        <f>HYPERLINK("https://telegram.me/spayscccchat")</f>
      </c>
      <c r="O9" s="1"/>
      <c r="P9" s="1"/>
      <c r="Q9" s="1" t="n">
        <v>4262</v>
      </c>
      <c r="R9" s="1" t="n">
        <v>0</v>
      </c>
      <c r="S9" s="1"/>
      <c r="T9" s="1" t="n">
        <v>0</v>
      </c>
      <c r="U9" s="1" t="n">
        <v>0</v>
      </c>
      <c r="V9" s="1" t="n">
        <v>0</v>
      </c>
      <c r="W9" s="1"/>
      <c r="Y9" s="1" t="n">
        <v>1</v>
      </c>
      <c r="Z9" s="0" t="s">
        <v>175</v>
      </c>
      <c r="AA9" s="0" t="s">
        <v>187</v>
      </c>
      <c r="AH9" s="0" t="s">
        <v>180</v>
      </c>
      <c r="AI9" s="0" t="s">
        <v>92</v>
      </c>
      <c r="AJ9" s="0" t="s">
        <v>181</v>
      </c>
      <c r="AK9" s="0" t="s">
        <v>94</v>
      </c>
      <c r="AR9" s="0" t="s">
        <v>101</v>
      </c>
    </row>
    <row r="10">
      <c r="B10" s="0" t="s">
        <v>197</v>
      </c>
      <c r="C10" s="1" t="n">
        <v>354146</v>
      </c>
      <c r="E10" s="14" t="s">
        <v>198</v>
      </c>
      <c r="F10" s="14" t="s">
        <v>192</v>
      </c>
      <c r="G10" s="25" t="str">
        <f>HYPERLINK("https://telegram.me/spayscccchat/932405")</f>
      </c>
      <c r="H10" s="14" t="s">
        <v>193</v>
      </c>
      <c r="I10" s="14" t="s">
        <v>194</v>
      </c>
      <c r="J10" s="14" t="s">
        <v>199</v>
      </c>
      <c r="K10" s="26" t="str">
        <f>HYPERLINK("https://telegram.me/wuwouiii")</f>
      </c>
      <c r="L10" s="14" t="s">
        <v>173</v>
      </c>
      <c r="M10" s="14" t="s">
        <v>196</v>
      </c>
      <c r="N10" s="25" t="str">
        <f>HYPERLINK("https://telegram.me/spayscccchat")</f>
      </c>
      <c r="O10" s="1"/>
      <c r="P10" s="1"/>
      <c r="Q10" s="1" t="n">
        <v>4262</v>
      </c>
      <c r="R10" s="1" t="n">
        <v>0</v>
      </c>
      <c r="S10" s="1"/>
      <c r="T10" s="1" t="n">
        <v>0</v>
      </c>
      <c r="U10" s="1" t="n">
        <v>0</v>
      </c>
      <c r="V10" s="1" t="n">
        <v>0</v>
      </c>
      <c r="W10" s="1"/>
      <c r="Y10" s="1" t="n">
        <v>1</v>
      </c>
      <c r="Z10" s="0" t="s">
        <v>175</v>
      </c>
      <c r="AA10" s="0" t="s">
        <v>187</v>
      </c>
      <c r="AH10" s="0" t="s">
        <v>180</v>
      </c>
      <c r="AI10" s="0" t="s">
        <v>92</v>
      </c>
      <c r="AJ10" s="0" t="s">
        <v>181</v>
      </c>
      <c r="AK10" s="0" t="s">
        <v>94</v>
      </c>
      <c r="AR10" s="0" t="s">
        <v>101</v>
      </c>
    </row>
    <row r="11">
      <c r="B11" s="0" t="s">
        <v>197</v>
      </c>
      <c r="C11" s="1" t="n">
        <v>354147</v>
      </c>
      <c r="E11" s="14" t="s">
        <v>200</v>
      </c>
      <c r="F11" s="14" t="s">
        <v>192</v>
      </c>
      <c r="G11" s="25" t="str">
        <f>HYPERLINK("https://telegram.me/spayscccchat/932401")</f>
      </c>
      <c r="H11" s="14" t="s">
        <v>193</v>
      </c>
      <c r="I11" s="14" t="s">
        <v>194</v>
      </c>
      <c r="J11" s="14" t="s">
        <v>195</v>
      </c>
      <c r="K11" s="26" t="str">
        <f>HYPERLINK("https://telegram.me/rildedinsaid")</f>
      </c>
      <c r="L11" s="14" t="s">
        <v>173</v>
      </c>
      <c r="M11" s="14" t="s">
        <v>196</v>
      </c>
      <c r="N11" s="25" t="str">
        <f>HYPERLINK("https://telegram.me/spayscccchat")</f>
      </c>
      <c r="O11" s="1"/>
      <c r="P11" s="1"/>
      <c r="Q11" s="1" t="n">
        <v>4262</v>
      </c>
      <c r="R11" s="1" t="n">
        <v>0</v>
      </c>
      <c r="S11" s="1"/>
      <c r="T11" s="1" t="n">
        <v>0</v>
      </c>
      <c r="U11" s="1" t="n">
        <v>0</v>
      </c>
      <c r="V11" s="1" t="n">
        <v>0</v>
      </c>
      <c r="W11" s="1"/>
      <c r="Y11" s="1" t="n">
        <v>1</v>
      </c>
      <c r="Z11" s="0" t="s">
        <v>175</v>
      </c>
      <c r="AA11" s="0" t="s">
        <v>187</v>
      </c>
      <c r="AH11" s="0" t="s">
        <v>180</v>
      </c>
      <c r="AJ11" s="0" t="s">
        <v>181</v>
      </c>
      <c r="AK11" s="0" t="s">
        <v>94</v>
      </c>
      <c r="AR11" s="0" t="s">
        <v>101</v>
      </c>
    </row>
    <row r="12" ht="36.75">
      <c r="B12" s="0" t="s">
        <v>201</v>
      </c>
      <c r="C12" s="1" t="n">
        <v>354148</v>
      </c>
      <c r="E12" s="14" t="s">
        <v>202</v>
      </c>
      <c r="F12" s="14" t="s">
        <v>184</v>
      </c>
      <c r="G12" s="25" t="str">
        <f>HYPERLINK("http://vk.com/wall301310755_23937")</f>
      </c>
      <c r="H12" s="14" t="s">
        <v>170</v>
      </c>
      <c r="I12" s="14" t="s">
        <v>171</v>
      </c>
      <c r="J12" s="14" t="s">
        <v>203</v>
      </c>
      <c r="K12" s="26" t="str">
        <f>HYPERLINK("http://vk.com/id301310755")</f>
      </c>
      <c r="L12" s="14" t="s">
        <v>173</v>
      </c>
      <c r="O12" s="1" t="s">
        <v>186</v>
      </c>
      <c r="P12" s="1" t="n">
        <v>65</v>
      </c>
      <c r="Q12" s="1" t="n">
        <v>19</v>
      </c>
      <c r="R12" s="1" t="n">
        <v>0</v>
      </c>
      <c r="S12" s="1"/>
      <c r="T12" s="1" t="n">
        <v>0</v>
      </c>
      <c r="U12" s="1" t="n">
        <v>0</v>
      </c>
      <c r="V12" s="1" t="n">
        <v>0</v>
      </c>
      <c r="W12" s="1"/>
      <c r="Y12" s="1" t="n">
        <v>60</v>
      </c>
      <c r="Z12" s="0" t="s">
        <v>175</v>
      </c>
      <c r="AA12" s="0" t="s">
        <v>176</v>
      </c>
      <c r="AH12" s="0" t="s">
        <v>180</v>
      </c>
      <c r="AJ12" s="0" t="s">
        <v>181</v>
      </c>
      <c r="AK12" s="0" t="s">
        <v>94</v>
      </c>
      <c r="AM12" s="0" t="s">
        <v>96</v>
      </c>
      <c r="AN12" s="0" t="s">
        <v>97</v>
      </c>
      <c r="AO12" s="0" t="s">
        <v>98</v>
      </c>
      <c r="AQ12" s="0" t="s">
        <v>100</v>
      </c>
      <c r="AS12" s="0" t="s">
        <v>102</v>
      </c>
      <c r="AW12" s="0" t="s">
        <v>106</v>
      </c>
      <c r="BB12" s="0" t="s">
        <v>111</v>
      </c>
      <c r="BG12" s="0" t="s">
        <v>116</v>
      </c>
      <c r="BL12" s="0" t="s">
        <v>121</v>
      </c>
      <c r="BM12" s="0" t="s">
        <v>122</v>
      </c>
      <c r="BQ12" s="0" t="s">
        <v>126</v>
      </c>
    </row>
    <row r="13" ht="48.75">
      <c r="B13" s="0" t="s">
        <v>204</v>
      </c>
      <c r="C13" s="1" t="n">
        <v>354115</v>
      </c>
      <c r="D13" s="0" t="s">
        <v>205</v>
      </c>
      <c r="E13" s="14" t="s">
        <v>206</v>
      </c>
      <c r="F13" s="14" t="s">
        <v>207</v>
      </c>
      <c r="G13" s="25" t="str">
        <f>HYPERLINK("https://omsk.media/news/ekonomika/131120-v-omskih-aptekah-podorozhal-ryad-zhiznenno-neobhodimyh-lekarstv-ekonomika-omsk.html")</f>
      </c>
      <c r="H13" s="14" t="s">
        <v>208</v>
      </c>
      <c r="I13" s="14" t="s">
        <v>194</v>
      </c>
      <c r="J13" s="14"/>
      <c r="L13" s="14"/>
      <c r="O13" s="1"/>
      <c r="P13" s="1"/>
      <c r="Q13" s="1"/>
      <c r="R13" s="1" t="n">
        <v>0</v>
      </c>
      <c r="S13" s="1" t="n">
        <v>3</v>
      </c>
      <c r="T13" s="1" t="n">
        <v>0</v>
      </c>
      <c r="U13" s="1" t="n">
        <v>0</v>
      </c>
      <c r="V13" s="1" t="n">
        <v>0</v>
      </c>
      <c r="W13" s="1"/>
      <c r="Y13" s="1" t="n">
        <v>1</v>
      </c>
      <c r="Z13" s="0" t="s">
        <v>175</v>
      </c>
      <c r="AA13" s="0" t="s">
        <v>176</v>
      </c>
      <c r="AH13" s="0" t="s">
        <v>180</v>
      </c>
      <c r="AJ13" s="0" t="s">
        <v>181</v>
      </c>
      <c r="AK13" s="0" t="s">
        <v>94</v>
      </c>
      <c r="BD13" s="0" t="s">
        <v>113</v>
      </c>
      <c r="BJ13" s="0" t="s">
        <v>119</v>
      </c>
    </row>
    <row r="14" ht="36.75">
      <c r="B14" s="0" t="s">
        <v>209</v>
      </c>
      <c r="C14" s="1" t="n">
        <v>354136</v>
      </c>
      <c r="E14" s="14" t="s">
        <v>210</v>
      </c>
      <c r="F14" s="14" t="s">
        <v>169</v>
      </c>
      <c r="G14" s="25" t="str">
        <f>HYPERLINK("http://www.ok.ru/profile/585435311875/statuses/154798786611203")</f>
      </c>
      <c r="H14" s="14" t="s">
        <v>170</v>
      </c>
      <c r="I14" s="14" t="s">
        <v>171</v>
      </c>
      <c r="J14" s="14" t="s">
        <v>211</v>
      </c>
      <c r="K14" s="26" t="str">
        <f>HYPERLINK("http://www.ok.ru/profile/585435311875")</f>
      </c>
      <c r="L14" s="14" t="s">
        <v>173</v>
      </c>
      <c r="O14" s="1" t="s">
        <v>186</v>
      </c>
      <c r="P14" s="1"/>
      <c r="Q14" s="1" t="n">
        <v>166</v>
      </c>
      <c r="R14" s="1" t="n">
        <v>0</v>
      </c>
      <c r="S14" s="1"/>
      <c r="T14" s="1" t="n">
        <v>0</v>
      </c>
      <c r="U14" s="1" t="n">
        <v>0</v>
      </c>
      <c r="V14" s="1" t="n">
        <v>0</v>
      </c>
      <c r="W14" s="1"/>
      <c r="Y14" s="1" t="n">
        <v>2</v>
      </c>
      <c r="Z14" s="0" t="s">
        <v>175</v>
      </c>
      <c r="AA14" s="0" t="s">
        <v>187</v>
      </c>
      <c r="AC14" s="0" t="s">
        <v>177</v>
      </c>
      <c r="AD14" s="0" t="s">
        <v>212</v>
      </c>
      <c r="AE14" s="0" t="s">
        <v>213</v>
      </c>
      <c r="AH14" s="0" t="s">
        <v>180</v>
      </c>
      <c r="AJ14" s="0" t="s">
        <v>181</v>
      </c>
      <c r="AK14" s="0" t="s">
        <v>94</v>
      </c>
      <c r="AM14" s="0" t="s">
        <v>96</v>
      </c>
      <c r="AX14" s="0" t="s">
        <v>107</v>
      </c>
    </row>
    <row r="15">
      <c r="B15" s="0" t="s">
        <v>214</v>
      </c>
      <c r="C15" s="1" t="n">
        <v>354124</v>
      </c>
      <c r="E15" s="14" t="s">
        <v>101</v>
      </c>
      <c r="F15" s="14" t="s">
        <v>192</v>
      </c>
      <c r="G15" s="25" t="str">
        <f>HYPERLINK("https://telegram.me/spayscccchat/932099")</f>
      </c>
      <c r="H15" s="14" t="s">
        <v>193</v>
      </c>
      <c r="I15" s="14" t="s">
        <v>194</v>
      </c>
      <c r="J15" s="14" t="s">
        <v>195</v>
      </c>
      <c r="K15" s="26" t="str">
        <f>HYPERLINK("https://telegram.me/rildedinsaid")</f>
      </c>
      <c r="L15" s="14" t="s">
        <v>173</v>
      </c>
      <c r="M15" s="14" t="s">
        <v>196</v>
      </c>
      <c r="N15" s="25" t="str">
        <f>HYPERLINK("https://telegram.me/spayscccchat")</f>
      </c>
      <c r="O15" s="1"/>
      <c r="P15" s="1"/>
      <c r="Q15" s="1" t="n">
        <v>4262</v>
      </c>
      <c r="R15" s="1" t="n">
        <v>0</v>
      </c>
      <c r="S15" s="1"/>
      <c r="T15" s="1" t="n">
        <v>0</v>
      </c>
      <c r="U15" s="1" t="n">
        <v>0</v>
      </c>
      <c r="V15" s="1" t="n">
        <v>0</v>
      </c>
      <c r="W15" s="1"/>
      <c r="Y15" s="1" t="n">
        <v>2</v>
      </c>
      <c r="Z15" s="0" t="s">
        <v>175</v>
      </c>
      <c r="AA15" s="0" t="s">
        <v>187</v>
      </c>
      <c r="AH15" s="0" t="s">
        <v>180</v>
      </c>
      <c r="AJ15" s="0" t="s">
        <v>181</v>
      </c>
      <c r="AK15" s="0" t="s">
        <v>94</v>
      </c>
      <c r="AR15" s="0" t="s">
        <v>101</v>
      </c>
    </row>
    <row r="16">
      <c r="B16" s="0" t="s">
        <v>215</v>
      </c>
      <c r="C16" s="1" t="n">
        <v>354123</v>
      </c>
      <c r="E16" s="14" t="s">
        <v>101</v>
      </c>
      <c r="F16" s="14" t="s">
        <v>192</v>
      </c>
      <c r="G16" s="25" t="str">
        <f>HYPERLINK("https://telegram.me/spayscccchat/932077")</f>
      </c>
      <c r="H16" s="14" t="s">
        <v>193</v>
      </c>
      <c r="I16" s="14" t="s">
        <v>194</v>
      </c>
      <c r="J16" s="14" t="s">
        <v>195</v>
      </c>
      <c r="K16" s="26" t="str">
        <f>HYPERLINK("https://telegram.me/rildedinsaid")</f>
      </c>
      <c r="L16" s="14" t="s">
        <v>173</v>
      </c>
      <c r="M16" s="14" t="s">
        <v>196</v>
      </c>
      <c r="N16" s="25" t="str">
        <f>HYPERLINK("https://telegram.me/spayscccchat")</f>
      </c>
      <c r="O16" s="1"/>
      <c r="P16" s="1"/>
      <c r="Q16" s="1" t="n">
        <v>4262</v>
      </c>
      <c r="R16" s="1" t="n">
        <v>0</v>
      </c>
      <c r="S16" s="1"/>
      <c r="T16" s="1" t="n">
        <v>0</v>
      </c>
      <c r="U16" s="1" t="n">
        <v>0</v>
      </c>
      <c r="V16" s="1" t="n">
        <v>0</v>
      </c>
      <c r="W16" s="1"/>
      <c r="Y16" s="1" t="n">
        <v>2</v>
      </c>
      <c r="Z16" s="0" t="s">
        <v>175</v>
      </c>
      <c r="AA16" s="0" t="s">
        <v>187</v>
      </c>
      <c r="AH16" s="0" t="s">
        <v>180</v>
      </c>
      <c r="AJ16" s="0" t="s">
        <v>181</v>
      </c>
      <c r="AK16" s="0" t="s">
        <v>94</v>
      </c>
      <c r="AR16" s="0" t="s">
        <v>101</v>
      </c>
    </row>
    <row r="17" ht="384.75">
      <c r="B17" s="0" t="s">
        <v>216</v>
      </c>
      <c r="C17" s="1" t="n">
        <v>354122</v>
      </c>
      <c r="E17" s="14" t="s">
        <v>217</v>
      </c>
      <c r="F17" s="14" t="s">
        <v>184</v>
      </c>
      <c r="G17" s="25" t="str">
        <f>HYPERLINK("http://vk.com/wall95656546_66595")</f>
      </c>
      <c r="H17" s="14" t="s">
        <v>170</v>
      </c>
      <c r="I17" s="14" t="s">
        <v>171</v>
      </c>
      <c r="J17" s="14" t="s">
        <v>218</v>
      </c>
      <c r="K17" s="26" t="str">
        <f>HYPERLINK("http://vk.com/id95656546")</f>
      </c>
      <c r="L17" s="14" t="s">
        <v>173</v>
      </c>
      <c r="O17" s="1" t="s">
        <v>186</v>
      </c>
      <c r="P17" s="1"/>
      <c r="Q17" s="1" t="n">
        <v>540</v>
      </c>
      <c r="R17" s="1" t="n">
        <v>0</v>
      </c>
      <c r="S17" s="1"/>
      <c r="T17" s="1" t="n">
        <v>0</v>
      </c>
      <c r="U17" s="1" t="n">
        <v>1</v>
      </c>
      <c r="V17" s="1" t="n">
        <v>1</v>
      </c>
      <c r="W17" s="1" t="n">
        <v>1</v>
      </c>
      <c r="Y17" s="1" t="n">
        <v>1</v>
      </c>
      <c r="Z17" s="0" t="s">
        <v>175</v>
      </c>
      <c r="AA17" s="0" t="s">
        <v>176</v>
      </c>
      <c r="AC17" s="0" t="s">
        <v>177</v>
      </c>
      <c r="AH17" s="0" t="s">
        <v>180</v>
      </c>
      <c r="AJ17" s="0" t="s">
        <v>181</v>
      </c>
      <c r="AK17" s="0" t="s">
        <v>94</v>
      </c>
      <c r="AN17" s="0" t="s">
        <v>97</v>
      </c>
      <c r="AR17" s="0" t="s">
        <v>101</v>
      </c>
      <c r="AW17" s="0" t="s">
        <v>106</v>
      </c>
      <c r="BF17" s="0" t="s">
        <v>115</v>
      </c>
    </row>
    <row r="18" ht="120.75">
      <c r="B18" s="0" t="s">
        <v>219</v>
      </c>
      <c r="C18" s="1" t="n">
        <v>354090</v>
      </c>
      <c r="D18" s="0" t="s">
        <v>220</v>
      </c>
      <c r="E18" s="14" t="s">
        <v>221</v>
      </c>
      <c r="F18" s="14" t="s">
        <v>222</v>
      </c>
      <c r="G18" s="25" t="str">
        <f>HYPERLINK("https://pskov.bezformata.com/listnews/tcen-na-potrebitelskom-rinke-pskovskoy/116253757/")</f>
      </c>
      <c r="H18" s="14" t="s">
        <v>208</v>
      </c>
      <c r="I18" s="14" t="s">
        <v>194</v>
      </c>
      <c r="J18" s="14"/>
      <c r="L18" s="14"/>
      <c r="O18" s="1"/>
      <c r="P18" s="1"/>
      <c r="Q18" s="1"/>
      <c r="R18" s="1" t="n">
        <v>0</v>
      </c>
      <c r="S18" s="1" t="n">
        <v>33</v>
      </c>
      <c r="T18" s="1" t="n">
        <v>0</v>
      </c>
      <c r="U18" s="1" t="n">
        <v>0</v>
      </c>
      <c r="V18" s="1" t="n">
        <v>0</v>
      </c>
      <c r="W18" s="1"/>
      <c r="Y18" s="1" t="n">
        <v>1</v>
      </c>
      <c r="Z18" s="0" t="s">
        <v>175</v>
      </c>
      <c r="AA18" s="0" t="s">
        <v>223</v>
      </c>
      <c r="AH18" s="0" t="s">
        <v>180</v>
      </c>
      <c r="AJ18" s="0" t="s">
        <v>181</v>
      </c>
      <c r="BP18" s="0" t="s">
        <v>125</v>
      </c>
    </row>
    <row r="19" ht="24.75">
      <c r="B19" s="0" t="s">
        <v>224</v>
      </c>
      <c r="C19" s="1" t="n">
        <v>354118</v>
      </c>
      <c r="E19" s="14" t="s">
        <v>183</v>
      </c>
      <c r="F19" s="14" t="s">
        <v>184</v>
      </c>
      <c r="G19" s="25" t="str">
        <f>HYPERLINK("http://vk.com/wall510443739_876")</f>
      </c>
      <c r="H19" s="14" t="s">
        <v>170</v>
      </c>
      <c r="I19" s="14" t="s">
        <v>171</v>
      </c>
      <c r="J19" s="14" t="s">
        <v>225</v>
      </c>
      <c r="K19" s="26" t="str">
        <f>HYPERLINK("http://vk.com/id510443739")</f>
      </c>
      <c r="L19" s="14" t="s">
        <v>173</v>
      </c>
      <c r="O19" s="1" t="s">
        <v>186</v>
      </c>
      <c r="P19" s="1" t="n">
        <v>44</v>
      </c>
      <c r="Q19" s="1" t="n">
        <v>127</v>
      </c>
      <c r="R19" s="1" t="n">
        <v>0</v>
      </c>
      <c r="S19" s="1"/>
      <c r="T19" s="1" t="n">
        <v>0</v>
      </c>
      <c r="U19" s="1" t="n">
        <v>0</v>
      </c>
      <c r="V19" s="1" t="n">
        <v>0</v>
      </c>
      <c r="W19" s="1"/>
      <c r="Y19" s="1" t="n">
        <v>62</v>
      </c>
      <c r="Z19" s="0" t="s">
        <v>175</v>
      </c>
      <c r="AA19" s="0" t="s">
        <v>187</v>
      </c>
      <c r="AH19" s="0" t="s">
        <v>180</v>
      </c>
      <c r="AJ19" s="0" t="s">
        <v>181</v>
      </c>
      <c r="AK19" s="0" t="s">
        <v>94</v>
      </c>
      <c r="AN19" s="0" t="s">
        <v>97</v>
      </c>
      <c r="AR19" s="0" t="s">
        <v>101</v>
      </c>
      <c r="AS19" s="0" t="s">
        <v>102</v>
      </c>
      <c r="AW19" s="0" t="s">
        <v>106</v>
      </c>
      <c r="BB19" s="0" t="s">
        <v>111</v>
      </c>
      <c r="BE19" s="0" t="s">
        <v>114</v>
      </c>
    </row>
    <row r="20">
      <c r="B20" s="0" t="s">
        <v>224</v>
      </c>
      <c r="C20" s="1" t="n">
        <v>354158</v>
      </c>
      <c r="E20" s="14" t="s">
        <v>226</v>
      </c>
      <c r="F20" s="14" t="s">
        <v>192</v>
      </c>
      <c r="G20" s="25" t="str">
        <f>HYPERLINK("https://telegram.me/ru2chme/1224599")</f>
      </c>
      <c r="H20" s="14" t="s">
        <v>193</v>
      </c>
      <c r="I20" s="14" t="s">
        <v>194</v>
      </c>
      <c r="J20" s="14" t="s">
        <v>227</v>
      </c>
      <c r="K20" s="26" t="str">
        <f>HYPERLINK("https://telegram.me/dijkstra_ru")</f>
      </c>
      <c r="L20" s="14" t="s">
        <v>173</v>
      </c>
      <c r="M20" s="14" t="s">
        <v>228</v>
      </c>
      <c r="N20" s="25" t="str">
        <f>HYPERLINK("https://telegram.me/ru2chme")</f>
      </c>
      <c r="O20" s="1" t="s">
        <v>174</v>
      </c>
      <c r="P20" s="1"/>
      <c r="Q20" s="1" t="n">
        <v>1039</v>
      </c>
      <c r="R20" s="1" t="n">
        <v>0</v>
      </c>
      <c r="S20" s="1"/>
      <c r="T20" s="1" t="n">
        <v>0</v>
      </c>
      <c r="U20" s="1" t="n">
        <v>0</v>
      </c>
      <c r="V20" s="1" t="n">
        <v>0</v>
      </c>
      <c r="W20" s="1"/>
      <c r="Y20" s="1" t="n">
        <v>1</v>
      </c>
      <c r="Z20" s="0" t="s">
        <v>175</v>
      </c>
      <c r="AA20" s="0" t="s">
        <v>187</v>
      </c>
      <c r="AH20" s="0" t="s">
        <v>180</v>
      </c>
      <c r="AJ20" s="0" t="s">
        <v>181</v>
      </c>
      <c r="AK20" s="0" t="s">
        <v>94</v>
      </c>
      <c r="AN20" s="0" t="s">
        <v>97</v>
      </c>
      <c r="AR20" s="0" t="s">
        <v>101</v>
      </c>
      <c r="BU20" s="0" t="s">
        <v>130</v>
      </c>
    </row>
    <row r="21" ht="24.75">
      <c r="B21" s="0" t="s">
        <v>229</v>
      </c>
      <c r="C21" s="1" t="n">
        <v>354155</v>
      </c>
      <c r="E21" s="14" t="s">
        <v>230</v>
      </c>
      <c r="F21" s="14" t="s">
        <v>184</v>
      </c>
      <c r="G21" s="25" t="str">
        <f>HYPERLINK("http://vk.com/wall-145141613_593206?reply=593222")</f>
      </c>
      <c r="H21" s="14" t="s">
        <v>170</v>
      </c>
      <c r="I21" s="14" t="s">
        <v>231</v>
      </c>
      <c r="J21" s="14" t="s">
        <v>232</v>
      </c>
      <c r="K21" s="26" t="str">
        <f>HYPERLINK("http://vk.com/id131746492")</f>
      </c>
      <c r="L21" s="14" t="s">
        <v>173</v>
      </c>
      <c r="M21" s="14" t="s">
        <v>233</v>
      </c>
      <c r="N21" s="25" t="str">
        <f>HYPERLINK("http://vk.com/club145141613")</f>
      </c>
      <c r="O21" s="1" t="s">
        <v>186</v>
      </c>
      <c r="P21" s="1"/>
      <c r="Q21" s="1" t="n">
        <v>23214</v>
      </c>
      <c r="R21" s="1" t="n">
        <v>0</v>
      </c>
      <c r="S21" s="1"/>
      <c r="T21" s="1" t="n">
        <v>0</v>
      </c>
      <c r="U21" s="1" t="n">
        <v>0</v>
      </c>
      <c r="V21" s="1" t="n">
        <v>0</v>
      </c>
      <c r="W21" s="1"/>
      <c r="Y21" s="1" t="n">
        <v>1</v>
      </c>
      <c r="Z21" s="0" t="s">
        <v>175</v>
      </c>
      <c r="AA21" s="0" t="s">
        <v>187</v>
      </c>
      <c r="AC21" s="0" t="s">
        <v>177</v>
      </c>
      <c r="AD21" s="0" t="s">
        <v>234</v>
      </c>
      <c r="AE21" s="0" t="s">
        <v>235</v>
      </c>
      <c r="AH21" s="0" t="s">
        <v>180</v>
      </c>
      <c r="AI21" s="0" t="s">
        <v>92</v>
      </c>
      <c r="AJ21" s="0" t="s">
        <v>181</v>
      </c>
      <c r="AW21" s="0" t="s">
        <v>106</v>
      </c>
      <c r="CA21" s="0" t="s">
        <v>136</v>
      </c>
    </row>
    <row r="22">
      <c r="B22" s="0" t="s">
        <v>236</v>
      </c>
      <c r="C22" s="1" t="n">
        <v>354156</v>
      </c>
      <c r="E22" s="14" t="s">
        <v>237</v>
      </c>
      <c r="F22" s="14" t="s">
        <v>184</v>
      </c>
      <c r="G22" s="25" t="str">
        <f>HYPERLINK("http://vk.com/wall-94160949_265567?reply=265992")</f>
      </c>
      <c r="H22" s="14" t="s">
        <v>170</v>
      </c>
      <c r="I22" s="14" t="s">
        <v>231</v>
      </c>
      <c r="J22" s="14" t="s">
        <v>238</v>
      </c>
      <c r="K22" s="26" t="str">
        <f>HYPERLINK("http://vk.com/id174451937")</f>
      </c>
      <c r="L22" s="14" t="s">
        <v>173</v>
      </c>
      <c r="M22" s="14" t="s">
        <v>239</v>
      </c>
      <c r="N22" s="25" t="str">
        <f>HYPERLINK("http://vk.com/club94160949")</f>
      </c>
      <c r="O22" s="1" t="s">
        <v>186</v>
      </c>
      <c r="P22" s="1"/>
      <c r="Q22" s="1" t="n">
        <v>9010</v>
      </c>
      <c r="R22" s="1" t="n">
        <v>0</v>
      </c>
      <c r="S22" s="1"/>
      <c r="T22" s="1" t="n">
        <v>0</v>
      </c>
      <c r="U22" s="1" t="n">
        <v>0</v>
      </c>
      <c r="V22" s="1" t="n">
        <v>0</v>
      </c>
      <c r="W22" s="1"/>
      <c r="Y22" s="1" t="n">
        <v>1</v>
      </c>
      <c r="Z22" s="0" t="s">
        <v>175</v>
      </c>
      <c r="AA22" s="0" t="s">
        <v>187</v>
      </c>
      <c r="AC22" s="0" t="s">
        <v>177</v>
      </c>
      <c r="AD22" s="0" t="s">
        <v>240</v>
      </c>
      <c r="AE22" s="0" t="s">
        <v>240</v>
      </c>
      <c r="AH22" s="0" t="s">
        <v>180</v>
      </c>
      <c r="AJ22" s="0" t="s">
        <v>181</v>
      </c>
      <c r="AK22" s="0" t="s">
        <v>94</v>
      </c>
      <c r="AN22" s="0" t="s">
        <v>97</v>
      </c>
      <c r="AV22" s="0" t="s">
        <v>105</v>
      </c>
    </row>
    <row r="23" ht="36.75">
      <c r="B23" s="0" t="s">
        <v>236</v>
      </c>
      <c r="C23" s="1" t="n">
        <v>354104</v>
      </c>
      <c r="E23" s="14" t="s">
        <v>202</v>
      </c>
      <c r="F23" s="14" t="s">
        <v>184</v>
      </c>
      <c r="G23" s="25" t="str">
        <f>HYPERLINK("http://vk.com/wall762885961_377")</f>
      </c>
      <c r="H23" s="14" t="s">
        <v>170</v>
      </c>
      <c r="I23" s="14" t="s">
        <v>171</v>
      </c>
      <c r="J23" s="14" t="s">
        <v>241</v>
      </c>
      <c r="K23" s="26" t="str">
        <f>HYPERLINK("http://vk.com/id762885961")</f>
      </c>
      <c r="L23" s="14" t="s">
        <v>173</v>
      </c>
      <c r="O23" s="1" t="s">
        <v>186</v>
      </c>
      <c r="P23" s="1" t="n">
        <v>76</v>
      </c>
      <c r="Q23" s="1" t="n">
        <v>52</v>
      </c>
      <c r="R23" s="1" t="n">
        <v>0</v>
      </c>
      <c r="S23" s="1"/>
      <c r="T23" s="1" t="n">
        <v>0</v>
      </c>
      <c r="U23" s="1" t="n">
        <v>0</v>
      </c>
      <c r="V23" s="1" t="n">
        <v>0</v>
      </c>
      <c r="W23" s="1"/>
      <c r="Y23" s="1" t="n">
        <v>60</v>
      </c>
      <c r="Z23" s="0" t="s">
        <v>175</v>
      </c>
      <c r="AA23" s="0" t="s">
        <v>176</v>
      </c>
      <c r="AH23" s="0" t="s">
        <v>180</v>
      </c>
      <c r="AJ23" s="0" t="s">
        <v>181</v>
      </c>
      <c r="AK23" s="0" t="s">
        <v>94</v>
      </c>
      <c r="AM23" s="0" t="s">
        <v>96</v>
      </c>
      <c r="AN23" s="0" t="s">
        <v>97</v>
      </c>
      <c r="AO23" s="0" t="s">
        <v>98</v>
      </c>
      <c r="AQ23" s="0" t="s">
        <v>100</v>
      </c>
      <c r="AS23" s="0" t="s">
        <v>102</v>
      </c>
      <c r="AW23" s="0" t="s">
        <v>106</v>
      </c>
      <c r="BB23" s="0" t="s">
        <v>111</v>
      </c>
      <c r="BG23" s="0" t="s">
        <v>116</v>
      </c>
      <c r="BL23" s="0" t="s">
        <v>121</v>
      </c>
      <c r="BM23" s="0" t="s">
        <v>122</v>
      </c>
      <c r="BQ23" s="0" t="s">
        <v>126</v>
      </c>
    </row>
    <row r="24">
      <c r="B24" s="0" t="s">
        <v>242</v>
      </c>
      <c r="C24" s="1" t="n">
        <v>354139</v>
      </c>
      <c r="E24" s="14" t="s">
        <v>243</v>
      </c>
      <c r="F24" s="14" t="s">
        <v>184</v>
      </c>
      <c r="G24" s="25" t="str">
        <f>HYPERLINK("http://vk.com/wall-176829518_820573?reply=821151")</f>
      </c>
      <c r="H24" s="14" t="s">
        <v>170</v>
      </c>
      <c r="I24" s="14" t="s">
        <v>231</v>
      </c>
      <c r="J24" s="14" t="s">
        <v>244</v>
      </c>
      <c r="K24" s="26" t="str">
        <f>HYPERLINK("http://vk.com/id384768614")</f>
      </c>
      <c r="L24" s="14" t="s">
        <v>173</v>
      </c>
      <c r="M24" s="14" t="s">
        <v>245</v>
      </c>
      <c r="N24" s="25" t="str">
        <f>HYPERLINK("http://vk.com/club176829518")</f>
      </c>
      <c r="O24" s="1" t="s">
        <v>186</v>
      </c>
      <c r="P24" s="1" t="n">
        <v>39</v>
      </c>
      <c r="Q24" s="1" t="n">
        <v>110195</v>
      </c>
      <c r="R24" s="1" t="n">
        <v>0</v>
      </c>
      <c r="S24" s="1"/>
      <c r="T24" s="1" t="n">
        <v>0</v>
      </c>
      <c r="U24" s="1" t="n">
        <v>0</v>
      </c>
      <c r="V24" s="1" t="n">
        <v>0</v>
      </c>
      <c r="W24" s="1"/>
      <c r="Y24" s="1" t="n">
        <v>1</v>
      </c>
      <c r="Z24" s="0" t="s">
        <v>175</v>
      </c>
      <c r="AA24" s="0" t="s">
        <v>187</v>
      </c>
      <c r="AC24" s="0" t="s">
        <v>177</v>
      </c>
      <c r="AD24" s="0" t="s">
        <v>246</v>
      </c>
      <c r="AE24" s="0" t="s">
        <v>247</v>
      </c>
      <c r="AH24" s="0" t="s">
        <v>180</v>
      </c>
      <c r="AJ24" s="0" t="s">
        <v>181</v>
      </c>
      <c r="AK24" s="0" t="s">
        <v>94</v>
      </c>
      <c r="AN24" s="0" t="s">
        <v>97</v>
      </c>
      <c r="AV24" s="0" t="s">
        <v>105</v>
      </c>
      <c r="AW24" s="0" t="s">
        <v>106</v>
      </c>
    </row>
    <row r="25">
      <c r="B25" s="0" t="s">
        <v>248</v>
      </c>
      <c r="C25" s="1" t="n">
        <v>354081</v>
      </c>
      <c r="E25" s="14" t="s">
        <v>249</v>
      </c>
      <c r="F25" s="14" t="s">
        <v>184</v>
      </c>
      <c r="G25" s="25" t="str">
        <f>HYPERLINK("http://vk.com/wall-81840381_3451566?reply=3451940")</f>
      </c>
      <c r="H25" s="14" t="s">
        <v>170</v>
      </c>
      <c r="I25" s="14" t="s">
        <v>231</v>
      </c>
      <c r="J25" s="14" t="s">
        <v>250</v>
      </c>
      <c r="K25" s="26" t="str">
        <f>HYPERLINK("http://vk.com/id652333442")</f>
      </c>
      <c r="L25" s="14" t="s">
        <v>173</v>
      </c>
      <c r="M25" s="14" t="s">
        <v>251</v>
      </c>
      <c r="N25" s="25" t="str">
        <f>HYPERLINK("http://vk.com/club81840381")</f>
      </c>
      <c r="O25" s="1" t="s">
        <v>186</v>
      </c>
      <c r="P25" s="1"/>
      <c r="Q25" s="1" t="n">
        <v>103782</v>
      </c>
      <c r="R25" s="1" t="n">
        <v>0</v>
      </c>
      <c r="S25" s="1"/>
      <c r="T25" s="1" t="n">
        <v>0</v>
      </c>
      <c r="U25" s="1" t="n">
        <v>0</v>
      </c>
      <c r="V25" s="1" t="n">
        <v>0</v>
      </c>
      <c r="W25" s="1"/>
      <c r="Y25" s="1" t="n">
        <v>1</v>
      </c>
      <c r="Z25" s="0" t="s">
        <v>175</v>
      </c>
      <c r="AA25" s="0" t="s">
        <v>187</v>
      </c>
      <c r="AC25" s="0" t="s">
        <v>177</v>
      </c>
      <c r="AD25" s="0" t="s">
        <v>252</v>
      </c>
      <c r="AE25" s="0" t="s">
        <v>253</v>
      </c>
      <c r="AH25" s="0" t="s">
        <v>180</v>
      </c>
      <c r="AJ25" s="0" t="s">
        <v>181</v>
      </c>
      <c r="AK25" s="0" t="s">
        <v>94</v>
      </c>
      <c r="AN25" s="0" t="s">
        <v>97</v>
      </c>
      <c r="AW25" s="0" t="s">
        <v>106</v>
      </c>
      <c r="BE25" s="0" t="s">
        <v>114</v>
      </c>
      <c r="BH25" s="0" t="s">
        <v>117</v>
      </c>
    </row>
    <row r="26">
      <c r="B26" s="0" t="s">
        <v>248</v>
      </c>
      <c r="C26" s="1" t="n">
        <v>354061</v>
      </c>
      <c r="E26" s="14" t="s">
        <v>254</v>
      </c>
      <c r="F26" s="14" t="s">
        <v>192</v>
      </c>
      <c r="G26" s="25" t="str">
        <f>HYPERLINK("https://telegram.me/dostavista/2433239")</f>
      </c>
      <c r="H26" s="14" t="s">
        <v>193</v>
      </c>
      <c r="I26" s="14" t="s">
        <v>194</v>
      </c>
      <c r="J26" s="14" t="s">
        <v>255</v>
      </c>
      <c r="K26" s="26" t="str">
        <f>HYPERLINK("https://telegram.me/Ainur1992")</f>
      </c>
      <c r="L26" s="14" t="s">
        <v>173</v>
      </c>
      <c r="M26" s="14" t="s">
        <v>256</v>
      </c>
      <c r="N26" s="25" t="str">
        <f>HYPERLINK("https://telegram.me/dostavista")</f>
      </c>
      <c r="O26" s="1"/>
      <c r="P26" s="1"/>
      <c r="Q26" s="1" t="n">
        <v>2247</v>
      </c>
      <c r="R26" s="1" t="n">
        <v>0</v>
      </c>
      <c r="S26" s="1"/>
      <c r="T26" s="1" t="n">
        <v>0</v>
      </c>
      <c r="U26" s="1" t="n">
        <v>0</v>
      </c>
      <c r="V26" s="1" t="n">
        <v>0</v>
      </c>
      <c r="W26" s="1"/>
      <c r="Y26" s="1" t="n">
        <v>1</v>
      </c>
      <c r="Z26" s="0" t="s">
        <v>175</v>
      </c>
      <c r="AA26" s="0" t="s">
        <v>187</v>
      </c>
      <c r="AH26" s="0" t="s">
        <v>180</v>
      </c>
      <c r="AJ26" s="0" t="s">
        <v>181</v>
      </c>
      <c r="AK26" s="0" t="s">
        <v>94</v>
      </c>
      <c r="AR26" s="0" t="s">
        <v>101</v>
      </c>
    </row>
    <row r="27">
      <c r="B27" s="0" t="s">
        <v>257</v>
      </c>
      <c r="C27" s="1" t="n">
        <v>354063</v>
      </c>
      <c r="E27" s="14" t="s">
        <v>258</v>
      </c>
      <c r="F27" s="14" t="s">
        <v>192</v>
      </c>
      <c r="G27" s="25" t="str">
        <f>HYPERLINK("https://telegram.me/dostavista/2433229")</f>
      </c>
      <c r="H27" s="14" t="s">
        <v>193</v>
      </c>
      <c r="I27" s="14" t="s">
        <v>194</v>
      </c>
      <c r="J27" s="14" t="s">
        <v>259</v>
      </c>
      <c r="K27" s="26" t="str">
        <f>HYPERLINK("https://telegram.me/gid_instruktor")</f>
      </c>
      <c r="L27" s="14" t="s">
        <v>173</v>
      </c>
      <c r="M27" s="14" t="s">
        <v>256</v>
      </c>
      <c r="N27" s="25" t="str">
        <f>HYPERLINK("https://telegram.me/dostavista")</f>
      </c>
      <c r="O27" s="1"/>
      <c r="P27" s="1"/>
      <c r="Q27" s="1" t="n">
        <v>2247</v>
      </c>
      <c r="R27" s="1" t="n">
        <v>0</v>
      </c>
      <c r="S27" s="1"/>
      <c r="T27" s="1" t="n">
        <v>0</v>
      </c>
      <c r="U27" s="1" t="n">
        <v>0</v>
      </c>
      <c r="V27" s="1" t="n">
        <v>0</v>
      </c>
      <c r="W27" s="1"/>
      <c r="Y27" s="1" t="n">
        <v>1</v>
      </c>
      <c r="Z27" s="0" t="s">
        <v>175</v>
      </c>
      <c r="AA27" s="0" t="s">
        <v>187</v>
      </c>
      <c r="AB27" s="0" t="s">
        <v>85</v>
      </c>
      <c r="AH27" s="0" t="s">
        <v>180</v>
      </c>
      <c r="AJ27" s="0" t="s">
        <v>181</v>
      </c>
      <c r="AK27" s="0" t="s">
        <v>94</v>
      </c>
      <c r="AR27" s="0" t="s">
        <v>101</v>
      </c>
    </row>
    <row r="28">
      <c r="B28" s="0" t="s">
        <v>260</v>
      </c>
      <c r="C28" s="1" t="n">
        <v>354154</v>
      </c>
      <c r="D28" s="0" t="s">
        <v>261</v>
      </c>
      <c r="E28" s="14" t="s">
        <v>262</v>
      </c>
      <c r="F28" s="14" t="s">
        <v>263</v>
      </c>
      <c r="G28" s="25" t="str">
        <f>HYPERLINK("https://www.baby.ru/blogs/post/2611485771-1467600900/")</f>
      </c>
      <c r="H28" s="14" t="s">
        <v>264</v>
      </c>
      <c r="I28" s="14" t="s">
        <v>231</v>
      </c>
      <c r="J28" s="14" t="s">
        <v>265</v>
      </c>
      <c r="K28" s="26" t="str">
        <f>HYPERLINK("https://www.baby.ru/u/usr2171834/")</f>
      </c>
      <c r="L28" s="14"/>
      <c r="M28" s="14" t="s">
        <v>266</v>
      </c>
      <c r="N28" s="25" t="str">
        <f>HYPERLINK("https://www.baby.ru/u/usr2579141/")</f>
      </c>
      <c r="O28" s="1"/>
      <c r="P28" s="1"/>
      <c r="Q28" s="1"/>
      <c r="R28" s="1" t="n">
        <v>0</v>
      </c>
      <c r="S28" s="1"/>
      <c r="T28" s="1" t="n">
        <v>0</v>
      </c>
      <c r="U28" s="1" t="n">
        <v>0</v>
      </c>
      <c r="V28" s="1" t="n">
        <v>0</v>
      </c>
      <c r="W28" s="1"/>
      <c r="Y28" s="1" t="n">
        <v>1</v>
      </c>
      <c r="Z28" s="0" t="s">
        <v>175</v>
      </c>
      <c r="AA28" s="0" t="s">
        <v>187</v>
      </c>
      <c r="AC28" s="0" t="s">
        <v>177</v>
      </c>
      <c r="AD28" s="0" t="s">
        <v>252</v>
      </c>
      <c r="AE28" s="0" t="s">
        <v>267</v>
      </c>
      <c r="AH28" s="0" t="s">
        <v>180</v>
      </c>
      <c r="AJ28" s="0" t="s">
        <v>181</v>
      </c>
      <c r="AK28" s="0" t="s">
        <v>94</v>
      </c>
      <c r="AW28" s="0" t="s">
        <v>106</v>
      </c>
      <c r="BC28" s="0" t="s">
        <v>112</v>
      </c>
      <c r="BH28" s="0" t="s">
        <v>117</v>
      </c>
      <c r="BI28" s="0" t="s">
        <v>118</v>
      </c>
      <c r="BQ28" s="0" t="s">
        <v>126</v>
      </c>
    </row>
    <row r="29" ht="1164.75">
      <c r="B29" s="0" t="s">
        <v>268</v>
      </c>
      <c r="C29" s="1" t="n">
        <v>354103</v>
      </c>
      <c r="E29" s="14" t="s">
        <v>269</v>
      </c>
      <c r="F29" s="14" t="s">
        <v>184</v>
      </c>
      <c r="G29" s="25" t="str">
        <f>HYPERLINK("http://vk.com/wall470508691_401")</f>
      </c>
      <c r="H29" s="14" t="s">
        <v>170</v>
      </c>
      <c r="I29" s="14" t="s">
        <v>171</v>
      </c>
      <c r="J29" s="14" t="s">
        <v>270</v>
      </c>
      <c r="K29" s="26" t="str">
        <f>HYPERLINK("http://vk.com/id470508691")</f>
      </c>
      <c r="L29" s="14" t="s">
        <v>173</v>
      </c>
      <c r="O29" s="1" t="s">
        <v>186</v>
      </c>
      <c r="P29" s="1" t="n">
        <v>69</v>
      </c>
      <c r="Q29" s="1" t="n">
        <v>67</v>
      </c>
      <c r="R29" s="1" t="n">
        <v>0</v>
      </c>
      <c r="S29" s="1"/>
      <c r="T29" s="1" t="n">
        <v>0</v>
      </c>
      <c r="U29" s="1" t="n">
        <v>0</v>
      </c>
      <c r="V29" s="1" t="n">
        <v>0</v>
      </c>
      <c r="W29" s="1"/>
      <c r="Y29" s="1" t="n">
        <v>24</v>
      </c>
      <c r="Z29" s="0" t="s">
        <v>175</v>
      </c>
      <c r="AA29" s="0" t="s">
        <v>187</v>
      </c>
      <c r="AH29" s="0" t="s">
        <v>180</v>
      </c>
      <c r="AJ29" s="0" t="s">
        <v>181</v>
      </c>
      <c r="AK29" s="0" t="s">
        <v>94</v>
      </c>
      <c r="AM29" s="0" t="s">
        <v>96</v>
      </c>
      <c r="AN29" s="0" t="s">
        <v>97</v>
      </c>
      <c r="AW29" s="0" t="s">
        <v>106</v>
      </c>
      <c r="AX29" s="0" t="s">
        <v>107</v>
      </c>
    </row>
    <row r="30" ht="48.75">
      <c r="B30" s="0" t="s">
        <v>271</v>
      </c>
      <c r="C30" s="1" t="n">
        <v>354095</v>
      </c>
      <c r="E30" s="14" t="s">
        <v>272</v>
      </c>
      <c r="F30" s="14" t="s">
        <v>169</v>
      </c>
      <c r="G30" s="25" t="str">
        <f>HYPERLINK("http://www.ok.ru/group/53550480490576/topic/156192421844304")</f>
      </c>
      <c r="H30" s="14" t="s">
        <v>170</v>
      </c>
      <c r="I30" s="14" t="s">
        <v>194</v>
      </c>
      <c r="J30" s="14" t="s">
        <v>273</v>
      </c>
      <c r="K30" s="26" t="str">
        <f>HYPERLINK("http://www.ok.ru/group/53550480490576")</f>
      </c>
      <c r="L30" s="14" t="s">
        <v>274</v>
      </c>
      <c r="O30" s="1"/>
      <c r="P30" s="1"/>
      <c r="Q30" s="1" t="n">
        <v>192802</v>
      </c>
      <c r="R30" s="1" t="n">
        <v>0</v>
      </c>
      <c r="S30" s="1"/>
      <c r="T30" s="1" t="n">
        <v>0</v>
      </c>
      <c r="U30" s="1" t="n">
        <v>0</v>
      </c>
      <c r="V30" s="1" t="n">
        <v>0</v>
      </c>
      <c r="W30" s="1"/>
      <c r="Y30" s="1" t="n">
        <v>2</v>
      </c>
      <c r="Z30" s="0" t="s">
        <v>175</v>
      </c>
      <c r="AA30" s="0" t="s">
        <v>187</v>
      </c>
      <c r="AH30" s="0" t="s">
        <v>180</v>
      </c>
      <c r="AJ30" s="0" t="s">
        <v>181</v>
      </c>
      <c r="AK30" s="0" t="s">
        <v>94</v>
      </c>
      <c r="AN30" s="0" t="s">
        <v>97</v>
      </c>
      <c r="AR30" s="0" t="s">
        <v>101</v>
      </c>
      <c r="AS30" s="0" t="s">
        <v>102</v>
      </c>
      <c r="AW30" s="0" t="s">
        <v>106</v>
      </c>
    </row>
    <row r="31" ht="48.75">
      <c r="B31" s="0" t="s">
        <v>271</v>
      </c>
      <c r="C31" s="1" t="n">
        <v>354065</v>
      </c>
      <c r="E31" s="14" t="s">
        <v>272</v>
      </c>
      <c r="F31" s="14" t="s">
        <v>169</v>
      </c>
      <c r="G31" s="25" t="str">
        <f>HYPERLINK("http://www.ok.ru/group/54223954116783/topic/156337299708847")</f>
      </c>
      <c r="H31" s="14" t="s">
        <v>170</v>
      </c>
      <c r="I31" s="14" t="s">
        <v>194</v>
      </c>
      <c r="J31" s="14" t="s">
        <v>275</v>
      </c>
      <c r="K31" s="26" t="str">
        <f>HYPERLINK("http://www.ok.ru/group/54223954116783")</f>
      </c>
      <c r="L31" s="14" t="s">
        <v>274</v>
      </c>
      <c r="O31" s="1"/>
      <c r="P31" s="1"/>
      <c r="Q31" s="1" t="n">
        <v>124171</v>
      </c>
      <c r="R31" s="1" t="n">
        <v>0</v>
      </c>
      <c r="S31" s="1"/>
      <c r="T31" s="1" t="n">
        <v>1</v>
      </c>
      <c r="U31" s="1" t="n">
        <v>3</v>
      </c>
      <c r="V31" s="1" t="n">
        <v>4</v>
      </c>
      <c r="W31" s="1"/>
      <c r="Y31" s="1" t="n">
        <v>2</v>
      </c>
      <c r="Z31" s="0" t="s">
        <v>175</v>
      </c>
      <c r="AA31" s="0" t="s">
        <v>187</v>
      </c>
      <c r="AH31" s="0" t="s">
        <v>180</v>
      </c>
      <c r="AJ31" s="0" t="s">
        <v>181</v>
      </c>
      <c r="AK31" s="0" t="s">
        <v>94</v>
      </c>
      <c r="AN31" s="0" t="s">
        <v>97</v>
      </c>
      <c r="AR31" s="0" t="s">
        <v>101</v>
      </c>
      <c r="AS31" s="0" t="s">
        <v>102</v>
      </c>
      <c r="AW31" s="0" t="s">
        <v>106</v>
      </c>
    </row>
    <row r="32" ht="1164.75">
      <c r="B32" s="0" t="s">
        <v>276</v>
      </c>
      <c r="C32" s="1" t="n">
        <v>354084</v>
      </c>
      <c r="E32" s="14" t="s">
        <v>269</v>
      </c>
      <c r="F32" s="14" t="s">
        <v>184</v>
      </c>
      <c r="G32" s="25" t="str">
        <f>HYPERLINK("http://vk.com/wall519037394_1200")</f>
      </c>
      <c r="H32" s="14" t="s">
        <v>170</v>
      </c>
      <c r="I32" s="14" t="s">
        <v>171</v>
      </c>
      <c r="J32" s="14" t="s">
        <v>277</v>
      </c>
      <c r="K32" s="26" t="str">
        <f>HYPERLINK("http://vk.com/id519037394")</f>
      </c>
      <c r="L32" s="14" t="s">
        <v>173</v>
      </c>
      <c r="O32" s="1" t="s">
        <v>186</v>
      </c>
      <c r="P32" s="1"/>
      <c r="Q32" s="1" t="n">
        <v>79</v>
      </c>
      <c r="R32" s="1" t="n">
        <v>0</v>
      </c>
      <c r="S32" s="1"/>
      <c r="T32" s="1" t="n">
        <v>0</v>
      </c>
      <c r="U32" s="1" t="n">
        <v>0</v>
      </c>
      <c r="V32" s="1" t="n">
        <v>0</v>
      </c>
      <c r="W32" s="1"/>
      <c r="Y32" s="1" t="n">
        <v>24</v>
      </c>
      <c r="Z32" s="0" t="s">
        <v>175</v>
      </c>
      <c r="AA32" s="0" t="s">
        <v>187</v>
      </c>
      <c r="AC32" s="0" t="s">
        <v>177</v>
      </c>
      <c r="AD32" s="0" t="s">
        <v>278</v>
      </c>
      <c r="AE32" s="0" t="s">
        <v>279</v>
      </c>
      <c r="AH32" s="0" t="s">
        <v>180</v>
      </c>
      <c r="AJ32" s="0" t="s">
        <v>181</v>
      </c>
      <c r="AK32" s="0" t="s">
        <v>94</v>
      </c>
      <c r="AM32" s="0" t="s">
        <v>96</v>
      </c>
      <c r="AN32" s="0" t="s">
        <v>97</v>
      </c>
      <c r="AW32" s="0" t="s">
        <v>106</v>
      </c>
      <c r="AX32" s="0" t="s">
        <v>107</v>
      </c>
    </row>
    <row r="33" ht="36.75">
      <c r="B33" s="0" t="s">
        <v>276</v>
      </c>
      <c r="C33" s="1" t="n">
        <v>354051</v>
      </c>
      <c r="E33" s="14" t="s">
        <v>280</v>
      </c>
      <c r="F33" s="14" t="s">
        <v>281</v>
      </c>
      <c r="G33" s="25" t="str">
        <f>HYPERLINK("http://twitter.com/ineffablewom/status/1646845408159879169")</f>
      </c>
      <c r="H33" s="14" t="s">
        <v>282</v>
      </c>
      <c r="I33" s="14" t="s">
        <v>231</v>
      </c>
      <c r="J33" s="14" t="s">
        <v>283</v>
      </c>
      <c r="K33" s="26" t="str">
        <f>HYPERLINK("http://twitter.com/ineffablewom")</f>
      </c>
      <c r="L33" s="14" t="s">
        <v>173</v>
      </c>
      <c r="M33" s="14" t="s">
        <v>284</v>
      </c>
      <c r="N33" s="25" t="str">
        <f>HYPERLINK("http://twitter.com/VeOfHKslpNiVSEI")</f>
      </c>
      <c r="O33" s="1"/>
      <c r="P33" s="1"/>
      <c r="Q33" s="1" t="n">
        <v>120</v>
      </c>
      <c r="R33" s="1" t="n">
        <v>0</v>
      </c>
      <c r="S33" s="1"/>
      <c r="T33" s="1" t="n">
        <v>0</v>
      </c>
      <c r="U33" s="1" t="n">
        <v>0</v>
      </c>
      <c r="V33" s="1" t="n">
        <v>0</v>
      </c>
      <c r="W33" s="1"/>
      <c r="Y33" s="1" t="n">
        <v>1</v>
      </c>
      <c r="Z33" s="0" t="s">
        <v>175</v>
      </c>
      <c r="AA33" s="0" t="s">
        <v>187</v>
      </c>
      <c r="AH33" s="0" t="s">
        <v>180</v>
      </c>
      <c r="AI33" s="0" t="s">
        <v>92</v>
      </c>
      <c r="AJ33" s="0" t="s">
        <v>181</v>
      </c>
      <c r="AK33" s="0" t="s">
        <v>94</v>
      </c>
      <c r="AN33" s="0" t="s">
        <v>97</v>
      </c>
      <c r="AR33" s="0" t="s">
        <v>101</v>
      </c>
      <c r="AW33" s="0" t="s">
        <v>106</v>
      </c>
      <c r="BB33" s="0" t="s">
        <v>111</v>
      </c>
      <c r="BG33" s="0" t="s">
        <v>116</v>
      </c>
    </row>
    <row r="34">
      <c r="B34" s="0" t="s">
        <v>276</v>
      </c>
      <c r="C34" s="1" t="n">
        <v>354133</v>
      </c>
      <c r="E34" s="14" t="s">
        <v>285</v>
      </c>
      <c r="F34" s="14" t="s">
        <v>192</v>
      </c>
      <c r="G34" s="25" t="str">
        <f>HYPERLINK("https://telegram.me/Shri_Lanka_by_sell/69546")</f>
      </c>
      <c r="H34" s="14" t="s">
        <v>193</v>
      </c>
      <c r="I34" s="14" t="s">
        <v>194</v>
      </c>
      <c r="J34" s="14" t="s">
        <v>286</v>
      </c>
      <c r="K34" s="26" t="str">
        <f>HYPERLINK("https://telegram.me/")</f>
      </c>
      <c r="L34" s="14" t="s">
        <v>173</v>
      </c>
      <c r="M34" s="14" t="s">
        <v>287</v>
      </c>
      <c r="N34" s="25" t="str">
        <f>HYPERLINK("https://telegram.me/Shri_Lanka_by_sell")</f>
      </c>
      <c r="O34" s="1" t="s">
        <v>186</v>
      </c>
      <c r="P34" s="1"/>
      <c r="Q34" s="1" t="n">
        <v>3910</v>
      </c>
      <c r="R34" s="1" t="n">
        <v>0</v>
      </c>
      <c r="S34" s="1"/>
      <c r="T34" s="1" t="n">
        <v>0</v>
      </c>
      <c r="U34" s="1" t="n">
        <v>0</v>
      </c>
      <c r="V34" s="1" t="n">
        <v>0</v>
      </c>
      <c r="W34" s="1"/>
      <c r="Y34" s="1" t="n">
        <v>1</v>
      </c>
      <c r="Z34" s="0" t="s">
        <v>175</v>
      </c>
      <c r="AA34" s="0" t="s">
        <v>187</v>
      </c>
      <c r="AH34" s="0" t="s">
        <v>180</v>
      </c>
      <c r="AJ34" s="0" t="s">
        <v>181</v>
      </c>
      <c r="AK34" s="0" t="s">
        <v>94</v>
      </c>
      <c r="AN34" s="0" t="s">
        <v>97</v>
      </c>
      <c r="BL34" s="0" t="s">
        <v>121</v>
      </c>
      <c r="BW34" s="0" t="s">
        <v>132</v>
      </c>
    </row>
    <row r="35" ht="204.75">
      <c r="B35" s="0" t="s">
        <v>288</v>
      </c>
      <c r="C35" s="1" t="n">
        <v>354101</v>
      </c>
      <c r="E35" s="14" t="s">
        <v>289</v>
      </c>
      <c r="F35" s="14" t="s">
        <v>184</v>
      </c>
      <c r="G35" s="25" t="str">
        <f>HYPERLINK("http://vk.com/wall241492303_2396")</f>
      </c>
      <c r="H35" s="14" t="s">
        <v>170</v>
      </c>
      <c r="I35" s="14" t="s">
        <v>290</v>
      </c>
      <c r="J35" s="14" t="s">
        <v>291</v>
      </c>
      <c r="K35" s="26" t="str">
        <f>HYPERLINK("http://vk.com/id241492303")</f>
      </c>
      <c r="L35" s="14" t="s">
        <v>173</v>
      </c>
      <c r="O35" s="1" t="s">
        <v>174</v>
      </c>
      <c r="P35" s="1" t="n">
        <v>62</v>
      </c>
      <c r="Q35" s="1" t="n">
        <v>481</v>
      </c>
      <c r="R35" s="1" t="n">
        <v>0</v>
      </c>
      <c r="S35" s="1"/>
      <c r="T35" s="1" t="n">
        <v>0</v>
      </c>
      <c r="U35" s="1" t="n">
        <v>0</v>
      </c>
      <c r="V35" s="1" t="n">
        <v>0</v>
      </c>
      <c r="W35" s="1" t="n">
        <v>3</v>
      </c>
      <c r="Y35" s="1" t="n">
        <v>1</v>
      </c>
      <c r="Z35" s="0" t="s">
        <v>175</v>
      </c>
      <c r="AA35" s="0" t="s">
        <v>292</v>
      </c>
      <c r="AC35" s="0" t="s">
        <v>177</v>
      </c>
      <c r="AD35" s="0" t="s">
        <v>293</v>
      </c>
      <c r="AE35" s="0" t="s">
        <v>294</v>
      </c>
      <c r="AH35" s="0" t="s">
        <v>180</v>
      </c>
      <c r="AJ35" s="0" t="s">
        <v>181</v>
      </c>
      <c r="AK35" s="0" t="s">
        <v>94</v>
      </c>
      <c r="AN35" s="0" t="s">
        <v>97</v>
      </c>
      <c r="AS35" s="0" t="s">
        <v>102</v>
      </c>
      <c r="BB35" s="0" t="s">
        <v>111</v>
      </c>
      <c r="CL35" s="0" t="s">
        <v>147</v>
      </c>
    </row>
    <row r="36" ht="24.75">
      <c r="B36" s="0" t="s">
        <v>295</v>
      </c>
      <c r="C36" s="1" t="n">
        <v>354098</v>
      </c>
      <c r="E36" s="14" t="s">
        <v>296</v>
      </c>
      <c r="F36" s="14" t="s">
        <v>184</v>
      </c>
      <c r="G36" s="25" t="str">
        <f>HYPERLINK("http://vk.com/wall261857235_186")</f>
      </c>
      <c r="H36" s="14" t="s">
        <v>170</v>
      </c>
      <c r="I36" s="14" t="s">
        <v>171</v>
      </c>
      <c r="J36" s="14" t="s">
        <v>297</v>
      </c>
      <c r="K36" s="26" t="str">
        <f>HYPERLINK("http://vk.com/id261857235")</f>
      </c>
      <c r="L36" s="14" t="s">
        <v>173</v>
      </c>
      <c r="O36" s="1" t="s">
        <v>186</v>
      </c>
      <c r="P36" s="1"/>
      <c r="Q36" s="1" t="n">
        <v>53</v>
      </c>
      <c r="R36" s="1" t="n">
        <v>0</v>
      </c>
      <c r="S36" s="1"/>
      <c r="T36" s="1" t="n">
        <v>0</v>
      </c>
      <c r="U36" s="1" t="n">
        <v>0</v>
      </c>
      <c r="V36" s="1" t="n">
        <v>0</v>
      </c>
      <c r="W36" s="1" t="n">
        <v>1</v>
      </c>
      <c r="Y36" s="1" t="n">
        <v>92</v>
      </c>
      <c r="Z36" s="0" t="s">
        <v>175</v>
      </c>
      <c r="AA36" s="0" t="s">
        <v>187</v>
      </c>
      <c r="AC36" s="0" t="s">
        <v>177</v>
      </c>
      <c r="AH36" s="0" t="s">
        <v>180</v>
      </c>
      <c r="AJ36" s="0" t="s">
        <v>181</v>
      </c>
      <c r="AK36" s="0" t="s">
        <v>94</v>
      </c>
      <c r="AM36" s="0" t="s">
        <v>96</v>
      </c>
      <c r="AN36" s="0" t="s">
        <v>97</v>
      </c>
      <c r="AS36" s="0" t="s">
        <v>102</v>
      </c>
      <c r="AU36" s="0" t="s">
        <v>104</v>
      </c>
      <c r="AV36" s="0" t="s">
        <v>105</v>
      </c>
      <c r="AW36" s="0" t="s">
        <v>106</v>
      </c>
      <c r="BE36" s="0" t="s">
        <v>114</v>
      </c>
      <c r="BL36" s="0" t="s">
        <v>121</v>
      </c>
      <c r="BO36" s="0" t="s">
        <v>124</v>
      </c>
    </row>
    <row r="37">
      <c r="B37" s="0" t="s">
        <v>298</v>
      </c>
      <c r="C37" s="1" t="n">
        <v>354105</v>
      </c>
      <c r="E37" s="14" t="s">
        <v>299</v>
      </c>
      <c r="F37" s="14" t="s">
        <v>184</v>
      </c>
      <c r="G37" s="25" t="str">
        <f>HYPERLINK("http://vk.com/wall-12670685_246774?reply=247176&amp;thread=246906")</f>
      </c>
      <c r="H37" s="14" t="s">
        <v>170</v>
      </c>
      <c r="I37" s="14" t="s">
        <v>231</v>
      </c>
      <c r="J37" s="14" t="s">
        <v>300</v>
      </c>
      <c r="K37" s="26" t="str">
        <f>HYPERLINK("http://vk.com/id621930357")</f>
      </c>
      <c r="L37" s="14" t="s">
        <v>173</v>
      </c>
      <c r="M37" s="14" t="s">
        <v>301</v>
      </c>
      <c r="N37" s="25" t="str">
        <f>HYPERLINK("http://vk.com/club12670685")</f>
      </c>
      <c r="O37" s="1" t="s">
        <v>186</v>
      </c>
      <c r="P37" s="1" t="n">
        <v>31</v>
      </c>
      <c r="Q37" s="1" t="n">
        <v>43041</v>
      </c>
      <c r="R37" s="1" t="n">
        <v>0</v>
      </c>
      <c r="S37" s="1"/>
      <c r="T37" s="1" t="n">
        <v>0</v>
      </c>
      <c r="U37" s="1" t="n">
        <v>0</v>
      </c>
      <c r="V37" s="1" t="n">
        <v>0</v>
      </c>
      <c r="W37" s="1"/>
      <c r="Y37" s="1" t="n">
        <v>1</v>
      </c>
      <c r="Z37" s="0" t="s">
        <v>175</v>
      </c>
      <c r="AA37" s="0" t="s">
        <v>187</v>
      </c>
      <c r="AC37" s="0" t="s">
        <v>177</v>
      </c>
      <c r="AH37" s="0" t="s">
        <v>180</v>
      </c>
      <c r="AI37" s="0" t="s">
        <v>92</v>
      </c>
      <c r="AJ37" s="0" t="s">
        <v>181</v>
      </c>
      <c r="AK37" s="0" t="s">
        <v>94</v>
      </c>
      <c r="AN37" s="0" t="s">
        <v>97</v>
      </c>
      <c r="AW37" s="0" t="s">
        <v>106</v>
      </c>
      <c r="CI37" s="0" t="s">
        <v>144</v>
      </c>
    </row>
    <row r="38" ht="1164.75">
      <c r="B38" s="0" t="s">
        <v>302</v>
      </c>
      <c r="C38" s="1" t="n">
        <v>354077</v>
      </c>
      <c r="E38" s="14" t="s">
        <v>269</v>
      </c>
      <c r="F38" s="14" t="s">
        <v>184</v>
      </c>
      <c r="G38" s="25" t="str">
        <f>HYPERLINK("http://vk.com/wall680445524_996")</f>
      </c>
      <c r="H38" s="14" t="s">
        <v>170</v>
      </c>
      <c r="I38" s="14" t="s">
        <v>171</v>
      </c>
      <c r="J38" s="14" t="s">
        <v>303</v>
      </c>
      <c r="K38" s="26" t="str">
        <f>HYPERLINK("http://vk.com/id680445524")</f>
      </c>
      <c r="L38" s="14" t="s">
        <v>173</v>
      </c>
      <c r="O38" s="1" t="s">
        <v>186</v>
      </c>
      <c r="P38" s="1" t="n">
        <v>61</v>
      </c>
      <c r="Q38" s="1" t="n">
        <v>131</v>
      </c>
      <c r="R38" s="1" t="n">
        <v>0</v>
      </c>
      <c r="S38" s="1"/>
      <c r="T38" s="1" t="n">
        <v>0</v>
      </c>
      <c r="U38" s="1" t="n">
        <v>0</v>
      </c>
      <c r="V38" s="1" t="n">
        <v>0</v>
      </c>
      <c r="W38" s="1"/>
      <c r="Y38" s="1" t="n">
        <v>24</v>
      </c>
      <c r="Z38" s="0" t="s">
        <v>175</v>
      </c>
      <c r="AA38" s="0" t="s">
        <v>187</v>
      </c>
      <c r="AH38" s="0" t="s">
        <v>180</v>
      </c>
      <c r="AJ38" s="0" t="s">
        <v>181</v>
      </c>
      <c r="AK38" s="0" t="s">
        <v>94</v>
      </c>
      <c r="AM38" s="0" t="s">
        <v>96</v>
      </c>
      <c r="AN38" s="0" t="s">
        <v>97</v>
      </c>
      <c r="AW38" s="0" t="s">
        <v>106</v>
      </c>
      <c r="AX38" s="0" t="s">
        <v>107</v>
      </c>
    </row>
    <row r="39">
      <c r="B39" s="0" t="s">
        <v>304</v>
      </c>
      <c r="C39" s="1" t="n">
        <v>354100</v>
      </c>
      <c r="E39" s="14" t="s">
        <v>305</v>
      </c>
      <c r="F39" s="14" t="s">
        <v>184</v>
      </c>
      <c r="G39" s="25" t="str">
        <f>HYPERLINK("http://vk.com/wall-62596804_2704672?reply=2705860&amp;thread=2704679")</f>
      </c>
      <c r="H39" s="14" t="s">
        <v>170</v>
      </c>
      <c r="I39" s="14" t="s">
        <v>231</v>
      </c>
      <c r="J39" s="14" t="s">
        <v>306</v>
      </c>
      <c r="K39" s="26" t="str">
        <f>HYPERLINK("http://vk.com/id564993124")</f>
      </c>
      <c r="L39" s="14" t="s">
        <v>173</v>
      </c>
      <c r="M39" s="14" t="s">
        <v>307</v>
      </c>
      <c r="N39" s="25" t="str">
        <f>HYPERLINK("http://vk.com/club62596804")</f>
      </c>
      <c r="O39" s="1" t="s">
        <v>186</v>
      </c>
      <c r="P39" s="1" t="n">
        <v>30</v>
      </c>
      <c r="Q39" s="1" t="n">
        <v>80751</v>
      </c>
      <c r="R39" s="1" t="n">
        <v>0</v>
      </c>
      <c r="S39" s="1"/>
      <c r="T39" s="1" t="n">
        <v>0</v>
      </c>
      <c r="U39" s="1" t="n">
        <v>0</v>
      </c>
      <c r="V39" s="1" t="n">
        <v>0</v>
      </c>
      <c r="W39" s="1"/>
      <c r="Y39" s="1" t="n">
        <v>1</v>
      </c>
      <c r="Z39" s="0" t="s">
        <v>175</v>
      </c>
      <c r="AA39" s="0" t="s">
        <v>187</v>
      </c>
      <c r="AC39" s="0" t="s">
        <v>177</v>
      </c>
      <c r="AH39" s="0" t="s">
        <v>180</v>
      </c>
      <c r="AI39" s="0" t="s">
        <v>92</v>
      </c>
      <c r="AJ39" s="0" t="s">
        <v>181</v>
      </c>
      <c r="AK39" s="0" t="s">
        <v>94</v>
      </c>
      <c r="AN39" s="0" t="s">
        <v>97</v>
      </c>
      <c r="AR39" s="0" t="s">
        <v>101</v>
      </c>
      <c r="AS39" s="0" t="s">
        <v>102</v>
      </c>
    </row>
    <row r="40" ht="48.75">
      <c r="B40" s="0" t="s">
        <v>304</v>
      </c>
      <c r="C40" s="1" t="n">
        <v>354058</v>
      </c>
      <c r="D40" s="0" t="s">
        <v>308</v>
      </c>
      <c r="E40" s="14" t="s">
        <v>309</v>
      </c>
      <c r="F40" s="14" t="s">
        <v>310</v>
      </c>
      <c r="G40" s="25" t="str">
        <f>HYPERLINK("https://www.u-mama.ru/forum/family/health/949323/2.html#mid_34755582")</f>
      </c>
      <c r="H40" s="14" t="s">
        <v>264</v>
      </c>
      <c r="I40" s="14" t="s">
        <v>231</v>
      </c>
      <c r="J40" s="14" t="s">
        <v>311</v>
      </c>
      <c r="L40" s="14"/>
      <c r="M40" s="14" t="s">
        <v>312</v>
      </c>
      <c r="O40" s="1"/>
      <c r="P40" s="1"/>
      <c r="Q40" s="1"/>
      <c r="R40" s="1" t="n">
        <v>0</v>
      </c>
      <c r="S40" s="1"/>
      <c r="T40" s="1" t="n">
        <v>0</v>
      </c>
      <c r="U40" s="1" t="n">
        <v>0</v>
      </c>
      <c r="V40" s="1" t="n">
        <v>0</v>
      </c>
      <c r="W40" s="1"/>
      <c r="Y40" s="1" t="n">
        <v>1</v>
      </c>
      <c r="Z40" s="0" t="s">
        <v>175</v>
      </c>
      <c r="AA40" s="0" t="s">
        <v>223</v>
      </c>
      <c r="AH40" s="0" t="s">
        <v>180</v>
      </c>
      <c r="AJ40" s="0" t="s">
        <v>181</v>
      </c>
      <c r="AK40" s="0" t="s">
        <v>94</v>
      </c>
      <c r="AX40" s="0" t="s">
        <v>107</v>
      </c>
      <c r="BB40" s="0" t="s">
        <v>111</v>
      </c>
      <c r="BD40" s="0" t="s">
        <v>113</v>
      </c>
    </row>
    <row r="41" ht="24.75">
      <c r="B41" s="0" t="s">
        <v>313</v>
      </c>
      <c r="C41" s="1" t="n">
        <v>354113</v>
      </c>
      <c r="D41" s="0" t="s">
        <v>314</v>
      </c>
      <c r="E41" s="14" t="s">
        <v>315</v>
      </c>
      <c r="F41" s="14" t="s">
        <v>316</v>
      </c>
      <c r="G41" s="25" t="str">
        <f>HYPERLINK("http://irecommend.ru/content/effektiven-pri-lechenii-i-dlya-profilaktiki-prostud")</f>
      </c>
      <c r="H41" s="14" t="s">
        <v>317</v>
      </c>
      <c r="I41" s="14" t="s">
        <v>231</v>
      </c>
      <c r="J41" s="14" t="s">
        <v>318</v>
      </c>
      <c r="L41" s="14"/>
      <c r="M41" s="14" t="s">
        <v>316</v>
      </c>
      <c r="O41" s="1"/>
      <c r="P41" s="1"/>
      <c r="Q41" s="1"/>
      <c r="R41" s="1" t="n">
        <v>0</v>
      </c>
      <c r="S41" s="1"/>
      <c r="T41" s="1" t="n">
        <v>0</v>
      </c>
      <c r="U41" s="1" t="n">
        <v>0</v>
      </c>
      <c r="V41" s="1" t="n">
        <v>0</v>
      </c>
      <c r="W41" s="1"/>
      <c r="X41" s="0" t="n">
        <v>5</v>
      </c>
      <c r="Y41" s="1" t="n">
        <v>1</v>
      </c>
      <c r="Z41" s="0" t="s">
        <v>319</v>
      </c>
      <c r="AA41" s="0" t="s">
        <v>187</v>
      </c>
      <c r="AH41" s="0" t="s">
        <v>180</v>
      </c>
      <c r="AI41" s="0" t="s">
        <v>92</v>
      </c>
      <c r="AJ41" s="0" t="s">
        <v>181</v>
      </c>
      <c r="AK41" s="0" t="s">
        <v>94</v>
      </c>
      <c r="AN41" s="0" t="s">
        <v>97</v>
      </c>
      <c r="AS41" s="0" t="s">
        <v>102</v>
      </c>
      <c r="BG41" s="0" t="s">
        <v>116</v>
      </c>
      <c r="BM41" s="0" t="s">
        <v>122</v>
      </c>
      <c r="BW41" s="0" t="s">
        <v>132</v>
      </c>
    </row>
    <row r="42" ht="1632.75">
      <c r="B42" s="0" t="s">
        <v>313</v>
      </c>
      <c r="C42" s="1" t="n">
        <v>354089</v>
      </c>
      <c r="E42" s="14" t="s">
        <v>320</v>
      </c>
      <c r="F42" s="14" t="s">
        <v>184</v>
      </c>
      <c r="G42" s="25" t="str">
        <f>HYPERLINK("http://vk.com/wall782476761_90")</f>
      </c>
      <c r="H42" s="14" t="s">
        <v>170</v>
      </c>
      <c r="I42" s="14" t="s">
        <v>171</v>
      </c>
      <c r="J42" s="14" t="s">
        <v>321</v>
      </c>
      <c r="K42" s="26" t="str">
        <f>HYPERLINK("http://vk.com/id782476761")</f>
      </c>
      <c r="L42" s="14" t="s">
        <v>173</v>
      </c>
      <c r="O42" s="1" t="s">
        <v>186</v>
      </c>
      <c r="P42" s="1" t="n">
        <v>67</v>
      </c>
      <c r="Q42" s="1" t="n">
        <v>19</v>
      </c>
      <c r="R42" s="1" t="n">
        <v>0</v>
      </c>
      <c r="S42" s="1"/>
      <c r="T42" s="1" t="n">
        <v>0</v>
      </c>
      <c r="U42" s="1" t="n">
        <v>0</v>
      </c>
      <c r="V42" s="1" t="n">
        <v>0</v>
      </c>
      <c r="W42" s="1" t="n">
        <v>1</v>
      </c>
      <c r="Y42" s="1" t="n">
        <v>12</v>
      </c>
      <c r="Z42" s="0" t="s">
        <v>175</v>
      </c>
      <c r="AA42" s="0" t="s">
        <v>187</v>
      </c>
      <c r="AH42" s="0" t="s">
        <v>180</v>
      </c>
      <c r="AJ42" s="0" t="s">
        <v>181</v>
      </c>
      <c r="AK42" s="0" t="s">
        <v>94</v>
      </c>
      <c r="AM42" s="0" t="s">
        <v>96</v>
      </c>
      <c r="AN42" s="0" t="s">
        <v>97</v>
      </c>
      <c r="AS42" s="0" t="s">
        <v>102</v>
      </c>
      <c r="AW42" s="0" t="s">
        <v>106</v>
      </c>
      <c r="AX42" s="0" t="s">
        <v>107</v>
      </c>
      <c r="BM42" s="0" t="s">
        <v>122</v>
      </c>
      <c r="BU42" s="0" t="s">
        <v>130</v>
      </c>
    </row>
    <row r="43">
      <c r="B43" s="0" t="s">
        <v>322</v>
      </c>
      <c r="C43" s="1" t="n">
        <v>354082</v>
      </c>
      <c r="E43" s="14" t="s">
        <v>323</v>
      </c>
      <c r="F43" s="14" t="s">
        <v>184</v>
      </c>
      <c r="G43" s="25" t="str">
        <f>HYPERLINK("http://vk.com/wall-162424850_543650?reply=543899")</f>
      </c>
      <c r="H43" s="14" t="s">
        <v>170</v>
      </c>
      <c r="I43" s="14" t="s">
        <v>231</v>
      </c>
      <c r="J43" s="14" t="s">
        <v>324</v>
      </c>
      <c r="K43" s="26" t="str">
        <f>HYPERLINK("http://vk.com/id793507918")</f>
      </c>
      <c r="L43" s="14" t="s">
        <v>173</v>
      </c>
      <c r="M43" s="14" t="s">
        <v>325</v>
      </c>
      <c r="N43" s="25" t="str">
        <f>HYPERLINK("http://vk.com/club162424850")</f>
      </c>
      <c r="O43" s="1" t="s">
        <v>186</v>
      </c>
      <c r="P43" s="1" t="n">
        <v>26</v>
      </c>
      <c r="Q43" s="1" t="n">
        <v>17360</v>
      </c>
      <c r="R43" s="1" t="n">
        <v>0</v>
      </c>
      <c r="S43" s="1"/>
      <c r="T43" s="1" t="n">
        <v>0</v>
      </c>
      <c r="U43" s="1" t="n">
        <v>0</v>
      </c>
      <c r="V43" s="1" t="n">
        <v>0</v>
      </c>
      <c r="W43" s="1"/>
      <c r="Y43" s="1" t="n">
        <v>1</v>
      </c>
      <c r="Z43" s="0" t="s">
        <v>319</v>
      </c>
      <c r="AA43" s="0" t="s">
        <v>292</v>
      </c>
      <c r="AH43" s="0" t="s">
        <v>180</v>
      </c>
      <c r="AI43" s="0" t="s">
        <v>92</v>
      </c>
      <c r="AJ43" s="0" t="s">
        <v>181</v>
      </c>
      <c r="AN43" s="0" t="s">
        <v>97</v>
      </c>
      <c r="BD43" s="0" t="s">
        <v>113</v>
      </c>
      <c r="BE43" s="0" t="s">
        <v>114</v>
      </c>
    </row>
    <row r="44">
      <c r="B44" s="0" t="s">
        <v>322</v>
      </c>
      <c r="C44" s="1" t="n">
        <v>354106</v>
      </c>
      <c r="E44" s="14" t="s">
        <v>326</v>
      </c>
      <c r="F44" s="14" t="s">
        <v>192</v>
      </c>
      <c r="G44" s="25" t="str">
        <f>HYPERLINK("https://telegram.me/moskva_mam/132971")</f>
      </c>
      <c r="H44" s="14" t="s">
        <v>193</v>
      </c>
      <c r="I44" s="14" t="s">
        <v>194</v>
      </c>
      <c r="J44" s="14" t="s">
        <v>327</v>
      </c>
      <c r="K44" s="26" t="str">
        <f>HYPERLINK("https://telegram.me/Oksana_Ridiger")</f>
      </c>
      <c r="L44" s="14" t="s">
        <v>173</v>
      </c>
      <c r="M44" s="14" t="s">
        <v>328</v>
      </c>
      <c r="N44" s="25" t="str">
        <f>HYPERLINK("https://telegram.me/moskva_mam")</f>
      </c>
      <c r="O44" s="1" t="s">
        <v>186</v>
      </c>
      <c r="P44" s="1"/>
      <c r="Q44" s="1" t="n">
        <v>1861</v>
      </c>
      <c r="R44" s="1" t="n">
        <v>0</v>
      </c>
      <c r="S44" s="1"/>
      <c r="T44" s="1" t="n">
        <v>0</v>
      </c>
      <c r="U44" s="1" t="n">
        <v>0</v>
      </c>
      <c r="V44" s="1" t="n">
        <v>0</v>
      </c>
      <c r="W44" s="1"/>
      <c r="Y44" s="1" t="n">
        <v>1</v>
      </c>
      <c r="Z44" s="0" t="s">
        <v>175</v>
      </c>
      <c r="AA44" s="0" t="s">
        <v>187</v>
      </c>
      <c r="AH44" s="0" t="s">
        <v>180</v>
      </c>
      <c r="AJ44" s="0" t="s">
        <v>181</v>
      </c>
      <c r="AK44" s="0" t="s">
        <v>94</v>
      </c>
      <c r="CB44" s="0" t="s">
        <v>137</v>
      </c>
    </row>
    <row r="45">
      <c r="B45" s="0" t="s">
        <v>322</v>
      </c>
      <c r="C45" s="1" t="n">
        <v>354093</v>
      </c>
      <c r="E45" s="14" t="s">
        <v>329</v>
      </c>
      <c r="F45" s="14" t="s">
        <v>184</v>
      </c>
      <c r="G45" s="25" t="str">
        <f>HYPERLINK("http://vk.com/wall-87598739_813314?reply=818055&amp;thread=813320")</f>
      </c>
      <c r="H45" s="14" t="s">
        <v>170</v>
      </c>
      <c r="I45" s="14" t="s">
        <v>231</v>
      </c>
      <c r="J45" s="14" t="s">
        <v>330</v>
      </c>
      <c r="K45" s="26" t="str">
        <f>HYPERLINK("http://vk.com/id664517657")</f>
      </c>
      <c r="L45" s="14" t="s">
        <v>173</v>
      </c>
      <c r="M45" s="14" t="s">
        <v>331</v>
      </c>
      <c r="N45" s="25" t="str">
        <f>HYPERLINK("http://vk.com/club87598739")</f>
      </c>
      <c r="O45" s="1" t="s">
        <v>186</v>
      </c>
      <c r="P45" s="1" t="n">
        <v>39</v>
      </c>
      <c r="Q45" s="1" t="n">
        <v>36919</v>
      </c>
      <c r="R45" s="1" t="n">
        <v>0</v>
      </c>
      <c r="S45" s="1"/>
      <c r="T45" s="1" t="n">
        <v>0</v>
      </c>
      <c r="U45" s="1" t="n">
        <v>0</v>
      </c>
      <c r="V45" s="1" t="n">
        <v>0</v>
      </c>
      <c r="W45" s="1"/>
      <c r="Y45" s="1" t="n">
        <v>1</v>
      </c>
      <c r="Z45" s="0" t="s">
        <v>175</v>
      </c>
      <c r="AA45" s="0" t="s">
        <v>187</v>
      </c>
      <c r="AC45" s="0" t="s">
        <v>177</v>
      </c>
      <c r="AD45" s="0" t="s">
        <v>332</v>
      </c>
      <c r="AE45" s="0" t="s">
        <v>332</v>
      </c>
      <c r="AH45" s="0" t="s">
        <v>180</v>
      </c>
      <c r="AI45" s="0" t="s">
        <v>92</v>
      </c>
      <c r="AJ45" s="0" t="s">
        <v>181</v>
      </c>
      <c r="AK45" s="0" t="s">
        <v>94</v>
      </c>
      <c r="AN45" s="0" t="s">
        <v>97</v>
      </c>
      <c r="BF45" s="0" t="s">
        <v>115</v>
      </c>
    </row>
    <row r="46" ht="768.75">
      <c r="B46" s="0" t="s">
        <v>322</v>
      </c>
      <c r="C46" s="1" t="n">
        <v>354086</v>
      </c>
      <c r="E46" s="14" t="s">
        <v>333</v>
      </c>
      <c r="F46" s="14" t="s">
        <v>184</v>
      </c>
      <c r="G46" s="25" t="str">
        <f>HYPERLINK("http://vk.com/wall457827327_2826")</f>
      </c>
      <c r="H46" s="14" t="s">
        <v>170</v>
      </c>
      <c r="I46" s="14" t="s">
        <v>171</v>
      </c>
      <c r="J46" s="14" t="s">
        <v>334</v>
      </c>
      <c r="K46" s="26" t="str">
        <f>HYPERLINK("http://vk.com/id457827327")</f>
      </c>
      <c r="L46" s="14" t="s">
        <v>173</v>
      </c>
      <c r="O46" s="1" t="s">
        <v>186</v>
      </c>
      <c r="P46" s="1" t="n">
        <v>64</v>
      </c>
      <c r="Q46" s="1" t="n">
        <v>11</v>
      </c>
      <c r="R46" s="1" t="n">
        <v>0</v>
      </c>
      <c r="S46" s="1"/>
      <c r="T46" s="1" t="n">
        <v>0</v>
      </c>
      <c r="U46" s="1" t="n">
        <v>0</v>
      </c>
      <c r="V46" s="1" t="n">
        <v>0</v>
      </c>
      <c r="W46" s="1"/>
      <c r="Y46" s="1" t="n">
        <v>1</v>
      </c>
      <c r="Z46" s="0" t="s">
        <v>175</v>
      </c>
      <c r="AA46" s="0" t="s">
        <v>187</v>
      </c>
      <c r="AH46" s="0" t="s">
        <v>180</v>
      </c>
      <c r="AJ46" s="0" t="s">
        <v>181</v>
      </c>
      <c r="AK46" s="0" t="s">
        <v>94</v>
      </c>
      <c r="AM46" s="0" t="s">
        <v>96</v>
      </c>
      <c r="AN46" s="0" t="s">
        <v>97</v>
      </c>
      <c r="AS46" s="0" t="s">
        <v>102</v>
      </c>
      <c r="AW46" s="0" t="s">
        <v>106</v>
      </c>
      <c r="AX46" s="0" t="s">
        <v>107</v>
      </c>
      <c r="BB46" s="0" t="s">
        <v>111</v>
      </c>
      <c r="BE46" s="0" t="s">
        <v>114</v>
      </c>
      <c r="BG46" s="0" t="s">
        <v>116</v>
      </c>
      <c r="BL46" s="0" t="s">
        <v>121</v>
      </c>
      <c r="BM46" s="0" t="s">
        <v>122</v>
      </c>
      <c r="BO46" s="0" t="s">
        <v>124</v>
      </c>
      <c r="BQ46" s="0" t="s">
        <v>126</v>
      </c>
      <c r="BU46" s="0" t="s">
        <v>130</v>
      </c>
    </row>
    <row r="47">
      <c r="B47" s="0" t="s">
        <v>322</v>
      </c>
      <c r="C47" s="1" t="n">
        <v>354094</v>
      </c>
      <c r="E47" s="14" t="s">
        <v>335</v>
      </c>
      <c r="F47" s="14" t="s">
        <v>184</v>
      </c>
      <c r="G47" s="25" t="str">
        <f>HYPERLINK("http://vk.com/wall-207266137_775864?reply=775947&amp;thread=775904")</f>
      </c>
      <c r="H47" s="14" t="s">
        <v>170</v>
      </c>
      <c r="I47" s="14" t="s">
        <v>231</v>
      </c>
      <c r="J47" s="14" t="s">
        <v>336</v>
      </c>
      <c r="K47" s="26" t="str">
        <f>HYPERLINK("http://vk.com/id62146060")</f>
      </c>
      <c r="L47" s="14" t="s">
        <v>173</v>
      </c>
      <c r="M47" s="14" t="s">
        <v>337</v>
      </c>
      <c r="N47" s="25" t="str">
        <f>HYPERLINK("http://vk.com/club207266137")</f>
      </c>
      <c r="O47" s="1" t="s">
        <v>174</v>
      </c>
      <c r="P47" s="1" t="n">
        <v>33</v>
      </c>
      <c r="Q47" s="1" t="n">
        <v>320778</v>
      </c>
      <c r="R47" s="1" t="n">
        <v>0</v>
      </c>
      <c r="S47" s="1"/>
      <c r="T47" s="1" t="n">
        <v>0</v>
      </c>
      <c r="U47" s="1" t="n">
        <v>0</v>
      </c>
      <c r="V47" s="1" t="n">
        <v>0</v>
      </c>
      <c r="W47" s="1"/>
      <c r="Y47" s="1" t="n">
        <v>1</v>
      </c>
      <c r="Z47" s="0" t="s">
        <v>175</v>
      </c>
      <c r="AA47" s="0" t="s">
        <v>187</v>
      </c>
      <c r="AH47" s="0" t="s">
        <v>180</v>
      </c>
      <c r="AI47" s="0" t="s">
        <v>92</v>
      </c>
      <c r="AJ47" s="0" t="s">
        <v>181</v>
      </c>
      <c r="AK47" s="0" t="s">
        <v>94</v>
      </c>
      <c r="AR47" s="0" t="s">
        <v>101</v>
      </c>
    </row>
    <row r="48">
      <c r="B48" s="0" t="s">
        <v>338</v>
      </c>
      <c r="C48" s="1" t="n">
        <v>354107</v>
      </c>
      <c r="E48" s="14" t="s">
        <v>339</v>
      </c>
      <c r="F48" s="14" t="s">
        <v>192</v>
      </c>
      <c r="G48" s="25" t="str">
        <f>HYPERLINK("https://telegram.me/moskva_mam/132968")</f>
      </c>
      <c r="H48" s="14" t="s">
        <v>193</v>
      </c>
      <c r="I48" s="14" t="s">
        <v>194</v>
      </c>
      <c r="J48" s="14" t="s">
        <v>327</v>
      </c>
      <c r="K48" s="26" t="str">
        <f>HYPERLINK("https://telegram.me/Oksana_Ridiger")</f>
      </c>
      <c r="L48" s="14" t="s">
        <v>173</v>
      </c>
      <c r="M48" s="14" t="s">
        <v>328</v>
      </c>
      <c r="N48" s="25" t="str">
        <f>HYPERLINK("https://telegram.me/moskva_mam")</f>
      </c>
      <c r="O48" s="1" t="s">
        <v>186</v>
      </c>
      <c r="P48" s="1"/>
      <c r="Q48" s="1" t="n">
        <v>1861</v>
      </c>
      <c r="R48" s="1" t="n">
        <v>0</v>
      </c>
      <c r="S48" s="1"/>
      <c r="T48" s="1" t="n">
        <v>0</v>
      </c>
      <c r="U48" s="1" t="n">
        <v>0</v>
      </c>
      <c r="V48" s="1" t="n">
        <v>0</v>
      </c>
      <c r="W48" s="1"/>
      <c r="Y48" s="1" t="n">
        <v>1</v>
      </c>
      <c r="Z48" s="0" t="s">
        <v>175</v>
      </c>
      <c r="AA48" s="0" t="s">
        <v>292</v>
      </c>
      <c r="AH48" s="0" t="s">
        <v>180</v>
      </c>
      <c r="AJ48" s="0" t="s">
        <v>181</v>
      </c>
      <c r="AO48" s="0" t="s">
        <v>98</v>
      </c>
    </row>
    <row r="49" ht="1164.75">
      <c r="B49" s="0" t="s">
        <v>338</v>
      </c>
      <c r="C49" s="1" t="n">
        <v>354097</v>
      </c>
      <c r="E49" s="14" t="s">
        <v>269</v>
      </c>
      <c r="F49" s="14" t="s">
        <v>184</v>
      </c>
      <c r="G49" s="25" t="str">
        <f>HYPERLINK("http://vk.com/wall562694182_2362")</f>
      </c>
      <c r="H49" s="14" t="s">
        <v>170</v>
      </c>
      <c r="I49" s="14" t="s">
        <v>171</v>
      </c>
      <c r="J49" s="14" t="s">
        <v>340</v>
      </c>
      <c r="K49" s="26" t="str">
        <f>HYPERLINK("http://vk.com/id562694182")</f>
      </c>
      <c r="L49" s="14" t="s">
        <v>173</v>
      </c>
      <c r="O49" s="1" t="s">
        <v>186</v>
      </c>
      <c r="P49" s="1" t="n">
        <v>64</v>
      </c>
      <c r="Q49" s="1" t="n">
        <v>167</v>
      </c>
      <c r="R49" s="1" t="n">
        <v>0</v>
      </c>
      <c r="S49" s="1"/>
      <c r="T49" s="1" t="n">
        <v>0</v>
      </c>
      <c r="U49" s="1" t="n">
        <v>0</v>
      </c>
      <c r="V49" s="1" t="n">
        <v>0</v>
      </c>
      <c r="W49" s="1"/>
      <c r="Y49" s="1" t="n">
        <v>24</v>
      </c>
      <c r="Z49" s="0" t="s">
        <v>175</v>
      </c>
      <c r="AA49" s="0" t="s">
        <v>187</v>
      </c>
      <c r="AC49" s="0" t="s">
        <v>177</v>
      </c>
      <c r="AD49" s="0" t="s">
        <v>341</v>
      </c>
      <c r="AE49" s="0" t="s">
        <v>342</v>
      </c>
      <c r="AH49" s="0" t="s">
        <v>180</v>
      </c>
      <c r="AJ49" s="0" t="s">
        <v>181</v>
      </c>
      <c r="AK49" s="0" t="s">
        <v>94</v>
      </c>
      <c r="AM49" s="0" t="s">
        <v>96</v>
      </c>
      <c r="AN49" s="0" t="s">
        <v>97</v>
      </c>
      <c r="AW49" s="0" t="s">
        <v>106</v>
      </c>
      <c r="AX49" s="0" t="s">
        <v>107</v>
      </c>
    </row>
    <row r="50">
      <c r="B50" s="0" t="s">
        <v>338</v>
      </c>
      <c r="C50" s="1" t="n">
        <v>354099</v>
      </c>
      <c r="E50" s="14" t="s">
        <v>343</v>
      </c>
      <c r="F50" s="14" t="s">
        <v>184</v>
      </c>
      <c r="G50" s="25" t="str">
        <f>HYPERLINK("http://vk.com/wall-133977313_256419?reply=256436")</f>
      </c>
      <c r="H50" s="14" t="s">
        <v>170</v>
      </c>
      <c r="I50" s="14" t="s">
        <v>231</v>
      </c>
      <c r="J50" s="14" t="s">
        <v>344</v>
      </c>
      <c r="K50" s="26" t="str">
        <f>HYPERLINK("http://vk.com/id2598036")</f>
      </c>
      <c r="L50" s="14" t="s">
        <v>173</v>
      </c>
      <c r="M50" s="14" t="s">
        <v>345</v>
      </c>
      <c r="N50" s="25" t="str">
        <f>HYPERLINK("http://vk.com/club133977313")</f>
      </c>
      <c r="O50" s="1" t="s">
        <v>186</v>
      </c>
      <c r="P50" s="1"/>
      <c r="Q50" s="1" t="n">
        <v>20326</v>
      </c>
      <c r="R50" s="1" t="n">
        <v>0</v>
      </c>
      <c r="S50" s="1"/>
      <c r="T50" s="1" t="n">
        <v>0</v>
      </c>
      <c r="U50" s="1" t="n">
        <v>0</v>
      </c>
      <c r="V50" s="1" t="n">
        <v>0</v>
      </c>
      <c r="W50" s="1"/>
      <c r="Y50" s="1" t="n">
        <v>1</v>
      </c>
      <c r="Z50" s="0" t="s">
        <v>175</v>
      </c>
      <c r="AA50" s="0" t="s">
        <v>187</v>
      </c>
      <c r="AC50" s="0" t="s">
        <v>177</v>
      </c>
      <c r="AD50" s="0" t="s">
        <v>332</v>
      </c>
      <c r="AE50" s="0" t="s">
        <v>332</v>
      </c>
      <c r="AH50" s="0" t="s">
        <v>180</v>
      </c>
      <c r="AJ50" s="0" t="s">
        <v>181</v>
      </c>
      <c r="AK50" s="0" t="s">
        <v>94</v>
      </c>
      <c r="AN50" s="0" t="s">
        <v>97</v>
      </c>
      <c r="AW50" s="0" t="s">
        <v>106</v>
      </c>
      <c r="BE50" s="0" t="s">
        <v>114</v>
      </c>
      <c r="BH50" s="0" t="s">
        <v>117</v>
      </c>
      <c r="BU50" s="0" t="s">
        <v>130</v>
      </c>
    </row>
    <row r="51" ht="48.75">
      <c r="B51" s="0" t="s">
        <v>346</v>
      </c>
      <c r="C51" s="1" t="n">
        <v>354135</v>
      </c>
      <c r="E51" s="14" t="s">
        <v>347</v>
      </c>
      <c r="F51" s="14" t="s">
        <v>169</v>
      </c>
      <c r="G51" s="25" t="str">
        <f>HYPERLINK("http://www.ok.ru/profile/576350023352/statuses/156218830578616")</f>
      </c>
      <c r="H51" s="14" t="s">
        <v>170</v>
      </c>
      <c r="I51" s="14" t="s">
        <v>171</v>
      </c>
      <c r="J51" s="14" t="s">
        <v>348</v>
      </c>
      <c r="K51" s="26" t="str">
        <f>HYPERLINK("http://www.ok.ru/profile/576350023352")</f>
      </c>
      <c r="L51" s="14" t="s">
        <v>173</v>
      </c>
      <c r="O51" s="1" t="s">
        <v>186</v>
      </c>
      <c r="P51" s="1" t="n">
        <v>45</v>
      </c>
      <c r="Q51" s="1" t="n">
        <v>223</v>
      </c>
      <c r="R51" s="1" t="n">
        <v>0</v>
      </c>
      <c r="S51" s="1"/>
      <c r="T51" s="1" t="n">
        <v>0</v>
      </c>
      <c r="U51" s="1" t="n">
        <v>0</v>
      </c>
      <c r="V51" s="1" t="n">
        <v>0</v>
      </c>
      <c r="W51" s="1"/>
      <c r="Y51" s="1" t="n">
        <v>2</v>
      </c>
      <c r="Z51" s="0" t="s">
        <v>175</v>
      </c>
      <c r="AA51" s="0" t="s">
        <v>187</v>
      </c>
      <c r="AC51" s="0" t="s">
        <v>177</v>
      </c>
      <c r="AD51" s="0" t="s">
        <v>349</v>
      </c>
      <c r="AH51" s="0" t="s">
        <v>180</v>
      </c>
      <c r="AJ51" s="0" t="s">
        <v>181</v>
      </c>
      <c r="AK51" s="0" t="s">
        <v>94</v>
      </c>
      <c r="AM51" s="0" t="s">
        <v>96</v>
      </c>
      <c r="AX51" s="0" t="s">
        <v>107</v>
      </c>
      <c r="BG51" s="0" t="s">
        <v>116</v>
      </c>
    </row>
    <row r="52" ht="1632.75">
      <c r="B52" s="0" t="s">
        <v>346</v>
      </c>
      <c r="C52" s="1" t="n">
        <v>354085</v>
      </c>
      <c r="E52" s="14" t="s">
        <v>320</v>
      </c>
      <c r="F52" s="14" t="s">
        <v>184</v>
      </c>
      <c r="G52" s="25" t="str">
        <f>HYPERLINK("http://vk.com/wall225465171_530")</f>
      </c>
      <c r="H52" s="14" t="s">
        <v>170</v>
      </c>
      <c r="I52" s="14" t="s">
        <v>171</v>
      </c>
      <c r="J52" s="14" t="s">
        <v>350</v>
      </c>
      <c r="K52" s="26" t="str">
        <f>HYPERLINK("http://vk.com/id225465171")</f>
      </c>
      <c r="L52" s="14" t="s">
        <v>173</v>
      </c>
      <c r="O52" s="1" t="s">
        <v>186</v>
      </c>
      <c r="P52" s="1" t="n">
        <v>62</v>
      </c>
      <c r="Q52" s="1" t="n">
        <v>52</v>
      </c>
      <c r="R52" s="1" t="n">
        <v>0</v>
      </c>
      <c r="S52" s="1"/>
      <c r="T52" s="1" t="n">
        <v>0</v>
      </c>
      <c r="U52" s="1" t="n">
        <v>0</v>
      </c>
      <c r="V52" s="1" t="n">
        <v>0</v>
      </c>
      <c r="W52" s="1" t="n">
        <v>1</v>
      </c>
      <c r="Y52" s="1" t="n">
        <v>12</v>
      </c>
      <c r="Z52" s="0" t="s">
        <v>175</v>
      </c>
      <c r="AA52" s="0" t="s">
        <v>187</v>
      </c>
      <c r="AC52" s="0" t="s">
        <v>177</v>
      </c>
      <c r="AD52" s="0" t="s">
        <v>240</v>
      </c>
      <c r="AE52" s="0" t="s">
        <v>240</v>
      </c>
      <c r="AH52" s="0" t="s">
        <v>180</v>
      </c>
      <c r="AJ52" s="0" t="s">
        <v>181</v>
      </c>
      <c r="AK52" s="0" t="s">
        <v>94</v>
      </c>
      <c r="AM52" s="0" t="s">
        <v>96</v>
      </c>
      <c r="AN52" s="0" t="s">
        <v>97</v>
      </c>
      <c r="AS52" s="0" t="s">
        <v>102</v>
      </c>
      <c r="AW52" s="0" t="s">
        <v>106</v>
      </c>
      <c r="AX52" s="0" t="s">
        <v>107</v>
      </c>
      <c r="BM52" s="0" t="s">
        <v>122</v>
      </c>
      <c r="BU52" s="0" t="s">
        <v>130</v>
      </c>
    </row>
    <row r="53">
      <c r="B53" s="0" t="s">
        <v>346</v>
      </c>
      <c r="C53" s="1" t="n">
        <v>354066</v>
      </c>
      <c r="D53" s="0" t="s">
        <v>351</v>
      </c>
      <c r="E53" s="14" t="s">
        <v>352</v>
      </c>
      <c r="F53" s="14" t="s">
        <v>263</v>
      </c>
      <c r="G53" s="25" t="str">
        <f>HYPERLINK("https://www.baby.ru/blogs/post/2611467562-2597681634/")</f>
      </c>
      <c r="H53" s="14" t="s">
        <v>264</v>
      </c>
      <c r="I53" s="14" t="s">
        <v>231</v>
      </c>
      <c r="J53" s="14" t="s">
        <v>265</v>
      </c>
      <c r="K53" s="26" t="str">
        <f>HYPERLINK("https://www.baby.ru/u/usr2171834/")</f>
      </c>
      <c r="L53" s="14"/>
      <c r="M53" s="14" t="s">
        <v>353</v>
      </c>
      <c r="N53" s="25" t="str">
        <f>HYPERLINK("https://www.baby.ru/u/usr2710213/")</f>
      </c>
      <c r="O53" s="1"/>
      <c r="P53" s="1"/>
      <c r="Q53" s="1"/>
      <c r="R53" s="1" t="n">
        <v>0</v>
      </c>
      <c r="S53" s="1"/>
      <c r="T53" s="1" t="n">
        <v>0</v>
      </c>
      <c r="U53" s="1" t="n">
        <v>0</v>
      </c>
      <c r="V53" s="1" t="n">
        <v>0</v>
      </c>
      <c r="W53" s="1"/>
      <c r="Y53" s="1" t="n">
        <v>1</v>
      </c>
      <c r="Z53" s="0" t="s">
        <v>175</v>
      </c>
      <c r="AA53" s="0" t="s">
        <v>187</v>
      </c>
      <c r="AC53" s="0" t="s">
        <v>177</v>
      </c>
      <c r="AD53" s="0" t="s">
        <v>252</v>
      </c>
      <c r="AE53" s="0" t="s">
        <v>267</v>
      </c>
      <c r="AH53" s="0" t="s">
        <v>180</v>
      </c>
      <c r="AI53" s="0" t="s">
        <v>92</v>
      </c>
      <c r="AJ53" s="0" t="s">
        <v>181</v>
      </c>
      <c r="AK53" s="0" t="s">
        <v>94</v>
      </c>
      <c r="AN53" s="0" t="s">
        <v>97</v>
      </c>
      <c r="AR53" s="0" t="s">
        <v>101</v>
      </c>
      <c r="BC53" s="0" t="s">
        <v>112</v>
      </c>
      <c r="BO53" s="0" t="s">
        <v>124</v>
      </c>
    </row>
    <row r="54">
      <c r="B54" s="0" t="s">
        <v>354</v>
      </c>
      <c r="C54" s="1" t="n">
        <v>354087</v>
      </c>
      <c r="E54" s="14" t="s">
        <v>355</v>
      </c>
      <c r="F54" s="14" t="s">
        <v>184</v>
      </c>
      <c r="G54" s="25" t="str">
        <f>HYPERLINK("http://vk.com/wall-165495813_955937?reply=956089&amp;thread=956013")</f>
      </c>
      <c r="H54" s="14" t="s">
        <v>170</v>
      </c>
      <c r="I54" s="14" t="s">
        <v>231</v>
      </c>
      <c r="J54" s="14" t="s">
        <v>356</v>
      </c>
      <c r="K54" s="26" t="str">
        <f>HYPERLINK("http://vk.com/id90392475")</f>
      </c>
      <c r="L54" s="14" t="s">
        <v>173</v>
      </c>
      <c r="M54" s="14" t="s">
        <v>357</v>
      </c>
      <c r="N54" s="25" t="str">
        <f>HYPERLINK("http://vk.com/club165495813")</f>
      </c>
      <c r="O54" s="1" t="s">
        <v>186</v>
      </c>
      <c r="P54" s="1"/>
      <c r="Q54" s="1" t="n">
        <v>310333</v>
      </c>
      <c r="R54" s="1" t="n">
        <v>0</v>
      </c>
      <c r="S54" s="1"/>
      <c r="T54" s="1" t="n">
        <v>0</v>
      </c>
      <c r="U54" s="1" t="n">
        <v>0</v>
      </c>
      <c r="V54" s="1" t="n">
        <v>0</v>
      </c>
      <c r="W54" s="1"/>
      <c r="Y54" s="1" t="n">
        <v>1</v>
      </c>
      <c r="Z54" s="0" t="s">
        <v>175</v>
      </c>
      <c r="AA54" s="0" t="s">
        <v>187</v>
      </c>
      <c r="AC54" s="0" t="s">
        <v>177</v>
      </c>
      <c r="AH54" s="0" t="s">
        <v>180</v>
      </c>
      <c r="AI54" s="0" t="s">
        <v>92</v>
      </c>
      <c r="AJ54" s="0" t="s">
        <v>181</v>
      </c>
      <c r="AK54" s="0" t="s">
        <v>94</v>
      </c>
      <c r="AN54" s="0" t="s">
        <v>97</v>
      </c>
      <c r="AR54" s="0" t="s">
        <v>101</v>
      </c>
      <c r="AS54" s="0" t="s">
        <v>102</v>
      </c>
      <c r="AW54" s="0" t="s">
        <v>106</v>
      </c>
      <c r="BU54" s="0" t="s">
        <v>130</v>
      </c>
    </row>
    <row r="55" ht="24.75">
      <c r="B55" s="0" t="s">
        <v>354</v>
      </c>
      <c r="C55" s="1" t="n">
        <v>354080</v>
      </c>
      <c r="E55" s="14" t="s">
        <v>183</v>
      </c>
      <c r="F55" s="14" t="s">
        <v>184</v>
      </c>
      <c r="G55" s="25" t="str">
        <f>HYPERLINK("http://vk.com/wall710197643_827")</f>
      </c>
      <c r="H55" s="14" t="s">
        <v>170</v>
      </c>
      <c r="I55" s="14" t="s">
        <v>171</v>
      </c>
      <c r="J55" s="14" t="s">
        <v>358</v>
      </c>
      <c r="K55" s="26" t="str">
        <f>HYPERLINK("http://vk.com/id710197643")</f>
      </c>
      <c r="L55" s="14" t="s">
        <v>173</v>
      </c>
      <c r="O55" s="1" t="s">
        <v>186</v>
      </c>
      <c r="P55" s="1" t="n">
        <v>66</v>
      </c>
      <c r="Q55" s="1" t="n">
        <v>84</v>
      </c>
      <c r="R55" s="1" t="n">
        <v>0</v>
      </c>
      <c r="S55" s="1"/>
      <c r="T55" s="1" t="n">
        <v>0</v>
      </c>
      <c r="U55" s="1" t="n">
        <v>0</v>
      </c>
      <c r="V55" s="1" t="n">
        <v>0</v>
      </c>
      <c r="W55" s="1" t="n">
        <v>1</v>
      </c>
      <c r="Y55" s="1" t="n">
        <v>62</v>
      </c>
      <c r="Z55" s="0" t="s">
        <v>175</v>
      </c>
      <c r="AA55" s="0" t="s">
        <v>187</v>
      </c>
      <c r="AH55" s="0" t="s">
        <v>180</v>
      </c>
      <c r="AJ55" s="0" t="s">
        <v>181</v>
      </c>
      <c r="AK55" s="0" t="s">
        <v>94</v>
      </c>
      <c r="AN55" s="0" t="s">
        <v>97</v>
      </c>
      <c r="AR55" s="0" t="s">
        <v>101</v>
      </c>
      <c r="AS55" s="0" t="s">
        <v>102</v>
      </c>
      <c r="AW55" s="0" t="s">
        <v>106</v>
      </c>
      <c r="BB55" s="0" t="s">
        <v>111</v>
      </c>
      <c r="BE55" s="0" t="s">
        <v>114</v>
      </c>
    </row>
    <row r="56">
      <c r="B56" s="0" t="s">
        <v>359</v>
      </c>
      <c r="C56" s="1" t="n">
        <v>354052</v>
      </c>
      <c r="E56" s="14" t="s">
        <v>360</v>
      </c>
      <c r="F56" s="14" t="s">
        <v>192</v>
      </c>
      <c r="G56" s="25" t="str">
        <f>HYPERLINK("https://telegram.me/vv_volodin/633?comment=4535826")</f>
      </c>
      <c r="H56" s="14" t="s">
        <v>193</v>
      </c>
      <c r="I56" s="14" t="s">
        <v>231</v>
      </c>
      <c r="J56" s="14" t="s">
        <v>361</v>
      </c>
      <c r="K56" s="26" t="str">
        <f>HYPERLINK("https://telegram.me/")</f>
      </c>
      <c r="L56" s="14" t="s">
        <v>173</v>
      </c>
      <c r="M56" s="14" t="s">
        <v>362</v>
      </c>
      <c r="N56" s="25" t="str">
        <f>HYPERLINK("https://telegram.me/vv_volodin")</f>
      </c>
      <c r="O56" s="1"/>
      <c r="P56" s="1"/>
      <c r="Q56" s="1" t="n">
        <v>943304</v>
      </c>
      <c r="R56" s="1" t="n">
        <v>0</v>
      </c>
      <c r="S56" s="1"/>
      <c r="T56" s="1" t="n">
        <v>0</v>
      </c>
      <c r="U56" s="1" t="n">
        <v>0</v>
      </c>
      <c r="V56" s="1" t="n">
        <v>0</v>
      </c>
      <c r="W56" s="1"/>
      <c r="Y56" s="1" t="n">
        <v>1</v>
      </c>
      <c r="Z56" s="0" t="s">
        <v>175</v>
      </c>
      <c r="AA56" s="0" t="s">
        <v>187</v>
      </c>
      <c r="AH56" s="0" t="s">
        <v>180</v>
      </c>
      <c r="AI56" s="0" t="s">
        <v>92</v>
      </c>
      <c r="AJ56" s="0" t="s">
        <v>181</v>
      </c>
      <c r="AK56" s="0" t="s">
        <v>94</v>
      </c>
      <c r="AR56" s="0" t="s">
        <v>101</v>
      </c>
      <c r="BB56" s="0" t="s">
        <v>111</v>
      </c>
    </row>
    <row r="57">
      <c r="B57" s="0" t="s">
        <v>359</v>
      </c>
      <c r="C57" s="1" t="n">
        <v>354079</v>
      </c>
      <c r="E57" s="14" t="s">
        <v>363</v>
      </c>
      <c r="F57" s="14" t="s">
        <v>184</v>
      </c>
      <c r="G57" s="25" t="str">
        <f>HYPERLINK("http://vk.com/wall-103925_17240?reply=17613&amp;thread=17604")</f>
      </c>
      <c r="H57" s="14" t="s">
        <v>170</v>
      </c>
      <c r="I57" s="14" t="s">
        <v>231</v>
      </c>
      <c r="J57" s="14" t="s">
        <v>364</v>
      </c>
      <c r="K57" s="26" t="str">
        <f>HYPERLINK("http://vk.com/id168713492")</f>
      </c>
      <c r="L57" s="14" t="s">
        <v>173</v>
      </c>
      <c r="M57" s="14" t="s">
        <v>365</v>
      </c>
      <c r="N57" s="25" t="str">
        <f>HYPERLINK("http://vk.com/club103925")</f>
      </c>
      <c r="O57" s="1" t="s">
        <v>174</v>
      </c>
      <c r="P57" s="1"/>
      <c r="Q57" s="1" t="n">
        <v>6012</v>
      </c>
      <c r="R57" s="1" t="n">
        <v>0</v>
      </c>
      <c r="S57" s="1"/>
      <c r="T57" s="1" t="n">
        <v>0</v>
      </c>
      <c r="U57" s="1" t="n">
        <v>0</v>
      </c>
      <c r="V57" s="1" t="n">
        <v>0</v>
      </c>
      <c r="W57" s="1"/>
      <c r="Y57" s="1" t="n">
        <v>1</v>
      </c>
      <c r="Z57" s="0" t="s">
        <v>175</v>
      </c>
      <c r="AA57" s="0" t="s">
        <v>187</v>
      </c>
      <c r="AC57" s="0" t="s">
        <v>177</v>
      </c>
      <c r="AD57" s="0" t="s">
        <v>240</v>
      </c>
      <c r="AE57" s="0" t="s">
        <v>240</v>
      </c>
      <c r="AH57" s="0" t="s">
        <v>180</v>
      </c>
      <c r="AI57" s="0" t="s">
        <v>92</v>
      </c>
      <c r="AJ57" s="0" t="s">
        <v>181</v>
      </c>
      <c r="AK57" s="0" t="s">
        <v>94</v>
      </c>
      <c r="AR57" s="0" t="s">
        <v>101</v>
      </c>
    </row>
    <row r="58">
      <c r="B58" s="0" t="s">
        <v>359</v>
      </c>
      <c r="C58" s="1" t="n">
        <v>354092</v>
      </c>
      <c r="E58" s="14" t="s">
        <v>366</v>
      </c>
      <c r="F58" s="14" t="s">
        <v>184</v>
      </c>
      <c r="G58" s="25" t="str">
        <f>HYPERLINK("http://vk.com/wall-117339481_1474346?reply=1474641")</f>
      </c>
      <c r="H58" s="14" t="s">
        <v>170</v>
      </c>
      <c r="I58" s="14" t="s">
        <v>231</v>
      </c>
      <c r="J58" s="14" t="s">
        <v>367</v>
      </c>
      <c r="K58" s="26" t="str">
        <f>HYPERLINK("http://vk.com/id37940811")</f>
      </c>
      <c r="L58" s="14" t="s">
        <v>173</v>
      </c>
      <c r="M58" s="14" t="s">
        <v>368</v>
      </c>
      <c r="N58" s="25" t="str">
        <f>HYPERLINK("http://vk.com/club117339481")</f>
      </c>
      <c r="O58" s="1" t="s">
        <v>186</v>
      </c>
      <c r="P58" s="1" t="n">
        <v>32</v>
      </c>
      <c r="Q58" s="1" t="n">
        <v>23609</v>
      </c>
      <c r="R58" s="1" t="n">
        <v>0</v>
      </c>
      <c r="S58" s="1"/>
      <c r="T58" s="1" t="n">
        <v>0</v>
      </c>
      <c r="U58" s="1" t="n">
        <v>0</v>
      </c>
      <c r="V58" s="1" t="n">
        <v>0</v>
      </c>
      <c r="W58" s="1"/>
      <c r="Y58" s="1" t="n">
        <v>1</v>
      </c>
      <c r="Z58" s="0" t="s">
        <v>175</v>
      </c>
      <c r="AA58" s="0" t="s">
        <v>187</v>
      </c>
      <c r="AC58" s="0" t="s">
        <v>177</v>
      </c>
      <c r="AD58" s="0" t="s">
        <v>240</v>
      </c>
      <c r="AE58" s="0" t="s">
        <v>240</v>
      </c>
      <c r="AH58" s="0" t="s">
        <v>180</v>
      </c>
      <c r="AI58" s="0" t="s">
        <v>92</v>
      </c>
      <c r="AJ58" s="0" t="s">
        <v>181</v>
      </c>
      <c r="AK58" s="0" t="s">
        <v>94</v>
      </c>
      <c r="AV58" s="0" t="s">
        <v>105</v>
      </c>
    </row>
    <row r="59">
      <c r="B59" s="0" t="s">
        <v>369</v>
      </c>
      <c r="C59" s="1" t="n">
        <v>354091</v>
      </c>
      <c r="E59" s="14" t="s">
        <v>370</v>
      </c>
      <c r="F59" s="14" t="s">
        <v>184</v>
      </c>
      <c r="G59" s="25" t="str">
        <f>HYPERLINK("http://vk.com/wall-137658144_1433367?reply=1433879")</f>
      </c>
      <c r="H59" s="14" t="s">
        <v>170</v>
      </c>
      <c r="I59" s="14" t="s">
        <v>231</v>
      </c>
      <c r="J59" s="14" t="s">
        <v>371</v>
      </c>
      <c r="K59" s="26" t="str">
        <f>HYPERLINK("http://vk.com/id311007287")</f>
      </c>
      <c r="L59" s="14" t="s">
        <v>173</v>
      </c>
      <c r="M59" s="14" t="s">
        <v>372</v>
      </c>
      <c r="N59" s="25" t="str">
        <f>HYPERLINK("http://vk.com/club137658144")</f>
      </c>
      <c r="O59" s="1" t="s">
        <v>186</v>
      </c>
      <c r="P59" s="1"/>
      <c r="Q59" s="1" t="n">
        <v>120659</v>
      </c>
      <c r="R59" s="1" t="n">
        <v>0</v>
      </c>
      <c r="S59" s="1"/>
      <c r="T59" s="1" t="n">
        <v>0</v>
      </c>
      <c r="U59" s="1" t="n">
        <v>0</v>
      </c>
      <c r="V59" s="1" t="n">
        <v>0</v>
      </c>
      <c r="W59" s="1"/>
      <c r="Y59" s="1" t="n">
        <v>1</v>
      </c>
      <c r="Z59" s="0" t="s">
        <v>175</v>
      </c>
      <c r="AA59" s="0" t="s">
        <v>187</v>
      </c>
      <c r="AC59" s="0" t="s">
        <v>177</v>
      </c>
      <c r="AH59" s="0" t="s">
        <v>180</v>
      </c>
      <c r="AI59" s="0" t="s">
        <v>92</v>
      </c>
      <c r="AJ59" s="0" t="s">
        <v>181</v>
      </c>
      <c r="AK59" s="0" t="s">
        <v>94</v>
      </c>
      <c r="AN59" s="0" t="s">
        <v>97</v>
      </c>
      <c r="AV59" s="0" t="s">
        <v>105</v>
      </c>
    </row>
    <row r="60">
      <c r="B60" s="0" t="s">
        <v>373</v>
      </c>
      <c r="C60" s="1" t="n">
        <v>354152</v>
      </c>
      <c r="E60" s="14" t="s">
        <v>374</v>
      </c>
      <c r="F60" s="14" t="s">
        <v>375</v>
      </c>
      <c r="G60" s="25" t="str">
        <f>HYPERLINK("https://www.babyblog.ru/community/living/post/3308465")</f>
      </c>
      <c r="H60" s="14" t="s">
        <v>376</v>
      </c>
      <c r="I60" s="14" t="s">
        <v>231</v>
      </c>
      <c r="J60" s="14" t="s">
        <v>377</v>
      </c>
      <c r="L60" s="14"/>
      <c r="M60" s="14" t="s">
        <v>378</v>
      </c>
      <c r="O60" s="1"/>
      <c r="P60" s="1"/>
      <c r="Q60" s="1"/>
      <c r="R60" s="1" t="n">
        <v>0</v>
      </c>
      <c r="S60" s="1"/>
      <c r="T60" s="1" t="n">
        <v>0</v>
      </c>
      <c r="U60" s="1" t="n">
        <v>0</v>
      </c>
      <c r="V60" s="1" t="n">
        <v>0</v>
      </c>
      <c r="W60" s="1"/>
      <c r="Y60" s="1" t="n">
        <v>1</v>
      </c>
      <c r="Z60" s="0" t="s">
        <v>175</v>
      </c>
      <c r="AA60" s="0" t="s">
        <v>187</v>
      </c>
      <c r="AH60" s="0" t="s">
        <v>180</v>
      </c>
      <c r="AI60" s="0" t="s">
        <v>92</v>
      </c>
      <c r="AJ60" s="0" t="s">
        <v>181</v>
      </c>
      <c r="AK60" s="0" t="s">
        <v>94</v>
      </c>
      <c r="BB60" s="0" t="s">
        <v>111</v>
      </c>
      <c r="BC60" s="0" t="s">
        <v>112</v>
      </c>
      <c r="BI60" s="0" t="s">
        <v>118</v>
      </c>
    </row>
    <row r="61">
      <c r="B61" s="0" t="s">
        <v>373</v>
      </c>
      <c r="C61" s="1" t="n">
        <v>354083</v>
      </c>
      <c r="E61" s="14" t="s">
        <v>379</v>
      </c>
      <c r="F61" s="14" t="s">
        <v>184</v>
      </c>
      <c r="G61" s="25" t="str">
        <f>HYPERLINK("http://vk.com/wall-87598739_813314?reply=818050&amp;thread=813355")</f>
      </c>
      <c r="H61" s="14" t="s">
        <v>170</v>
      </c>
      <c r="I61" s="14" t="s">
        <v>231</v>
      </c>
      <c r="J61" s="14" t="s">
        <v>380</v>
      </c>
      <c r="K61" s="26" t="str">
        <f>HYPERLINK("http://vk.com/id564996259")</f>
      </c>
      <c r="L61" s="14" t="s">
        <v>173</v>
      </c>
      <c r="M61" s="14" t="s">
        <v>331</v>
      </c>
      <c r="N61" s="25" t="str">
        <f>HYPERLINK("http://vk.com/club87598739")</f>
      </c>
      <c r="O61" s="1" t="s">
        <v>186</v>
      </c>
      <c r="P61" s="1" t="n">
        <v>34</v>
      </c>
      <c r="Q61" s="1" t="n">
        <v>36919</v>
      </c>
      <c r="R61" s="1" t="n">
        <v>0</v>
      </c>
      <c r="S61" s="1"/>
      <c r="T61" s="1" t="n">
        <v>0</v>
      </c>
      <c r="U61" s="1" t="n">
        <v>0</v>
      </c>
      <c r="V61" s="1" t="n">
        <v>0</v>
      </c>
      <c r="W61" s="1"/>
      <c r="Y61" s="1" t="n">
        <v>1</v>
      </c>
      <c r="Z61" s="0" t="s">
        <v>175</v>
      </c>
      <c r="AA61" s="0" t="s">
        <v>187</v>
      </c>
      <c r="AC61" s="0" t="s">
        <v>177</v>
      </c>
      <c r="AH61" s="0" t="s">
        <v>180</v>
      </c>
      <c r="AI61" s="0" t="s">
        <v>92</v>
      </c>
      <c r="AJ61" s="0" t="s">
        <v>181</v>
      </c>
      <c r="AK61" s="0" t="s">
        <v>94</v>
      </c>
      <c r="AN61" s="0" t="s">
        <v>97</v>
      </c>
      <c r="AR61" s="0" t="s">
        <v>101</v>
      </c>
      <c r="AS61" s="0" t="s">
        <v>102</v>
      </c>
    </row>
    <row r="62">
      <c r="B62" s="0" t="s">
        <v>381</v>
      </c>
      <c r="C62" s="1" t="n">
        <v>354088</v>
      </c>
      <c r="E62" s="14" t="s">
        <v>382</v>
      </c>
      <c r="F62" s="14" t="s">
        <v>184</v>
      </c>
      <c r="G62" s="25" t="str">
        <f>HYPERLINK("http://vk.com/wall-87598739_813314?reply=818049&amp;thread=813355")</f>
      </c>
      <c r="H62" s="14" t="s">
        <v>170</v>
      </c>
      <c r="I62" s="14" t="s">
        <v>231</v>
      </c>
      <c r="J62" s="14" t="s">
        <v>380</v>
      </c>
      <c r="K62" s="26" t="str">
        <f>HYPERLINK("http://vk.com/id564996259")</f>
      </c>
      <c r="L62" s="14" t="s">
        <v>173</v>
      </c>
      <c r="M62" s="14" t="s">
        <v>331</v>
      </c>
      <c r="N62" s="25" t="str">
        <f>HYPERLINK("http://vk.com/club87598739")</f>
      </c>
      <c r="O62" s="1" t="s">
        <v>186</v>
      </c>
      <c r="P62" s="1" t="n">
        <v>34</v>
      </c>
      <c r="Q62" s="1" t="n">
        <v>36919</v>
      </c>
      <c r="R62" s="1" t="n">
        <v>0</v>
      </c>
      <c r="S62" s="1"/>
      <c r="T62" s="1" t="n">
        <v>0</v>
      </c>
      <c r="U62" s="1" t="n">
        <v>0</v>
      </c>
      <c r="V62" s="1" t="n">
        <v>0</v>
      </c>
      <c r="W62" s="1"/>
      <c r="Y62" s="1" t="n">
        <v>1</v>
      </c>
      <c r="Z62" s="0" t="s">
        <v>175</v>
      </c>
      <c r="AA62" s="0" t="s">
        <v>187</v>
      </c>
      <c r="AC62" s="0" t="s">
        <v>177</v>
      </c>
      <c r="AH62" s="0" t="s">
        <v>180</v>
      </c>
      <c r="AI62" s="0" t="s">
        <v>92</v>
      </c>
      <c r="AJ62" s="0" t="s">
        <v>181</v>
      </c>
      <c r="AK62" s="0" t="s">
        <v>94</v>
      </c>
      <c r="AR62" s="0" t="s">
        <v>101</v>
      </c>
    </row>
    <row r="63" ht="1164.75">
      <c r="B63" s="0" t="s">
        <v>381</v>
      </c>
      <c r="C63" s="1" t="n">
        <v>354060</v>
      </c>
      <c r="E63" s="14" t="s">
        <v>269</v>
      </c>
      <c r="F63" s="14" t="s">
        <v>184</v>
      </c>
      <c r="G63" s="25" t="str">
        <f>HYPERLINK("http://vk.com/wall370183479_859")</f>
      </c>
      <c r="H63" s="14" t="s">
        <v>170</v>
      </c>
      <c r="I63" s="14" t="s">
        <v>171</v>
      </c>
      <c r="J63" s="14" t="s">
        <v>383</v>
      </c>
      <c r="K63" s="26" t="str">
        <f>HYPERLINK("http://vk.com/id370183479")</f>
      </c>
      <c r="L63" s="14" t="s">
        <v>173</v>
      </c>
      <c r="O63" s="1" t="s">
        <v>186</v>
      </c>
      <c r="P63" s="1" t="n">
        <v>72</v>
      </c>
      <c r="Q63" s="1" t="n">
        <v>82</v>
      </c>
      <c r="R63" s="1" t="n">
        <v>0</v>
      </c>
      <c r="S63" s="1"/>
      <c r="T63" s="1" t="n">
        <v>0</v>
      </c>
      <c r="U63" s="1" t="n">
        <v>0</v>
      </c>
      <c r="V63" s="1" t="n">
        <v>0</v>
      </c>
      <c r="W63" s="1"/>
      <c r="Y63" s="1" t="n">
        <v>24</v>
      </c>
      <c r="Z63" s="0" t="s">
        <v>175</v>
      </c>
      <c r="AA63" s="0" t="s">
        <v>187</v>
      </c>
      <c r="AC63" s="0" t="s">
        <v>177</v>
      </c>
      <c r="AD63" s="0" t="s">
        <v>384</v>
      </c>
      <c r="AE63" s="0" t="s">
        <v>385</v>
      </c>
      <c r="AH63" s="0" t="s">
        <v>180</v>
      </c>
      <c r="AJ63" s="0" t="s">
        <v>181</v>
      </c>
      <c r="AK63" s="0" t="s">
        <v>94</v>
      </c>
      <c r="AM63" s="0" t="s">
        <v>96</v>
      </c>
      <c r="AN63" s="0" t="s">
        <v>97</v>
      </c>
      <c r="AW63" s="0" t="s">
        <v>106</v>
      </c>
      <c r="AX63" s="0" t="s">
        <v>107</v>
      </c>
    </row>
    <row r="64" ht="24.75">
      <c r="B64" s="0" t="s">
        <v>386</v>
      </c>
      <c r="C64" s="1" t="n">
        <v>354075</v>
      </c>
      <c r="E64" s="14" t="s">
        <v>387</v>
      </c>
      <c r="F64" s="14" t="s">
        <v>184</v>
      </c>
      <c r="G64" s="25" t="str">
        <f>HYPERLINK("http://vk.com/wall-145141613_593206?reply=593210")</f>
      </c>
      <c r="H64" s="14" t="s">
        <v>170</v>
      </c>
      <c r="I64" s="14" t="s">
        <v>231</v>
      </c>
      <c r="J64" s="14" t="s">
        <v>388</v>
      </c>
      <c r="K64" s="26" t="str">
        <f>HYPERLINK("http://vk.com/id225439665")</f>
      </c>
      <c r="L64" s="14" t="s">
        <v>173</v>
      </c>
      <c r="M64" s="14" t="s">
        <v>233</v>
      </c>
      <c r="N64" s="25" t="str">
        <f>HYPERLINK("http://vk.com/club145141613")</f>
      </c>
      <c r="O64" s="1" t="s">
        <v>186</v>
      </c>
      <c r="P64" s="1"/>
      <c r="Q64" s="1" t="n">
        <v>23214</v>
      </c>
      <c r="R64" s="1" t="n">
        <v>0</v>
      </c>
      <c r="S64" s="1"/>
      <c r="T64" s="1" t="n">
        <v>0</v>
      </c>
      <c r="U64" s="1" t="n">
        <v>0</v>
      </c>
      <c r="V64" s="1" t="n">
        <v>0</v>
      </c>
      <c r="W64" s="1"/>
      <c r="Y64" s="1" t="n">
        <v>1</v>
      </c>
      <c r="Z64" s="0" t="s">
        <v>175</v>
      </c>
      <c r="AA64" s="0" t="s">
        <v>187</v>
      </c>
      <c r="AC64" s="0" t="s">
        <v>177</v>
      </c>
      <c r="AD64" s="0" t="s">
        <v>234</v>
      </c>
      <c r="AE64" s="0" t="s">
        <v>235</v>
      </c>
      <c r="AH64" s="0" t="s">
        <v>180</v>
      </c>
      <c r="AJ64" s="0" t="s">
        <v>181</v>
      </c>
      <c r="AN64" s="0" t="s">
        <v>97</v>
      </c>
      <c r="AW64" s="0" t="s">
        <v>106</v>
      </c>
      <c r="BB64" s="0" t="s">
        <v>111</v>
      </c>
      <c r="CA64" s="0" t="s">
        <v>136</v>
      </c>
    </row>
    <row r="65" ht="24.75">
      <c r="B65" s="0" t="s">
        <v>389</v>
      </c>
      <c r="C65" s="1" t="n">
        <v>354144</v>
      </c>
      <c r="E65" s="14" t="s">
        <v>390</v>
      </c>
      <c r="F65" s="14" t="s">
        <v>169</v>
      </c>
      <c r="G65" s="25" t="str">
        <f>HYPERLINK("http://www.ok.ru/profile/561090531317/statuses/157997424936437")</f>
      </c>
      <c r="H65" s="14" t="s">
        <v>170</v>
      </c>
      <c r="I65" s="14" t="s">
        <v>171</v>
      </c>
      <c r="J65" s="14" t="s">
        <v>391</v>
      </c>
      <c r="K65" s="26" t="str">
        <f>HYPERLINK("http://www.ok.ru/profile/561090531317")</f>
      </c>
      <c r="L65" s="14" t="s">
        <v>173</v>
      </c>
      <c r="O65" s="1" t="s">
        <v>186</v>
      </c>
      <c r="P65" s="1" t="n">
        <v>64</v>
      </c>
      <c r="Q65" s="1" t="n">
        <v>696</v>
      </c>
      <c r="R65" s="1" t="n">
        <v>0</v>
      </c>
      <c r="S65" s="1"/>
      <c r="T65" s="1" t="n">
        <v>0</v>
      </c>
      <c r="U65" s="1" t="n">
        <v>0</v>
      </c>
      <c r="V65" s="1" t="n">
        <v>0</v>
      </c>
      <c r="W65" s="1"/>
      <c r="Y65" s="1" t="n">
        <v>6</v>
      </c>
      <c r="Z65" s="0" t="s">
        <v>175</v>
      </c>
      <c r="AA65" s="0" t="s">
        <v>292</v>
      </c>
      <c r="AC65" s="0" t="s">
        <v>177</v>
      </c>
      <c r="AD65" s="0" t="s">
        <v>392</v>
      </c>
      <c r="AE65" s="0" t="s">
        <v>393</v>
      </c>
      <c r="AH65" s="0" t="s">
        <v>180</v>
      </c>
      <c r="AJ65" s="0" t="s">
        <v>181</v>
      </c>
      <c r="AK65" s="0" t="s">
        <v>94</v>
      </c>
      <c r="AX65" s="0" t="s">
        <v>107</v>
      </c>
      <c r="BR65" s="0" t="s">
        <v>127</v>
      </c>
    </row>
    <row r="66" ht="60.75">
      <c r="B66" s="0" t="s">
        <v>394</v>
      </c>
      <c r="C66" s="1" t="n">
        <v>354070</v>
      </c>
      <c r="D66" s="0" t="s">
        <v>395</v>
      </c>
      <c r="E66" s="14" t="s">
        <v>396</v>
      </c>
      <c r="F66" s="14" t="s">
        <v>310</v>
      </c>
      <c r="G66" s="25" t="str">
        <f>HYPERLINK("https://www.u-mama.ru/forum/family/covid-19/949493/#mid_34755539")</f>
      </c>
      <c r="H66" s="14" t="s">
        <v>264</v>
      </c>
      <c r="I66" s="14" t="s">
        <v>231</v>
      </c>
      <c r="J66" s="14" t="s">
        <v>397</v>
      </c>
      <c r="L66" s="14"/>
      <c r="M66" s="14" t="s">
        <v>69</v>
      </c>
      <c r="O66" s="1"/>
      <c r="P66" s="1"/>
      <c r="Q66" s="1"/>
      <c r="R66" s="1" t="n">
        <v>0</v>
      </c>
      <c r="S66" s="1"/>
      <c r="T66" s="1" t="n">
        <v>0</v>
      </c>
      <c r="U66" s="1" t="n">
        <v>0</v>
      </c>
      <c r="V66" s="1" t="n">
        <v>0</v>
      </c>
      <c r="W66" s="1"/>
      <c r="Y66" s="1" t="n">
        <v>1</v>
      </c>
      <c r="Z66" s="0" t="s">
        <v>175</v>
      </c>
      <c r="AA66" s="0" t="s">
        <v>187</v>
      </c>
      <c r="AH66" s="0" t="s">
        <v>180</v>
      </c>
      <c r="AI66" s="0" t="s">
        <v>92</v>
      </c>
      <c r="AJ66" s="0" t="s">
        <v>181</v>
      </c>
      <c r="AK66" s="0" t="s">
        <v>94</v>
      </c>
      <c r="AN66" s="0" t="s">
        <v>97</v>
      </c>
      <c r="AR66" s="0" t="s">
        <v>101</v>
      </c>
      <c r="AW66" s="0" t="s">
        <v>106</v>
      </c>
      <c r="BI66" s="0" t="s">
        <v>118</v>
      </c>
    </row>
    <row r="67">
      <c r="B67" s="0" t="s">
        <v>398</v>
      </c>
      <c r="C67" s="1" t="n">
        <v>354059</v>
      </c>
      <c r="E67" s="14" t="s">
        <v>399</v>
      </c>
      <c r="F67" s="14" t="s">
        <v>184</v>
      </c>
      <c r="G67" s="25" t="str">
        <f>HYPERLINK("http://vk.com/wall-146175495_830050?reply=830269")</f>
      </c>
      <c r="H67" s="14" t="s">
        <v>170</v>
      </c>
      <c r="I67" s="14" t="s">
        <v>231</v>
      </c>
      <c r="J67" s="14" t="s">
        <v>400</v>
      </c>
      <c r="K67" s="26" t="str">
        <f>HYPERLINK("http://vk.com/id458717973")</f>
      </c>
      <c r="L67" s="14" t="s">
        <v>173</v>
      </c>
      <c r="M67" s="14" t="s">
        <v>401</v>
      </c>
      <c r="N67" s="25" t="str">
        <f>HYPERLINK("http://vk.com/club146175495")</f>
      </c>
      <c r="O67" s="1" t="s">
        <v>186</v>
      </c>
      <c r="P67" s="1" t="n">
        <v>106</v>
      </c>
      <c r="Q67" s="1" t="n">
        <v>26839</v>
      </c>
      <c r="R67" s="1" t="n">
        <v>0</v>
      </c>
      <c r="S67" s="1"/>
      <c r="T67" s="1" t="n">
        <v>0</v>
      </c>
      <c r="U67" s="1" t="n">
        <v>0</v>
      </c>
      <c r="V67" s="1" t="n">
        <v>0</v>
      </c>
      <c r="W67" s="1"/>
      <c r="Y67" s="1" t="n">
        <v>1</v>
      </c>
      <c r="Z67" s="0" t="s">
        <v>175</v>
      </c>
      <c r="AA67" s="0" t="s">
        <v>187</v>
      </c>
      <c r="AC67" s="0" t="s">
        <v>177</v>
      </c>
      <c r="AD67" s="0" t="s">
        <v>402</v>
      </c>
      <c r="AE67" s="0" t="s">
        <v>403</v>
      </c>
      <c r="AH67" s="0" t="s">
        <v>180</v>
      </c>
      <c r="AJ67" s="0" t="s">
        <v>181</v>
      </c>
      <c r="AK67" s="0" t="s">
        <v>94</v>
      </c>
      <c r="AN67" s="0" t="s">
        <v>97</v>
      </c>
      <c r="AW67" s="0" t="s">
        <v>106</v>
      </c>
      <c r="BC67" s="0" t="s">
        <v>112</v>
      </c>
      <c r="BI67" s="0" t="s">
        <v>118</v>
      </c>
      <c r="BU67" s="0" t="s">
        <v>130</v>
      </c>
    </row>
    <row r="68">
      <c r="B68" s="0" t="s">
        <v>398</v>
      </c>
      <c r="C68" s="1" t="n">
        <v>354054</v>
      </c>
      <c r="E68" s="14" t="s">
        <v>404</v>
      </c>
      <c r="F68" s="14" t="s">
        <v>184</v>
      </c>
      <c r="G68" s="25" t="str">
        <f>HYPERLINK("http://vk.com/wall-155386267_1060481?reply=1061545")</f>
      </c>
      <c r="H68" s="14" t="s">
        <v>170</v>
      </c>
      <c r="I68" s="14" t="s">
        <v>231</v>
      </c>
      <c r="J68" s="14" t="s">
        <v>405</v>
      </c>
      <c r="K68" s="26" t="str">
        <f>HYPERLINK("http://vk.com/id275048283")</f>
      </c>
      <c r="L68" s="14" t="s">
        <v>173</v>
      </c>
      <c r="M68" s="14" t="s">
        <v>406</v>
      </c>
      <c r="N68" s="25" t="str">
        <f>HYPERLINK("http://vk.com/club155386267")</f>
      </c>
      <c r="O68" s="1" t="s">
        <v>186</v>
      </c>
      <c r="P68" s="1" t="n">
        <v>41</v>
      </c>
      <c r="Q68" s="1" t="n">
        <v>113036</v>
      </c>
      <c r="R68" s="1" t="n">
        <v>0</v>
      </c>
      <c r="S68" s="1"/>
      <c r="T68" s="1" t="n">
        <v>0</v>
      </c>
      <c r="U68" s="1" t="n">
        <v>0</v>
      </c>
      <c r="V68" s="1" t="n">
        <v>0</v>
      </c>
      <c r="W68" s="1"/>
      <c r="Y68" s="1" t="n">
        <v>1</v>
      </c>
      <c r="Z68" s="0" t="s">
        <v>175</v>
      </c>
      <c r="AA68" s="0" t="s">
        <v>187</v>
      </c>
      <c r="AC68" s="0" t="s">
        <v>177</v>
      </c>
      <c r="AD68" s="0" t="s">
        <v>240</v>
      </c>
      <c r="AE68" s="0" t="s">
        <v>240</v>
      </c>
      <c r="AH68" s="0" t="s">
        <v>180</v>
      </c>
      <c r="AI68" s="0" t="s">
        <v>92</v>
      </c>
      <c r="AJ68" s="0" t="s">
        <v>181</v>
      </c>
      <c r="AK68" s="0" t="s">
        <v>94</v>
      </c>
      <c r="AN68" s="0" t="s">
        <v>97</v>
      </c>
      <c r="AV68" s="0" t="s">
        <v>105</v>
      </c>
      <c r="BB68" s="0" t="s">
        <v>111</v>
      </c>
      <c r="BM68" s="0" t="s">
        <v>122</v>
      </c>
    </row>
    <row r="69" ht="96.75">
      <c r="B69" s="0" t="s">
        <v>407</v>
      </c>
      <c r="C69" s="1" t="n">
        <v>354055</v>
      </c>
      <c r="E69" s="14" t="s">
        <v>408</v>
      </c>
      <c r="F69" s="14" t="s">
        <v>184</v>
      </c>
      <c r="G69" s="25" t="str">
        <f>HYPERLINK("http://vk.com/wall249728264_1353")</f>
      </c>
      <c r="H69" s="14" t="s">
        <v>170</v>
      </c>
      <c r="I69" s="14" t="s">
        <v>171</v>
      </c>
      <c r="J69" s="14" t="s">
        <v>409</v>
      </c>
      <c r="K69" s="26" t="str">
        <f>HYPERLINK("http://vk.com/id249728264")</f>
      </c>
      <c r="L69" s="14" t="s">
        <v>173</v>
      </c>
      <c r="O69" s="1" t="s">
        <v>186</v>
      </c>
      <c r="P69" s="1" t="n">
        <v>26</v>
      </c>
      <c r="Q69" s="1" t="n">
        <v>113</v>
      </c>
      <c r="R69" s="1" t="n">
        <v>0</v>
      </c>
      <c r="S69" s="1"/>
      <c r="T69" s="1" t="n">
        <v>0</v>
      </c>
      <c r="U69" s="1" t="n">
        <v>0</v>
      </c>
      <c r="V69" s="1" t="n">
        <v>0</v>
      </c>
      <c r="W69" s="1"/>
      <c r="Y69" s="1" t="n">
        <v>1</v>
      </c>
      <c r="Z69" s="0" t="s">
        <v>175</v>
      </c>
      <c r="AA69" s="0" t="s">
        <v>187</v>
      </c>
      <c r="AC69" s="0" t="s">
        <v>177</v>
      </c>
      <c r="AD69" s="0" t="s">
        <v>410</v>
      </c>
      <c r="AE69" s="0" t="s">
        <v>411</v>
      </c>
      <c r="AH69" s="0" t="s">
        <v>180</v>
      </c>
      <c r="AJ69" s="0" t="s">
        <v>181</v>
      </c>
      <c r="AK69" s="0" t="s">
        <v>94</v>
      </c>
      <c r="AS69" s="0" t="s">
        <v>102</v>
      </c>
      <c r="BF69" s="0" t="s">
        <v>115</v>
      </c>
      <c r="CI69" s="0" t="s">
        <v>144</v>
      </c>
    </row>
    <row r="70">
      <c r="B70" s="0" t="s">
        <v>412</v>
      </c>
      <c r="C70" s="1" t="n">
        <v>354078</v>
      </c>
      <c r="E70" s="14" t="s">
        <v>413</v>
      </c>
      <c r="F70" s="14" t="s">
        <v>375</v>
      </c>
      <c r="G70" s="25" t="str">
        <f>HYPERLINK("https://www.babyblog.ru/community/living/post/3308287")</f>
      </c>
      <c r="H70" s="14" t="s">
        <v>376</v>
      </c>
      <c r="I70" s="14" t="s">
        <v>231</v>
      </c>
      <c r="J70" s="14" t="s">
        <v>414</v>
      </c>
      <c r="L70" s="14"/>
      <c r="M70" s="14" t="s">
        <v>378</v>
      </c>
      <c r="O70" s="1"/>
      <c r="P70" s="1"/>
      <c r="Q70" s="1"/>
      <c r="R70" s="1" t="n">
        <v>0</v>
      </c>
      <c r="S70" s="1"/>
      <c r="T70" s="1" t="n">
        <v>0</v>
      </c>
      <c r="U70" s="1" t="n">
        <v>0</v>
      </c>
      <c r="V70" s="1" t="n">
        <v>0</v>
      </c>
      <c r="W70" s="1"/>
      <c r="Y70" s="1" t="n">
        <v>1</v>
      </c>
      <c r="Z70" s="0" t="s">
        <v>175</v>
      </c>
      <c r="AA70" s="0" t="s">
        <v>187</v>
      </c>
      <c r="AH70" s="0" t="s">
        <v>180</v>
      </c>
      <c r="AI70" s="0" t="s">
        <v>92</v>
      </c>
      <c r="AJ70" s="0" t="s">
        <v>181</v>
      </c>
      <c r="AN70" s="0" t="s">
        <v>97</v>
      </c>
      <c r="AS70" s="0" t="s">
        <v>102</v>
      </c>
      <c r="BE70" s="0" t="s">
        <v>114</v>
      </c>
      <c r="BI70" s="0" t="s">
        <v>118</v>
      </c>
      <c r="BL70" s="0" t="s">
        <v>121</v>
      </c>
    </row>
    <row r="71">
      <c r="B71" s="0" t="s">
        <v>415</v>
      </c>
      <c r="C71" s="1" t="n">
        <v>354073</v>
      </c>
      <c r="E71" s="14" t="s">
        <v>416</v>
      </c>
      <c r="F71" s="14" t="s">
        <v>184</v>
      </c>
      <c r="G71" s="25" t="str">
        <f>HYPERLINK("http://vk.com/wall-146312273_12580?reply=12582")</f>
      </c>
      <c r="H71" s="14" t="s">
        <v>170</v>
      </c>
      <c r="I71" s="14" t="s">
        <v>231</v>
      </c>
      <c r="J71" s="14" t="s">
        <v>417</v>
      </c>
      <c r="K71" s="26" t="str">
        <f>HYPERLINK("http://vk.com/id584974798")</f>
      </c>
      <c r="L71" s="14" t="s">
        <v>173</v>
      </c>
      <c r="M71" s="14" t="s">
        <v>418</v>
      </c>
      <c r="N71" s="25" t="str">
        <f>HYPERLINK("http://vk.com/club146312273")</f>
      </c>
      <c r="O71" s="1" t="s">
        <v>186</v>
      </c>
      <c r="P71" s="1"/>
      <c r="Q71" s="1" t="n">
        <v>10312</v>
      </c>
      <c r="R71" s="1" t="n">
        <v>0</v>
      </c>
      <c r="S71" s="1"/>
      <c r="T71" s="1" t="n">
        <v>0</v>
      </c>
      <c r="U71" s="1" t="n">
        <v>0</v>
      </c>
      <c r="V71" s="1" t="n">
        <v>0</v>
      </c>
      <c r="W71" s="1"/>
      <c r="Y71" s="1" t="n">
        <v>1</v>
      </c>
      <c r="Z71" s="0" t="s">
        <v>175</v>
      </c>
      <c r="AA71" s="0" t="s">
        <v>187</v>
      </c>
      <c r="AH71" s="0" t="s">
        <v>180</v>
      </c>
      <c r="AI71" s="0" t="s">
        <v>92</v>
      </c>
      <c r="AJ71" s="0" t="s">
        <v>181</v>
      </c>
      <c r="AK71" s="0" t="s">
        <v>94</v>
      </c>
      <c r="AX71" s="0" t="s">
        <v>107</v>
      </c>
    </row>
    <row r="72" ht="60.75">
      <c r="B72" s="0" t="s">
        <v>415</v>
      </c>
      <c r="C72" s="1" t="n">
        <v>354050</v>
      </c>
      <c r="E72" s="14" t="s">
        <v>419</v>
      </c>
      <c r="F72" s="14" t="s">
        <v>184</v>
      </c>
      <c r="G72" s="25" t="str">
        <f>HYPERLINK("http://vk.com/wall384141370_4436")</f>
      </c>
      <c r="H72" s="14" t="s">
        <v>170</v>
      </c>
      <c r="I72" s="14" t="s">
        <v>290</v>
      </c>
      <c r="J72" s="14" t="s">
        <v>420</v>
      </c>
      <c r="K72" s="26" t="str">
        <f>HYPERLINK("http://vk.com/id384141370")</f>
      </c>
      <c r="L72" s="14" t="s">
        <v>173</v>
      </c>
      <c r="O72" s="1" t="s">
        <v>186</v>
      </c>
      <c r="P72" s="1" t="n">
        <v>120</v>
      </c>
      <c r="Q72" s="1" t="n">
        <v>359</v>
      </c>
      <c r="R72" s="1" t="n">
        <v>0</v>
      </c>
      <c r="S72" s="1"/>
      <c r="T72" s="1" t="n">
        <v>0</v>
      </c>
      <c r="U72" s="1" t="n">
        <v>0</v>
      </c>
      <c r="V72" s="1" t="n">
        <v>0</v>
      </c>
      <c r="W72" s="1" t="n">
        <v>1</v>
      </c>
      <c r="Y72" s="1" t="n">
        <v>2</v>
      </c>
      <c r="Z72" s="0" t="s">
        <v>175</v>
      </c>
      <c r="AA72" s="0" t="s">
        <v>292</v>
      </c>
      <c r="AH72" s="0" t="s">
        <v>180</v>
      </c>
      <c r="AJ72" s="0" t="s">
        <v>181</v>
      </c>
      <c r="AK72" s="0" t="s">
        <v>94</v>
      </c>
      <c r="AN72" s="0" t="s">
        <v>97</v>
      </c>
      <c r="AR72" s="0" t="s">
        <v>101</v>
      </c>
      <c r="AW72" s="0" t="s">
        <v>106</v>
      </c>
      <c r="BF72" s="0" t="s">
        <v>115</v>
      </c>
    </row>
    <row r="73">
      <c r="B73" s="0" t="s">
        <v>415</v>
      </c>
      <c r="C73" s="1" t="n">
        <v>354074</v>
      </c>
      <c r="E73" s="14" t="s">
        <v>421</v>
      </c>
      <c r="F73" s="14" t="s">
        <v>184</v>
      </c>
      <c r="G73" s="25" t="str">
        <f>HYPERLINK("http://vk.com/wall-136637198_109456?reply=109914&amp;thread=109482")</f>
      </c>
      <c r="H73" s="14" t="s">
        <v>170</v>
      </c>
      <c r="I73" s="14" t="s">
        <v>231</v>
      </c>
      <c r="J73" s="14" t="s">
        <v>422</v>
      </c>
      <c r="K73" s="26" t="str">
        <f>HYPERLINK("http://vk.com/id564994008")</f>
      </c>
      <c r="L73" s="14" t="s">
        <v>173</v>
      </c>
      <c r="M73" s="14" t="s">
        <v>423</v>
      </c>
      <c r="N73" s="25" t="str">
        <f>HYPERLINK("http://vk.com/club136637198")</f>
      </c>
      <c r="O73" s="1" t="s">
        <v>186</v>
      </c>
      <c r="P73" s="1" t="n">
        <v>30</v>
      </c>
      <c r="Q73" s="1" t="n">
        <v>80553</v>
      </c>
      <c r="R73" s="1" t="n">
        <v>0</v>
      </c>
      <c r="S73" s="1"/>
      <c r="T73" s="1" t="n">
        <v>0</v>
      </c>
      <c r="U73" s="1" t="n">
        <v>0</v>
      </c>
      <c r="V73" s="1" t="n">
        <v>0</v>
      </c>
      <c r="W73" s="1"/>
      <c r="Y73" s="1" t="n">
        <v>1</v>
      </c>
      <c r="Z73" s="0" t="s">
        <v>175</v>
      </c>
      <c r="AA73" s="0" t="s">
        <v>187</v>
      </c>
      <c r="AC73" s="0" t="s">
        <v>177</v>
      </c>
      <c r="AH73" s="0" t="s">
        <v>180</v>
      </c>
      <c r="AI73" s="0" t="s">
        <v>92</v>
      </c>
      <c r="AJ73" s="0" t="s">
        <v>181</v>
      </c>
      <c r="AK73" s="0" t="s">
        <v>94</v>
      </c>
      <c r="AN73" s="0" t="s">
        <v>97</v>
      </c>
      <c r="AR73" s="0" t="s">
        <v>101</v>
      </c>
    </row>
    <row r="74" ht="732.75">
      <c r="B74" s="0" t="s">
        <v>424</v>
      </c>
      <c r="C74" s="1" t="n">
        <v>354110</v>
      </c>
      <c r="E74" s="14" t="s">
        <v>425</v>
      </c>
      <c r="F74" s="14" t="s">
        <v>184</v>
      </c>
      <c r="G74" s="25" t="str">
        <f>HYPERLINK("http://vk.com/wall432515116_2558")</f>
      </c>
      <c r="H74" s="14" t="s">
        <v>170</v>
      </c>
      <c r="I74" s="14" t="s">
        <v>194</v>
      </c>
      <c r="J74" s="14" t="s">
        <v>426</v>
      </c>
      <c r="K74" s="26" t="str">
        <f>HYPERLINK("http://vk.com/id432515116")</f>
      </c>
      <c r="L74" s="14" t="s">
        <v>173</v>
      </c>
      <c r="O74" s="1" t="s">
        <v>186</v>
      </c>
      <c r="P74" s="1"/>
      <c r="Q74" s="1" t="n">
        <v>109</v>
      </c>
      <c r="R74" s="1" t="n">
        <v>0</v>
      </c>
      <c r="S74" s="1"/>
      <c r="T74" s="1" t="n">
        <v>0</v>
      </c>
      <c r="U74" s="1" t="n">
        <v>1</v>
      </c>
      <c r="V74" s="1" t="n">
        <v>1</v>
      </c>
      <c r="W74" s="1" t="n">
        <v>2</v>
      </c>
      <c r="Y74" s="1" t="n">
        <v>13</v>
      </c>
      <c r="Z74" s="0" t="s">
        <v>175</v>
      </c>
      <c r="AA74" s="0" t="s">
        <v>176</v>
      </c>
      <c r="AC74" s="0" t="s">
        <v>177</v>
      </c>
      <c r="AD74" s="0" t="s">
        <v>427</v>
      </c>
      <c r="AE74" s="0" t="s">
        <v>428</v>
      </c>
      <c r="AH74" s="0" t="s">
        <v>180</v>
      </c>
      <c r="AJ74" s="0" t="s">
        <v>181</v>
      </c>
      <c r="AK74" s="0" t="s">
        <v>94</v>
      </c>
      <c r="AN74" s="0" t="s">
        <v>97</v>
      </c>
      <c r="AR74" s="0" t="s">
        <v>101</v>
      </c>
      <c r="AW74" s="0" t="s">
        <v>106</v>
      </c>
      <c r="BF74" s="0" t="s">
        <v>115</v>
      </c>
    </row>
    <row r="75">
      <c r="B75" s="0" t="s">
        <v>429</v>
      </c>
      <c r="C75" s="1" t="n">
        <v>354062</v>
      </c>
      <c r="E75" s="14" t="s">
        <v>430</v>
      </c>
      <c r="F75" s="14" t="s">
        <v>184</v>
      </c>
      <c r="G75" s="25" t="str">
        <f>HYPERLINK("http://vk.com/wall-207266137_775864?reply=775904")</f>
      </c>
      <c r="H75" s="14" t="s">
        <v>170</v>
      </c>
      <c r="I75" s="14" t="s">
        <v>231</v>
      </c>
      <c r="J75" s="14" t="s">
        <v>431</v>
      </c>
      <c r="K75" s="26" t="str">
        <f>HYPERLINK("http://vk.com/id593784294")</f>
      </c>
      <c r="L75" s="14" t="s">
        <v>173</v>
      </c>
      <c r="M75" s="14" t="s">
        <v>337</v>
      </c>
      <c r="N75" s="25" t="str">
        <f>HYPERLINK("http://vk.com/club207266137")</f>
      </c>
      <c r="O75" s="1" t="s">
        <v>174</v>
      </c>
      <c r="P75" s="1"/>
      <c r="Q75" s="1" t="n">
        <v>320778</v>
      </c>
      <c r="R75" s="1" t="n">
        <v>0</v>
      </c>
      <c r="S75" s="1"/>
      <c r="T75" s="1" t="n">
        <v>0</v>
      </c>
      <c r="U75" s="1" t="n">
        <v>0</v>
      </c>
      <c r="V75" s="1" t="n">
        <v>0</v>
      </c>
      <c r="W75" s="1"/>
      <c r="Y75" s="1" t="n">
        <v>1</v>
      </c>
      <c r="Z75" s="0" t="s">
        <v>175</v>
      </c>
      <c r="AA75" s="0" t="s">
        <v>187</v>
      </c>
      <c r="AC75" s="0" t="s">
        <v>177</v>
      </c>
      <c r="AH75" s="0" t="s">
        <v>180</v>
      </c>
      <c r="AI75" s="0" t="s">
        <v>92</v>
      </c>
      <c r="AJ75" s="0" t="s">
        <v>181</v>
      </c>
      <c r="AK75" s="0" t="s">
        <v>94</v>
      </c>
      <c r="AR75" s="0" t="s">
        <v>101</v>
      </c>
    </row>
    <row r="76">
      <c r="B76" s="0" t="s">
        <v>429</v>
      </c>
      <c r="C76" s="1" t="n">
        <v>354068</v>
      </c>
      <c r="E76" s="14" t="s">
        <v>432</v>
      </c>
      <c r="F76" s="14" t="s">
        <v>184</v>
      </c>
      <c r="G76" s="25" t="str">
        <f>HYPERLINK("http://vk.com/wall-136637198_109456?reply=109911&amp;thread=109482")</f>
      </c>
      <c r="H76" s="14" t="s">
        <v>170</v>
      </c>
      <c r="I76" s="14" t="s">
        <v>231</v>
      </c>
      <c r="J76" s="14" t="s">
        <v>422</v>
      </c>
      <c r="K76" s="26" t="str">
        <f>HYPERLINK("http://vk.com/id564994008")</f>
      </c>
      <c r="L76" s="14" t="s">
        <v>173</v>
      </c>
      <c r="M76" s="14" t="s">
        <v>423</v>
      </c>
      <c r="N76" s="25" t="str">
        <f>HYPERLINK("http://vk.com/club136637198")</f>
      </c>
      <c r="O76" s="1" t="s">
        <v>186</v>
      </c>
      <c r="P76" s="1" t="n">
        <v>30</v>
      </c>
      <c r="Q76" s="1" t="n">
        <v>80553</v>
      </c>
      <c r="R76" s="1" t="n">
        <v>0</v>
      </c>
      <c r="S76" s="1"/>
      <c r="T76" s="1" t="n">
        <v>0</v>
      </c>
      <c r="U76" s="1" t="n">
        <v>0</v>
      </c>
      <c r="V76" s="1" t="n">
        <v>0</v>
      </c>
      <c r="W76" s="1"/>
      <c r="Y76" s="1" t="n">
        <v>1</v>
      </c>
      <c r="Z76" s="0" t="s">
        <v>175</v>
      </c>
      <c r="AA76" s="0" t="s">
        <v>187</v>
      </c>
      <c r="AC76" s="0" t="s">
        <v>177</v>
      </c>
      <c r="AH76" s="0" t="s">
        <v>180</v>
      </c>
      <c r="AI76" s="0" t="s">
        <v>92</v>
      </c>
      <c r="AJ76" s="0" t="s">
        <v>181</v>
      </c>
      <c r="AK76" s="0" t="s">
        <v>94</v>
      </c>
      <c r="AR76" s="0" t="s">
        <v>101</v>
      </c>
      <c r="BM76" s="0" t="s">
        <v>122</v>
      </c>
      <c r="BU76" s="0" t="s">
        <v>130</v>
      </c>
    </row>
    <row r="77" ht="24.75">
      <c r="B77" s="0" t="s">
        <v>433</v>
      </c>
      <c r="C77" s="1" t="n">
        <v>354046</v>
      </c>
      <c r="E77" s="14" t="s">
        <v>296</v>
      </c>
      <c r="F77" s="14" t="s">
        <v>184</v>
      </c>
      <c r="G77" s="25" t="str">
        <f>HYPERLINK("http://vk.com/wall185400076_17483")</f>
      </c>
      <c r="H77" s="14" t="s">
        <v>170</v>
      </c>
      <c r="I77" s="14" t="s">
        <v>171</v>
      </c>
      <c r="J77" s="14" t="s">
        <v>434</v>
      </c>
      <c r="K77" s="26" t="str">
        <f>HYPERLINK("http://vk.com/id185400076")</f>
      </c>
      <c r="L77" s="14" t="s">
        <v>173</v>
      </c>
      <c r="O77" s="1" t="s">
        <v>186</v>
      </c>
      <c r="P77" s="1"/>
      <c r="Q77" s="1" t="n">
        <v>261</v>
      </c>
      <c r="R77" s="1" t="n">
        <v>0</v>
      </c>
      <c r="S77" s="1"/>
      <c r="T77" s="1" t="n">
        <v>0</v>
      </c>
      <c r="U77" s="1" t="n">
        <v>0</v>
      </c>
      <c r="V77" s="1" t="n">
        <v>0</v>
      </c>
      <c r="W77" s="1" t="n">
        <v>2</v>
      </c>
      <c r="Y77" s="1" t="n">
        <v>92</v>
      </c>
      <c r="Z77" s="0" t="s">
        <v>175</v>
      </c>
      <c r="AA77" s="0" t="s">
        <v>187</v>
      </c>
      <c r="AC77" s="0" t="s">
        <v>177</v>
      </c>
      <c r="AD77" s="0" t="s">
        <v>435</v>
      </c>
      <c r="AE77" s="0" t="s">
        <v>436</v>
      </c>
      <c r="AH77" s="0" t="s">
        <v>180</v>
      </c>
      <c r="AJ77" s="0" t="s">
        <v>437</v>
      </c>
      <c r="AK77" s="0" t="s">
        <v>94</v>
      </c>
      <c r="AM77" s="0" t="s">
        <v>96</v>
      </c>
      <c r="AP77" s="0" t="s">
        <v>99</v>
      </c>
      <c r="AU77" s="0" t="s">
        <v>104</v>
      </c>
      <c r="AV77" s="0" t="s">
        <v>105</v>
      </c>
    </row>
    <row r="78" ht="1164.75">
      <c r="B78" s="0" t="s">
        <v>433</v>
      </c>
      <c r="C78" s="1" t="n">
        <v>354031</v>
      </c>
      <c r="E78" s="14" t="s">
        <v>269</v>
      </c>
      <c r="F78" s="14" t="s">
        <v>184</v>
      </c>
      <c r="G78" s="25" t="str">
        <f>HYPERLINK("http://vk.com/wall415220702_3969")</f>
      </c>
      <c r="H78" s="14" t="s">
        <v>170</v>
      </c>
      <c r="I78" s="14" t="s">
        <v>171</v>
      </c>
      <c r="J78" s="14" t="s">
        <v>438</v>
      </c>
      <c r="K78" s="26" t="str">
        <f>HYPERLINK("http://vk.com/id415220702")</f>
      </c>
      <c r="L78" s="14" t="s">
        <v>173</v>
      </c>
      <c r="O78" s="1" t="s">
        <v>186</v>
      </c>
      <c r="P78" s="1" t="n">
        <v>57</v>
      </c>
      <c r="Q78" s="1" t="n">
        <v>133</v>
      </c>
      <c r="R78" s="1" t="n">
        <v>0</v>
      </c>
      <c r="S78" s="1"/>
      <c r="T78" s="1" t="n">
        <v>0</v>
      </c>
      <c r="U78" s="1" t="n">
        <v>0</v>
      </c>
      <c r="V78" s="1" t="n">
        <v>0</v>
      </c>
      <c r="W78" s="1" t="n">
        <v>1</v>
      </c>
      <c r="Y78" s="1" t="n">
        <v>24</v>
      </c>
      <c r="Z78" s="0" t="s">
        <v>175</v>
      </c>
      <c r="AA78" s="0" t="s">
        <v>187</v>
      </c>
      <c r="AH78" s="0" t="s">
        <v>180</v>
      </c>
      <c r="AJ78" s="0" t="s">
        <v>437</v>
      </c>
      <c r="AK78" s="0" t="s">
        <v>94</v>
      </c>
      <c r="AM78" s="0" t="s">
        <v>96</v>
      </c>
      <c r="AP78" s="0" t="s">
        <v>99</v>
      </c>
      <c r="AX78" s="0" t="s">
        <v>107</v>
      </c>
    </row>
    <row r="79" ht="24.75">
      <c r="B79" s="0" t="s">
        <v>439</v>
      </c>
      <c r="C79" s="1" t="n">
        <v>354116</v>
      </c>
      <c r="E79" s="14" t="s">
        <v>440</v>
      </c>
      <c r="F79" s="14" t="s">
        <v>169</v>
      </c>
      <c r="G79" s="25" t="str">
        <f>HYPERLINK("http://www.ok.ru/profile/571549877864/statuses/155416678571368")</f>
      </c>
      <c r="H79" s="14" t="s">
        <v>170</v>
      </c>
      <c r="I79" s="14" t="s">
        <v>171</v>
      </c>
      <c r="J79" s="14" t="s">
        <v>441</v>
      </c>
      <c r="K79" s="26" t="str">
        <f>HYPERLINK("http://www.ok.ru/profile/571549877864")</f>
      </c>
      <c r="L79" s="14" t="s">
        <v>173</v>
      </c>
      <c r="O79" s="1" t="s">
        <v>186</v>
      </c>
      <c r="P79" s="1"/>
      <c r="Q79" s="1" t="n">
        <v>144</v>
      </c>
      <c r="R79" s="1" t="n">
        <v>0</v>
      </c>
      <c r="S79" s="1"/>
      <c r="T79" s="1" t="n">
        <v>0</v>
      </c>
      <c r="U79" s="1" t="n">
        <v>0</v>
      </c>
      <c r="V79" s="1" t="n">
        <v>0</v>
      </c>
      <c r="W79" s="1"/>
      <c r="Y79" s="1" t="n">
        <v>17</v>
      </c>
      <c r="Z79" s="0" t="s">
        <v>175</v>
      </c>
      <c r="AA79" s="0" t="s">
        <v>176</v>
      </c>
      <c r="AC79" s="0" t="s">
        <v>177</v>
      </c>
      <c r="AD79" s="0" t="s">
        <v>427</v>
      </c>
      <c r="AH79" s="0" t="s">
        <v>180</v>
      </c>
      <c r="AJ79" s="0" t="s">
        <v>181</v>
      </c>
      <c r="AK79" s="0" t="s">
        <v>94</v>
      </c>
      <c r="AM79" s="0" t="s">
        <v>96</v>
      </c>
      <c r="AN79" s="0" t="s">
        <v>97</v>
      </c>
      <c r="AO79" s="0" t="s">
        <v>98</v>
      </c>
      <c r="AQ79" s="0" t="s">
        <v>100</v>
      </c>
      <c r="AS79" s="0" t="s">
        <v>102</v>
      </c>
      <c r="AW79" s="0" t="s">
        <v>106</v>
      </c>
      <c r="BB79" s="0" t="s">
        <v>111</v>
      </c>
      <c r="BG79" s="0" t="s">
        <v>116</v>
      </c>
      <c r="BL79" s="0" t="s">
        <v>121</v>
      </c>
      <c r="BM79" s="0" t="s">
        <v>122</v>
      </c>
      <c r="BQ79" s="0" t="s">
        <v>126</v>
      </c>
    </row>
    <row r="80" ht="156.75">
      <c r="B80" s="0" t="s">
        <v>439</v>
      </c>
      <c r="C80" s="1" t="n">
        <v>354029</v>
      </c>
      <c r="E80" s="14" t="s">
        <v>442</v>
      </c>
      <c r="F80" s="14" t="s">
        <v>184</v>
      </c>
      <c r="G80" s="25" t="str">
        <f>HYPERLINK("http://vk.com/wall795732792_16")</f>
      </c>
      <c r="H80" s="14" t="s">
        <v>170</v>
      </c>
      <c r="I80" s="14" t="s">
        <v>171</v>
      </c>
      <c r="J80" s="14" t="s">
        <v>443</v>
      </c>
      <c r="K80" s="26" t="str">
        <f>HYPERLINK("http://vk.com/id795732792")</f>
      </c>
      <c r="L80" s="14" t="s">
        <v>173</v>
      </c>
      <c r="O80" s="1" t="s">
        <v>186</v>
      </c>
      <c r="P80" s="1" t="n">
        <v>25</v>
      </c>
      <c r="Q80" s="1" t="n">
        <v>27</v>
      </c>
      <c r="R80" s="1" t="n">
        <v>0</v>
      </c>
      <c r="S80" s="1"/>
      <c r="T80" s="1" t="n">
        <v>0</v>
      </c>
      <c r="U80" s="1" t="n">
        <v>0</v>
      </c>
      <c r="V80" s="1" t="n">
        <v>0</v>
      </c>
      <c r="W80" s="1"/>
      <c r="Y80" s="1" t="n">
        <v>6</v>
      </c>
      <c r="Z80" s="0" t="s">
        <v>175</v>
      </c>
      <c r="AA80" s="0" t="s">
        <v>292</v>
      </c>
      <c r="AH80" s="0" t="s">
        <v>180</v>
      </c>
      <c r="AJ80" s="0" t="s">
        <v>181</v>
      </c>
      <c r="AK80" s="0" t="s">
        <v>94</v>
      </c>
      <c r="AN80" s="0" t="s">
        <v>97</v>
      </c>
      <c r="AS80" s="0" t="s">
        <v>102</v>
      </c>
      <c r="BG80" s="0" t="s">
        <v>116</v>
      </c>
      <c r="BM80" s="0" t="s">
        <v>122</v>
      </c>
      <c r="BN80" s="0" t="s">
        <v>123</v>
      </c>
      <c r="BO80" s="0" t="s">
        <v>124</v>
      </c>
    </row>
    <row r="81" ht="1164.75">
      <c r="B81" s="0" t="s">
        <v>444</v>
      </c>
      <c r="C81" s="1" t="n">
        <v>354035</v>
      </c>
      <c r="E81" s="14" t="s">
        <v>269</v>
      </c>
      <c r="F81" s="14" t="s">
        <v>184</v>
      </c>
      <c r="G81" s="25" t="str">
        <f>HYPERLINK("http://vk.com/wall240245860_3166")</f>
      </c>
      <c r="H81" s="14" t="s">
        <v>170</v>
      </c>
      <c r="I81" s="14" t="s">
        <v>171</v>
      </c>
      <c r="J81" s="14" t="s">
        <v>445</v>
      </c>
      <c r="K81" s="26" t="str">
        <f>HYPERLINK("http://vk.com/id240245860")</f>
      </c>
      <c r="L81" s="14" t="s">
        <v>173</v>
      </c>
      <c r="O81" s="1" t="s">
        <v>186</v>
      </c>
      <c r="P81" s="1"/>
      <c r="Q81" s="1" t="n">
        <v>448</v>
      </c>
      <c r="R81" s="1" t="n">
        <v>0</v>
      </c>
      <c r="S81" s="1"/>
      <c r="T81" s="1" t="n">
        <v>0</v>
      </c>
      <c r="U81" s="1" t="n">
        <v>0</v>
      </c>
      <c r="V81" s="1" t="n">
        <v>0</v>
      </c>
      <c r="W81" s="1" t="n">
        <v>3</v>
      </c>
      <c r="Y81" s="1" t="n">
        <v>24</v>
      </c>
      <c r="Z81" s="0" t="s">
        <v>175</v>
      </c>
      <c r="AA81" s="0" t="s">
        <v>187</v>
      </c>
      <c r="AC81" s="0" t="s">
        <v>177</v>
      </c>
      <c r="AD81" s="0" t="s">
        <v>384</v>
      </c>
      <c r="AE81" s="0" t="s">
        <v>446</v>
      </c>
      <c r="AH81" s="0" t="s">
        <v>180</v>
      </c>
      <c r="AJ81" s="0" t="s">
        <v>437</v>
      </c>
      <c r="AK81" s="0" t="s">
        <v>94</v>
      </c>
      <c r="AM81" s="0" t="s">
        <v>96</v>
      </c>
      <c r="AP81" s="0" t="s">
        <v>99</v>
      </c>
      <c r="AX81" s="0" t="s">
        <v>107</v>
      </c>
    </row>
    <row r="82">
      <c r="B82" s="0" t="s">
        <v>447</v>
      </c>
      <c r="C82" s="1" t="n">
        <v>354067</v>
      </c>
      <c r="E82" s="14" t="s">
        <v>448</v>
      </c>
      <c r="F82" s="14" t="s">
        <v>184</v>
      </c>
      <c r="G82" s="25" t="str">
        <f>HYPERLINK("http://vk.com/wall-86024718_2018897?reply=2018907")</f>
      </c>
      <c r="H82" s="14" t="s">
        <v>170</v>
      </c>
      <c r="I82" s="14" t="s">
        <v>231</v>
      </c>
      <c r="J82" s="14" t="s">
        <v>449</v>
      </c>
      <c r="K82" s="26" t="str">
        <f>HYPERLINK("http://vk.com/id93954907")</f>
      </c>
      <c r="L82" s="14" t="s">
        <v>173</v>
      </c>
      <c r="M82" s="14" t="s">
        <v>450</v>
      </c>
      <c r="N82" s="25" t="str">
        <f>HYPERLINK("http://vk.com/club86024718")</f>
      </c>
      <c r="O82" s="1" t="s">
        <v>186</v>
      </c>
      <c r="P82" s="1" t="n">
        <v>39</v>
      </c>
      <c r="Q82" s="1" t="n">
        <v>30349</v>
      </c>
      <c r="R82" s="1" t="n">
        <v>0</v>
      </c>
      <c r="S82" s="1"/>
      <c r="T82" s="1" t="n">
        <v>0</v>
      </c>
      <c r="U82" s="1" t="n">
        <v>0</v>
      </c>
      <c r="V82" s="1" t="n">
        <v>0</v>
      </c>
      <c r="W82" s="1"/>
      <c r="Y82" s="1" t="n">
        <v>1</v>
      </c>
      <c r="Z82" s="0" t="s">
        <v>175</v>
      </c>
      <c r="AA82" s="0" t="s">
        <v>187</v>
      </c>
      <c r="AC82" s="0" t="s">
        <v>177</v>
      </c>
      <c r="AD82" s="0" t="s">
        <v>341</v>
      </c>
      <c r="AE82" s="0" t="s">
        <v>451</v>
      </c>
      <c r="AH82" s="0" t="s">
        <v>180</v>
      </c>
      <c r="AI82" s="0" t="s">
        <v>92</v>
      </c>
      <c r="AJ82" s="0" t="s">
        <v>181</v>
      </c>
      <c r="AK82" s="0" t="s">
        <v>94</v>
      </c>
      <c r="AR82" s="0" t="s">
        <v>101</v>
      </c>
    </row>
    <row r="83" ht="1164.75">
      <c r="B83" s="0" t="s">
        <v>452</v>
      </c>
      <c r="C83" s="1" t="n">
        <v>354041</v>
      </c>
      <c r="E83" s="14" t="s">
        <v>269</v>
      </c>
      <c r="F83" s="14" t="s">
        <v>184</v>
      </c>
      <c r="G83" s="25" t="str">
        <f>HYPERLINK("http://vk.com/wall208552464_13132")</f>
      </c>
      <c r="H83" s="14" t="s">
        <v>170</v>
      </c>
      <c r="I83" s="14" t="s">
        <v>171</v>
      </c>
      <c r="J83" s="14" t="s">
        <v>453</v>
      </c>
      <c r="K83" s="26" t="str">
        <f>HYPERLINK("http://vk.com/id208552464")</f>
      </c>
      <c r="L83" s="14" t="s">
        <v>173</v>
      </c>
      <c r="O83" s="1" t="s">
        <v>186</v>
      </c>
      <c r="P83" s="1" t="n">
        <v>66</v>
      </c>
      <c r="Q83" s="1" t="n">
        <v>299</v>
      </c>
      <c r="R83" s="1" t="n">
        <v>0</v>
      </c>
      <c r="S83" s="1"/>
      <c r="T83" s="1" t="n">
        <v>0</v>
      </c>
      <c r="U83" s="1" t="n">
        <v>0</v>
      </c>
      <c r="V83" s="1" t="n">
        <v>0</v>
      </c>
      <c r="W83" s="1"/>
      <c r="Y83" s="1" t="n">
        <v>24</v>
      </c>
      <c r="Z83" s="0" t="s">
        <v>175</v>
      </c>
      <c r="AA83" s="0" t="s">
        <v>187</v>
      </c>
      <c r="AC83" s="0" t="s">
        <v>177</v>
      </c>
      <c r="AD83" s="0" t="s">
        <v>454</v>
      </c>
      <c r="AE83" s="0" t="s">
        <v>455</v>
      </c>
      <c r="AH83" s="0" t="s">
        <v>180</v>
      </c>
      <c r="AJ83" s="0" t="s">
        <v>437</v>
      </c>
      <c r="AK83" s="0" t="s">
        <v>94</v>
      </c>
      <c r="AM83" s="0" t="s">
        <v>96</v>
      </c>
      <c r="AP83" s="0" t="s">
        <v>99</v>
      </c>
      <c r="AX83" s="0" t="s">
        <v>107</v>
      </c>
    </row>
    <row r="84" ht="468.75">
      <c r="B84" s="0" t="s">
        <v>452</v>
      </c>
      <c r="C84" s="1" t="n">
        <v>354071</v>
      </c>
      <c r="E84" s="14" t="s">
        <v>456</v>
      </c>
      <c r="F84" s="14" t="s">
        <v>184</v>
      </c>
      <c r="G84" s="25" t="str">
        <f>HYPERLINK("http://vk.com/wall-45712009_377043?reply=377048")</f>
      </c>
      <c r="H84" s="14" t="s">
        <v>170</v>
      </c>
      <c r="I84" s="14" t="s">
        <v>231</v>
      </c>
      <c r="J84" s="14" t="s">
        <v>457</v>
      </c>
      <c r="K84" s="26" t="str">
        <f>HYPERLINK("http://vk.com/id204624281")</f>
      </c>
      <c r="L84" s="14" t="s">
        <v>173</v>
      </c>
      <c r="M84" s="14" t="s">
        <v>458</v>
      </c>
      <c r="N84" s="25" t="str">
        <f>HYPERLINK("http://vk.com/club45712009")</f>
      </c>
      <c r="O84" s="1" t="s">
        <v>174</v>
      </c>
      <c r="P84" s="1"/>
      <c r="Q84" s="1" t="n">
        <v>140276</v>
      </c>
      <c r="R84" s="1" t="n">
        <v>0</v>
      </c>
      <c r="S84" s="1"/>
      <c r="T84" s="1" t="n">
        <v>0</v>
      </c>
      <c r="U84" s="1" t="n">
        <v>0</v>
      </c>
      <c r="V84" s="1" t="n">
        <v>0</v>
      </c>
      <c r="W84" s="1"/>
      <c r="Y84" s="1" t="n">
        <v>1</v>
      </c>
      <c r="Z84" s="0" t="s">
        <v>175</v>
      </c>
      <c r="AA84" s="0" t="s">
        <v>187</v>
      </c>
      <c r="AC84" s="0" t="s">
        <v>177</v>
      </c>
      <c r="AD84" s="0" t="s">
        <v>392</v>
      </c>
      <c r="AE84" s="0" t="s">
        <v>459</v>
      </c>
      <c r="AH84" s="0" t="s">
        <v>180</v>
      </c>
      <c r="AJ84" s="0" t="s">
        <v>181</v>
      </c>
      <c r="AK84" s="0" t="s">
        <v>94</v>
      </c>
      <c r="AN84" s="0" t="s">
        <v>97</v>
      </c>
      <c r="AR84" s="0" t="s">
        <v>101</v>
      </c>
      <c r="AW84" s="0" t="s">
        <v>106</v>
      </c>
      <c r="BB84" s="0" t="s">
        <v>111</v>
      </c>
      <c r="BF84" s="0" t="s">
        <v>115</v>
      </c>
      <c r="BG84" s="0" t="s">
        <v>116</v>
      </c>
      <c r="BM84" s="0" t="s">
        <v>122</v>
      </c>
      <c r="CJ84" s="0" t="s">
        <v>145</v>
      </c>
    </row>
    <row r="85" ht="48.75">
      <c r="B85" s="0" t="s">
        <v>460</v>
      </c>
      <c r="C85" s="1" t="n">
        <v>354012</v>
      </c>
      <c r="E85" s="14" t="s">
        <v>461</v>
      </c>
      <c r="F85" s="14" t="s">
        <v>281</v>
      </c>
      <c r="G85" s="25" t="str">
        <f>HYPERLINK("http://twitter.com/sergofm52/status/1646836528629309440")</f>
      </c>
      <c r="H85" s="14" t="s">
        <v>282</v>
      </c>
      <c r="I85" s="14" t="s">
        <v>194</v>
      </c>
      <c r="J85" s="14" t="s">
        <v>462</v>
      </c>
      <c r="K85" s="26" t="str">
        <f>HYPERLINK("http://twitter.com/sergofm52")</f>
      </c>
      <c r="L85" s="14" t="s">
        <v>173</v>
      </c>
      <c r="O85" s="1"/>
      <c r="P85" s="1"/>
      <c r="Q85" s="1" t="n">
        <v>308</v>
      </c>
      <c r="R85" s="1" t="n">
        <v>0</v>
      </c>
      <c r="S85" s="1"/>
      <c r="T85" s="1" t="n">
        <v>0</v>
      </c>
      <c r="U85" s="1" t="n">
        <v>3</v>
      </c>
      <c r="V85" s="1" t="n">
        <v>3</v>
      </c>
      <c r="W85" s="1" t="n">
        <v>38</v>
      </c>
      <c r="Y85" s="1" t="n">
        <v>1</v>
      </c>
      <c r="Z85" s="0" t="s">
        <v>463</v>
      </c>
      <c r="AA85" s="0" t="s">
        <v>187</v>
      </c>
      <c r="AB85" s="0" t="s">
        <v>85</v>
      </c>
      <c r="AC85" s="0" t="s">
        <v>177</v>
      </c>
      <c r="AD85" s="0" t="s">
        <v>464</v>
      </c>
      <c r="AE85" s="0" t="s">
        <v>465</v>
      </c>
      <c r="AH85" s="0" t="s">
        <v>180</v>
      </c>
      <c r="AJ85" s="0" t="s">
        <v>437</v>
      </c>
      <c r="AK85" s="0" t="s">
        <v>94</v>
      </c>
      <c r="AP85" s="0" t="s">
        <v>99</v>
      </c>
      <c r="AR85" s="0" t="s">
        <v>101</v>
      </c>
      <c r="AT85" s="0" t="s">
        <v>103</v>
      </c>
    </row>
    <row r="86">
      <c r="B86" s="0" t="s">
        <v>466</v>
      </c>
      <c r="C86" s="1" t="n">
        <v>354045</v>
      </c>
      <c r="E86" s="14" t="s">
        <v>467</v>
      </c>
      <c r="F86" s="14" t="s">
        <v>184</v>
      </c>
      <c r="G86" s="25" t="str">
        <f>HYPERLINK("http://vk.com/wall-118188716_870776?reply=871163&amp;thread=870803")</f>
      </c>
      <c r="H86" s="14" t="s">
        <v>170</v>
      </c>
      <c r="I86" s="14" t="s">
        <v>231</v>
      </c>
      <c r="J86" s="14" t="s">
        <v>468</v>
      </c>
      <c r="K86" s="26" t="str">
        <f>HYPERLINK("http://vk.com/id521988661")</f>
      </c>
      <c r="L86" s="14" t="s">
        <v>173</v>
      </c>
      <c r="M86" s="14" t="s">
        <v>469</v>
      </c>
      <c r="N86" s="25" t="str">
        <f>HYPERLINK("http://vk.com/club118188716")</f>
      </c>
      <c r="O86" s="1" t="s">
        <v>186</v>
      </c>
      <c r="P86" s="1" t="n">
        <v>48</v>
      </c>
      <c r="Q86" s="1" t="n">
        <v>42452</v>
      </c>
      <c r="R86" s="1" t="n">
        <v>0</v>
      </c>
      <c r="S86" s="1"/>
      <c r="T86" s="1" t="n">
        <v>0</v>
      </c>
      <c r="U86" s="1" t="n">
        <v>0</v>
      </c>
      <c r="V86" s="1" t="n">
        <v>0</v>
      </c>
      <c r="W86" s="1"/>
      <c r="Y86" s="1" t="n">
        <v>1</v>
      </c>
      <c r="Z86" s="0" t="s">
        <v>463</v>
      </c>
      <c r="AA86" s="0" t="s">
        <v>292</v>
      </c>
      <c r="AC86" s="0" t="s">
        <v>177</v>
      </c>
      <c r="AD86" s="0" t="s">
        <v>470</v>
      </c>
      <c r="AE86" s="0" t="s">
        <v>471</v>
      </c>
      <c r="AH86" s="0" t="s">
        <v>180</v>
      </c>
      <c r="AI86" s="0" t="s">
        <v>92</v>
      </c>
      <c r="AJ86" s="0" t="s">
        <v>181</v>
      </c>
      <c r="AN86" s="0" t="s">
        <v>97</v>
      </c>
      <c r="AW86" s="0" t="s">
        <v>106</v>
      </c>
      <c r="BD86" s="0" t="s">
        <v>113</v>
      </c>
    </row>
    <row r="87">
      <c r="B87" s="0" t="s">
        <v>466</v>
      </c>
      <c r="C87" s="1" t="n">
        <v>354043</v>
      </c>
      <c r="E87" s="14" t="s">
        <v>472</v>
      </c>
      <c r="F87" s="14" t="s">
        <v>184</v>
      </c>
      <c r="G87" s="25" t="str">
        <f>HYPERLINK("http://vk.com/wall-202512925_25957?reply=25960")</f>
      </c>
      <c r="H87" s="14" t="s">
        <v>170</v>
      </c>
      <c r="I87" s="14" t="s">
        <v>231</v>
      </c>
      <c r="J87" s="14" t="s">
        <v>473</v>
      </c>
      <c r="K87" s="26" t="str">
        <f>HYPERLINK("http://vk.com/id89945845")</f>
      </c>
      <c r="L87" s="14" t="s">
        <v>173</v>
      </c>
      <c r="M87" s="14" t="s">
        <v>474</v>
      </c>
      <c r="N87" s="25" t="str">
        <f>HYPERLINK("http://vk.com/club202512925")</f>
      </c>
      <c r="O87" s="1" t="s">
        <v>186</v>
      </c>
      <c r="P87" s="1" t="n">
        <v>32</v>
      </c>
      <c r="Q87" s="1" t="n">
        <v>6338</v>
      </c>
      <c r="R87" s="1" t="n">
        <v>0</v>
      </c>
      <c r="S87" s="1"/>
      <c r="T87" s="1" t="n">
        <v>0</v>
      </c>
      <c r="U87" s="1" t="n">
        <v>0</v>
      </c>
      <c r="V87" s="1" t="n">
        <v>0</v>
      </c>
      <c r="W87" s="1"/>
      <c r="Y87" s="1" t="n">
        <v>1</v>
      </c>
      <c r="Z87" s="0" t="s">
        <v>175</v>
      </c>
      <c r="AA87" s="0" t="s">
        <v>187</v>
      </c>
      <c r="AC87" s="0" t="s">
        <v>177</v>
      </c>
      <c r="AD87" s="0" t="s">
        <v>240</v>
      </c>
      <c r="AE87" s="0" t="s">
        <v>240</v>
      </c>
      <c r="AH87" s="0" t="s">
        <v>180</v>
      </c>
      <c r="AJ87" s="0" t="s">
        <v>181</v>
      </c>
      <c r="AK87" s="0" t="s">
        <v>94</v>
      </c>
      <c r="AW87" s="0" t="s">
        <v>106</v>
      </c>
      <c r="DC87" s="0" t="s">
        <v>164</v>
      </c>
    </row>
    <row r="88">
      <c r="B88" s="0" t="s">
        <v>466</v>
      </c>
      <c r="C88" s="1" t="n">
        <v>354048</v>
      </c>
      <c r="E88" s="14" t="s">
        <v>475</v>
      </c>
      <c r="F88" s="14" t="s">
        <v>184</v>
      </c>
      <c r="G88" s="25" t="str">
        <f>HYPERLINK("http://vk.com/wall-86830443_1099901?reply=1099948&amp;thread=1099919")</f>
      </c>
      <c r="H88" s="14" t="s">
        <v>170</v>
      </c>
      <c r="I88" s="14" t="s">
        <v>231</v>
      </c>
      <c r="J88" s="14" t="s">
        <v>476</v>
      </c>
      <c r="K88" s="26" t="str">
        <f>HYPERLINK("http://vk.com/id497678063")</f>
      </c>
      <c r="L88" s="14" t="s">
        <v>173</v>
      </c>
      <c r="M88" s="14" t="s">
        <v>477</v>
      </c>
      <c r="N88" s="25" t="str">
        <f>HYPERLINK("http://vk.com/club86830443")</f>
      </c>
      <c r="O88" s="1" t="s">
        <v>174</v>
      </c>
      <c r="P88" s="1" t="n">
        <v>27</v>
      </c>
      <c r="Q88" s="1" t="n">
        <v>277438</v>
      </c>
      <c r="R88" s="1" t="n">
        <v>0</v>
      </c>
      <c r="S88" s="1"/>
      <c r="T88" s="1" t="n">
        <v>0</v>
      </c>
      <c r="U88" s="1" t="n">
        <v>0</v>
      </c>
      <c r="V88" s="1" t="n">
        <v>0</v>
      </c>
      <c r="W88" s="1"/>
      <c r="Y88" s="1" t="n">
        <v>1</v>
      </c>
      <c r="Z88" s="0" t="s">
        <v>175</v>
      </c>
      <c r="AA88" s="0" t="s">
        <v>187</v>
      </c>
      <c r="AC88" s="0" t="s">
        <v>177</v>
      </c>
      <c r="AD88" s="0" t="s">
        <v>384</v>
      </c>
      <c r="AE88" s="0" t="s">
        <v>478</v>
      </c>
      <c r="AH88" s="0" t="s">
        <v>180</v>
      </c>
      <c r="AI88" s="0" t="s">
        <v>92</v>
      </c>
      <c r="AJ88" s="0" t="s">
        <v>181</v>
      </c>
      <c r="AK88" s="0" t="s">
        <v>94</v>
      </c>
      <c r="AR88" s="0" t="s">
        <v>101</v>
      </c>
    </row>
    <row r="89" ht="1164.75">
      <c r="B89" s="0" t="s">
        <v>466</v>
      </c>
      <c r="C89" s="1" t="n">
        <v>354030</v>
      </c>
      <c r="E89" s="14" t="s">
        <v>269</v>
      </c>
      <c r="F89" s="14" t="s">
        <v>184</v>
      </c>
      <c r="G89" s="25" t="str">
        <f>HYPERLINK("http://vk.com/wall235608113_4530")</f>
      </c>
      <c r="H89" s="14" t="s">
        <v>170</v>
      </c>
      <c r="I89" s="14" t="s">
        <v>171</v>
      </c>
      <c r="J89" s="14" t="s">
        <v>479</v>
      </c>
      <c r="K89" s="26" t="str">
        <f>HYPERLINK("http://vk.com/id235608113")</f>
      </c>
      <c r="L89" s="14" t="s">
        <v>173</v>
      </c>
      <c r="O89" s="1" t="s">
        <v>186</v>
      </c>
      <c r="P89" s="1" t="n">
        <v>56</v>
      </c>
      <c r="Q89" s="1" t="n">
        <v>138</v>
      </c>
      <c r="R89" s="1" t="n">
        <v>0</v>
      </c>
      <c r="S89" s="1"/>
      <c r="T89" s="1" t="n">
        <v>0</v>
      </c>
      <c r="U89" s="1" t="n">
        <v>0</v>
      </c>
      <c r="V89" s="1" t="n">
        <v>0</v>
      </c>
      <c r="W89" s="1" t="n">
        <v>1</v>
      </c>
      <c r="Y89" s="1" t="n">
        <v>24</v>
      </c>
      <c r="Z89" s="0" t="s">
        <v>175</v>
      </c>
      <c r="AA89" s="0" t="s">
        <v>187</v>
      </c>
      <c r="AC89" s="0" t="s">
        <v>177</v>
      </c>
      <c r="AD89" s="0" t="s">
        <v>384</v>
      </c>
      <c r="AE89" s="0" t="s">
        <v>480</v>
      </c>
      <c r="AH89" s="0" t="s">
        <v>180</v>
      </c>
      <c r="AJ89" s="0" t="s">
        <v>437</v>
      </c>
      <c r="AK89" s="0" t="s">
        <v>94</v>
      </c>
      <c r="AM89" s="0" t="s">
        <v>96</v>
      </c>
      <c r="AP89" s="0" t="s">
        <v>99</v>
      </c>
      <c r="AX89" s="0" t="s">
        <v>107</v>
      </c>
    </row>
    <row r="90" ht="24.75">
      <c r="B90" s="0" t="s">
        <v>466</v>
      </c>
      <c r="C90" s="1" t="n">
        <v>354039</v>
      </c>
      <c r="E90" s="14" t="s">
        <v>481</v>
      </c>
      <c r="F90" s="14" t="s">
        <v>184</v>
      </c>
      <c r="G90" s="25" t="str">
        <f>HYPERLINK("http://vk.com/wall-53577941_20183?reply=20189")</f>
      </c>
      <c r="H90" s="14" t="s">
        <v>170</v>
      </c>
      <c r="I90" s="14" t="s">
        <v>231</v>
      </c>
      <c r="J90" s="14" t="s">
        <v>482</v>
      </c>
      <c r="K90" s="26" t="str">
        <f>HYPERLINK("http://vk.com/id29453429")</f>
      </c>
      <c r="L90" s="14" t="s">
        <v>173</v>
      </c>
      <c r="M90" s="14" t="s">
        <v>483</v>
      </c>
      <c r="N90" s="25" t="str">
        <f>HYPERLINK("http://vk.com/club53577941")</f>
      </c>
      <c r="O90" s="1" t="s">
        <v>186</v>
      </c>
      <c r="P90" s="1"/>
      <c r="Q90" s="1" t="n">
        <v>29340</v>
      </c>
      <c r="R90" s="1" t="n">
        <v>0</v>
      </c>
      <c r="S90" s="1"/>
      <c r="T90" s="1" t="n">
        <v>0</v>
      </c>
      <c r="U90" s="1" t="n">
        <v>0</v>
      </c>
      <c r="V90" s="1" t="n">
        <v>0</v>
      </c>
      <c r="W90" s="1"/>
      <c r="Y90" s="1" t="n">
        <v>1</v>
      </c>
      <c r="Z90" s="0" t="s">
        <v>175</v>
      </c>
      <c r="AA90" s="0" t="s">
        <v>187</v>
      </c>
      <c r="AC90" s="0" t="s">
        <v>177</v>
      </c>
      <c r="AD90" s="0" t="s">
        <v>484</v>
      </c>
      <c r="AE90" s="0" t="s">
        <v>485</v>
      </c>
      <c r="AH90" s="0" t="s">
        <v>180</v>
      </c>
      <c r="AJ90" s="0" t="s">
        <v>181</v>
      </c>
      <c r="AK90" s="0" t="s">
        <v>94</v>
      </c>
      <c r="AN90" s="0" t="s">
        <v>97</v>
      </c>
      <c r="BF90" s="0" t="s">
        <v>115</v>
      </c>
    </row>
    <row r="91">
      <c r="B91" s="0" t="s">
        <v>486</v>
      </c>
      <c r="C91" s="1" t="n">
        <v>354033</v>
      </c>
      <c r="E91" s="14" t="s">
        <v>487</v>
      </c>
      <c r="F91" s="14" t="s">
        <v>184</v>
      </c>
      <c r="G91" s="25" t="str">
        <f>HYPERLINK("http://vk.com/wall-126850514_1138289?reply=1139115&amp;thread=1138531")</f>
      </c>
      <c r="H91" s="14" t="s">
        <v>170</v>
      </c>
      <c r="I91" s="14" t="s">
        <v>231</v>
      </c>
      <c r="J91" s="14" t="s">
        <v>488</v>
      </c>
      <c r="K91" s="26" t="str">
        <f>HYPERLINK("http://vk.com/id615133572")</f>
      </c>
      <c r="L91" s="14" t="s">
        <v>173</v>
      </c>
      <c r="M91" s="14" t="s">
        <v>489</v>
      </c>
      <c r="N91" s="25" t="str">
        <f>HYPERLINK("http://vk.com/club126850514")</f>
      </c>
      <c r="O91" s="1" t="s">
        <v>186</v>
      </c>
      <c r="P91" s="1" t="n">
        <v>41</v>
      </c>
      <c r="Q91" s="1" t="n">
        <v>25190</v>
      </c>
      <c r="R91" s="1" t="n">
        <v>0</v>
      </c>
      <c r="S91" s="1"/>
      <c r="T91" s="1" t="n">
        <v>0</v>
      </c>
      <c r="U91" s="1" t="n">
        <v>0</v>
      </c>
      <c r="V91" s="1" t="n">
        <v>0</v>
      </c>
      <c r="W91" s="1"/>
      <c r="Y91" s="1" t="n">
        <v>1</v>
      </c>
      <c r="Z91" s="0" t="s">
        <v>175</v>
      </c>
      <c r="AA91" s="0" t="s">
        <v>187</v>
      </c>
      <c r="AC91" s="0" t="s">
        <v>177</v>
      </c>
      <c r="AH91" s="0" t="s">
        <v>180</v>
      </c>
      <c r="AI91" s="0" t="s">
        <v>92</v>
      </c>
      <c r="AJ91" s="0" t="s">
        <v>181</v>
      </c>
      <c r="AK91" s="0" t="s">
        <v>94</v>
      </c>
      <c r="AN91" s="0" t="s">
        <v>97</v>
      </c>
      <c r="BG91" s="0" t="s">
        <v>116</v>
      </c>
      <c r="CI91" s="0" t="s">
        <v>144</v>
      </c>
    </row>
    <row r="92" ht="24.75">
      <c r="B92" s="0" t="s">
        <v>490</v>
      </c>
      <c r="C92" s="1" t="n">
        <v>354019</v>
      </c>
      <c r="E92" s="14" t="s">
        <v>491</v>
      </c>
      <c r="F92" s="14" t="s">
        <v>184</v>
      </c>
      <c r="G92" s="25" t="str">
        <f>HYPERLINK("http://vk.com/wall195110506_3136")</f>
      </c>
      <c r="H92" s="14" t="s">
        <v>170</v>
      </c>
      <c r="I92" s="14" t="s">
        <v>171</v>
      </c>
      <c r="J92" s="14" t="s">
        <v>492</v>
      </c>
      <c r="K92" s="26" t="str">
        <f>HYPERLINK("http://vk.com/id195110506")</f>
      </c>
      <c r="L92" s="14" t="s">
        <v>173</v>
      </c>
      <c r="O92" s="1" t="s">
        <v>186</v>
      </c>
      <c r="P92" s="1" t="n">
        <v>65</v>
      </c>
      <c r="Q92" s="1" t="n">
        <v>171</v>
      </c>
      <c r="R92" s="1" t="n">
        <v>0</v>
      </c>
      <c r="S92" s="1"/>
      <c r="T92" s="1" t="n">
        <v>0</v>
      </c>
      <c r="U92" s="1" t="n">
        <v>0</v>
      </c>
      <c r="V92" s="1" t="n">
        <v>0</v>
      </c>
      <c r="W92" s="1" t="n">
        <v>2</v>
      </c>
      <c r="Y92" s="1" t="n">
        <v>2</v>
      </c>
      <c r="Z92" s="0" t="s">
        <v>175</v>
      </c>
      <c r="AA92" s="0" t="s">
        <v>176</v>
      </c>
      <c r="AC92" s="0" t="s">
        <v>177</v>
      </c>
      <c r="AD92" s="0" t="s">
        <v>188</v>
      </c>
      <c r="AE92" s="0" t="s">
        <v>493</v>
      </c>
      <c r="AH92" s="0" t="s">
        <v>180</v>
      </c>
      <c r="AJ92" s="0" t="s">
        <v>437</v>
      </c>
      <c r="AK92" s="0" t="s">
        <v>94</v>
      </c>
      <c r="AL92" s="0" t="s">
        <v>95</v>
      </c>
      <c r="AM92" s="0" t="s">
        <v>96</v>
      </c>
      <c r="AO92" s="0" t="s">
        <v>98</v>
      </c>
      <c r="AQ92" s="0" t="s">
        <v>100</v>
      </c>
    </row>
    <row r="93">
      <c r="B93" s="0" t="s">
        <v>494</v>
      </c>
      <c r="C93" s="1" t="n">
        <v>354102</v>
      </c>
      <c r="D93" s="0" t="s">
        <v>495</v>
      </c>
      <c r="E93" s="14" t="s">
        <v>496</v>
      </c>
      <c r="F93" s="14" t="s">
        <v>263</v>
      </c>
      <c r="G93" s="25" t="str">
        <f>HYPERLINK("https://www.baby.ru/blogs/post/2611503308-2549624212/")</f>
      </c>
      <c r="H93" s="14" t="s">
        <v>264</v>
      </c>
      <c r="I93" s="14" t="s">
        <v>231</v>
      </c>
      <c r="J93" s="14" t="s">
        <v>497</v>
      </c>
      <c r="K93" s="26" t="str">
        <f>HYPERLINK("https://www.baby.ru/u/usr2142245/")</f>
      </c>
      <c r="L93" s="14"/>
      <c r="M93" s="14" t="s">
        <v>498</v>
      </c>
      <c r="N93" s="25" t="str">
        <f>HYPERLINK("https://www.baby.ru/u/usr2695542/")</f>
      </c>
      <c r="O93" s="1"/>
      <c r="P93" s="1"/>
      <c r="Q93" s="1"/>
      <c r="R93" s="1" t="n">
        <v>0</v>
      </c>
      <c r="S93" s="1"/>
      <c r="T93" s="1" t="n">
        <v>0</v>
      </c>
      <c r="U93" s="1" t="n">
        <v>0</v>
      </c>
      <c r="V93" s="1" t="n">
        <v>0</v>
      </c>
      <c r="W93" s="1"/>
      <c r="Y93" s="1" t="n">
        <v>1</v>
      </c>
      <c r="Z93" s="0" t="s">
        <v>175</v>
      </c>
      <c r="AA93" s="0" t="s">
        <v>223</v>
      </c>
      <c r="AH93" s="0" t="s">
        <v>180</v>
      </c>
      <c r="AJ93" s="0" t="s">
        <v>181</v>
      </c>
      <c r="AK93" s="0" t="s">
        <v>94</v>
      </c>
      <c r="AN93" s="0" t="s">
        <v>97</v>
      </c>
      <c r="AU93" s="0" t="s">
        <v>104</v>
      </c>
      <c r="BB93" s="0" t="s">
        <v>111</v>
      </c>
      <c r="BD93" s="0" t="s">
        <v>113</v>
      </c>
      <c r="BE93" s="0" t="s">
        <v>114</v>
      </c>
    </row>
    <row r="94" ht="36.75">
      <c r="B94" s="0" t="s">
        <v>494</v>
      </c>
      <c r="C94" s="1" t="n">
        <v>354017</v>
      </c>
      <c r="E94" s="14" t="s">
        <v>202</v>
      </c>
      <c r="F94" s="14" t="s">
        <v>184</v>
      </c>
      <c r="G94" s="25" t="str">
        <f>HYPERLINK("http://vk.com/wall514074401_206")</f>
      </c>
      <c r="H94" s="14" t="s">
        <v>170</v>
      </c>
      <c r="I94" s="14" t="s">
        <v>171</v>
      </c>
      <c r="J94" s="14" t="s">
        <v>499</v>
      </c>
      <c r="K94" s="26" t="str">
        <f>HYPERLINK("http://vk.com/id514074401")</f>
      </c>
      <c r="L94" s="14" t="s">
        <v>173</v>
      </c>
      <c r="O94" s="1" t="s">
        <v>186</v>
      </c>
      <c r="P94" s="1"/>
      <c r="Q94" s="1" t="n">
        <v>18</v>
      </c>
      <c r="R94" s="1" t="n">
        <v>0</v>
      </c>
      <c r="S94" s="1"/>
      <c r="T94" s="1" t="n">
        <v>0</v>
      </c>
      <c r="U94" s="1" t="n">
        <v>0</v>
      </c>
      <c r="V94" s="1" t="n">
        <v>0</v>
      </c>
      <c r="W94" s="1" t="n">
        <v>1</v>
      </c>
      <c r="Y94" s="1" t="n">
        <v>60</v>
      </c>
      <c r="Z94" s="0" t="s">
        <v>175</v>
      </c>
      <c r="AA94" s="0" t="s">
        <v>176</v>
      </c>
      <c r="AH94" s="0" t="s">
        <v>180</v>
      </c>
      <c r="AJ94" s="0" t="s">
        <v>437</v>
      </c>
      <c r="AK94" s="0" t="s">
        <v>94</v>
      </c>
      <c r="AL94" s="0" t="s">
        <v>95</v>
      </c>
      <c r="AM94" s="0" t="s">
        <v>96</v>
      </c>
      <c r="AO94" s="0" t="s">
        <v>98</v>
      </c>
      <c r="AQ94" s="0" t="s">
        <v>100</v>
      </c>
    </row>
    <row r="95">
      <c r="B95" s="0" t="s">
        <v>500</v>
      </c>
      <c r="C95" s="1" t="n">
        <v>354027</v>
      </c>
      <c r="E95" s="14" t="s">
        <v>501</v>
      </c>
      <c r="F95" s="14" t="s">
        <v>184</v>
      </c>
      <c r="G95" s="25" t="str">
        <f>HYPERLINK("http://vk.com/wall-162286056_1818943?reply=1819225&amp;thread=1818948")</f>
      </c>
      <c r="H95" s="14" t="s">
        <v>170</v>
      </c>
      <c r="I95" s="14" t="s">
        <v>231</v>
      </c>
      <c r="J95" s="14" t="s">
        <v>502</v>
      </c>
      <c r="K95" s="26" t="str">
        <f>HYPERLINK("http://vk.com/id145490720")</f>
      </c>
      <c r="L95" s="14" t="s">
        <v>173</v>
      </c>
      <c r="M95" s="14" t="s">
        <v>503</v>
      </c>
      <c r="N95" s="25" t="str">
        <f>HYPERLINK("http://vk.com/club162286056")</f>
      </c>
      <c r="O95" s="1" t="s">
        <v>186</v>
      </c>
      <c r="P95" s="1"/>
      <c r="Q95" s="1" t="n">
        <v>555419</v>
      </c>
      <c r="R95" s="1" t="n">
        <v>0</v>
      </c>
      <c r="S95" s="1"/>
      <c r="T95" s="1" t="n">
        <v>0</v>
      </c>
      <c r="U95" s="1" t="n">
        <v>0</v>
      </c>
      <c r="V95" s="1" t="n">
        <v>0</v>
      </c>
      <c r="W95" s="1"/>
      <c r="Y95" s="1" t="n">
        <v>1</v>
      </c>
      <c r="Z95" s="0" t="s">
        <v>463</v>
      </c>
      <c r="AA95" s="0" t="s">
        <v>187</v>
      </c>
      <c r="AB95" s="0" t="s">
        <v>85</v>
      </c>
      <c r="AC95" s="0" t="s">
        <v>177</v>
      </c>
      <c r="AD95" s="0" t="s">
        <v>246</v>
      </c>
      <c r="AE95" s="0" t="s">
        <v>504</v>
      </c>
      <c r="AH95" s="0" t="s">
        <v>180</v>
      </c>
      <c r="AI95" s="0" t="s">
        <v>92</v>
      </c>
      <c r="AJ95" s="0" t="s">
        <v>437</v>
      </c>
      <c r="AK95" s="0" t="s">
        <v>94</v>
      </c>
      <c r="AP95" s="0" t="s">
        <v>99</v>
      </c>
      <c r="AR95" s="0" t="s">
        <v>101</v>
      </c>
      <c r="AT95" s="0" t="s">
        <v>103</v>
      </c>
      <c r="CG95" s="0" t="s">
        <v>142</v>
      </c>
    </row>
    <row r="96">
      <c r="B96" s="0" t="s">
        <v>500</v>
      </c>
      <c r="C96" s="1" t="n">
        <v>354024</v>
      </c>
      <c r="E96" s="14" t="s">
        <v>505</v>
      </c>
      <c r="F96" s="14" t="s">
        <v>184</v>
      </c>
      <c r="G96" s="25" t="str">
        <f>HYPERLINK("http://vk.com/wall-27062979_1180521?reply=1180964&amp;thread=1180786")</f>
      </c>
      <c r="H96" s="14" t="s">
        <v>170</v>
      </c>
      <c r="I96" s="14" t="s">
        <v>231</v>
      </c>
      <c r="J96" s="14" t="s">
        <v>506</v>
      </c>
      <c r="K96" s="26" t="str">
        <f>HYPERLINK("http://vk.com/id647485101")</f>
      </c>
      <c r="L96" s="14" t="s">
        <v>173</v>
      </c>
      <c r="M96" s="14" t="s">
        <v>507</v>
      </c>
      <c r="N96" s="25" t="str">
        <f>HYPERLINK("http://vk.com/club27062979")</f>
      </c>
      <c r="O96" s="1" t="s">
        <v>186</v>
      </c>
      <c r="P96" s="1" t="n">
        <v>34</v>
      </c>
      <c r="Q96" s="1" t="n">
        <v>56104</v>
      </c>
      <c r="R96" s="1" t="n">
        <v>0</v>
      </c>
      <c r="S96" s="1"/>
      <c r="T96" s="1" t="n">
        <v>0</v>
      </c>
      <c r="U96" s="1" t="n">
        <v>0</v>
      </c>
      <c r="V96" s="1" t="n">
        <v>0</v>
      </c>
      <c r="W96" s="1"/>
      <c r="Y96" s="1" t="n">
        <v>1</v>
      </c>
      <c r="Z96" s="0" t="s">
        <v>319</v>
      </c>
      <c r="AA96" s="0" t="s">
        <v>187</v>
      </c>
      <c r="AH96" s="0" t="s">
        <v>180</v>
      </c>
      <c r="AI96" s="0" t="s">
        <v>92</v>
      </c>
      <c r="AJ96" s="0" t="s">
        <v>437</v>
      </c>
      <c r="AK96" s="0" t="s">
        <v>94</v>
      </c>
      <c r="AL96" s="0" t="s">
        <v>95</v>
      </c>
      <c r="AN96" s="0" t="s">
        <v>97</v>
      </c>
      <c r="BG96" s="0" t="s">
        <v>116</v>
      </c>
      <c r="BU96" s="0" t="s">
        <v>130</v>
      </c>
      <c r="CI96" s="0" t="s">
        <v>144</v>
      </c>
    </row>
    <row r="97" ht="1164.75">
      <c r="B97" s="0" t="s">
        <v>508</v>
      </c>
      <c r="C97" s="1" t="n">
        <v>354013</v>
      </c>
      <c r="E97" s="14" t="s">
        <v>269</v>
      </c>
      <c r="F97" s="14" t="s">
        <v>184</v>
      </c>
      <c r="G97" s="25" t="str">
        <f>HYPERLINK("http://vk.com/wall419142998_449")</f>
      </c>
      <c r="H97" s="14" t="s">
        <v>170</v>
      </c>
      <c r="I97" s="14" t="s">
        <v>171</v>
      </c>
      <c r="J97" s="14" t="s">
        <v>509</v>
      </c>
      <c r="K97" s="26" t="str">
        <f>HYPERLINK("http://vk.com/id419142998")</f>
      </c>
      <c r="L97" s="14" t="s">
        <v>173</v>
      </c>
      <c r="O97" s="1" t="s">
        <v>186</v>
      </c>
      <c r="P97" s="1"/>
      <c r="Q97" s="1" t="n">
        <v>23</v>
      </c>
      <c r="R97" s="1" t="n">
        <v>0</v>
      </c>
      <c r="S97" s="1"/>
      <c r="T97" s="1" t="n">
        <v>0</v>
      </c>
      <c r="U97" s="1" t="n">
        <v>0</v>
      </c>
      <c r="V97" s="1" t="n">
        <v>0</v>
      </c>
      <c r="W97" s="1"/>
      <c r="Y97" s="1" t="n">
        <v>24</v>
      </c>
      <c r="Z97" s="0" t="s">
        <v>175</v>
      </c>
      <c r="AA97" s="0" t="s">
        <v>187</v>
      </c>
      <c r="AH97" s="0" t="s">
        <v>180</v>
      </c>
      <c r="AJ97" s="0" t="s">
        <v>437</v>
      </c>
      <c r="AK97" s="0" t="s">
        <v>94</v>
      </c>
      <c r="AL97" s="0" t="s">
        <v>95</v>
      </c>
      <c r="AM97" s="0" t="s">
        <v>96</v>
      </c>
      <c r="AX97" s="0" t="s">
        <v>107</v>
      </c>
    </row>
    <row r="98">
      <c r="B98" s="0" t="s">
        <v>510</v>
      </c>
      <c r="C98" s="1" t="n">
        <v>354009</v>
      </c>
      <c r="E98" s="14" t="s">
        <v>511</v>
      </c>
      <c r="F98" s="14" t="s">
        <v>184</v>
      </c>
      <c r="G98" s="25" t="str">
        <f>HYPERLINK("http://vk.com/wall-118188716_870776?reply=871161&amp;thread=870803")</f>
      </c>
      <c r="H98" s="14" t="s">
        <v>170</v>
      </c>
      <c r="I98" s="14" t="s">
        <v>231</v>
      </c>
      <c r="J98" s="14" t="s">
        <v>512</v>
      </c>
      <c r="K98" s="26" t="str">
        <f>HYPERLINK("http://vk.com/id445935362")</f>
      </c>
      <c r="L98" s="14" t="s">
        <v>173</v>
      </c>
      <c r="M98" s="14" t="s">
        <v>469</v>
      </c>
      <c r="N98" s="25" t="str">
        <f>HYPERLINK("http://vk.com/club118188716")</f>
      </c>
      <c r="O98" s="1" t="s">
        <v>186</v>
      </c>
      <c r="P98" s="1" t="n">
        <v>60</v>
      </c>
      <c r="Q98" s="1" t="n">
        <v>42452</v>
      </c>
      <c r="R98" s="1" t="n">
        <v>0</v>
      </c>
      <c r="S98" s="1"/>
      <c r="T98" s="1" t="n">
        <v>0</v>
      </c>
      <c r="U98" s="1" t="n">
        <v>0</v>
      </c>
      <c r="V98" s="1" t="n">
        <v>0</v>
      </c>
      <c r="W98" s="1"/>
      <c r="Y98" s="1" t="n">
        <v>1</v>
      </c>
      <c r="Z98" s="0" t="s">
        <v>319</v>
      </c>
      <c r="AA98" s="0" t="s">
        <v>292</v>
      </c>
      <c r="AC98" s="0" t="s">
        <v>177</v>
      </c>
      <c r="AD98" s="0" t="s">
        <v>513</v>
      </c>
      <c r="AE98" s="0" t="s">
        <v>514</v>
      </c>
      <c r="AH98" s="0" t="s">
        <v>180</v>
      </c>
      <c r="AI98" s="0" t="s">
        <v>92</v>
      </c>
      <c r="AJ98" s="0" t="s">
        <v>437</v>
      </c>
      <c r="AK98" s="0" t="s">
        <v>94</v>
      </c>
      <c r="AN98" s="0" t="s">
        <v>97</v>
      </c>
      <c r="AW98" s="0" t="s">
        <v>106</v>
      </c>
      <c r="AY98" s="0" t="s">
        <v>108</v>
      </c>
      <c r="BD98" s="0" t="s">
        <v>113</v>
      </c>
      <c r="BE98" s="0" t="s">
        <v>114</v>
      </c>
      <c r="BJ98" s="0" t="s">
        <v>119</v>
      </c>
    </row>
    <row r="99" ht="36.75">
      <c r="B99" s="0" t="s">
        <v>515</v>
      </c>
      <c r="C99" s="1" t="n">
        <v>354010</v>
      </c>
      <c r="E99" s="14" t="s">
        <v>202</v>
      </c>
      <c r="F99" s="14" t="s">
        <v>184</v>
      </c>
      <c r="G99" s="25" t="str">
        <f>HYPERLINK("http://vk.com/wall696929247_238")</f>
      </c>
      <c r="H99" s="14" t="s">
        <v>170</v>
      </c>
      <c r="I99" s="14" t="s">
        <v>171</v>
      </c>
      <c r="J99" s="14" t="s">
        <v>516</v>
      </c>
      <c r="K99" s="26" t="str">
        <f>HYPERLINK("http://vk.com/id696929247")</f>
      </c>
      <c r="L99" s="14" t="s">
        <v>173</v>
      </c>
      <c r="O99" s="1" t="s">
        <v>186</v>
      </c>
      <c r="P99" s="1" t="n">
        <v>61</v>
      </c>
      <c r="Q99" s="1" t="n">
        <v>64</v>
      </c>
      <c r="R99" s="1" t="n">
        <v>0</v>
      </c>
      <c r="S99" s="1"/>
      <c r="T99" s="1" t="n">
        <v>0</v>
      </c>
      <c r="U99" s="1" t="n">
        <v>0</v>
      </c>
      <c r="V99" s="1" t="n">
        <v>0</v>
      </c>
      <c r="W99" s="1" t="n">
        <v>1</v>
      </c>
      <c r="Y99" s="1" t="n">
        <v>60</v>
      </c>
      <c r="Z99" s="0" t="s">
        <v>175</v>
      </c>
      <c r="AA99" s="0" t="s">
        <v>176</v>
      </c>
      <c r="AH99" s="0" t="s">
        <v>180</v>
      </c>
      <c r="AJ99" s="0" t="s">
        <v>437</v>
      </c>
      <c r="AK99" s="0" t="s">
        <v>94</v>
      </c>
      <c r="AL99" s="0" t="s">
        <v>95</v>
      </c>
      <c r="AM99" s="0" t="s">
        <v>96</v>
      </c>
      <c r="AO99" s="0" t="s">
        <v>98</v>
      </c>
      <c r="AQ99" s="0" t="s">
        <v>100</v>
      </c>
    </row>
    <row r="100" ht="120.75">
      <c r="B100" s="0" t="s">
        <v>517</v>
      </c>
      <c r="C100" s="1" t="n">
        <v>354057</v>
      </c>
      <c r="E100" s="14" t="s">
        <v>518</v>
      </c>
      <c r="F100" s="14" t="s">
        <v>184</v>
      </c>
      <c r="G100" s="25" t="str">
        <f>HYPERLINK("http://vk.com/wall169742214_3237")</f>
      </c>
      <c r="H100" s="14" t="s">
        <v>170</v>
      </c>
      <c r="I100" s="14" t="s">
        <v>194</v>
      </c>
      <c r="J100" s="14" t="s">
        <v>519</v>
      </c>
      <c r="K100" s="26" t="str">
        <f>HYPERLINK("http://vk.com/id169742214")</f>
      </c>
      <c r="L100" s="14" t="s">
        <v>173</v>
      </c>
      <c r="O100" s="1" t="s">
        <v>174</v>
      </c>
      <c r="P100" s="1"/>
      <c r="Q100" s="1" t="n">
        <v>238</v>
      </c>
      <c r="R100" s="1" t="n">
        <v>0</v>
      </c>
      <c r="S100" s="1"/>
      <c r="T100" s="1" t="n">
        <v>0</v>
      </c>
      <c r="U100" s="1" t="n">
        <v>0</v>
      </c>
      <c r="V100" s="1" t="n">
        <v>0</v>
      </c>
      <c r="W100" s="1" t="n">
        <v>1</v>
      </c>
      <c r="Y100" s="1" t="n">
        <v>1</v>
      </c>
      <c r="Z100" s="0" t="s">
        <v>175</v>
      </c>
      <c r="AA100" s="0" t="s">
        <v>292</v>
      </c>
      <c r="AC100" s="0" t="s">
        <v>177</v>
      </c>
      <c r="AD100" s="0" t="s">
        <v>520</v>
      </c>
      <c r="AE100" s="0" t="s">
        <v>521</v>
      </c>
      <c r="AH100" s="0" t="s">
        <v>180</v>
      </c>
      <c r="AJ100" s="0" t="s">
        <v>181</v>
      </c>
      <c r="AK100" s="0" t="s">
        <v>94</v>
      </c>
      <c r="AN100" s="0" t="s">
        <v>97</v>
      </c>
      <c r="AR100" s="0" t="s">
        <v>101</v>
      </c>
      <c r="AW100" s="0" t="s">
        <v>106</v>
      </c>
      <c r="BF100" s="0" t="s">
        <v>115</v>
      </c>
    </row>
    <row r="101">
      <c r="B101" s="0" t="s">
        <v>517</v>
      </c>
      <c r="C101" s="1" t="n">
        <v>353996</v>
      </c>
      <c r="E101" s="14" t="s">
        <v>522</v>
      </c>
      <c r="F101" s="14" t="s">
        <v>192</v>
      </c>
      <c r="G101" s="25" t="str">
        <f>HYPERLINK("https://telegram.me/omckmama/13701")</f>
      </c>
      <c r="H101" s="14" t="s">
        <v>193</v>
      </c>
      <c r="I101" s="14" t="s">
        <v>194</v>
      </c>
      <c r="J101" s="14" t="s">
        <v>523</v>
      </c>
      <c r="K101" s="26" t="str">
        <f>HYPERLINK("https://telegram.me/XeniaKur20")</f>
      </c>
      <c r="L101" s="14" t="s">
        <v>173</v>
      </c>
      <c r="M101" s="14" t="s">
        <v>524</v>
      </c>
      <c r="N101" s="25" t="str">
        <f>HYPERLINK("https://telegram.me/omckmama")</f>
      </c>
      <c r="O101" s="1" t="s">
        <v>186</v>
      </c>
      <c r="P101" s="1"/>
      <c r="Q101" s="1" t="n">
        <v>456</v>
      </c>
      <c r="R101" s="1" t="n">
        <v>0</v>
      </c>
      <c r="S101" s="1"/>
      <c r="T101" s="1" t="n">
        <v>0</v>
      </c>
      <c r="U101" s="1" t="n">
        <v>0</v>
      </c>
      <c r="V101" s="1" t="n">
        <v>0</v>
      </c>
      <c r="W101" s="1"/>
      <c r="Y101" s="1" t="n">
        <v>1</v>
      </c>
      <c r="Z101" s="0" t="s">
        <v>175</v>
      </c>
      <c r="AA101" s="0" t="s">
        <v>292</v>
      </c>
      <c r="AH101" s="0" t="s">
        <v>180</v>
      </c>
      <c r="AJ101" s="0" t="s">
        <v>437</v>
      </c>
      <c r="AP101" s="0" t="s">
        <v>99</v>
      </c>
      <c r="AY101" s="0" t="s">
        <v>108</v>
      </c>
      <c r="BB101" s="0" t="s">
        <v>111</v>
      </c>
      <c r="BD101" s="0" t="s">
        <v>113</v>
      </c>
      <c r="BV101" s="0" t="s">
        <v>131</v>
      </c>
    </row>
    <row r="102" ht="132.75">
      <c r="B102" s="0" t="s">
        <v>517</v>
      </c>
      <c r="C102" s="1" t="n">
        <v>354036</v>
      </c>
      <c r="D102" s="0" t="s">
        <v>525</v>
      </c>
      <c r="E102" s="14" t="s">
        <v>526</v>
      </c>
      <c r="F102" s="14" t="s">
        <v>527</v>
      </c>
      <c r="G102" s="25" t="str">
        <f>HYPERLINK("http://businesspskov.ru/news/205794.html")</f>
      </c>
      <c r="H102" s="14" t="s">
        <v>208</v>
      </c>
      <c r="I102" s="14" t="s">
        <v>194</v>
      </c>
      <c r="J102" s="14"/>
      <c r="L102" s="14"/>
      <c r="O102" s="1"/>
      <c r="P102" s="1"/>
      <c r="Q102" s="1"/>
      <c r="R102" s="1" t="n">
        <v>0</v>
      </c>
      <c r="S102" s="1" t="n">
        <v>3500</v>
      </c>
      <c r="T102" s="1" t="n">
        <v>0</v>
      </c>
      <c r="U102" s="1" t="n">
        <v>0</v>
      </c>
      <c r="V102" s="1" t="n">
        <v>0</v>
      </c>
      <c r="W102" s="1"/>
      <c r="Y102" s="1" t="n">
        <v>1</v>
      </c>
      <c r="Z102" s="0" t="s">
        <v>175</v>
      </c>
      <c r="AA102" s="0" t="s">
        <v>223</v>
      </c>
      <c r="AH102" s="0" t="s">
        <v>180</v>
      </c>
      <c r="AJ102" s="0" t="s">
        <v>181</v>
      </c>
      <c r="BP102" s="0" t="s">
        <v>125</v>
      </c>
    </row>
    <row r="103" ht="108.75">
      <c r="B103" s="0" t="s">
        <v>528</v>
      </c>
      <c r="C103" s="1" t="n">
        <v>354053</v>
      </c>
      <c r="E103" s="14" t="s">
        <v>529</v>
      </c>
      <c r="F103" s="14" t="s">
        <v>184</v>
      </c>
      <c r="G103" s="25" t="str">
        <f>HYPERLINK("http://vk.com/wall384141370_4435")</f>
      </c>
      <c r="H103" s="14" t="s">
        <v>170</v>
      </c>
      <c r="I103" s="14" t="s">
        <v>194</v>
      </c>
      <c r="J103" s="14" t="s">
        <v>420</v>
      </c>
      <c r="K103" s="26" t="str">
        <f>HYPERLINK("http://vk.com/id384141370")</f>
      </c>
      <c r="L103" s="14" t="s">
        <v>173</v>
      </c>
      <c r="O103" s="1" t="s">
        <v>186</v>
      </c>
      <c r="P103" s="1" t="n">
        <v>120</v>
      </c>
      <c r="Q103" s="1" t="n">
        <v>359</v>
      </c>
      <c r="R103" s="1" t="n">
        <v>0</v>
      </c>
      <c r="S103" s="1"/>
      <c r="T103" s="1" t="n">
        <v>0</v>
      </c>
      <c r="U103" s="1" t="n">
        <v>0</v>
      </c>
      <c r="V103" s="1" t="n">
        <v>0</v>
      </c>
      <c r="W103" s="1" t="n">
        <v>17</v>
      </c>
      <c r="Y103" s="1" t="n">
        <v>9</v>
      </c>
      <c r="Z103" s="0" t="s">
        <v>175</v>
      </c>
      <c r="AA103" s="0" t="s">
        <v>292</v>
      </c>
      <c r="AH103" s="0" t="s">
        <v>180</v>
      </c>
      <c r="AJ103" s="0" t="s">
        <v>181</v>
      </c>
      <c r="AK103" s="0" t="s">
        <v>94</v>
      </c>
      <c r="AN103" s="0" t="s">
        <v>97</v>
      </c>
      <c r="AR103" s="0" t="s">
        <v>101</v>
      </c>
      <c r="AW103" s="0" t="s">
        <v>106</v>
      </c>
      <c r="BF103" s="0" t="s">
        <v>115</v>
      </c>
    </row>
    <row r="104">
      <c r="B104" s="0" t="s">
        <v>528</v>
      </c>
      <c r="C104" s="1" t="n">
        <v>354008</v>
      </c>
      <c r="E104" s="14" t="s">
        <v>530</v>
      </c>
      <c r="F104" s="14" t="s">
        <v>184</v>
      </c>
      <c r="G104" s="25" t="str">
        <f>HYPERLINK("http://vk.com/wall-92006241_404960?reply=425047&amp;thread=405208")</f>
      </c>
      <c r="H104" s="14" t="s">
        <v>170</v>
      </c>
      <c r="I104" s="14" t="s">
        <v>231</v>
      </c>
      <c r="J104" s="14" t="s">
        <v>531</v>
      </c>
      <c r="K104" s="26" t="str">
        <f>HYPERLINK("http://vk.com/id564999034")</f>
      </c>
      <c r="L104" s="14" t="s">
        <v>173</v>
      </c>
      <c r="M104" s="14" t="s">
        <v>532</v>
      </c>
      <c r="N104" s="25" t="str">
        <f>HYPERLINK("http://vk.com/club92006241")</f>
      </c>
      <c r="O104" s="1" t="s">
        <v>186</v>
      </c>
      <c r="P104" s="1"/>
      <c r="Q104" s="1" t="n">
        <v>149568</v>
      </c>
      <c r="R104" s="1" t="n">
        <v>0</v>
      </c>
      <c r="S104" s="1"/>
      <c r="T104" s="1" t="n">
        <v>0</v>
      </c>
      <c r="U104" s="1" t="n">
        <v>0</v>
      </c>
      <c r="V104" s="1" t="n">
        <v>0</v>
      </c>
      <c r="W104" s="1"/>
      <c r="Y104" s="1" t="n">
        <v>1</v>
      </c>
      <c r="Z104" s="0" t="s">
        <v>319</v>
      </c>
      <c r="AA104" s="0" t="s">
        <v>187</v>
      </c>
      <c r="AC104" s="0" t="s">
        <v>177</v>
      </c>
      <c r="AH104" s="0" t="s">
        <v>180</v>
      </c>
      <c r="AI104" s="0" t="s">
        <v>92</v>
      </c>
      <c r="AJ104" s="0" t="s">
        <v>437</v>
      </c>
      <c r="AK104" s="0" t="s">
        <v>94</v>
      </c>
      <c r="AL104" s="0" t="s">
        <v>95</v>
      </c>
      <c r="AN104" s="0" t="s">
        <v>97</v>
      </c>
      <c r="AR104" s="0" t="s">
        <v>101</v>
      </c>
      <c r="AS104" s="0" t="s">
        <v>102</v>
      </c>
    </row>
    <row r="105" ht="36.75">
      <c r="B105" s="0" t="s">
        <v>533</v>
      </c>
      <c r="C105" s="1" t="n">
        <v>354006</v>
      </c>
      <c r="E105" s="14" t="s">
        <v>202</v>
      </c>
      <c r="F105" s="14" t="s">
        <v>184</v>
      </c>
      <c r="G105" s="25" t="str">
        <f>HYPERLINK("http://vk.com/wall-193183095_78")</f>
      </c>
      <c r="H105" s="14" t="s">
        <v>170</v>
      </c>
      <c r="I105" s="14" t="s">
        <v>171</v>
      </c>
      <c r="J105" s="14" t="s">
        <v>534</v>
      </c>
      <c r="K105" s="26" t="str">
        <f>HYPERLINK("http://vk.com/club193183095")</f>
      </c>
      <c r="L105" s="14" t="s">
        <v>274</v>
      </c>
      <c r="O105" s="1"/>
      <c r="P105" s="1"/>
      <c r="Q105" s="1" t="n">
        <v>12</v>
      </c>
      <c r="R105" s="1" t="n">
        <v>0</v>
      </c>
      <c r="S105" s="1"/>
      <c r="T105" s="1" t="n">
        <v>0</v>
      </c>
      <c r="U105" s="1" t="n">
        <v>0</v>
      </c>
      <c r="V105" s="1" t="n">
        <v>0</v>
      </c>
      <c r="W105" s="1"/>
      <c r="Y105" s="1" t="n">
        <v>60</v>
      </c>
      <c r="Z105" s="0" t="s">
        <v>175</v>
      </c>
      <c r="AA105" s="0" t="s">
        <v>176</v>
      </c>
      <c r="AC105" s="0" t="s">
        <v>177</v>
      </c>
      <c r="AD105" s="0" t="s">
        <v>188</v>
      </c>
      <c r="AE105" s="0" t="s">
        <v>535</v>
      </c>
      <c r="AH105" s="0" t="s">
        <v>180</v>
      </c>
      <c r="AJ105" s="0" t="s">
        <v>437</v>
      </c>
      <c r="AK105" s="0" t="s">
        <v>94</v>
      </c>
      <c r="AM105" s="0" t="s">
        <v>96</v>
      </c>
      <c r="AO105" s="0" t="s">
        <v>98</v>
      </c>
      <c r="AP105" s="0" t="s">
        <v>99</v>
      </c>
      <c r="AQ105" s="0" t="s">
        <v>100</v>
      </c>
    </row>
    <row r="106">
      <c r="B106" s="0" t="s">
        <v>536</v>
      </c>
      <c r="C106" s="1" t="n">
        <v>353997</v>
      </c>
      <c r="E106" s="14" t="s">
        <v>537</v>
      </c>
      <c r="F106" s="14" t="s">
        <v>184</v>
      </c>
      <c r="G106" s="25" t="str">
        <f>HYPERLINK("http://vk.com/wall-139923997_4238168?reply=4240040&amp;thread=4238891")</f>
      </c>
      <c r="H106" s="14" t="s">
        <v>170</v>
      </c>
      <c r="I106" s="14" t="s">
        <v>231</v>
      </c>
      <c r="J106" s="14" t="s">
        <v>538</v>
      </c>
      <c r="K106" s="26" t="str">
        <f>HYPERLINK("http://vk.com/id168877014")</f>
      </c>
      <c r="L106" s="14" t="s">
        <v>173</v>
      </c>
      <c r="M106" s="14" t="s">
        <v>539</v>
      </c>
      <c r="N106" s="25" t="str">
        <f>HYPERLINK("http://vk.com/club139923997")</f>
      </c>
      <c r="O106" s="1" t="s">
        <v>186</v>
      </c>
      <c r="P106" s="1" t="n">
        <v>35</v>
      </c>
      <c r="Q106" s="1" t="n">
        <v>2371324</v>
      </c>
      <c r="R106" s="1" t="n">
        <v>0</v>
      </c>
      <c r="S106" s="1"/>
      <c r="T106" s="1" t="n">
        <v>0</v>
      </c>
      <c r="U106" s="1" t="n">
        <v>0</v>
      </c>
      <c r="V106" s="1" t="n">
        <v>0</v>
      </c>
      <c r="W106" s="1"/>
      <c r="Y106" s="1" t="n">
        <v>1</v>
      </c>
      <c r="Z106" s="0" t="s">
        <v>319</v>
      </c>
      <c r="AA106" s="0" t="s">
        <v>187</v>
      </c>
      <c r="AC106" s="0" t="s">
        <v>177</v>
      </c>
      <c r="AH106" s="0" t="s">
        <v>180</v>
      </c>
      <c r="AI106" s="0" t="s">
        <v>92</v>
      </c>
      <c r="AJ106" s="0" t="s">
        <v>437</v>
      </c>
      <c r="AK106" s="0" t="s">
        <v>94</v>
      </c>
      <c r="AN106" s="0" t="s">
        <v>97</v>
      </c>
      <c r="AP106" s="0" t="s">
        <v>99</v>
      </c>
      <c r="AR106" s="0" t="s">
        <v>101</v>
      </c>
      <c r="AS106" s="0" t="s">
        <v>102</v>
      </c>
    </row>
    <row r="107" ht="36.75">
      <c r="B107" s="0" t="s">
        <v>536</v>
      </c>
      <c r="C107" s="1" t="n">
        <v>354064</v>
      </c>
      <c r="D107" s="0" t="s">
        <v>308</v>
      </c>
      <c r="E107" s="14" t="s">
        <v>540</v>
      </c>
      <c r="F107" s="14" t="s">
        <v>310</v>
      </c>
      <c r="G107" s="25" t="str">
        <f>HYPERLINK("https://www.u-mama.ru/forum/family/health/949323/#mid_34755405")</f>
      </c>
      <c r="H107" s="14" t="s">
        <v>264</v>
      </c>
      <c r="I107" s="14" t="s">
        <v>231</v>
      </c>
      <c r="J107" s="14" t="s">
        <v>541</v>
      </c>
      <c r="L107" s="14"/>
      <c r="M107" s="14" t="s">
        <v>312</v>
      </c>
      <c r="O107" s="1"/>
      <c r="P107" s="1"/>
      <c r="Q107" s="1"/>
      <c r="R107" s="1" t="n">
        <v>0</v>
      </c>
      <c r="S107" s="1"/>
      <c r="T107" s="1" t="n">
        <v>0</v>
      </c>
      <c r="U107" s="1" t="n">
        <v>0</v>
      </c>
      <c r="V107" s="1" t="n">
        <v>0</v>
      </c>
      <c r="W107" s="1"/>
      <c r="Y107" s="1" t="n">
        <v>1</v>
      </c>
      <c r="Z107" s="0" t="s">
        <v>319</v>
      </c>
      <c r="AA107" s="0" t="s">
        <v>223</v>
      </c>
      <c r="AH107" s="0" t="s">
        <v>180</v>
      </c>
      <c r="AI107" s="0" t="s">
        <v>92</v>
      </c>
      <c r="AJ107" s="0" t="s">
        <v>181</v>
      </c>
      <c r="AK107" s="0" t="s">
        <v>94</v>
      </c>
      <c r="AN107" s="0" t="s">
        <v>97</v>
      </c>
      <c r="AS107" s="0" t="s">
        <v>102</v>
      </c>
      <c r="AW107" s="0" t="s">
        <v>106</v>
      </c>
      <c r="AX107" s="0" t="s">
        <v>107</v>
      </c>
      <c r="BD107" s="0" t="s">
        <v>113</v>
      </c>
      <c r="BE107" s="0" t="s">
        <v>114</v>
      </c>
    </row>
    <row r="108" ht="24.75">
      <c r="B108" s="0" t="s">
        <v>542</v>
      </c>
      <c r="C108" s="1" t="n">
        <v>354003</v>
      </c>
      <c r="E108" s="14" t="s">
        <v>183</v>
      </c>
      <c r="F108" s="14" t="s">
        <v>184</v>
      </c>
      <c r="G108" s="25" t="str">
        <f>HYPERLINK("http://vk.com/wall474351320_1161")</f>
      </c>
      <c r="H108" s="14" t="s">
        <v>170</v>
      </c>
      <c r="I108" s="14" t="s">
        <v>171</v>
      </c>
      <c r="J108" s="14" t="s">
        <v>543</v>
      </c>
      <c r="K108" s="26" t="str">
        <f>HYPERLINK("http://vk.com/id474351320")</f>
      </c>
      <c r="L108" s="14" t="s">
        <v>173</v>
      </c>
      <c r="O108" s="1" t="s">
        <v>186</v>
      </c>
      <c r="P108" s="1" t="n">
        <v>60</v>
      </c>
      <c r="Q108" s="1" t="n">
        <v>38</v>
      </c>
      <c r="R108" s="1" t="n">
        <v>0</v>
      </c>
      <c r="S108" s="1"/>
      <c r="T108" s="1" t="n">
        <v>0</v>
      </c>
      <c r="U108" s="1" t="n">
        <v>0</v>
      </c>
      <c r="V108" s="1" t="n">
        <v>0</v>
      </c>
      <c r="W108" s="1"/>
      <c r="Y108" s="1" t="n">
        <v>62</v>
      </c>
      <c r="Z108" s="0" t="s">
        <v>175</v>
      </c>
      <c r="AA108" s="0" t="s">
        <v>187</v>
      </c>
      <c r="AH108" s="0" t="s">
        <v>180</v>
      </c>
      <c r="AJ108" s="0" t="s">
        <v>437</v>
      </c>
      <c r="AK108" s="0" t="s">
        <v>94</v>
      </c>
      <c r="AO108" s="0" t="s">
        <v>98</v>
      </c>
      <c r="AP108" s="0" t="s">
        <v>99</v>
      </c>
      <c r="AR108" s="0" t="s">
        <v>101</v>
      </c>
      <c r="BA108" s="0" t="s">
        <v>110</v>
      </c>
      <c r="BH108" s="0" t="s">
        <v>117</v>
      </c>
    </row>
    <row r="109" ht="24.75">
      <c r="B109" s="0" t="s">
        <v>542</v>
      </c>
      <c r="C109" s="1" t="n">
        <v>354002</v>
      </c>
      <c r="E109" s="14" t="s">
        <v>183</v>
      </c>
      <c r="F109" s="14" t="s">
        <v>184</v>
      </c>
      <c r="G109" s="25" t="str">
        <f>HYPERLINK("http://vk.com/wall474351320_1160")</f>
      </c>
      <c r="H109" s="14" t="s">
        <v>170</v>
      </c>
      <c r="I109" s="14" t="s">
        <v>171</v>
      </c>
      <c r="J109" s="14" t="s">
        <v>543</v>
      </c>
      <c r="K109" s="26" t="str">
        <f>HYPERLINK("http://vk.com/id474351320")</f>
      </c>
      <c r="L109" s="14" t="s">
        <v>173</v>
      </c>
      <c r="O109" s="1" t="s">
        <v>186</v>
      </c>
      <c r="P109" s="1" t="n">
        <v>60</v>
      </c>
      <c r="Q109" s="1" t="n">
        <v>38</v>
      </c>
      <c r="R109" s="1" t="n">
        <v>0</v>
      </c>
      <c r="S109" s="1"/>
      <c r="T109" s="1" t="n">
        <v>0</v>
      </c>
      <c r="U109" s="1" t="n">
        <v>0</v>
      </c>
      <c r="V109" s="1" t="n">
        <v>0</v>
      </c>
      <c r="W109" s="1"/>
      <c r="Y109" s="1" t="n">
        <v>62</v>
      </c>
      <c r="Z109" s="0" t="s">
        <v>175</v>
      </c>
      <c r="AA109" s="0" t="s">
        <v>187</v>
      </c>
      <c r="AH109" s="0" t="s">
        <v>180</v>
      </c>
      <c r="AJ109" s="0" t="s">
        <v>437</v>
      </c>
      <c r="AK109" s="0" t="s">
        <v>94</v>
      </c>
      <c r="AO109" s="0" t="s">
        <v>98</v>
      </c>
      <c r="AP109" s="0" t="s">
        <v>99</v>
      </c>
      <c r="AR109" s="0" t="s">
        <v>101</v>
      </c>
      <c r="BA109" s="0" t="s">
        <v>110</v>
      </c>
      <c r="BH109" s="0" t="s">
        <v>117</v>
      </c>
    </row>
    <row r="110" ht="360.75">
      <c r="B110" s="0" t="s">
        <v>544</v>
      </c>
      <c r="C110" s="1" t="n">
        <v>354000</v>
      </c>
      <c r="D110" s="0" t="s">
        <v>545</v>
      </c>
      <c r="E110" s="14" t="s">
        <v>546</v>
      </c>
      <c r="F110" s="14" t="s">
        <v>547</v>
      </c>
      <c r="G110" s="25" t="str">
        <f>HYPERLINK("https://metlor.net/wiki/item/66758-lechenie-orvi-cenoy-raka-mozhet-li-ingavirin-vyzyvat-strashnyy-nedug")</f>
      </c>
      <c r="H110" s="14" t="s">
        <v>208</v>
      </c>
      <c r="I110" s="14" t="s">
        <v>194</v>
      </c>
      <c r="J110" s="14"/>
      <c r="L110" s="14"/>
      <c r="O110" s="1"/>
      <c r="P110" s="1"/>
      <c r="Q110" s="1"/>
      <c r="R110" s="1" t="n">
        <v>0</v>
      </c>
      <c r="S110" s="1" t="n">
        <v>1766</v>
      </c>
      <c r="T110" s="1" t="n">
        <v>0</v>
      </c>
      <c r="U110" s="1" t="n">
        <v>0</v>
      </c>
      <c r="V110" s="1" t="n">
        <v>0</v>
      </c>
      <c r="W110" s="1"/>
      <c r="Y110" s="1" t="n">
        <v>1</v>
      </c>
      <c r="Z110" s="0" t="s">
        <v>175</v>
      </c>
      <c r="AA110" s="0" t="s">
        <v>187</v>
      </c>
      <c r="AH110" s="0" t="s">
        <v>180</v>
      </c>
      <c r="AJ110" s="0" t="s">
        <v>437</v>
      </c>
      <c r="AK110" s="0" t="s">
        <v>94</v>
      </c>
      <c r="AP110" s="0" t="s">
        <v>99</v>
      </c>
      <c r="BA110" s="0" t="s">
        <v>110</v>
      </c>
      <c r="BW110" s="0" t="s">
        <v>132</v>
      </c>
    </row>
    <row r="111">
      <c r="B111" s="0" t="s">
        <v>548</v>
      </c>
      <c r="C111" s="1" t="n">
        <v>353993</v>
      </c>
      <c r="E111" s="14" t="s">
        <v>549</v>
      </c>
      <c r="F111" s="14" t="s">
        <v>184</v>
      </c>
      <c r="G111" s="25" t="str">
        <f>HYPERLINK("http://vk.com/wall-165495813_955937?reply=956078&amp;thread=956013")</f>
      </c>
      <c r="H111" s="14" t="s">
        <v>170</v>
      </c>
      <c r="I111" s="14" t="s">
        <v>231</v>
      </c>
      <c r="J111" s="14" t="s">
        <v>550</v>
      </c>
      <c r="K111" s="26" t="str">
        <f>HYPERLINK("http://vk.com/id134770200")</f>
      </c>
      <c r="L111" s="14" t="s">
        <v>173</v>
      </c>
      <c r="M111" s="14" t="s">
        <v>357</v>
      </c>
      <c r="N111" s="25" t="str">
        <f>HYPERLINK("http://vk.com/club165495813")</f>
      </c>
      <c r="O111" s="1" t="s">
        <v>186</v>
      </c>
      <c r="P111" s="1"/>
      <c r="Q111" s="1" t="n">
        <v>310333</v>
      </c>
      <c r="R111" s="1" t="n">
        <v>0</v>
      </c>
      <c r="S111" s="1"/>
      <c r="T111" s="1" t="n">
        <v>0</v>
      </c>
      <c r="U111" s="1" t="n">
        <v>0</v>
      </c>
      <c r="V111" s="1" t="n">
        <v>0</v>
      </c>
      <c r="W111" s="1"/>
      <c r="Y111" s="1" t="n">
        <v>1</v>
      </c>
      <c r="Z111" s="0" t="s">
        <v>319</v>
      </c>
      <c r="AA111" s="0" t="s">
        <v>187</v>
      </c>
      <c r="AC111" s="0" t="s">
        <v>177</v>
      </c>
      <c r="AH111" s="0" t="s">
        <v>180</v>
      </c>
      <c r="AI111" s="0" t="s">
        <v>92</v>
      </c>
      <c r="AJ111" s="0" t="s">
        <v>437</v>
      </c>
      <c r="AK111" s="0" t="s">
        <v>94</v>
      </c>
      <c r="AN111" s="0" t="s">
        <v>97</v>
      </c>
      <c r="AP111" s="0" t="s">
        <v>99</v>
      </c>
      <c r="AR111" s="0" t="s">
        <v>101</v>
      </c>
      <c r="AS111" s="0" t="s">
        <v>102</v>
      </c>
      <c r="BG111" s="0" t="s">
        <v>116</v>
      </c>
    </row>
    <row r="112">
      <c r="B112" s="0" t="s">
        <v>551</v>
      </c>
      <c r="C112" s="1" t="n">
        <v>353995</v>
      </c>
      <c r="E112" s="14" t="s">
        <v>552</v>
      </c>
      <c r="F112" s="14" t="s">
        <v>184</v>
      </c>
      <c r="G112" s="25" t="str">
        <f>HYPERLINK("http://vk.com/wall-203023242_19254?reply=19290")</f>
      </c>
      <c r="H112" s="14" t="s">
        <v>170</v>
      </c>
      <c r="I112" s="14" t="s">
        <v>231</v>
      </c>
      <c r="J112" s="14" t="s">
        <v>324</v>
      </c>
      <c r="K112" s="26" t="str">
        <f>HYPERLINK("http://vk.com/id793507918")</f>
      </c>
      <c r="L112" s="14" t="s">
        <v>173</v>
      </c>
      <c r="M112" s="14" t="s">
        <v>553</v>
      </c>
      <c r="N112" s="25" t="str">
        <f>HYPERLINK("http://vk.com/club203023242")</f>
      </c>
      <c r="O112" s="1" t="s">
        <v>186</v>
      </c>
      <c r="P112" s="1" t="n">
        <v>26</v>
      </c>
      <c r="Q112" s="1" t="n">
        <v>5404</v>
      </c>
      <c r="R112" s="1" t="n">
        <v>0</v>
      </c>
      <c r="S112" s="1"/>
      <c r="T112" s="1" t="n">
        <v>0</v>
      </c>
      <c r="U112" s="1" t="n">
        <v>0</v>
      </c>
      <c r="V112" s="1" t="n">
        <v>0</v>
      </c>
      <c r="W112" s="1"/>
      <c r="Y112" s="1" t="n">
        <v>1</v>
      </c>
      <c r="Z112" s="0" t="s">
        <v>319</v>
      </c>
      <c r="AA112" s="0" t="s">
        <v>292</v>
      </c>
      <c r="AH112" s="0" t="s">
        <v>180</v>
      </c>
      <c r="AI112" s="0" t="s">
        <v>92</v>
      </c>
      <c r="AJ112" s="0" t="s">
        <v>437</v>
      </c>
      <c r="AY112" s="0" t="s">
        <v>108</v>
      </c>
      <c r="BD112" s="0" t="s">
        <v>113</v>
      </c>
    </row>
    <row r="113" ht="24.75">
      <c r="B113" s="0" t="s">
        <v>551</v>
      </c>
      <c r="C113" s="1" t="n">
        <v>353991</v>
      </c>
      <c r="E113" s="14" t="s">
        <v>554</v>
      </c>
      <c r="F113" s="14" t="s">
        <v>169</v>
      </c>
      <c r="G113" s="25" t="str">
        <f>HYPERLINK("http://www.ok.ru/profile/561744626302/statuses/154973386342526")</f>
      </c>
      <c r="H113" s="14" t="s">
        <v>170</v>
      </c>
      <c r="I113" s="14" t="s">
        <v>171</v>
      </c>
      <c r="J113" s="14" t="s">
        <v>555</v>
      </c>
      <c r="K113" s="26" t="str">
        <f>HYPERLINK("http://www.ok.ru/profile/561744626302")</f>
      </c>
      <c r="L113" s="14" t="s">
        <v>173</v>
      </c>
      <c r="O113" s="1" t="s">
        <v>186</v>
      </c>
      <c r="P113" s="1"/>
      <c r="Q113" s="1" t="n">
        <v>2179</v>
      </c>
      <c r="R113" s="1" t="n">
        <v>0</v>
      </c>
      <c r="S113" s="1"/>
      <c r="T113" s="1" t="n">
        <v>0</v>
      </c>
      <c r="U113" s="1" t="n">
        <v>0</v>
      </c>
      <c r="V113" s="1" t="n">
        <v>0</v>
      </c>
      <c r="W113" s="1"/>
      <c r="Y113" s="1" t="n">
        <v>59</v>
      </c>
      <c r="Z113" s="0" t="s">
        <v>175</v>
      </c>
      <c r="AA113" s="0" t="s">
        <v>176</v>
      </c>
      <c r="AC113" s="0" t="s">
        <v>177</v>
      </c>
      <c r="AD113" s="0" t="s">
        <v>556</v>
      </c>
      <c r="AE113" s="0" t="s">
        <v>557</v>
      </c>
      <c r="AH113" s="0" t="s">
        <v>180</v>
      </c>
      <c r="AJ113" s="0" t="s">
        <v>437</v>
      </c>
      <c r="AK113" s="0" t="s">
        <v>94</v>
      </c>
      <c r="AM113" s="0" t="s">
        <v>96</v>
      </c>
      <c r="AO113" s="0" t="s">
        <v>98</v>
      </c>
      <c r="AP113" s="0" t="s">
        <v>99</v>
      </c>
      <c r="AQ113" s="0" t="s">
        <v>100</v>
      </c>
    </row>
    <row r="114" ht="84.75">
      <c r="B114" s="0" t="s">
        <v>558</v>
      </c>
      <c r="C114" s="1" t="n">
        <v>354023</v>
      </c>
      <c r="E114" s="14" t="s">
        <v>559</v>
      </c>
      <c r="F114" s="14" t="s">
        <v>184</v>
      </c>
      <c r="G114" s="25" t="str">
        <f>HYPERLINK("http://vk.com/wall-89460402_150827")</f>
      </c>
      <c r="H114" s="14" t="s">
        <v>170</v>
      </c>
      <c r="I114" s="14" t="s">
        <v>194</v>
      </c>
      <c r="J114" s="14" t="s">
        <v>560</v>
      </c>
      <c r="K114" s="26" t="str">
        <f>HYPERLINK("http://vk.com/club89460402")</f>
      </c>
      <c r="L114" s="14" t="s">
        <v>274</v>
      </c>
      <c r="O114" s="1"/>
      <c r="P114" s="1"/>
      <c r="Q114" s="1" t="n">
        <v>47954</v>
      </c>
      <c r="R114" s="1" t="n">
        <v>0</v>
      </c>
      <c r="S114" s="1"/>
      <c r="T114" s="1" t="n">
        <v>0</v>
      </c>
      <c r="U114" s="1" t="n">
        <v>0</v>
      </c>
      <c r="V114" s="1" t="n">
        <v>0</v>
      </c>
      <c r="W114" s="1" t="n">
        <v>368</v>
      </c>
      <c r="Y114" s="1" t="n">
        <v>1</v>
      </c>
      <c r="Z114" s="0" t="s">
        <v>175</v>
      </c>
      <c r="AA114" s="0" t="s">
        <v>176</v>
      </c>
      <c r="AC114" s="0" t="s">
        <v>177</v>
      </c>
      <c r="AD114" s="0" t="s">
        <v>561</v>
      </c>
      <c r="AE114" s="0" t="s">
        <v>562</v>
      </c>
      <c r="AH114" s="0" t="s">
        <v>180</v>
      </c>
      <c r="AJ114" s="0" t="s">
        <v>437</v>
      </c>
      <c r="AK114" s="0" t="s">
        <v>94</v>
      </c>
      <c r="AL114" s="0" t="s">
        <v>95</v>
      </c>
      <c r="BD114" s="0" t="s">
        <v>113</v>
      </c>
      <c r="BJ114" s="0" t="s">
        <v>119</v>
      </c>
      <c r="BK114" s="0" t="s">
        <v>120</v>
      </c>
    </row>
    <row r="115">
      <c r="B115" s="0" t="s">
        <v>558</v>
      </c>
      <c r="C115" s="1" t="n">
        <v>353966</v>
      </c>
      <c r="E115" s="14" t="s">
        <v>563</v>
      </c>
      <c r="F115" s="14" t="s">
        <v>184</v>
      </c>
      <c r="G115" s="25" t="str">
        <f>HYPERLINK("http://vk.com/wall-121026450_71645?reply=71680")</f>
      </c>
      <c r="H115" s="14" t="s">
        <v>170</v>
      </c>
      <c r="I115" s="14" t="s">
        <v>231</v>
      </c>
      <c r="J115" s="14" t="s">
        <v>324</v>
      </c>
      <c r="K115" s="26" t="str">
        <f>HYPERLINK("http://vk.com/id793507918")</f>
      </c>
      <c r="L115" s="14" t="s">
        <v>173</v>
      </c>
      <c r="M115" s="14" t="s">
        <v>564</v>
      </c>
      <c r="N115" s="25" t="str">
        <f>HYPERLINK("http://vk.com/club121026450")</f>
      </c>
      <c r="O115" s="1" t="s">
        <v>186</v>
      </c>
      <c r="P115" s="1" t="n">
        <v>26</v>
      </c>
      <c r="Q115" s="1" t="n">
        <v>20655</v>
      </c>
      <c r="R115" s="1" t="n">
        <v>0</v>
      </c>
      <c r="S115" s="1"/>
      <c r="T115" s="1" t="n">
        <v>0</v>
      </c>
      <c r="U115" s="1" t="n">
        <v>0</v>
      </c>
      <c r="V115" s="1" t="n">
        <v>0</v>
      </c>
      <c r="W115" s="1"/>
      <c r="Y115" s="1" t="n">
        <v>1</v>
      </c>
      <c r="Z115" s="0" t="s">
        <v>319</v>
      </c>
      <c r="AA115" s="0" t="s">
        <v>292</v>
      </c>
      <c r="AH115" s="0" t="s">
        <v>180</v>
      </c>
      <c r="AI115" s="0" t="s">
        <v>92</v>
      </c>
      <c r="AJ115" s="0" t="s">
        <v>437</v>
      </c>
      <c r="AY115" s="0" t="s">
        <v>108</v>
      </c>
      <c r="BD115" s="0" t="s">
        <v>113</v>
      </c>
    </row>
    <row r="116">
      <c r="B116" s="0" t="s">
        <v>565</v>
      </c>
      <c r="C116" s="1" t="n">
        <v>353974</v>
      </c>
      <c r="E116" s="14" t="s">
        <v>566</v>
      </c>
      <c r="F116" s="14" t="s">
        <v>184</v>
      </c>
      <c r="G116" s="25" t="str">
        <f>HYPERLINK("http://vk.com/wall-141518790_2250357?reply=2252058")</f>
      </c>
      <c r="H116" s="14" t="s">
        <v>170</v>
      </c>
      <c r="I116" s="14" t="s">
        <v>231</v>
      </c>
      <c r="J116" s="14" t="s">
        <v>324</v>
      </c>
      <c r="K116" s="26" t="str">
        <f>HYPERLINK("http://vk.com/id793507918")</f>
      </c>
      <c r="L116" s="14" t="s">
        <v>173</v>
      </c>
      <c r="M116" s="14" t="s">
        <v>567</v>
      </c>
      <c r="N116" s="25" t="str">
        <f>HYPERLINK("http://vk.com/club141518790")</f>
      </c>
      <c r="O116" s="1" t="s">
        <v>186</v>
      </c>
      <c r="P116" s="1" t="n">
        <v>26</v>
      </c>
      <c r="Q116" s="1" t="n">
        <v>61987</v>
      </c>
      <c r="R116" s="1" t="n">
        <v>0</v>
      </c>
      <c r="S116" s="1"/>
      <c r="T116" s="1" t="n">
        <v>0</v>
      </c>
      <c r="U116" s="1" t="n">
        <v>0</v>
      </c>
      <c r="V116" s="1" t="n">
        <v>0</v>
      </c>
      <c r="W116" s="1"/>
      <c r="Y116" s="1" t="n">
        <v>1</v>
      </c>
      <c r="Z116" s="0" t="s">
        <v>319</v>
      </c>
      <c r="AA116" s="0" t="s">
        <v>292</v>
      </c>
      <c r="AH116" s="0" t="s">
        <v>180</v>
      </c>
      <c r="AI116" s="0" t="s">
        <v>92</v>
      </c>
      <c r="AJ116" s="0" t="s">
        <v>437</v>
      </c>
      <c r="AY116" s="0" t="s">
        <v>108</v>
      </c>
      <c r="BD116" s="0" t="s">
        <v>113</v>
      </c>
    </row>
    <row r="117" ht="84.75">
      <c r="B117" s="0" t="s">
        <v>568</v>
      </c>
      <c r="C117" s="1" t="n">
        <v>354004</v>
      </c>
      <c r="D117" s="0" t="s">
        <v>569</v>
      </c>
      <c r="E117" s="14" t="s">
        <v>570</v>
      </c>
      <c r="F117" s="14" t="s">
        <v>571</v>
      </c>
      <c r="G117" s="25" t="str">
        <f>HYPERLINK("https://spravka11.ru/news/100153/")</f>
      </c>
      <c r="H117" s="14" t="s">
        <v>208</v>
      </c>
      <c r="I117" s="14" t="s">
        <v>194</v>
      </c>
      <c r="J117" s="14"/>
      <c r="L117" s="14"/>
      <c r="O117" s="1"/>
      <c r="P117" s="1"/>
      <c r="Q117" s="1"/>
      <c r="R117" s="1" t="n">
        <v>0</v>
      </c>
      <c r="S117" s="1" t="n">
        <v>3</v>
      </c>
      <c r="T117" s="1" t="n">
        <v>0</v>
      </c>
      <c r="U117" s="1" t="n">
        <v>0</v>
      </c>
      <c r="V117" s="1" t="n">
        <v>0</v>
      </c>
      <c r="W117" s="1"/>
      <c r="Y117" s="1" t="n">
        <v>1</v>
      </c>
      <c r="Z117" s="0" t="s">
        <v>175</v>
      </c>
      <c r="AA117" s="0" t="s">
        <v>176</v>
      </c>
      <c r="AH117" s="0" t="s">
        <v>180</v>
      </c>
      <c r="AJ117" s="0" t="s">
        <v>437</v>
      </c>
      <c r="AM117" s="0" t="s">
        <v>96</v>
      </c>
      <c r="AP117" s="0" t="s">
        <v>99</v>
      </c>
      <c r="BD117" s="0" t="s">
        <v>113</v>
      </c>
    </row>
    <row r="118">
      <c r="B118" s="0" t="s">
        <v>568</v>
      </c>
      <c r="C118" s="1" t="n">
        <v>353971</v>
      </c>
      <c r="E118" s="14" t="s">
        <v>572</v>
      </c>
      <c r="F118" s="14" t="s">
        <v>184</v>
      </c>
      <c r="G118" s="25" t="str">
        <f>HYPERLINK("http://vk.com/wall-157771437_610132?reply=610224")</f>
      </c>
      <c r="H118" s="14" t="s">
        <v>170</v>
      </c>
      <c r="I118" s="14" t="s">
        <v>231</v>
      </c>
      <c r="J118" s="14" t="s">
        <v>324</v>
      </c>
      <c r="K118" s="26" t="str">
        <f>HYPERLINK("http://vk.com/id793507918")</f>
      </c>
      <c r="L118" s="14" t="s">
        <v>173</v>
      </c>
      <c r="M118" s="14" t="s">
        <v>573</v>
      </c>
      <c r="N118" s="25" t="str">
        <f>HYPERLINK("http://vk.com/club157771437")</f>
      </c>
      <c r="O118" s="1" t="s">
        <v>186</v>
      </c>
      <c r="P118" s="1" t="n">
        <v>26</v>
      </c>
      <c r="Q118" s="1" t="n">
        <v>28605</v>
      </c>
      <c r="R118" s="1" t="n">
        <v>0</v>
      </c>
      <c r="S118" s="1"/>
      <c r="T118" s="1" t="n">
        <v>0</v>
      </c>
      <c r="U118" s="1" t="n">
        <v>0</v>
      </c>
      <c r="V118" s="1" t="n">
        <v>0</v>
      </c>
      <c r="W118" s="1"/>
      <c r="Y118" s="1" t="n">
        <v>1</v>
      </c>
      <c r="Z118" s="0" t="s">
        <v>319</v>
      </c>
      <c r="AA118" s="0" t="s">
        <v>292</v>
      </c>
      <c r="AH118" s="0" t="s">
        <v>180</v>
      </c>
      <c r="AI118" s="0" t="s">
        <v>92</v>
      </c>
      <c r="AJ118" s="0" t="s">
        <v>437</v>
      </c>
      <c r="AY118" s="0" t="s">
        <v>108</v>
      </c>
      <c r="BD118" s="0" t="s">
        <v>113</v>
      </c>
    </row>
    <row r="119" ht="36.75">
      <c r="B119" s="0" t="s">
        <v>568</v>
      </c>
      <c r="C119" s="1" t="n">
        <v>353965</v>
      </c>
      <c r="E119" s="14" t="s">
        <v>574</v>
      </c>
      <c r="F119" s="14" t="s">
        <v>184</v>
      </c>
      <c r="G119" s="25" t="str">
        <f>HYPERLINK("http://vk.com/wall100804408_3207")</f>
      </c>
      <c r="H119" s="14" t="s">
        <v>170</v>
      </c>
      <c r="I119" s="14" t="s">
        <v>171</v>
      </c>
      <c r="J119" s="14" t="s">
        <v>575</v>
      </c>
      <c r="K119" s="26" t="str">
        <f>HYPERLINK("http://vk.com/id100804408")</f>
      </c>
      <c r="L119" s="14" t="s">
        <v>173</v>
      </c>
      <c r="O119" s="1" t="s">
        <v>186</v>
      </c>
      <c r="P119" s="1"/>
      <c r="Q119" s="1" t="n">
        <v>111</v>
      </c>
      <c r="R119" s="1" t="n">
        <v>0</v>
      </c>
      <c r="S119" s="1"/>
      <c r="T119" s="1" t="n">
        <v>0</v>
      </c>
      <c r="U119" s="1" t="n">
        <v>0</v>
      </c>
      <c r="V119" s="1" t="n">
        <v>0</v>
      </c>
      <c r="W119" s="1"/>
      <c r="Y119" s="1" t="n">
        <v>5</v>
      </c>
      <c r="Z119" s="0" t="s">
        <v>175</v>
      </c>
      <c r="AA119" s="0" t="s">
        <v>292</v>
      </c>
      <c r="AC119" s="0" t="s">
        <v>177</v>
      </c>
      <c r="AD119" s="0" t="s">
        <v>556</v>
      </c>
      <c r="AE119" s="0" t="s">
        <v>576</v>
      </c>
      <c r="AH119" s="0" t="s">
        <v>180</v>
      </c>
      <c r="AJ119" s="0" t="s">
        <v>437</v>
      </c>
      <c r="AK119" s="0" t="s">
        <v>94</v>
      </c>
      <c r="AP119" s="0" t="s">
        <v>99</v>
      </c>
      <c r="AR119" s="0" t="s">
        <v>101</v>
      </c>
      <c r="BA119" s="0" t="s">
        <v>110</v>
      </c>
      <c r="BF119" s="0" t="s">
        <v>115</v>
      </c>
    </row>
    <row r="120" ht="24.75">
      <c r="B120" s="0" t="s">
        <v>577</v>
      </c>
      <c r="C120" s="1" t="n">
        <v>353998</v>
      </c>
      <c r="E120" s="14" t="s">
        <v>578</v>
      </c>
      <c r="F120" s="14" t="s">
        <v>184</v>
      </c>
      <c r="G120" s="25" t="str">
        <f>HYPERLINK("http://vk.com/wall708340693_465")</f>
      </c>
      <c r="H120" s="14" t="s">
        <v>170</v>
      </c>
      <c r="I120" s="14" t="s">
        <v>194</v>
      </c>
      <c r="J120" s="14" t="s">
        <v>579</v>
      </c>
      <c r="K120" s="26" t="str">
        <f>HYPERLINK("http://vk.com/id708340693")</f>
      </c>
      <c r="L120" s="14" t="s">
        <v>173</v>
      </c>
      <c r="O120" s="1" t="s">
        <v>186</v>
      </c>
      <c r="P120" s="1" t="n">
        <v>57</v>
      </c>
      <c r="Q120" s="1" t="n">
        <v>63</v>
      </c>
      <c r="R120" s="1" t="n">
        <v>0</v>
      </c>
      <c r="S120" s="1"/>
      <c r="T120" s="1" t="n">
        <v>0</v>
      </c>
      <c r="U120" s="1" t="n">
        <v>5</v>
      </c>
      <c r="V120" s="1" t="n">
        <v>5</v>
      </c>
      <c r="W120" s="1" t="n">
        <v>18</v>
      </c>
      <c r="Y120" s="1" t="n">
        <v>1</v>
      </c>
      <c r="Z120" s="0" t="s">
        <v>175</v>
      </c>
      <c r="AA120" s="0" t="s">
        <v>187</v>
      </c>
      <c r="AH120" s="0" t="s">
        <v>180</v>
      </c>
      <c r="AJ120" s="0" t="s">
        <v>437</v>
      </c>
      <c r="AK120" s="0" t="s">
        <v>94</v>
      </c>
      <c r="AP120" s="0" t="s">
        <v>99</v>
      </c>
      <c r="AT120" s="0" t="s">
        <v>103</v>
      </c>
      <c r="AV120" s="0" t="s">
        <v>105</v>
      </c>
    </row>
    <row r="121">
      <c r="B121" s="0" t="s">
        <v>580</v>
      </c>
      <c r="C121" s="1" t="n">
        <v>353985</v>
      </c>
      <c r="E121" s="14" t="s">
        <v>581</v>
      </c>
      <c r="F121" s="14" t="s">
        <v>184</v>
      </c>
      <c r="G121" s="25" t="str">
        <f>HYPERLINK("http://vk.com/wall-136860886_525859?reply=525967")</f>
      </c>
      <c r="H121" s="14" t="s">
        <v>170</v>
      </c>
      <c r="I121" s="14" t="s">
        <v>231</v>
      </c>
      <c r="J121" s="14" t="s">
        <v>582</v>
      </c>
      <c r="K121" s="26" t="str">
        <f>HYPERLINK("http://vk.com/id793508038")</f>
      </c>
      <c r="L121" s="14" t="s">
        <v>173</v>
      </c>
      <c r="M121" s="14" t="s">
        <v>583</v>
      </c>
      <c r="N121" s="25" t="str">
        <f>HYPERLINK("http://vk.com/club136860886")</f>
      </c>
      <c r="O121" s="1" t="s">
        <v>186</v>
      </c>
      <c r="P121" s="1"/>
      <c r="Q121" s="1" t="n">
        <v>52245</v>
      </c>
      <c r="R121" s="1" t="n">
        <v>0</v>
      </c>
      <c r="S121" s="1"/>
      <c r="T121" s="1" t="n">
        <v>0</v>
      </c>
      <c r="U121" s="1" t="n">
        <v>0</v>
      </c>
      <c r="V121" s="1" t="n">
        <v>0</v>
      </c>
      <c r="W121" s="1"/>
      <c r="Y121" s="1" t="n">
        <v>1</v>
      </c>
      <c r="Z121" s="0" t="s">
        <v>319</v>
      </c>
      <c r="AA121" s="0" t="s">
        <v>292</v>
      </c>
      <c r="AH121" s="0" t="s">
        <v>180</v>
      </c>
      <c r="AJ121" s="0" t="s">
        <v>437</v>
      </c>
      <c r="AY121" s="0" t="s">
        <v>108</v>
      </c>
      <c r="BD121" s="0" t="s">
        <v>113</v>
      </c>
    </row>
    <row r="122">
      <c r="B122" s="0" t="s">
        <v>580</v>
      </c>
      <c r="C122" s="1" t="n">
        <v>353984</v>
      </c>
      <c r="E122" s="14" t="s">
        <v>584</v>
      </c>
      <c r="F122" s="14" t="s">
        <v>184</v>
      </c>
      <c r="G122" s="25" t="str">
        <f>HYPERLINK("http://vk.com/wall-145633574_407406?reply=411200&amp;thread=407410")</f>
      </c>
      <c r="H122" s="14" t="s">
        <v>170</v>
      </c>
      <c r="I122" s="14" t="s">
        <v>231</v>
      </c>
      <c r="J122" s="14" t="s">
        <v>585</v>
      </c>
      <c r="K122" s="26" t="str">
        <f>HYPERLINK("http://vk.com/id185073042")</f>
      </c>
      <c r="L122" s="14" t="s">
        <v>173</v>
      </c>
      <c r="M122" s="14" t="s">
        <v>586</v>
      </c>
      <c r="N122" s="25" t="str">
        <f>HYPERLINK("http://vk.com/club145633574")</f>
      </c>
      <c r="O122" s="1" t="s">
        <v>186</v>
      </c>
      <c r="P122" s="1" t="n">
        <v>27</v>
      </c>
      <c r="Q122" s="1" t="n">
        <v>65614</v>
      </c>
      <c r="R122" s="1" t="n">
        <v>0</v>
      </c>
      <c r="S122" s="1"/>
      <c r="T122" s="1" t="n">
        <v>0</v>
      </c>
      <c r="U122" s="1" t="n">
        <v>0</v>
      </c>
      <c r="V122" s="1" t="n">
        <v>0</v>
      </c>
      <c r="W122" s="1"/>
      <c r="Y122" s="1" t="n">
        <v>1</v>
      </c>
      <c r="Z122" s="0" t="s">
        <v>319</v>
      </c>
      <c r="AA122" s="0" t="s">
        <v>187</v>
      </c>
      <c r="AC122" s="0" t="s">
        <v>177</v>
      </c>
      <c r="AH122" s="0" t="s">
        <v>180</v>
      </c>
      <c r="AI122" s="0" t="s">
        <v>92</v>
      </c>
      <c r="AJ122" s="0" t="s">
        <v>437</v>
      </c>
      <c r="AK122" s="0" t="s">
        <v>94</v>
      </c>
      <c r="AP122" s="0" t="s">
        <v>99</v>
      </c>
      <c r="AR122" s="0" t="s">
        <v>101</v>
      </c>
      <c r="AT122" s="0" t="s">
        <v>103</v>
      </c>
    </row>
    <row r="123">
      <c r="B123" s="0" t="s">
        <v>587</v>
      </c>
      <c r="C123" s="1" t="n">
        <v>353973</v>
      </c>
      <c r="E123" s="14" t="s">
        <v>588</v>
      </c>
      <c r="F123" s="14" t="s">
        <v>184</v>
      </c>
      <c r="G123" s="25" t="str">
        <f>HYPERLINK("http://vk.com/wall-158393246_1356109?reply=1356402")</f>
      </c>
      <c r="H123" s="14" t="s">
        <v>170</v>
      </c>
      <c r="I123" s="14" t="s">
        <v>231</v>
      </c>
      <c r="J123" s="14" t="s">
        <v>589</v>
      </c>
      <c r="K123" s="26" t="str">
        <f>HYPERLINK("http://vk.com/id38189065")</f>
      </c>
      <c r="L123" s="14" t="s">
        <v>173</v>
      </c>
      <c r="M123" s="14" t="s">
        <v>590</v>
      </c>
      <c r="N123" s="25" t="str">
        <f>HYPERLINK("http://vk.com/club158393246")</f>
      </c>
      <c r="O123" s="1" t="s">
        <v>186</v>
      </c>
      <c r="P123" s="1" t="n">
        <v>30</v>
      </c>
      <c r="Q123" s="1" t="n">
        <v>16513</v>
      </c>
      <c r="R123" s="1" t="n">
        <v>0</v>
      </c>
      <c r="S123" s="1"/>
      <c r="T123" s="1" t="n">
        <v>0</v>
      </c>
      <c r="U123" s="1" t="n">
        <v>0</v>
      </c>
      <c r="V123" s="1" t="n">
        <v>0</v>
      </c>
      <c r="W123" s="1"/>
      <c r="Y123" s="1" t="n">
        <v>1</v>
      </c>
      <c r="Z123" s="0" t="s">
        <v>175</v>
      </c>
      <c r="AA123" s="0" t="s">
        <v>187</v>
      </c>
      <c r="AC123" s="0" t="s">
        <v>177</v>
      </c>
      <c r="AH123" s="0" t="s">
        <v>180</v>
      </c>
      <c r="AJ123" s="0" t="s">
        <v>437</v>
      </c>
      <c r="AK123" s="0" t="s">
        <v>94</v>
      </c>
      <c r="AN123" s="0" t="s">
        <v>97</v>
      </c>
      <c r="AP123" s="0" t="s">
        <v>99</v>
      </c>
      <c r="AT123" s="0" t="s">
        <v>103</v>
      </c>
      <c r="AW123" s="0" t="s">
        <v>106</v>
      </c>
      <c r="BB123" s="0" t="s">
        <v>111</v>
      </c>
      <c r="BC123" s="0" t="s">
        <v>112</v>
      </c>
    </row>
    <row r="124">
      <c r="B124" s="0" t="s">
        <v>587</v>
      </c>
      <c r="C124" s="1" t="n">
        <v>353968</v>
      </c>
      <c r="E124" s="14" t="s">
        <v>591</v>
      </c>
      <c r="F124" s="14" t="s">
        <v>184</v>
      </c>
      <c r="G124" s="25" t="str">
        <f>HYPERLINK("http://vk.com/wall-150079080_234058?reply=241987")</f>
      </c>
      <c r="H124" s="14" t="s">
        <v>170</v>
      </c>
      <c r="I124" s="14" t="s">
        <v>231</v>
      </c>
      <c r="J124" s="14" t="s">
        <v>582</v>
      </c>
      <c r="K124" s="26" t="str">
        <f>HYPERLINK("http://vk.com/id793508038")</f>
      </c>
      <c r="L124" s="14" t="s">
        <v>173</v>
      </c>
      <c r="M124" s="14" t="s">
        <v>592</v>
      </c>
      <c r="N124" s="25" t="str">
        <f>HYPERLINK("http://vk.com/club150079080")</f>
      </c>
      <c r="O124" s="1" t="s">
        <v>186</v>
      </c>
      <c r="P124" s="1"/>
      <c r="Q124" s="1" t="n">
        <v>30754</v>
      </c>
      <c r="R124" s="1" t="n">
        <v>0</v>
      </c>
      <c r="S124" s="1"/>
      <c r="T124" s="1" t="n">
        <v>0</v>
      </c>
      <c r="U124" s="1" t="n">
        <v>0</v>
      </c>
      <c r="V124" s="1" t="n">
        <v>0</v>
      </c>
      <c r="W124" s="1"/>
      <c r="Y124" s="1" t="n">
        <v>1</v>
      </c>
      <c r="Z124" s="0" t="s">
        <v>319</v>
      </c>
      <c r="AA124" s="0" t="s">
        <v>292</v>
      </c>
      <c r="AH124" s="0" t="s">
        <v>180</v>
      </c>
      <c r="AI124" s="0" t="s">
        <v>92</v>
      </c>
      <c r="AJ124" s="0" t="s">
        <v>437</v>
      </c>
      <c r="AY124" s="0" t="s">
        <v>108</v>
      </c>
      <c r="BD124" s="0" t="s">
        <v>113</v>
      </c>
    </row>
    <row r="125" ht="1164.75">
      <c r="B125" s="0" t="s">
        <v>593</v>
      </c>
      <c r="C125" s="1" t="n">
        <v>353979</v>
      </c>
      <c r="E125" s="14" t="s">
        <v>269</v>
      </c>
      <c r="F125" s="14" t="s">
        <v>184</v>
      </c>
      <c r="G125" s="25" t="str">
        <f>HYPERLINK("http://vk.com/wall171040136_3261")</f>
      </c>
      <c r="H125" s="14" t="s">
        <v>170</v>
      </c>
      <c r="I125" s="14" t="s">
        <v>171</v>
      </c>
      <c r="J125" s="14" t="s">
        <v>594</v>
      </c>
      <c r="K125" s="26" t="str">
        <f>HYPERLINK("http://vk.com/id171040136")</f>
      </c>
      <c r="L125" s="14" t="s">
        <v>173</v>
      </c>
      <c r="O125" s="1" t="s">
        <v>186</v>
      </c>
      <c r="P125" s="1"/>
      <c r="Q125" s="1" t="n">
        <v>112</v>
      </c>
      <c r="R125" s="1" t="n">
        <v>0</v>
      </c>
      <c r="S125" s="1"/>
      <c r="T125" s="1" t="n">
        <v>0</v>
      </c>
      <c r="U125" s="1" t="n">
        <v>0</v>
      </c>
      <c r="V125" s="1" t="n">
        <v>0</v>
      </c>
      <c r="W125" s="1"/>
      <c r="Y125" s="1" t="n">
        <v>24</v>
      </c>
      <c r="Z125" s="0" t="s">
        <v>175</v>
      </c>
      <c r="AA125" s="0" t="s">
        <v>187</v>
      </c>
      <c r="AC125" s="0" t="s">
        <v>177</v>
      </c>
      <c r="AD125" s="0" t="s">
        <v>470</v>
      </c>
      <c r="AE125" s="0" t="s">
        <v>471</v>
      </c>
      <c r="AH125" s="0" t="s">
        <v>180</v>
      </c>
      <c r="AJ125" s="0" t="s">
        <v>437</v>
      </c>
      <c r="AK125" s="0" t="s">
        <v>94</v>
      </c>
      <c r="AM125" s="0" t="s">
        <v>96</v>
      </c>
      <c r="AP125" s="0" t="s">
        <v>99</v>
      </c>
      <c r="AX125" s="0" t="s">
        <v>107</v>
      </c>
    </row>
    <row r="126">
      <c r="B126" s="0" t="s">
        <v>595</v>
      </c>
      <c r="C126" s="1" t="n">
        <v>353981</v>
      </c>
      <c r="E126" s="14" t="s">
        <v>596</v>
      </c>
      <c r="F126" s="14" t="s">
        <v>184</v>
      </c>
      <c r="G126" s="25" t="str">
        <f>HYPERLINK("http://vk.com/wall-197412679_201645?reply=202221")</f>
      </c>
      <c r="H126" s="14" t="s">
        <v>170</v>
      </c>
      <c r="I126" s="14" t="s">
        <v>231</v>
      </c>
      <c r="J126" s="14" t="s">
        <v>582</v>
      </c>
      <c r="K126" s="26" t="str">
        <f>HYPERLINK("http://vk.com/id793508038")</f>
      </c>
      <c r="L126" s="14" t="s">
        <v>173</v>
      </c>
      <c r="M126" s="14" t="s">
        <v>597</v>
      </c>
      <c r="N126" s="25" t="str">
        <f>HYPERLINK("http://vk.com/club197412679")</f>
      </c>
      <c r="O126" s="1" t="s">
        <v>186</v>
      </c>
      <c r="P126" s="1"/>
      <c r="Q126" s="1" t="n">
        <v>720532</v>
      </c>
      <c r="R126" s="1" t="n">
        <v>0</v>
      </c>
      <c r="S126" s="1"/>
      <c r="T126" s="1" t="n">
        <v>0</v>
      </c>
      <c r="U126" s="1" t="n">
        <v>0</v>
      </c>
      <c r="V126" s="1" t="n">
        <v>0</v>
      </c>
      <c r="W126" s="1"/>
      <c r="Y126" s="1" t="n">
        <v>1</v>
      </c>
      <c r="Z126" s="0" t="s">
        <v>319</v>
      </c>
      <c r="AA126" s="0" t="s">
        <v>292</v>
      </c>
      <c r="AH126" s="0" t="s">
        <v>180</v>
      </c>
      <c r="AI126" s="0" t="s">
        <v>92</v>
      </c>
      <c r="AJ126" s="0" t="s">
        <v>437</v>
      </c>
      <c r="AY126" s="0" t="s">
        <v>108</v>
      </c>
      <c r="BD126" s="0" t="s">
        <v>113</v>
      </c>
    </row>
    <row r="127">
      <c r="B127" s="0" t="s">
        <v>598</v>
      </c>
      <c r="C127" s="1" t="n">
        <v>353988</v>
      </c>
      <c r="E127" s="14" t="s">
        <v>599</v>
      </c>
      <c r="F127" s="14" t="s">
        <v>184</v>
      </c>
      <c r="G127" s="25" t="str">
        <f>HYPERLINK("http://vk.com/wall-36274616_8349893?reply=8352411")</f>
      </c>
      <c r="H127" s="14" t="s">
        <v>170</v>
      </c>
      <c r="I127" s="14" t="s">
        <v>231</v>
      </c>
      <c r="J127" s="14" t="s">
        <v>582</v>
      </c>
      <c r="K127" s="26" t="str">
        <f>HYPERLINK("http://vk.com/id793508038")</f>
      </c>
      <c r="L127" s="14" t="s">
        <v>173</v>
      </c>
      <c r="M127" s="14" t="s">
        <v>600</v>
      </c>
      <c r="N127" s="25" t="str">
        <f>HYPERLINK("http://vk.com/club36274616")</f>
      </c>
      <c r="O127" s="1" t="s">
        <v>186</v>
      </c>
      <c r="P127" s="1"/>
      <c r="Q127" s="1" t="n">
        <v>46338</v>
      </c>
      <c r="R127" s="1" t="n">
        <v>0</v>
      </c>
      <c r="S127" s="1"/>
      <c r="T127" s="1" t="n">
        <v>0</v>
      </c>
      <c r="U127" s="1" t="n">
        <v>0</v>
      </c>
      <c r="V127" s="1" t="n">
        <v>0</v>
      </c>
      <c r="W127" s="1"/>
      <c r="Y127" s="1" t="n">
        <v>1</v>
      </c>
      <c r="Z127" s="0" t="s">
        <v>319</v>
      </c>
      <c r="AA127" s="0" t="s">
        <v>292</v>
      </c>
      <c r="AH127" s="0" t="s">
        <v>180</v>
      </c>
      <c r="AI127" s="0" t="s">
        <v>92</v>
      </c>
      <c r="AJ127" s="0" t="s">
        <v>437</v>
      </c>
      <c r="AY127" s="0" t="s">
        <v>108</v>
      </c>
      <c r="BD127" s="0" t="s">
        <v>113</v>
      </c>
    </row>
    <row r="128">
      <c r="B128" s="0" t="s">
        <v>601</v>
      </c>
      <c r="C128" s="1" t="n">
        <v>353980</v>
      </c>
      <c r="E128" s="14" t="s">
        <v>602</v>
      </c>
      <c r="F128" s="14" t="s">
        <v>184</v>
      </c>
      <c r="G128" s="25" t="str">
        <f>HYPERLINK("http://vk.com/wall-17577887_8007466?reply=8008643&amp;thread=8007515")</f>
      </c>
      <c r="H128" s="14" t="s">
        <v>170</v>
      </c>
      <c r="I128" s="14" t="s">
        <v>231</v>
      </c>
      <c r="J128" s="14" t="s">
        <v>541</v>
      </c>
      <c r="K128" s="26" t="str">
        <f>HYPERLINK("http://vk.com/id611721829")</f>
      </c>
      <c r="L128" s="14" t="s">
        <v>173</v>
      </c>
      <c r="M128" s="14" t="s">
        <v>603</v>
      </c>
      <c r="N128" s="25" t="str">
        <f>HYPERLINK("http://vk.com/club17577887")</f>
      </c>
      <c r="O128" s="1" t="s">
        <v>186</v>
      </c>
      <c r="P128" s="1" t="n">
        <v>15</v>
      </c>
      <c r="Q128" s="1" t="n">
        <v>66550</v>
      </c>
      <c r="R128" s="1" t="n">
        <v>0</v>
      </c>
      <c r="S128" s="1"/>
      <c r="T128" s="1" t="n">
        <v>0</v>
      </c>
      <c r="U128" s="1" t="n">
        <v>0</v>
      </c>
      <c r="V128" s="1" t="n">
        <v>0</v>
      </c>
      <c r="W128" s="1"/>
      <c r="Y128" s="1" t="n">
        <v>1</v>
      </c>
      <c r="Z128" s="0" t="s">
        <v>319</v>
      </c>
      <c r="AA128" s="0" t="s">
        <v>292</v>
      </c>
      <c r="AC128" s="0" t="s">
        <v>177</v>
      </c>
      <c r="AD128" s="0" t="s">
        <v>604</v>
      </c>
      <c r="AE128" s="0" t="s">
        <v>605</v>
      </c>
      <c r="AH128" s="0" t="s">
        <v>180</v>
      </c>
      <c r="AI128" s="0" t="s">
        <v>92</v>
      </c>
      <c r="AJ128" s="0" t="s">
        <v>437</v>
      </c>
      <c r="AK128" s="0" t="s">
        <v>94</v>
      </c>
      <c r="AX128" s="0" t="s">
        <v>107</v>
      </c>
      <c r="AY128" s="0" t="s">
        <v>108</v>
      </c>
      <c r="BD128" s="0" t="s">
        <v>113</v>
      </c>
    </row>
    <row r="129">
      <c r="B129" s="0" t="s">
        <v>606</v>
      </c>
      <c r="C129" s="1" t="n">
        <v>353978</v>
      </c>
      <c r="E129" s="14" t="s">
        <v>607</v>
      </c>
      <c r="F129" s="14" t="s">
        <v>184</v>
      </c>
      <c r="G129" s="25" t="str">
        <f>HYPERLINK("http://vk.com/wall-5692810_6324299?reply=6325948")</f>
      </c>
      <c r="H129" s="14" t="s">
        <v>170</v>
      </c>
      <c r="I129" s="14" t="s">
        <v>231</v>
      </c>
      <c r="J129" s="14" t="s">
        <v>582</v>
      </c>
      <c r="K129" s="26" t="str">
        <f>HYPERLINK("http://vk.com/id793508038")</f>
      </c>
      <c r="L129" s="14" t="s">
        <v>173</v>
      </c>
      <c r="M129" s="14" t="s">
        <v>608</v>
      </c>
      <c r="N129" s="25" t="str">
        <f>HYPERLINK("http://vk.com/club5692810")</f>
      </c>
      <c r="O129" s="1" t="s">
        <v>186</v>
      </c>
      <c r="P129" s="1"/>
      <c r="Q129" s="1" t="n">
        <v>31167</v>
      </c>
      <c r="R129" s="1" t="n">
        <v>0</v>
      </c>
      <c r="S129" s="1"/>
      <c r="T129" s="1" t="n">
        <v>0</v>
      </c>
      <c r="U129" s="1" t="n">
        <v>0</v>
      </c>
      <c r="V129" s="1" t="n">
        <v>0</v>
      </c>
      <c r="W129" s="1"/>
      <c r="Y129" s="1" t="n">
        <v>1</v>
      </c>
      <c r="Z129" s="0" t="s">
        <v>319</v>
      </c>
      <c r="AA129" s="0" t="s">
        <v>292</v>
      </c>
      <c r="AH129" s="0" t="s">
        <v>180</v>
      </c>
      <c r="AI129" s="0" t="s">
        <v>92</v>
      </c>
      <c r="AJ129" s="0" t="s">
        <v>437</v>
      </c>
      <c r="AY129" s="0" t="s">
        <v>108</v>
      </c>
      <c r="BD129" s="0" t="s">
        <v>113</v>
      </c>
    </row>
    <row r="130">
      <c r="B130" s="0" t="s">
        <v>609</v>
      </c>
      <c r="C130" s="1" t="n">
        <v>353938</v>
      </c>
      <c r="E130" s="14" t="s">
        <v>610</v>
      </c>
      <c r="F130" s="14" t="s">
        <v>184</v>
      </c>
      <c r="G130" s="25" t="str">
        <f>HYPERLINK("http://vk.com/wall-84748510_23343?reply=23434&amp;thread=23387")</f>
      </c>
      <c r="H130" s="14" t="s">
        <v>170</v>
      </c>
      <c r="I130" s="14" t="s">
        <v>231</v>
      </c>
      <c r="J130" s="14" t="s">
        <v>611</v>
      </c>
      <c r="K130" s="26" t="str">
        <f>HYPERLINK("http://vk.com/id793760878")</f>
      </c>
      <c r="L130" s="14" t="s">
        <v>173</v>
      </c>
      <c r="M130" s="14" t="s">
        <v>612</v>
      </c>
      <c r="N130" s="25" t="str">
        <f>HYPERLINK("http://vk.com/club84748510")</f>
      </c>
      <c r="O130" s="1" t="s">
        <v>186</v>
      </c>
      <c r="P130" s="1" t="n">
        <v>25</v>
      </c>
      <c r="Q130" s="1" t="n">
        <v>7808</v>
      </c>
      <c r="R130" s="1" t="n">
        <v>0</v>
      </c>
      <c r="S130" s="1"/>
      <c r="T130" s="1" t="n">
        <v>0</v>
      </c>
      <c r="U130" s="1" t="n">
        <v>0</v>
      </c>
      <c r="V130" s="1" t="n">
        <v>0</v>
      </c>
      <c r="W130" s="1"/>
      <c r="Y130" s="1" t="n">
        <v>1</v>
      </c>
      <c r="Z130" s="0" t="s">
        <v>319</v>
      </c>
      <c r="AA130" s="0" t="s">
        <v>292</v>
      </c>
      <c r="AH130" s="0" t="s">
        <v>180</v>
      </c>
      <c r="AI130" s="0" t="s">
        <v>92</v>
      </c>
      <c r="AJ130" s="0" t="s">
        <v>437</v>
      </c>
      <c r="AK130" s="0" t="s">
        <v>94</v>
      </c>
      <c r="AR130" s="0" t="s">
        <v>101</v>
      </c>
      <c r="AY130" s="0" t="s">
        <v>108</v>
      </c>
      <c r="BP130" s="0" t="s">
        <v>125</v>
      </c>
    </row>
    <row r="131" ht="1680.75">
      <c r="B131" s="0" t="s">
        <v>613</v>
      </c>
      <c r="C131" s="1" t="n">
        <v>354134</v>
      </c>
      <c r="E131" s="14" t="s">
        <v>614</v>
      </c>
      <c r="F131" s="14" t="s">
        <v>192</v>
      </c>
      <c r="G131" s="25" t="str">
        <f>HYPERLINK("https://telegram.me/Dorixona_Dorihona/581105")</f>
      </c>
      <c r="H131" s="14" t="s">
        <v>193</v>
      </c>
      <c r="I131" s="14" t="s">
        <v>194</v>
      </c>
      <c r="J131" s="14" t="s">
        <v>615</v>
      </c>
      <c r="K131" s="26" t="str">
        <f>HYPERLINK("https://telegram.me/")</f>
      </c>
      <c r="L131" s="14" t="s">
        <v>173</v>
      </c>
      <c r="M131" s="14" t="s">
        <v>616</v>
      </c>
      <c r="N131" s="25" t="str">
        <f>HYPERLINK("https://telegram.me/Dorixona_Dorihona")</f>
      </c>
      <c r="O131" s="1"/>
      <c r="P131" s="1"/>
      <c r="Q131" s="1" t="n">
        <v>7897</v>
      </c>
      <c r="R131" s="1" t="n">
        <v>0</v>
      </c>
      <c r="S131" s="1"/>
      <c r="T131" s="1" t="n">
        <v>0</v>
      </c>
      <c r="U131" s="1" t="n">
        <v>0</v>
      </c>
      <c r="V131" s="1" t="n">
        <v>0</v>
      </c>
      <c r="W131" s="1"/>
      <c r="Y131" s="1" t="n">
        <v>1</v>
      </c>
      <c r="Z131" s="0" t="s">
        <v>175</v>
      </c>
      <c r="AA131" s="0" t="s">
        <v>187</v>
      </c>
      <c r="AH131" s="0" t="s">
        <v>180</v>
      </c>
      <c r="AJ131" s="0" t="s">
        <v>181</v>
      </c>
      <c r="AK131" s="0" t="s">
        <v>94</v>
      </c>
      <c r="AN131" s="0" t="s">
        <v>97</v>
      </c>
      <c r="AV131" s="0" t="s">
        <v>105</v>
      </c>
    </row>
    <row r="132">
      <c r="B132" s="0" t="s">
        <v>617</v>
      </c>
      <c r="C132" s="1" t="n">
        <v>353945</v>
      </c>
      <c r="E132" s="14" t="s">
        <v>618</v>
      </c>
      <c r="F132" s="14" t="s">
        <v>184</v>
      </c>
      <c r="G132" s="25" t="str">
        <f>HYPERLINK("http://vk.com/wall-86024718_2018897?reply=2018903")</f>
      </c>
      <c r="H132" s="14" t="s">
        <v>170</v>
      </c>
      <c r="I132" s="14" t="s">
        <v>231</v>
      </c>
      <c r="J132" s="14" t="s">
        <v>619</v>
      </c>
      <c r="K132" s="26" t="str">
        <f>HYPERLINK("http://vk.com/id29759590")</f>
      </c>
      <c r="L132" s="14" t="s">
        <v>173</v>
      </c>
      <c r="M132" s="14" t="s">
        <v>450</v>
      </c>
      <c r="N132" s="25" t="str">
        <f>HYPERLINK("http://vk.com/club86024718")</f>
      </c>
      <c r="O132" s="1" t="s">
        <v>186</v>
      </c>
      <c r="P132" s="1" t="n">
        <v>39</v>
      </c>
      <c r="Q132" s="1" t="n">
        <v>30349</v>
      </c>
      <c r="R132" s="1" t="n">
        <v>0</v>
      </c>
      <c r="S132" s="1"/>
      <c r="T132" s="1" t="n">
        <v>0</v>
      </c>
      <c r="U132" s="1" t="n">
        <v>0</v>
      </c>
      <c r="V132" s="1" t="n">
        <v>0</v>
      </c>
      <c r="W132" s="1"/>
      <c r="Y132" s="1" t="n">
        <v>1</v>
      </c>
      <c r="Z132" s="0" t="s">
        <v>463</v>
      </c>
      <c r="AA132" s="0" t="s">
        <v>187</v>
      </c>
      <c r="AC132" s="0" t="s">
        <v>177</v>
      </c>
      <c r="AD132" s="0" t="s">
        <v>341</v>
      </c>
      <c r="AE132" s="0" t="s">
        <v>451</v>
      </c>
      <c r="AH132" s="0" t="s">
        <v>180</v>
      </c>
      <c r="AJ132" s="0" t="s">
        <v>437</v>
      </c>
      <c r="AK132" s="0" t="s">
        <v>94</v>
      </c>
      <c r="AN132" s="0" t="s">
        <v>97</v>
      </c>
      <c r="AP132" s="0" t="s">
        <v>99</v>
      </c>
      <c r="AR132" s="0" t="s">
        <v>101</v>
      </c>
      <c r="AT132" s="0" t="s">
        <v>103</v>
      </c>
      <c r="CM132" s="0" t="s">
        <v>148</v>
      </c>
    </row>
    <row r="133">
      <c r="B133" s="0" t="s">
        <v>620</v>
      </c>
      <c r="C133" s="1" t="n">
        <v>353921</v>
      </c>
      <c r="E133" s="14" t="s">
        <v>621</v>
      </c>
      <c r="F133" s="14" t="s">
        <v>192</v>
      </c>
      <c r="G133" s="25" t="str">
        <f>HYPERLINK("https://telegram.me/domodedovomoms/39800")</f>
      </c>
      <c r="H133" s="14" t="s">
        <v>193</v>
      </c>
      <c r="I133" s="14" t="s">
        <v>194</v>
      </c>
      <c r="J133" s="14" t="s">
        <v>622</v>
      </c>
      <c r="K133" s="26" t="str">
        <f>HYPERLINK("https://telegram.me/")</f>
      </c>
      <c r="L133" s="14" t="s">
        <v>173</v>
      </c>
      <c r="M133" s="14" t="s">
        <v>623</v>
      </c>
      <c r="N133" s="25" t="str">
        <f>HYPERLINK("https://telegram.me/domodedovomoms")</f>
      </c>
      <c r="O133" s="1"/>
      <c r="P133" s="1"/>
      <c r="Q133" s="1" t="n">
        <v>2006</v>
      </c>
      <c r="R133" s="1" t="n">
        <v>0</v>
      </c>
      <c r="S133" s="1"/>
      <c r="T133" s="1" t="n">
        <v>0</v>
      </c>
      <c r="U133" s="1" t="n">
        <v>0</v>
      </c>
      <c r="V133" s="1" t="n">
        <v>0</v>
      </c>
      <c r="W133" s="1"/>
      <c r="Y133" s="1" t="n">
        <v>1</v>
      </c>
      <c r="Z133" s="0" t="s">
        <v>319</v>
      </c>
      <c r="AA133" s="0" t="s">
        <v>187</v>
      </c>
      <c r="AH133" s="0" t="s">
        <v>180</v>
      </c>
      <c r="AJ133" s="0" t="s">
        <v>437</v>
      </c>
      <c r="AK133" s="0" t="s">
        <v>94</v>
      </c>
      <c r="AP133" s="0" t="s">
        <v>99</v>
      </c>
      <c r="AT133" s="0" t="s">
        <v>103</v>
      </c>
      <c r="AU133" s="0" t="s">
        <v>104</v>
      </c>
      <c r="BG133" s="0" t="s">
        <v>116</v>
      </c>
    </row>
    <row r="134">
      <c r="B134" s="0" t="s">
        <v>620</v>
      </c>
      <c r="C134" s="1" t="n">
        <v>353951</v>
      </c>
      <c r="E134" s="14" t="s">
        <v>624</v>
      </c>
      <c r="F134" s="14" t="s">
        <v>184</v>
      </c>
      <c r="G134" s="25" t="str">
        <f>HYPERLINK("http://vk.com/wall-110697191_622099?reply=622809&amp;thread=622103")</f>
      </c>
      <c r="H134" s="14" t="s">
        <v>170</v>
      </c>
      <c r="I134" s="14" t="s">
        <v>231</v>
      </c>
      <c r="J134" s="14" t="s">
        <v>625</v>
      </c>
      <c r="K134" s="26" t="str">
        <f>HYPERLINK("http://vk.com/id390532848")</f>
      </c>
      <c r="L134" s="14" t="s">
        <v>173</v>
      </c>
      <c r="M134" s="14" t="s">
        <v>626</v>
      </c>
      <c r="N134" s="25" t="str">
        <f>HYPERLINK("http://vk.com/club110697191")</f>
      </c>
      <c r="O134" s="1" t="s">
        <v>186</v>
      </c>
      <c r="P134" s="1" t="n">
        <v>33</v>
      </c>
      <c r="Q134" s="1" t="n">
        <v>33088</v>
      </c>
      <c r="R134" s="1" t="n">
        <v>0</v>
      </c>
      <c r="S134" s="1"/>
      <c r="T134" s="1" t="n">
        <v>0</v>
      </c>
      <c r="U134" s="1" t="n">
        <v>0</v>
      </c>
      <c r="V134" s="1" t="n">
        <v>0</v>
      </c>
      <c r="W134" s="1"/>
      <c r="Y134" s="1" t="n">
        <v>1</v>
      </c>
      <c r="Z134" s="0" t="s">
        <v>319</v>
      </c>
      <c r="AA134" s="0" t="s">
        <v>187</v>
      </c>
      <c r="AC134" s="0" t="s">
        <v>177</v>
      </c>
      <c r="AH134" s="0" t="s">
        <v>180</v>
      </c>
      <c r="AI134" s="0" t="s">
        <v>92</v>
      </c>
      <c r="AJ134" s="0" t="s">
        <v>437</v>
      </c>
      <c r="AK134" s="0" t="s">
        <v>94</v>
      </c>
      <c r="AN134" s="0" t="s">
        <v>97</v>
      </c>
      <c r="AP134" s="0" t="s">
        <v>99</v>
      </c>
      <c r="AT134" s="0" t="s">
        <v>103</v>
      </c>
      <c r="AW134" s="0" t="s">
        <v>106</v>
      </c>
      <c r="BF134" s="0" t="s">
        <v>115</v>
      </c>
    </row>
    <row r="135">
      <c r="B135" s="0" t="s">
        <v>627</v>
      </c>
      <c r="C135" s="1" t="n">
        <v>353963</v>
      </c>
      <c r="E135" s="14" t="s">
        <v>628</v>
      </c>
      <c r="F135" s="14" t="s">
        <v>281</v>
      </c>
      <c r="G135" s="25" t="str">
        <f>HYPERLINK("http://twitter.com/Vadim777K/status/1646825210623016960")</f>
      </c>
      <c r="H135" s="14" t="s">
        <v>282</v>
      </c>
      <c r="I135" s="14" t="s">
        <v>231</v>
      </c>
      <c r="J135" s="14" t="s">
        <v>629</v>
      </c>
      <c r="K135" s="26" t="str">
        <f>HYPERLINK("http://twitter.com/Vadim777K")</f>
      </c>
      <c r="L135" s="14" t="s">
        <v>173</v>
      </c>
      <c r="M135" s="14" t="s">
        <v>630</v>
      </c>
      <c r="N135" s="25" t="str">
        <f>HYPERLINK("http://twitter.com/vladlar2044")</f>
      </c>
      <c r="O135" s="1" t="s">
        <v>174</v>
      </c>
      <c r="P135" s="1"/>
      <c r="Q135" s="1" t="n">
        <v>3580</v>
      </c>
      <c r="R135" s="1" t="n">
        <v>0</v>
      </c>
      <c r="S135" s="1"/>
      <c r="T135" s="1" t="n">
        <v>0</v>
      </c>
      <c r="U135" s="1" t="n">
        <v>0</v>
      </c>
      <c r="V135" s="1" t="n">
        <v>0</v>
      </c>
      <c r="W135" s="1"/>
      <c r="Y135" s="1" t="n">
        <v>1</v>
      </c>
      <c r="Z135" s="0" t="s">
        <v>175</v>
      </c>
      <c r="AA135" s="0" t="s">
        <v>187</v>
      </c>
      <c r="AC135" s="0" t="s">
        <v>177</v>
      </c>
      <c r="AD135" s="0" t="s">
        <v>332</v>
      </c>
      <c r="AE135" s="0" t="s">
        <v>332</v>
      </c>
      <c r="AH135" s="0" t="s">
        <v>180</v>
      </c>
      <c r="AI135" s="0" t="s">
        <v>92</v>
      </c>
      <c r="AJ135" s="0" t="s">
        <v>437</v>
      </c>
      <c r="AK135" s="0" t="s">
        <v>94</v>
      </c>
      <c r="AP135" s="0" t="s">
        <v>99</v>
      </c>
      <c r="AR135" s="0" t="s">
        <v>101</v>
      </c>
      <c r="AT135" s="0" t="s">
        <v>103</v>
      </c>
    </row>
    <row r="136" ht="24.75">
      <c r="B136" s="0" t="s">
        <v>627</v>
      </c>
      <c r="C136" s="1" t="n">
        <v>353940</v>
      </c>
      <c r="E136" s="14" t="s">
        <v>296</v>
      </c>
      <c r="F136" s="14" t="s">
        <v>184</v>
      </c>
      <c r="G136" s="25" t="str">
        <f>HYPERLINK("http://vk.com/wall657541141_1395")</f>
      </c>
      <c r="H136" s="14" t="s">
        <v>170</v>
      </c>
      <c r="I136" s="14" t="s">
        <v>171</v>
      </c>
      <c r="J136" s="14" t="s">
        <v>631</v>
      </c>
      <c r="K136" s="26" t="str">
        <f>HYPERLINK("http://vk.com/id657541141")</f>
      </c>
      <c r="L136" s="14" t="s">
        <v>173</v>
      </c>
      <c r="O136" s="1" t="s">
        <v>186</v>
      </c>
      <c r="P136" s="1" t="n">
        <v>38</v>
      </c>
      <c r="Q136" s="1" t="n">
        <v>200</v>
      </c>
      <c r="R136" s="1" t="n">
        <v>0</v>
      </c>
      <c r="S136" s="1"/>
      <c r="T136" s="1" t="n">
        <v>0</v>
      </c>
      <c r="U136" s="1" t="n">
        <v>0</v>
      </c>
      <c r="V136" s="1" t="n">
        <v>0</v>
      </c>
      <c r="W136" s="1" t="n">
        <v>1</v>
      </c>
      <c r="Y136" s="1" t="n">
        <v>92</v>
      </c>
      <c r="Z136" s="0" t="s">
        <v>175</v>
      </c>
      <c r="AA136" s="0" t="s">
        <v>187</v>
      </c>
      <c r="AH136" s="0" t="s">
        <v>180</v>
      </c>
      <c r="AJ136" s="0" t="s">
        <v>437</v>
      </c>
      <c r="AK136" s="0" t="s">
        <v>94</v>
      </c>
      <c r="AM136" s="0" t="s">
        <v>96</v>
      </c>
      <c r="AP136" s="0" t="s">
        <v>99</v>
      </c>
      <c r="AU136" s="0" t="s">
        <v>104</v>
      </c>
      <c r="AV136" s="0" t="s">
        <v>105</v>
      </c>
    </row>
    <row r="137" ht="24.75">
      <c r="B137" s="0" t="s">
        <v>632</v>
      </c>
      <c r="C137" s="1" t="n">
        <v>353976</v>
      </c>
      <c r="E137" s="14" t="s">
        <v>633</v>
      </c>
      <c r="F137" s="14" t="s">
        <v>184</v>
      </c>
      <c r="G137" s="25" t="str">
        <f>HYPERLINK("http://vk.com/wall-219938946_20")</f>
      </c>
      <c r="H137" s="14" t="s">
        <v>170</v>
      </c>
      <c r="I137" s="14" t="s">
        <v>194</v>
      </c>
      <c r="J137" s="14" t="s">
        <v>634</v>
      </c>
      <c r="K137" s="26" t="str">
        <f>HYPERLINK("http://vk.com/club219938946")</f>
      </c>
      <c r="L137" s="14" t="s">
        <v>274</v>
      </c>
      <c r="O137" s="1"/>
      <c r="P137" s="1"/>
      <c r="Q137" s="1"/>
      <c r="R137" s="1" t="n">
        <v>0</v>
      </c>
      <c r="S137" s="1"/>
      <c r="T137" s="1" t="n">
        <v>0</v>
      </c>
      <c r="U137" s="1" t="n">
        <v>0</v>
      </c>
      <c r="V137" s="1" t="n">
        <v>0</v>
      </c>
      <c r="W137" s="1" t="n">
        <v>1</v>
      </c>
      <c r="Y137" s="1" t="n">
        <v>3</v>
      </c>
      <c r="Z137" s="0" t="s">
        <v>175</v>
      </c>
      <c r="AA137" s="0" t="s">
        <v>187</v>
      </c>
      <c r="AH137" s="0" t="s">
        <v>180</v>
      </c>
      <c r="AJ137" s="0" t="s">
        <v>437</v>
      </c>
      <c r="AK137" s="0" t="s">
        <v>94</v>
      </c>
      <c r="AM137" s="0" t="s">
        <v>96</v>
      </c>
      <c r="AP137" s="0" t="s">
        <v>99</v>
      </c>
      <c r="AU137" s="0" t="s">
        <v>104</v>
      </c>
      <c r="AV137" s="0" t="s">
        <v>105</v>
      </c>
    </row>
    <row r="138" ht="24.75">
      <c r="B138" s="0" t="s">
        <v>632</v>
      </c>
      <c r="C138" s="1" t="n">
        <v>353977</v>
      </c>
      <c r="E138" s="14" t="s">
        <v>633</v>
      </c>
      <c r="F138" s="14" t="s">
        <v>184</v>
      </c>
      <c r="G138" s="25" t="str">
        <f>HYPERLINK("http://vk.com/wall-219938908_20")</f>
      </c>
      <c r="H138" s="14" t="s">
        <v>170</v>
      </c>
      <c r="I138" s="14" t="s">
        <v>194</v>
      </c>
      <c r="J138" s="14" t="s">
        <v>635</v>
      </c>
      <c r="K138" s="26" t="str">
        <f>HYPERLINK("http://vk.com/club219938908")</f>
      </c>
      <c r="L138" s="14" t="s">
        <v>274</v>
      </c>
      <c r="O138" s="1"/>
      <c r="P138" s="1"/>
      <c r="Q138" s="1"/>
      <c r="R138" s="1" t="n">
        <v>0</v>
      </c>
      <c r="S138" s="1"/>
      <c r="T138" s="1" t="n">
        <v>0</v>
      </c>
      <c r="U138" s="1" t="n">
        <v>0</v>
      </c>
      <c r="V138" s="1" t="n">
        <v>0</v>
      </c>
      <c r="W138" s="1"/>
      <c r="Y138" s="1" t="n">
        <v>3</v>
      </c>
      <c r="Z138" s="0" t="s">
        <v>175</v>
      </c>
      <c r="AA138" s="0" t="s">
        <v>187</v>
      </c>
      <c r="AH138" s="0" t="s">
        <v>180</v>
      </c>
      <c r="AJ138" s="0" t="s">
        <v>437</v>
      </c>
      <c r="AK138" s="0" t="s">
        <v>94</v>
      </c>
      <c r="AM138" s="0" t="s">
        <v>96</v>
      </c>
      <c r="AP138" s="0" t="s">
        <v>99</v>
      </c>
      <c r="AU138" s="0" t="s">
        <v>104</v>
      </c>
      <c r="AV138" s="0" t="s">
        <v>105</v>
      </c>
    </row>
    <row r="139" ht="24.75">
      <c r="B139" s="0" t="s">
        <v>632</v>
      </c>
      <c r="C139" s="1" t="n">
        <v>353964</v>
      </c>
      <c r="E139" s="14" t="s">
        <v>633</v>
      </c>
      <c r="F139" s="14" t="s">
        <v>184</v>
      </c>
      <c r="G139" s="25" t="str">
        <f>HYPERLINK("http://vk.com/wall-219938856_20")</f>
      </c>
      <c r="H139" s="14" t="s">
        <v>170</v>
      </c>
      <c r="I139" s="14" t="s">
        <v>194</v>
      </c>
      <c r="J139" s="14" t="s">
        <v>636</v>
      </c>
      <c r="K139" s="26" t="str">
        <f>HYPERLINK("http://vk.com/club219938856")</f>
      </c>
      <c r="L139" s="14" t="s">
        <v>274</v>
      </c>
      <c r="O139" s="1"/>
      <c r="P139" s="1"/>
      <c r="Q139" s="1"/>
      <c r="R139" s="1" t="n">
        <v>0</v>
      </c>
      <c r="S139" s="1"/>
      <c r="T139" s="1" t="n">
        <v>0</v>
      </c>
      <c r="U139" s="1" t="n">
        <v>0</v>
      </c>
      <c r="V139" s="1" t="n">
        <v>0</v>
      </c>
      <c r="W139" s="1"/>
      <c r="Y139" s="1" t="n">
        <v>3</v>
      </c>
      <c r="Z139" s="0" t="s">
        <v>175</v>
      </c>
      <c r="AA139" s="0" t="s">
        <v>187</v>
      </c>
      <c r="AH139" s="0" t="s">
        <v>180</v>
      </c>
      <c r="AJ139" s="0" t="s">
        <v>437</v>
      </c>
      <c r="AK139" s="0" t="s">
        <v>94</v>
      </c>
      <c r="AM139" s="0" t="s">
        <v>96</v>
      </c>
      <c r="AP139" s="0" t="s">
        <v>99</v>
      </c>
      <c r="AU139" s="0" t="s">
        <v>104</v>
      </c>
      <c r="AV139" s="0" t="s">
        <v>105</v>
      </c>
    </row>
    <row r="140">
      <c r="B140" s="0" t="s">
        <v>637</v>
      </c>
      <c r="C140" s="1" t="n">
        <v>353939</v>
      </c>
      <c r="E140" s="14" t="s">
        <v>638</v>
      </c>
      <c r="F140" s="14" t="s">
        <v>184</v>
      </c>
      <c r="G140" s="25" t="str">
        <f>HYPERLINK("http://vk.com/wall-9416253_189000?reply=189002")</f>
      </c>
      <c r="H140" s="14" t="s">
        <v>170</v>
      </c>
      <c r="I140" s="14" t="s">
        <v>231</v>
      </c>
      <c r="J140" s="14" t="s">
        <v>639</v>
      </c>
      <c r="K140" s="26" t="str">
        <f>HYPERLINK("http://vk.com/id17624818")</f>
      </c>
      <c r="L140" s="14" t="s">
        <v>173</v>
      </c>
      <c r="M140" s="14" t="s">
        <v>640</v>
      </c>
      <c r="N140" s="25" t="str">
        <f>HYPERLINK("http://vk.com/club9416253")</f>
      </c>
      <c r="O140" s="1" t="s">
        <v>186</v>
      </c>
      <c r="P140" s="1"/>
      <c r="Q140" s="1" t="n">
        <v>30057</v>
      </c>
      <c r="R140" s="1" t="n">
        <v>0</v>
      </c>
      <c r="S140" s="1"/>
      <c r="T140" s="1" t="n">
        <v>0</v>
      </c>
      <c r="U140" s="1" t="n">
        <v>0</v>
      </c>
      <c r="V140" s="1" t="n">
        <v>0</v>
      </c>
      <c r="W140" s="1"/>
      <c r="Y140" s="1" t="n">
        <v>1</v>
      </c>
      <c r="Z140" s="0" t="s">
        <v>175</v>
      </c>
      <c r="AA140" s="0" t="s">
        <v>187</v>
      </c>
      <c r="AC140" s="0" t="s">
        <v>177</v>
      </c>
      <c r="AD140" s="0" t="s">
        <v>341</v>
      </c>
      <c r="AE140" s="0" t="s">
        <v>451</v>
      </c>
      <c r="AH140" s="0" t="s">
        <v>180</v>
      </c>
      <c r="AJ140" s="0" t="s">
        <v>437</v>
      </c>
      <c r="AK140" s="0" t="s">
        <v>94</v>
      </c>
      <c r="AN140" s="0" t="s">
        <v>97</v>
      </c>
      <c r="AP140" s="0" t="s">
        <v>99</v>
      </c>
      <c r="BB140" s="0" t="s">
        <v>111</v>
      </c>
      <c r="BN140" s="0" t="s">
        <v>123</v>
      </c>
      <c r="BQ140" s="0" t="s">
        <v>126</v>
      </c>
    </row>
    <row r="141">
      <c r="B141" s="0" t="s">
        <v>637</v>
      </c>
      <c r="C141" s="1" t="n">
        <v>353935</v>
      </c>
      <c r="E141" s="14" t="s">
        <v>641</v>
      </c>
      <c r="F141" s="14" t="s">
        <v>184</v>
      </c>
      <c r="G141" s="25" t="str">
        <f>HYPERLINK("http://vk.com/wall-187579258_47029?reply=47788")</f>
      </c>
      <c r="H141" s="14" t="s">
        <v>170</v>
      </c>
      <c r="I141" s="14" t="s">
        <v>231</v>
      </c>
      <c r="J141" s="14" t="s">
        <v>582</v>
      </c>
      <c r="K141" s="26" t="str">
        <f>HYPERLINK("http://vk.com/id793508038")</f>
      </c>
      <c r="L141" s="14" t="s">
        <v>173</v>
      </c>
      <c r="M141" s="14" t="s">
        <v>642</v>
      </c>
      <c r="N141" s="25" t="str">
        <f>HYPERLINK("http://vk.com/club187579258")</f>
      </c>
      <c r="O141" s="1" t="s">
        <v>186</v>
      </c>
      <c r="P141" s="1"/>
      <c r="Q141" s="1" t="n">
        <v>10346</v>
      </c>
      <c r="R141" s="1" t="n">
        <v>0</v>
      </c>
      <c r="S141" s="1"/>
      <c r="T141" s="1" t="n">
        <v>0</v>
      </c>
      <c r="U141" s="1" t="n">
        <v>0</v>
      </c>
      <c r="V141" s="1" t="n">
        <v>0</v>
      </c>
      <c r="W141" s="1"/>
      <c r="Y141" s="1" t="n">
        <v>1</v>
      </c>
      <c r="Z141" s="0" t="s">
        <v>319</v>
      </c>
      <c r="AA141" s="0" t="s">
        <v>292</v>
      </c>
      <c r="AH141" s="0" t="s">
        <v>180</v>
      </c>
      <c r="AI141" s="0" t="s">
        <v>92</v>
      </c>
      <c r="AJ141" s="0" t="s">
        <v>437</v>
      </c>
      <c r="AY141" s="0" t="s">
        <v>108</v>
      </c>
      <c r="BD141" s="0" t="s">
        <v>113</v>
      </c>
    </row>
    <row r="142" ht="36.75">
      <c r="B142" s="0" t="s">
        <v>643</v>
      </c>
      <c r="C142" s="1" t="n">
        <v>353953</v>
      </c>
      <c r="E142" s="14" t="s">
        <v>202</v>
      </c>
      <c r="F142" s="14" t="s">
        <v>184</v>
      </c>
      <c r="G142" s="25" t="str">
        <f>HYPERLINK("http://vk.com/wall245153990_1679")</f>
      </c>
      <c r="H142" s="14" t="s">
        <v>170</v>
      </c>
      <c r="I142" s="14" t="s">
        <v>171</v>
      </c>
      <c r="J142" s="14" t="s">
        <v>644</v>
      </c>
      <c r="K142" s="26" t="str">
        <f>HYPERLINK("http://vk.com/id245153990")</f>
      </c>
      <c r="L142" s="14" t="s">
        <v>173</v>
      </c>
      <c r="O142" s="1" t="s">
        <v>186</v>
      </c>
      <c r="P142" s="1" t="n">
        <v>61</v>
      </c>
      <c r="Q142" s="1" t="n">
        <v>116</v>
      </c>
      <c r="R142" s="1" t="n">
        <v>0</v>
      </c>
      <c r="S142" s="1"/>
      <c r="T142" s="1" t="n">
        <v>0</v>
      </c>
      <c r="U142" s="1" t="n">
        <v>0</v>
      </c>
      <c r="V142" s="1" t="n">
        <v>0</v>
      </c>
      <c r="W142" s="1"/>
      <c r="Y142" s="1" t="n">
        <v>60</v>
      </c>
      <c r="Z142" s="0" t="s">
        <v>175</v>
      </c>
      <c r="AA142" s="0" t="s">
        <v>176</v>
      </c>
      <c r="AC142" s="0" t="s">
        <v>177</v>
      </c>
      <c r="AD142" s="0" t="s">
        <v>410</v>
      </c>
      <c r="AE142" s="0" t="s">
        <v>645</v>
      </c>
      <c r="AH142" s="0" t="s">
        <v>180</v>
      </c>
      <c r="AJ142" s="0" t="s">
        <v>437</v>
      </c>
      <c r="AK142" s="0" t="s">
        <v>94</v>
      </c>
      <c r="AL142" s="0" t="s">
        <v>95</v>
      </c>
      <c r="AM142" s="0" t="s">
        <v>96</v>
      </c>
      <c r="AO142" s="0" t="s">
        <v>98</v>
      </c>
      <c r="AQ142" s="0" t="s">
        <v>100</v>
      </c>
    </row>
    <row r="143" ht="36.75">
      <c r="B143" s="0" t="s">
        <v>646</v>
      </c>
      <c r="C143" s="1" t="n">
        <v>353936</v>
      </c>
      <c r="E143" s="14" t="s">
        <v>202</v>
      </c>
      <c r="F143" s="14" t="s">
        <v>184</v>
      </c>
      <c r="G143" s="25" t="str">
        <f>HYPERLINK("http://vk.com/wall215096516_9297")</f>
      </c>
      <c r="H143" s="14" t="s">
        <v>170</v>
      </c>
      <c r="I143" s="14" t="s">
        <v>171</v>
      </c>
      <c r="J143" s="14" t="s">
        <v>647</v>
      </c>
      <c r="K143" s="26" t="str">
        <f>HYPERLINK("http://vk.com/id215096516")</f>
      </c>
      <c r="L143" s="14" t="s">
        <v>173</v>
      </c>
      <c r="O143" s="1" t="s">
        <v>186</v>
      </c>
      <c r="P143" s="1"/>
      <c r="Q143" s="1" t="n">
        <v>120</v>
      </c>
      <c r="R143" s="1" t="n">
        <v>0</v>
      </c>
      <c r="S143" s="1"/>
      <c r="T143" s="1" t="n">
        <v>0</v>
      </c>
      <c r="U143" s="1" t="n">
        <v>0</v>
      </c>
      <c r="V143" s="1" t="n">
        <v>0</v>
      </c>
      <c r="W143" s="1"/>
      <c r="Y143" s="1" t="n">
        <v>60</v>
      </c>
      <c r="Z143" s="0" t="s">
        <v>175</v>
      </c>
      <c r="AA143" s="0" t="s">
        <v>176</v>
      </c>
      <c r="AC143" s="0" t="s">
        <v>177</v>
      </c>
      <c r="AD143" s="0" t="s">
        <v>332</v>
      </c>
      <c r="AE143" s="0" t="s">
        <v>332</v>
      </c>
      <c r="AH143" s="0" t="s">
        <v>180</v>
      </c>
      <c r="AJ143" s="0" t="s">
        <v>437</v>
      </c>
      <c r="AK143" s="0" t="s">
        <v>94</v>
      </c>
      <c r="AL143" s="0" t="s">
        <v>95</v>
      </c>
      <c r="AM143" s="0" t="s">
        <v>96</v>
      </c>
      <c r="AO143" s="0" t="s">
        <v>98</v>
      </c>
      <c r="AQ143" s="0" t="s">
        <v>100</v>
      </c>
    </row>
    <row r="144">
      <c r="B144" s="0" t="s">
        <v>648</v>
      </c>
      <c r="C144" s="1" t="n">
        <v>353952</v>
      </c>
      <c r="E144" s="14" t="s">
        <v>649</v>
      </c>
      <c r="F144" s="14" t="s">
        <v>375</v>
      </c>
      <c r="G144" s="25" t="str">
        <f>HYPERLINK("https://www.babyblog.ru/community/living/post/3308287")</f>
      </c>
      <c r="H144" s="14" t="s">
        <v>376</v>
      </c>
      <c r="I144" s="14" t="s">
        <v>231</v>
      </c>
      <c r="J144" s="14" t="s">
        <v>377</v>
      </c>
      <c r="L144" s="14"/>
      <c r="M144" s="14" t="s">
        <v>378</v>
      </c>
      <c r="O144" s="1"/>
      <c r="P144" s="1"/>
      <c r="Q144" s="1"/>
      <c r="R144" s="1" t="n">
        <v>0</v>
      </c>
      <c r="S144" s="1"/>
      <c r="T144" s="1" t="n">
        <v>0</v>
      </c>
      <c r="U144" s="1" t="n">
        <v>0</v>
      </c>
      <c r="V144" s="1" t="n">
        <v>0</v>
      </c>
      <c r="W144" s="1"/>
      <c r="Y144" s="1" t="n">
        <v>1</v>
      </c>
      <c r="Z144" s="0" t="s">
        <v>175</v>
      </c>
      <c r="AA144" s="0" t="s">
        <v>187</v>
      </c>
      <c r="AH144" s="0" t="s">
        <v>180</v>
      </c>
      <c r="AJ144" s="0" t="s">
        <v>437</v>
      </c>
      <c r="AK144" s="0" t="s">
        <v>94</v>
      </c>
      <c r="AN144" s="0" t="s">
        <v>97</v>
      </c>
      <c r="AP144" s="0" t="s">
        <v>99</v>
      </c>
      <c r="AS144" s="0" t="s">
        <v>102</v>
      </c>
      <c r="AT144" s="0" t="s">
        <v>103</v>
      </c>
      <c r="BB144" s="0" t="s">
        <v>111</v>
      </c>
      <c r="BC144" s="0" t="s">
        <v>112</v>
      </c>
      <c r="BI144" s="0" t="s">
        <v>118</v>
      </c>
      <c r="BO144" s="0" t="s">
        <v>124</v>
      </c>
    </row>
    <row r="145" ht="36.75">
      <c r="B145" s="0" t="s">
        <v>648</v>
      </c>
      <c r="C145" s="1" t="n">
        <v>353948</v>
      </c>
      <c r="E145" s="14" t="s">
        <v>202</v>
      </c>
      <c r="F145" s="14" t="s">
        <v>184</v>
      </c>
      <c r="G145" s="25" t="str">
        <f>HYPERLINK("http://vk.com/wall466537657_189629")</f>
      </c>
      <c r="H145" s="14" t="s">
        <v>170</v>
      </c>
      <c r="I145" s="14" t="s">
        <v>171</v>
      </c>
      <c r="J145" s="14" t="s">
        <v>650</v>
      </c>
      <c r="K145" s="26" t="str">
        <f>HYPERLINK("http://vk.com/id466537657")</f>
      </c>
      <c r="L145" s="14" t="s">
        <v>173</v>
      </c>
      <c r="O145" s="1" t="s">
        <v>186</v>
      </c>
      <c r="P145" s="1" t="n">
        <v>66</v>
      </c>
      <c r="Q145" s="1" t="n">
        <v>3149</v>
      </c>
      <c r="R145" s="1" t="n">
        <v>0</v>
      </c>
      <c r="S145" s="1"/>
      <c r="T145" s="1" t="n">
        <v>0</v>
      </c>
      <c r="U145" s="1" t="n">
        <v>0</v>
      </c>
      <c r="V145" s="1" t="n">
        <v>0</v>
      </c>
      <c r="W145" s="1"/>
      <c r="Y145" s="1" t="n">
        <v>60</v>
      </c>
      <c r="Z145" s="0" t="s">
        <v>175</v>
      </c>
      <c r="AA145" s="0" t="s">
        <v>176</v>
      </c>
      <c r="AC145" s="0" t="s">
        <v>177</v>
      </c>
      <c r="AD145" s="0" t="s">
        <v>556</v>
      </c>
      <c r="AE145" s="0" t="s">
        <v>557</v>
      </c>
      <c r="AH145" s="0" t="s">
        <v>180</v>
      </c>
      <c r="AJ145" s="0" t="s">
        <v>437</v>
      </c>
      <c r="AK145" s="0" t="s">
        <v>94</v>
      </c>
      <c r="AL145" s="0" t="s">
        <v>95</v>
      </c>
      <c r="AM145" s="0" t="s">
        <v>96</v>
      </c>
      <c r="AO145" s="0" t="s">
        <v>98</v>
      </c>
      <c r="AQ145" s="0" t="s">
        <v>100</v>
      </c>
    </row>
    <row r="146" ht="24.75">
      <c r="B146" s="0" t="s">
        <v>648</v>
      </c>
      <c r="C146" s="1" t="n">
        <v>354069</v>
      </c>
      <c r="E146" s="14" t="s">
        <v>651</v>
      </c>
      <c r="F146" s="14" t="s">
        <v>169</v>
      </c>
      <c r="G146" s="25" t="str">
        <f>HYPERLINK("http://www.ok.ru/group/62530505015502/topic/156147489027534")</f>
      </c>
      <c r="H146" s="14" t="s">
        <v>170</v>
      </c>
      <c r="I146" s="14" t="s">
        <v>194</v>
      </c>
      <c r="J146" s="14" t="s">
        <v>652</v>
      </c>
      <c r="K146" s="26" t="str">
        <f>HYPERLINK("http://www.ok.ru/group/62530505015502")</f>
      </c>
      <c r="L146" s="14" t="s">
        <v>274</v>
      </c>
      <c r="O146" s="1"/>
      <c r="P146" s="1"/>
      <c r="Q146" s="1" t="n">
        <v>39361</v>
      </c>
      <c r="R146" s="1" t="n">
        <v>0</v>
      </c>
      <c r="S146" s="1"/>
      <c r="T146" s="1" t="n">
        <v>0</v>
      </c>
      <c r="U146" s="1" t="n">
        <v>0</v>
      </c>
      <c r="V146" s="1" t="n">
        <v>0</v>
      </c>
      <c r="W146" s="1"/>
      <c r="Y146" s="1" t="n">
        <v>1</v>
      </c>
      <c r="Z146" s="0" t="s">
        <v>175</v>
      </c>
      <c r="AA146" s="0" t="s">
        <v>176</v>
      </c>
      <c r="AH146" s="0" t="s">
        <v>180</v>
      </c>
      <c r="AJ146" s="0" t="s">
        <v>181</v>
      </c>
      <c r="AN146" s="0" t="s">
        <v>97</v>
      </c>
      <c r="BD146" s="0" t="s">
        <v>113</v>
      </c>
      <c r="BE146" s="0" t="s">
        <v>114</v>
      </c>
      <c r="BL146" s="0" t="s">
        <v>121</v>
      </c>
    </row>
    <row r="147" ht="60.75">
      <c r="B147" s="0" t="s">
        <v>653</v>
      </c>
      <c r="C147" s="1" t="n">
        <v>353926</v>
      </c>
      <c r="E147" s="14" t="s">
        <v>654</v>
      </c>
      <c r="F147" s="14" t="s">
        <v>192</v>
      </c>
      <c r="G147" s="25" t="str">
        <f>HYPERLINK("https://telegram.me/beling_krot/13335")</f>
      </c>
      <c r="H147" s="14" t="s">
        <v>655</v>
      </c>
      <c r="I147" s="14" t="s">
        <v>171</v>
      </c>
      <c r="J147" s="14" t="s">
        <v>656</v>
      </c>
      <c r="K147" s="26" t="str">
        <f>HYPERLINK("https://telegram.me/beling_krot")</f>
      </c>
      <c r="L147" s="14" t="s">
        <v>274</v>
      </c>
      <c r="O147" s="1"/>
      <c r="P147" s="1"/>
      <c r="Q147" s="1" t="n">
        <v>81</v>
      </c>
      <c r="R147" s="1" t="n">
        <v>0</v>
      </c>
      <c r="S147" s="1"/>
      <c r="T147" s="1" t="n">
        <v>0</v>
      </c>
      <c r="U147" s="1" t="n">
        <v>0</v>
      </c>
      <c r="V147" s="1" t="n">
        <v>0</v>
      </c>
      <c r="W147" s="1" t="n">
        <v>1</v>
      </c>
      <c r="Y147" s="1" t="n">
        <v>6</v>
      </c>
      <c r="Z147" s="0" t="s">
        <v>175</v>
      </c>
      <c r="AA147" s="0" t="s">
        <v>187</v>
      </c>
      <c r="AH147" s="0" t="s">
        <v>180</v>
      </c>
      <c r="AJ147" s="0" t="s">
        <v>437</v>
      </c>
      <c r="AK147" s="0" t="s">
        <v>94</v>
      </c>
      <c r="AP147" s="0" t="s">
        <v>99</v>
      </c>
      <c r="AR147" s="0" t="s">
        <v>101</v>
      </c>
      <c r="BA147" s="0" t="s">
        <v>110</v>
      </c>
    </row>
    <row r="148" ht="60.75">
      <c r="B148" s="0" t="s">
        <v>653</v>
      </c>
      <c r="C148" s="1" t="n">
        <v>353915</v>
      </c>
      <c r="E148" s="14" t="s">
        <v>654</v>
      </c>
      <c r="F148" s="14" t="s">
        <v>192</v>
      </c>
      <c r="G148" s="25" t="str">
        <f>HYPERLINK("https://telegram.me/taynay_slugba/13417")</f>
      </c>
      <c r="H148" s="14" t="s">
        <v>655</v>
      </c>
      <c r="I148" s="14" t="s">
        <v>171</v>
      </c>
      <c r="J148" s="14" t="s">
        <v>657</v>
      </c>
      <c r="K148" s="26" t="str">
        <f>HYPERLINK("https://telegram.me/taynay_slugba")</f>
      </c>
      <c r="L148" s="14" t="s">
        <v>274</v>
      </c>
      <c r="O148" s="1"/>
      <c r="P148" s="1"/>
      <c r="Q148" s="1" t="n">
        <v>88</v>
      </c>
      <c r="R148" s="1" t="n">
        <v>0</v>
      </c>
      <c r="S148" s="1"/>
      <c r="T148" s="1" t="n">
        <v>0</v>
      </c>
      <c r="U148" s="1" t="n">
        <v>0</v>
      </c>
      <c r="V148" s="1" t="n">
        <v>0</v>
      </c>
      <c r="W148" s="1" t="n">
        <v>3</v>
      </c>
      <c r="Y148" s="1" t="n">
        <v>6</v>
      </c>
      <c r="Z148" s="0" t="s">
        <v>175</v>
      </c>
      <c r="AA148" s="0" t="s">
        <v>187</v>
      </c>
      <c r="AH148" s="0" t="s">
        <v>180</v>
      </c>
      <c r="AJ148" s="0" t="s">
        <v>437</v>
      </c>
      <c r="AK148" s="0" t="s">
        <v>94</v>
      </c>
      <c r="AP148" s="0" t="s">
        <v>99</v>
      </c>
      <c r="AR148" s="0" t="s">
        <v>101</v>
      </c>
      <c r="BA148" s="0" t="s">
        <v>110</v>
      </c>
    </row>
    <row r="149" ht="60.75">
      <c r="B149" s="0" t="s">
        <v>653</v>
      </c>
      <c r="C149" s="1" t="n">
        <v>353946</v>
      </c>
      <c r="E149" s="14" t="s">
        <v>654</v>
      </c>
      <c r="F149" s="14" t="s">
        <v>192</v>
      </c>
      <c r="G149" s="25" t="str">
        <f>HYPERLINK("https://telegram.me/agentura_ru/13380")</f>
      </c>
      <c r="H149" s="14" t="s">
        <v>655</v>
      </c>
      <c r="I149" s="14" t="s">
        <v>171</v>
      </c>
      <c r="J149" s="14" t="s">
        <v>658</v>
      </c>
      <c r="K149" s="26" t="str">
        <f>HYPERLINK("https://telegram.me/agentura_ru")</f>
      </c>
      <c r="L149" s="14" t="s">
        <v>274</v>
      </c>
      <c r="O149" s="1"/>
      <c r="P149" s="1"/>
      <c r="Q149" s="1" t="n">
        <v>82</v>
      </c>
      <c r="R149" s="1" t="n">
        <v>0</v>
      </c>
      <c r="S149" s="1"/>
      <c r="T149" s="1" t="n">
        <v>0</v>
      </c>
      <c r="U149" s="1" t="n">
        <v>0</v>
      </c>
      <c r="V149" s="1" t="n">
        <v>0</v>
      </c>
      <c r="W149" s="1" t="n">
        <v>1</v>
      </c>
      <c r="Y149" s="1" t="n">
        <v>6</v>
      </c>
      <c r="Z149" s="0" t="s">
        <v>175</v>
      </c>
      <c r="AA149" s="0" t="s">
        <v>187</v>
      </c>
      <c r="AH149" s="0" t="s">
        <v>180</v>
      </c>
      <c r="AJ149" s="0" t="s">
        <v>437</v>
      </c>
      <c r="AK149" s="0" t="s">
        <v>94</v>
      </c>
      <c r="AP149" s="0" t="s">
        <v>99</v>
      </c>
      <c r="AR149" s="0" t="s">
        <v>101</v>
      </c>
      <c r="BA149" s="0" t="s">
        <v>110</v>
      </c>
    </row>
    <row r="150" ht="60.75">
      <c r="B150" s="0" t="s">
        <v>653</v>
      </c>
      <c r="C150" s="1" t="n">
        <v>354044</v>
      </c>
      <c r="E150" s="14" t="s">
        <v>654</v>
      </c>
      <c r="F150" s="14" t="s">
        <v>192</v>
      </c>
      <c r="G150" s="25" t="str">
        <f>HYPERLINK("https://telegram.me/compra_ru/13356")</f>
      </c>
      <c r="H150" s="14" t="s">
        <v>655</v>
      </c>
      <c r="I150" s="14" t="s">
        <v>171</v>
      </c>
      <c r="J150" s="14" t="s">
        <v>659</v>
      </c>
      <c r="K150" s="26" t="str">
        <f>HYPERLINK("https://telegram.me/compra_ru")</f>
      </c>
      <c r="L150" s="14" t="s">
        <v>274</v>
      </c>
      <c r="O150" s="1"/>
      <c r="P150" s="1"/>
      <c r="Q150" s="1" t="n">
        <v>91</v>
      </c>
      <c r="R150" s="1" t="n">
        <v>0</v>
      </c>
      <c r="S150" s="1"/>
      <c r="T150" s="1" t="n">
        <v>0</v>
      </c>
      <c r="U150" s="1" t="n">
        <v>0</v>
      </c>
      <c r="V150" s="1" t="n">
        <v>0</v>
      </c>
      <c r="W150" s="1" t="n">
        <v>1</v>
      </c>
      <c r="Y150" s="1" t="n">
        <v>6</v>
      </c>
      <c r="Z150" s="0" t="s">
        <v>175</v>
      </c>
      <c r="AA150" s="0" t="s">
        <v>187</v>
      </c>
      <c r="AH150" s="0" t="s">
        <v>180</v>
      </c>
      <c r="AJ150" s="0" t="s">
        <v>181</v>
      </c>
      <c r="AK150" s="0" t="s">
        <v>94</v>
      </c>
      <c r="AR150" s="0" t="s">
        <v>101</v>
      </c>
      <c r="AW150" s="0" t="s">
        <v>106</v>
      </c>
    </row>
    <row r="151" ht="60.75">
      <c r="B151" s="0" t="s">
        <v>653</v>
      </c>
      <c r="C151" s="1" t="n">
        <v>354056</v>
      </c>
      <c r="E151" s="14" t="s">
        <v>654</v>
      </c>
      <c r="F151" s="14" t="s">
        <v>192</v>
      </c>
      <c r="G151" s="25" t="str">
        <f>HYPERLINK("https://telegram.me/fbi_russia/13343")</f>
      </c>
      <c r="H151" s="14" t="s">
        <v>655</v>
      </c>
      <c r="I151" s="14" t="s">
        <v>171</v>
      </c>
      <c r="J151" s="14" t="s">
        <v>660</v>
      </c>
      <c r="K151" s="26" t="str">
        <f>HYPERLINK("https://telegram.me/fbi_russia")</f>
      </c>
      <c r="L151" s="14" t="s">
        <v>274</v>
      </c>
      <c r="O151" s="1"/>
      <c r="P151" s="1"/>
      <c r="Q151" s="1" t="n">
        <v>104</v>
      </c>
      <c r="R151" s="1" t="n">
        <v>0</v>
      </c>
      <c r="S151" s="1"/>
      <c r="T151" s="1" t="n">
        <v>0</v>
      </c>
      <c r="U151" s="1" t="n">
        <v>0</v>
      </c>
      <c r="V151" s="1" t="n">
        <v>0</v>
      </c>
      <c r="W151" s="1" t="n">
        <v>1</v>
      </c>
      <c r="Y151" s="1" t="n">
        <v>6</v>
      </c>
      <c r="Z151" s="0" t="s">
        <v>175</v>
      </c>
      <c r="AA151" s="0" t="s">
        <v>187</v>
      </c>
      <c r="AH151" s="0" t="s">
        <v>180</v>
      </c>
      <c r="AJ151" s="0" t="s">
        <v>181</v>
      </c>
      <c r="AK151" s="0" t="s">
        <v>94</v>
      </c>
      <c r="AR151" s="0" t="s">
        <v>101</v>
      </c>
      <c r="AW151" s="0" t="s">
        <v>106</v>
      </c>
    </row>
    <row r="152">
      <c r="B152" s="0" t="s">
        <v>653</v>
      </c>
      <c r="C152" s="1" t="n">
        <v>353914</v>
      </c>
      <c r="E152" s="14" t="s">
        <v>661</v>
      </c>
      <c r="F152" s="14" t="s">
        <v>184</v>
      </c>
      <c r="G152" s="25" t="str">
        <f>HYPERLINK("http://vk.com/wall-153326247_488816?reply=489443&amp;thread=488903")</f>
      </c>
      <c r="H152" s="14" t="s">
        <v>170</v>
      </c>
      <c r="I152" s="14" t="s">
        <v>231</v>
      </c>
      <c r="J152" s="14" t="s">
        <v>662</v>
      </c>
      <c r="K152" s="26" t="str">
        <f>HYPERLINK("http://vk.com/id8871966")</f>
      </c>
      <c r="L152" s="14" t="s">
        <v>173</v>
      </c>
      <c r="M152" s="14" t="s">
        <v>663</v>
      </c>
      <c r="N152" s="25" t="str">
        <f>HYPERLINK("http://vk.com/club153326247")</f>
      </c>
      <c r="O152" s="1" t="s">
        <v>186</v>
      </c>
      <c r="P152" s="1"/>
      <c r="Q152" s="1" t="n">
        <v>27180</v>
      </c>
      <c r="R152" s="1" t="n">
        <v>0</v>
      </c>
      <c r="S152" s="1"/>
      <c r="T152" s="1" t="n">
        <v>0</v>
      </c>
      <c r="U152" s="1" t="n">
        <v>0</v>
      </c>
      <c r="V152" s="1" t="n">
        <v>0</v>
      </c>
      <c r="W152" s="1"/>
      <c r="Y152" s="1" t="n">
        <v>1</v>
      </c>
      <c r="Z152" s="0" t="s">
        <v>175</v>
      </c>
      <c r="AA152" s="0" t="s">
        <v>292</v>
      </c>
      <c r="AC152" s="0" t="s">
        <v>177</v>
      </c>
      <c r="AD152" s="0" t="s">
        <v>293</v>
      </c>
      <c r="AE152" s="0" t="s">
        <v>294</v>
      </c>
      <c r="AH152" s="0" t="s">
        <v>180</v>
      </c>
      <c r="AI152" s="0" t="s">
        <v>92</v>
      </c>
      <c r="AJ152" s="0" t="s">
        <v>437</v>
      </c>
      <c r="AK152" s="0" t="s">
        <v>94</v>
      </c>
      <c r="AN152" s="0" t="s">
        <v>97</v>
      </c>
      <c r="AP152" s="0" t="s">
        <v>99</v>
      </c>
      <c r="AU152" s="0" t="s">
        <v>104</v>
      </c>
      <c r="AY152" s="0" t="s">
        <v>108</v>
      </c>
      <c r="BB152" s="0" t="s">
        <v>111</v>
      </c>
      <c r="BD152" s="0" t="s">
        <v>113</v>
      </c>
      <c r="BE152" s="0" t="s">
        <v>114</v>
      </c>
      <c r="BQ152" s="0" t="s">
        <v>126</v>
      </c>
      <c r="CS152" s="0" t="s">
        <v>154</v>
      </c>
    </row>
    <row r="153" ht="60.75">
      <c r="B153" s="0" t="s">
        <v>653</v>
      </c>
      <c r="C153" s="1" t="n">
        <v>353925</v>
      </c>
      <c r="E153" s="14" t="s">
        <v>654</v>
      </c>
      <c r="F153" s="14" t="s">
        <v>192</v>
      </c>
      <c r="G153" s="25" t="str">
        <f>HYPERLINK("https://telegram.me/dossier_ru/13409")</f>
      </c>
      <c r="H153" s="14" t="s">
        <v>655</v>
      </c>
      <c r="I153" s="14" t="s">
        <v>194</v>
      </c>
      <c r="J153" s="14" t="s">
        <v>664</v>
      </c>
      <c r="K153" s="26" t="str">
        <f>HYPERLINK("https://telegram.me/dossier_ru")</f>
      </c>
      <c r="L153" s="14" t="s">
        <v>274</v>
      </c>
      <c r="O153" s="1"/>
      <c r="P153" s="1"/>
      <c r="Q153" s="1" t="n">
        <v>88</v>
      </c>
      <c r="R153" s="1" t="n">
        <v>0</v>
      </c>
      <c r="S153" s="1"/>
      <c r="T153" s="1" t="n">
        <v>0</v>
      </c>
      <c r="U153" s="1" t="n">
        <v>0</v>
      </c>
      <c r="V153" s="1" t="n">
        <v>0</v>
      </c>
      <c r="W153" s="1" t="n">
        <v>3</v>
      </c>
      <c r="Y153" s="1" t="n">
        <v>6</v>
      </c>
      <c r="Z153" s="0" t="s">
        <v>175</v>
      </c>
      <c r="AA153" s="0" t="s">
        <v>187</v>
      </c>
      <c r="AH153" s="0" t="s">
        <v>180</v>
      </c>
      <c r="AJ153" s="0" t="s">
        <v>437</v>
      </c>
      <c r="AK153" s="0" t="s">
        <v>94</v>
      </c>
      <c r="AP153" s="0" t="s">
        <v>99</v>
      </c>
      <c r="AR153" s="0" t="s">
        <v>101</v>
      </c>
      <c r="BA153" s="0" t="s">
        <v>110</v>
      </c>
    </row>
    <row r="154">
      <c r="B154" s="0" t="s">
        <v>653</v>
      </c>
      <c r="C154" s="1" t="n">
        <v>353931</v>
      </c>
      <c r="E154" s="14" t="s">
        <v>665</v>
      </c>
      <c r="F154" s="14" t="s">
        <v>184</v>
      </c>
      <c r="G154" s="25" t="str">
        <f>HYPERLINK("http://vk.com/wall-197879931_278664?reply=278715")</f>
      </c>
      <c r="H154" s="14" t="s">
        <v>170</v>
      </c>
      <c r="I154" s="14" t="s">
        <v>231</v>
      </c>
      <c r="J154" s="14" t="s">
        <v>666</v>
      </c>
      <c r="K154" s="26" t="str">
        <f>HYPERLINK("http://vk.com/id786240330")</f>
      </c>
      <c r="L154" s="14" t="s">
        <v>173</v>
      </c>
      <c r="M154" s="14" t="s">
        <v>667</v>
      </c>
      <c r="N154" s="25" t="str">
        <f>HYPERLINK("http://vk.com/club197879931")</f>
      </c>
      <c r="O154" s="1" t="s">
        <v>174</v>
      </c>
      <c r="P154" s="1" t="n">
        <v>21</v>
      </c>
      <c r="Q154" s="1" t="n">
        <v>201320</v>
      </c>
      <c r="R154" s="1" t="n">
        <v>0</v>
      </c>
      <c r="S154" s="1"/>
      <c r="T154" s="1" t="n">
        <v>0</v>
      </c>
      <c r="U154" s="1" t="n">
        <v>0</v>
      </c>
      <c r="V154" s="1" t="n">
        <v>0</v>
      </c>
      <c r="W154" s="1"/>
      <c r="Y154" s="1" t="n">
        <v>1</v>
      </c>
      <c r="Z154" s="0" t="s">
        <v>175</v>
      </c>
      <c r="AA154" s="0" t="s">
        <v>187</v>
      </c>
      <c r="AH154" s="0" t="s">
        <v>180</v>
      </c>
      <c r="AI154" s="0" t="s">
        <v>92</v>
      </c>
      <c r="AJ154" s="0" t="s">
        <v>437</v>
      </c>
      <c r="AK154" s="0" t="s">
        <v>94</v>
      </c>
      <c r="AP154" s="0" t="s">
        <v>99</v>
      </c>
      <c r="AT154" s="0" t="s">
        <v>103</v>
      </c>
      <c r="BX154" s="0" t="s">
        <v>133</v>
      </c>
    </row>
    <row r="155" ht="924.75">
      <c r="B155" s="0" t="s">
        <v>653</v>
      </c>
      <c r="C155" s="1" t="n">
        <v>354125</v>
      </c>
      <c r="E155" s="14" t="s">
        <v>668</v>
      </c>
      <c r="F155" s="14" t="s">
        <v>192</v>
      </c>
      <c r="G155" s="25" t="str">
        <f>HYPERLINK("https://telegram.me/Dorixona_Dorihona/581099")</f>
      </c>
      <c r="H155" s="14" t="s">
        <v>193</v>
      </c>
      <c r="I155" s="14" t="s">
        <v>194</v>
      </c>
      <c r="J155" s="14" t="s">
        <v>669</v>
      </c>
      <c r="K155" s="26" t="str">
        <f>HYPERLINK("https://telegram.me/")</f>
      </c>
      <c r="L155" s="14" t="s">
        <v>173</v>
      </c>
      <c r="M155" s="14" t="s">
        <v>616</v>
      </c>
      <c r="N155" s="25" t="str">
        <f>HYPERLINK("https://telegram.me/Dorixona_Dorihona")</f>
      </c>
      <c r="O155" s="1"/>
      <c r="P155" s="1"/>
      <c r="Q155" s="1" t="n">
        <v>7897</v>
      </c>
      <c r="R155" s="1" t="n">
        <v>0</v>
      </c>
      <c r="S155" s="1"/>
      <c r="T155" s="1" t="n">
        <v>0</v>
      </c>
      <c r="U155" s="1" t="n">
        <v>0</v>
      </c>
      <c r="V155" s="1" t="n">
        <v>0</v>
      </c>
      <c r="W155" s="1"/>
      <c r="Y155" s="1" t="n">
        <v>1</v>
      </c>
      <c r="Z155" s="0" t="s">
        <v>175</v>
      </c>
      <c r="AA155" s="0" t="s">
        <v>187</v>
      </c>
      <c r="AH155" s="0" t="s">
        <v>180</v>
      </c>
      <c r="AJ155" s="0" t="s">
        <v>181</v>
      </c>
      <c r="AK155" s="0" t="s">
        <v>94</v>
      </c>
      <c r="AU155" s="0" t="s">
        <v>104</v>
      </c>
      <c r="BJ155" s="0" t="s">
        <v>119</v>
      </c>
    </row>
    <row r="156">
      <c r="B156" s="0" t="s">
        <v>670</v>
      </c>
      <c r="C156" s="1" t="n">
        <v>353909</v>
      </c>
      <c r="E156" s="14" t="s">
        <v>671</v>
      </c>
      <c r="F156" s="14" t="s">
        <v>184</v>
      </c>
      <c r="G156" s="25" t="str">
        <f>HYPERLINK("http://vk.com/wall-203023242_19133?reply=19288&amp;thread=19143")</f>
      </c>
      <c r="H156" s="14" t="s">
        <v>170</v>
      </c>
      <c r="I156" s="14" t="s">
        <v>231</v>
      </c>
      <c r="J156" s="14" t="s">
        <v>672</v>
      </c>
      <c r="K156" s="26" t="str">
        <f>HYPERLINK("http://vk.com/id439472")</f>
      </c>
      <c r="L156" s="14" t="s">
        <v>173</v>
      </c>
      <c r="M156" s="14" t="s">
        <v>553</v>
      </c>
      <c r="N156" s="25" t="str">
        <f>HYPERLINK("http://vk.com/club203023242")</f>
      </c>
      <c r="O156" s="1" t="s">
        <v>186</v>
      </c>
      <c r="P156" s="1" t="n">
        <v>40</v>
      </c>
      <c r="Q156" s="1" t="n">
        <v>5404</v>
      </c>
      <c r="R156" s="1" t="n">
        <v>0</v>
      </c>
      <c r="S156" s="1"/>
      <c r="T156" s="1" t="n">
        <v>0</v>
      </c>
      <c r="U156" s="1" t="n">
        <v>0</v>
      </c>
      <c r="V156" s="1" t="n">
        <v>0</v>
      </c>
      <c r="W156" s="1"/>
      <c r="Y156" s="1" t="n">
        <v>1</v>
      </c>
      <c r="Z156" s="0" t="s">
        <v>463</v>
      </c>
      <c r="AA156" s="0" t="s">
        <v>187</v>
      </c>
      <c r="AC156" s="0" t="s">
        <v>177</v>
      </c>
      <c r="AD156" s="0" t="s">
        <v>240</v>
      </c>
      <c r="AE156" s="0" t="s">
        <v>240</v>
      </c>
      <c r="AH156" s="0" t="s">
        <v>180</v>
      </c>
      <c r="AI156" s="0" t="s">
        <v>92</v>
      </c>
      <c r="AJ156" s="0" t="s">
        <v>437</v>
      </c>
      <c r="AK156" s="0" t="s">
        <v>94</v>
      </c>
      <c r="AP156" s="0" t="s">
        <v>99</v>
      </c>
      <c r="AT156" s="0" t="s">
        <v>103</v>
      </c>
      <c r="BF156" s="0" t="s">
        <v>115</v>
      </c>
      <c r="CQ156" s="0" t="s">
        <v>152</v>
      </c>
    </row>
    <row r="157" ht="24.75">
      <c r="B157" s="0" t="s">
        <v>670</v>
      </c>
      <c r="C157" s="1" t="n">
        <v>353937</v>
      </c>
      <c r="E157" s="14" t="s">
        <v>183</v>
      </c>
      <c r="F157" s="14" t="s">
        <v>184</v>
      </c>
      <c r="G157" s="25" t="str">
        <f>HYPERLINK("http://vk.com/wall471703650_36914")</f>
      </c>
      <c r="H157" s="14" t="s">
        <v>170</v>
      </c>
      <c r="I157" s="14" t="s">
        <v>171</v>
      </c>
      <c r="J157" s="14" t="s">
        <v>673</v>
      </c>
      <c r="K157" s="26" t="str">
        <f>HYPERLINK("http://vk.com/id471703650")</f>
      </c>
      <c r="L157" s="14" t="s">
        <v>173</v>
      </c>
      <c r="O157" s="1" t="s">
        <v>186</v>
      </c>
      <c r="P157" s="1" t="n">
        <v>26</v>
      </c>
      <c r="Q157" s="1" t="n">
        <v>286</v>
      </c>
      <c r="R157" s="1" t="n">
        <v>0</v>
      </c>
      <c r="S157" s="1"/>
      <c r="T157" s="1" t="n">
        <v>0</v>
      </c>
      <c r="U157" s="1" t="n">
        <v>0</v>
      </c>
      <c r="V157" s="1" t="n">
        <v>0</v>
      </c>
      <c r="W157" s="1"/>
      <c r="Y157" s="1" t="n">
        <v>62</v>
      </c>
      <c r="Z157" s="0" t="s">
        <v>175</v>
      </c>
      <c r="AA157" s="0" t="s">
        <v>187</v>
      </c>
      <c r="AH157" s="0" t="s">
        <v>180</v>
      </c>
      <c r="AJ157" s="0" t="s">
        <v>437</v>
      </c>
      <c r="AK157" s="0" t="s">
        <v>94</v>
      </c>
      <c r="AO157" s="0" t="s">
        <v>98</v>
      </c>
      <c r="AP157" s="0" t="s">
        <v>99</v>
      </c>
      <c r="AR157" s="0" t="s">
        <v>101</v>
      </c>
      <c r="BA157" s="0" t="s">
        <v>110</v>
      </c>
      <c r="BH157" s="0" t="s">
        <v>117</v>
      </c>
    </row>
    <row r="158">
      <c r="B158" s="0" t="s">
        <v>674</v>
      </c>
      <c r="C158" s="1" t="n">
        <v>353989</v>
      </c>
      <c r="D158" s="0" t="s">
        <v>675</v>
      </c>
      <c r="E158" s="14" t="s">
        <v>676</v>
      </c>
      <c r="F158" s="14" t="s">
        <v>263</v>
      </c>
      <c r="G158" s="25" t="str">
        <f>HYPERLINK("https://www.baby.ru/community/view/126276/forum/post/2611470450/")</f>
      </c>
      <c r="H158" s="14" t="s">
        <v>264</v>
      </c>
      <c r="I158" s="14" t="s">
        <v>231</v>
      </c>
      <c r="J158" s="14" t="s">
        <v>265</v>
      </c>
      <c r="K158" s="26" t="str">
        <f>HYPERLINK("https://www.baby.ru/u/usr2171834/")</f>
      </c>
      <c r="L158" s="14"/>
      <c r="M158" s="14" t="s">
        <v>677</v>
      </c>
      <c r="N158" s="25" t="str">
        <f>HYPERLINK("https://www.baby.ru/u/usr2803480/")</f>
      </c>
      <c r="O158" s="1"/>
      <c r="P158" s="1"/>
      <c r="Q158" s="1"/>
      <c r="R158" s="1" t="n">
        <v>0</v>
      </c>
      <c r="S158" s="1"/>
      <c r="T158" s="1" t="n">
        <v>0</v>
      </c>
      <c r="U158" s="1" t="n">
        <v>0</v>
      </c>
      <c r="V158" s="1" t="n">
        <v>0</v>
      </c>
      <c r="W158" s="1"/>
      <c r="Y158" s="1" t="n">
        <v>1</v>
      </c>
      <c r="Z158" s="0" t="s">
        <v>175</v>
      </c>
      <c r="AA158" s="0" t="s">
        <v>187</v>
      </c>
      <c r="AC158" s="0" t="s">
        <v>177</v>
      </c>
      <c r="AD158" s="0" t="s">
        <v>252</v>
      </c>
      <c r="AE158" s="0" t="s">
        <v>267</v>
      </c>
      <c r="AH158" s="0" t="s">
        <v>180</v>
      </c>
      <c r="AJ158" s="0" t="s">
        <v>437</v>
      </c>
      <c r="AK158" s="0" t="s">
        <v>94</v>
      </c>
      <c r="AP158" s="0" t="s">
        <v>99</v>
      </c>
      <c r="AS158" s="0" t="s">
        <v>102</v>
      </c>
      <c r="AT158" s="0" t="s">
        <v>103</v>
      </c>
      <c r="AW158" s="0" t="s">
        <v>106</v>
      </c>
      <c r="BC158" s="0" t="s">
        <v>112</v>
      </c>
      <c r="BI158" s="0" t="s">
        <v>118</v>
      </c>
      <c r="BQ158" s="0" t="s">
        <v>126</v>
      </c>
    </row>
    <row r="159" ht="24.75">
      <c r="B159" s="0" t="s">
        <v>678</v>
      </c>
      <c r="C159" s="1" t="n">
        <v>354016</v>
      </c>
      <c r="E159" s="14" t="s">
        <v>679</v>
      </c>
      <c r="F159" s="14" t="s">
        <v>169</v>
      </c>
      <c r="G159" s="25" t="str">
        <f>HYPERLINK("http://www.ok.ru/profile/581059836932/statuses/155184954540804")</f>
      </c>
      <c r="H159" s="14" t="s">
        <v>170</v>
      </c>
      <c r="I159" s="14" t="s">
        <v>171</v>
      </c>
      <c r="J159" s="14" t="s">
        <v>680</v>
      </c>
      <c r="K159" s="26" t="str">
        <f>HYPERLINK("http://www.ok.ru/profile/581059836932")</f>
      </c>
      <c r="L159" s="14" t="s">
        <v>173</v>
      </c>
      <c r="O159" s="1" t="s">
        <v>186</v>
      </c>
      <c r="P159" s="1"/>
      <c r="Q159" s="1" t="n">
        <v>782</v>
      </c>
      <c r="R159" s="1" t="n">
        <v>0</v>
      </c>
      <c r="S159" s="1"/>
      <c r="T159" s="1" t="n">
        <v>0</v>
      </c>
      <c r="U159" s="1" t="n">
        <v>1</v>
      </c>
      <c r="V159" s="1" t="n">
        <v>1</v>
      </c>
      <c r="W159" s="1"/>
      <c r="Y159" s="1" t="n">
        <v>2</v>
      </c>
      <c r="Z159" s="0" t="s">
        <v>175</v>
      </c>
      <c r="AA159" s="0" t="s">
        <v>176</v>
      </c>
      <c r="AC159" s="0" t="s">
        <v>177</v>
      </c>
      <c r="AD159" s="0" t="s">
        <v>681</v>
      </c>
      <c r="AE159" s="0" t="s">
        <v>682</v>
      </c>
      <c r="AH159" s="0" t="s">
        <v>180</v>
      </c>
      <c r="AJ159" s="0" t="s">
        <v>437</v>
      </c>
      <c r="AK159" s="0" t="s">
        <v>94</v>
      </c>
      <c r="AL159" s="0" t="s">
        <v>95</v>
      </c>
      <c r="AM159" s="0" t="s">
        <v>96</v>
      </c>
      <c r="AO159" s="0" t="s">
        <v>98</v>
      </c>
      <c r="AQ159" s="0" t="s">
        <v>100</v>
      </c>
    </row>
    <row r="160" ht="1212.75">
      <c r="B160" s="0" t="s">
        <v>678</v>
      </c>
      <c r="C160" s="1" t="n">
        <v>353905</v>
      </c>
      <c r="E160" s="14" t="s">
        <v>683</v>
      </c>
      <c r="F160" s="14" t="s">
        <v>184</v>
      </c>
      <c r="G160" s="25" t="str">
        <f>HYPERLINK("http://vk.com/wall617952123_13883")</f>
      </c>
      <c r="H160" s="14" t="s">
        <v>170</v>
      </c>
      <c r="I160" s="14" t="s">
        <v>171</v>
      </c>
      <c r="J160" s="14" t="s">
        <v>684</v>
      </c>
      <c r="K160" s="26" t="str">
        <f>HYPERLINK("http://vk.com/id617952123")</f>
      </c>
      <c r="L160" s="14" t="s">
        <v>173</v>
      </c>
      <c r="O160" s="1" t="s">
        <v>186</v>
      </c>
      <c r="P160" s="1" t="n">
        <v>51</v>
      </c>
      <c r="Q160" s="1" t="n">
        <v>143</v>
      </c>
      <c r="R160" s="1" t="n">
        <v>0</v>
      </c>
      <c r="S160" s="1"/>
      <c r="T160" s="1" t="n">
        <v>0</v>
      </c>
      <c r="U160" s="1" t="n">
        <v>0</v>
      </c>
      <c r="V160" s="1" t="n">
        <v>0</v>
      </c>
      <c r="W160" s="1" t="n">
        <v>1</v>
      </c>
      <c r="Y160" s="1" t="n">
        <v>22</v>
      </c>
      <c r="Z160" s="0" t="s">
        <v>175</v>
      </c>
      <c r="AA160" s="0" t="s">
        <v>187</v>
      </c>
      <c r="AH160" s="0" t="s">
        <v>180</v>
      </c>
      <c r="AJ160" s="0" t="s">
        <v>437</v>
      </c>
      <c r="AK160" s="0" t="s">
        <v>94</v>
      </c>
      <c r="AM160" s="0" t="s">
        <v>96</v>
      </c>
      <c r="AP160" s="0" t="s">
        <v>99</v>
      </c>
      <c r="AU160" s="0" t="s">
        <v>104</v>
      </c>
      <c r="AV160" s="0" t="s">
        <v>105</v>
      </c>
      <c r="AX160" s="0" t="s">
        <v>107</v>
      </c>
    </row>
    <row r="161" ht="24.75">
      <c r="B161" s="0" t="s">
        <v>685</v>
      </c>
      <c r="C161" s="1" t="n">
        <v>353908</v>
      </c>
      <c r="E161" s="14" t="s">
        <v>296</v>
      </c>
      <c r="F161" s="14" t="s">
        <v>184</v>
      </c>
      <c r="G161" s="25" t="str">
        <f>HYPERLINK("http://vk.com/wall236857967_229")</f>
      </c>
      <c r="H161" s="14" t="s">
        <v>170</v>
      </c>
      <c r="I161" s="14" t="s">
        <v>171</v>
      </c>
      <c r="J161" s="14" t="s">
        <v>686</v>
      </c>
      <c r="K161" s="26" t="str">
        <f>HYPERLINK("http://vk.com/id236857967")</f>
      </c>
      <c r="L161" s="14" t="s">
        <v>173</v>
      </c>
      <c r="O161" s="1" t="s">
        <v>186</v>
      </c>
      <c r="P161" s="1" t="n">
        <v>79</v>
      </c>
      <c r="Q161" s="1" t="n">
        <v>25</v>
      </c>
      <c r="R161" s="1" t="n">
        <v>0</v>
      </c>
      <c r="S161" s="1"/>
      <c r="T161" s="1" t="n">
        <v>0</v>
      </c>
      <c r="U161" s="1" t="n">
        <v>0</v>
      </c>
      <c r="V161" s="1" t="n">
        <v>0</v>
      </c>
      <c r="W161" s="1"/>
      <c r="Y161" s="1" t="n">
        <v>92</v>
      </c>
      <c r="Z161" s="0" t="s">
        <v>175</v>
      </c>
      <c r="AA161" s="0" t="s">
        <v>187</v>
      </c>
      <c r="AC161" s="0" t="s">
        <v>177</v>
      </c>
      <c r="AD161" s="0" t="s">
        <v>454</v>
      </c>
      <c r="AE161" s="0" t="s">
        <v>687</v>
      </c>
      <c r="AH161" s="0" t="s">
        <v>180</v>
      </c>
      <c r="AJ161" s="0" t="s">
        <v>437</v>
      </c>
      <c r="AK161" s="0" t="s">
        <v>94</v>
      </c>
      <c r="AM161" s="0" t="s">
        <v>96</v>
      </c>
      <c r="AP161" s="0" t="s">
        <v>99</v>
      </c>
      <c r="AU161" s="0" t="s">
        <v>104</v>
      </c>
      <c r="AV161" s="0" t="s">
        <v>105</v>
      </c>
    </row>
    <row r="162">
      <c r="B162" s="0" t="s">
        <v>688</v>
      </c>
      <c r="C162" s="1" t="n">
        <v>353913</v>
      </c>
      <c r="E162" s="14" t="s">
        <v>689</v>
      </c>
      <c r="F162" s="14" t="s">
        <v>184</v>
      </c>
      <c r="G162" s="25" t="str">
        <f>HYPERLINK("http://vk.com/wall-68518743_3738224?reply=3738655&amp;thread=3738235")</f>
      </c>
      <c r="H162" s="14" t="s">
        <v>170</v>
      </c>
      <c r="I162" s="14" t="s">
        <v>231</v>
      </c>
      <c r="J162" s="14" t="s">
        <v>611</v>
      </c>
      <c r="K162" s="26" t="str">
        <f>HYPERLINK("http://vk.com/id793760878")</f>
      </c>
      <c r="L162" s="14" t="s">
        <v>173</v>
      </c>
      <c r="M162" s="14" t="s">
        <v>690</v>
      </c>
      <c r="N162" s="25" t="str">
        <f>HYPERLINK("http://vk.com/club68518743")</f>
      </c>
      <c r="O162" s="1" t="s">
        <v>186</v>
      </c>
      <c r="P162" s="1" t="n">
        <v>25</v>
      </c>
      <c r="Q162" s="1" t="n">
        <v>1961301</v>
      </c>
      <c r="R162" s="1" t="n">
        <v>0</v>
      </c>
      <c r="S162" s="1"/>
      <c r="T162" s="1" t="n">
        <v>0</v>
      </c>
      <c r="U162" s="1" t="n">
        <v>0</v>
      </c>
      <c r="V162" s="1" t="n">
        <v>0</v>
      </c>
      <c r="W162" s="1"/>
      <c r="Y162" s="1" t="n">
        <v>1</v>
      </c>
      <c r="Z162" s="0" t="s">
        <v>319</v>
      </c>
      <c r="AA162" s="0" t="s">
        <v>292</v>
      </c>
      <c r="AH162" s="0" t="s">
        <v>180</v>
      </c>
      <c r="AI162" s="0" t="s">
        <v>92</v>
      </c>
      <c r="AJ162" s="0" t="s">
        <v>437</v>
      </c>
      <c r="AK162" s="0" t="s">
        <v>94</v>
      </c>
      <c r="AY162" s="0" t="s">
        <v>108</v>
      </c>
      <c r="BP162" s="0" t="s">
        <v>125</v>
      </c>
      <c r="CA162" s="0" t="s">
        <v>136</v>
      </c>
    </row>
    <row r="163" ht="24.75">
      <c r="B163" s="0" t="s">
        <v>688</v>
      </c>
      <c r="C163" s="1" t="n">
        <v>353928</v>
      </c>
      <c r="E163" s="14" t="s">
        <v>691</v>
      </c>
      <c r="F163" s="14" t="s">
        <v>184</v>
      </c>
      <c r="G163" s="25" t="str">
        <f>HYPERLINK("http://vk.com/wall583017369_3401")</f>
      </c>
      <c r="H163" s="14" t="s">
        <v>170</v>
      </c>
      <c r="I163" s="14" t="s">
        <v>171</v>
      </c>
      <c r="J163" s="14" t="s">
        <v>692</v>
      </c>
      <c r="K163" s="26" t="str">
        <f>HYPERLINK("http://vk.com/id583017369")</f>
      </c>
      <c r="L163" s="14" t="s">
        <v>173</v>
      </c>
      <c r="O163" s="1" t="s">
        <v>186</v>
      </c>
      <c r="P163" s="1" t="n">
        <v>51</v>
      </c>
      <c r="Q163" s="1" t="n">
        <v>143</v>
      </c>
      <c r="R163" s="1" t="n">
        <v>0</v>
      </c>
      <c r="S163" s="1"/>
      <c r="T163" s="1" t="n">
        <v>0</v>
      </c>
      <c r="U163" s="1" t="n">
        <v>0</v>
      </c>
      <c r="V163" s="1" t="n">
        <v>0</v>
      </c>
      <c r="W163" s="1"/>
      <c r="Y163" s="1" t="n">
        <v>10</v>
      </c>
      <c r="Z163" s="0" t="s">
        <v>175</v>
      </c>
      <c r="AA163" s="0" t="s">
        <v>176</v>
      </c>
      <c r="AH163" s="0" t="s">
        <v>180</v>
      </c>
      <c r="AJ163" s="0" t="s">
        <v>437</v>
      </c>
      <c r="AK163" s="0" t="s">
        <v>94</v>
      </c>
      <c r="AL163" s="0" t="s">
        <v>95</v>
      </c>
      <c r="AM163" s="0" t="s">
        <v>96</v>
      </c>
      <c r="AO163" s="0" t="s">
        <v>98</v>
      </c>
      <c r="AQ163" s="0" t="s">
        <v>100</v>
      </c>
    </row>
    <row r="164" ht="24.75">
      <c r="B164" s="0" t="s">
        <v>688</v>
      </c>
      <c r="C164" s="1" t="n">
        <v>353906</v>
      </c>
      <c r="E164" s="14" t="s">
        <v>693</v>
      </c>
      <c r="F164" s="14" t="s">
        <v>184</v>
      </c>
      <c r="G164" s="25" t="str">
        <f>HYPERLINK("http://vk.com/wall721988169_10667")</f>
      </c>
      <c r="H164" s="14" t="s">
        <v>170</v>
      </c>
      <c r="I164" s="14" t="s">
        <v>171</v>
      </c>
      <c r="J164" s="14" t="s">
        <v>694</v>
      </c>
      <c r="K164" s="26" t="str">
        <f>HYPERLINK("http://vk.com/id721988169")</f>
      </c>
      <c r="L164" s="14" t="s">
        <v>173</v>
      </c>
      <c r="O164" s="1" t="s">
        <v>186</v>
      </c>
      <c r="P164" s="1" t="n">
        <v>56</v>
      </c>
      <c r="Q164" s="1" t="n">
        <v>84</v>
      </c>
      <c r="R164" s="1" t="n">
        <v>0</v>
      </c>
      <c r="S164" s="1"/>
      <c r="T164" s="1" t="n">
        <v>0</v>
      </c>
      <c r="U164" s="1" t="n">
        <v>0</v>
      </c>
      <c r="V164" s="1" t="n">
        <v>0</v>
      </c>
      <c r="W164" s="1"/>
      <c r="Y164" s="1" t="n">
        <v>5</v>
      </c>
      <c r="Z164" s="0" t="s">
        <v>175</v>
      </c>
      <c r="AA164" s="0" t="s">
        <v>187</v>
      </c>
      <c r="AH164" s="0" t="s">
        <v>180</v>
      </c>
      <c r="AJ164" s="0" t="s">
        <v>437</v>
      </c>
      <c r="AK164" s="0" t="s">
        <v>94</v>
      </c>
      <c r="AM164" s="0" t="s">
        <v>96</v>
      </c>
      <c r="AP164" s="0" t="s">
        <v>99</v>
      </c>
      <c r="AX164" s="0" t="s">
        <v>107</v>
      </c>
    </row>
    <row r="165">
      <c r="B165" s="0" t="s">
        <v>695</v>
      </c>
      <c r="C165" s="1" t="n">
        <v>353918</v>
      </c>
      <c r="E165" s="14" t="s">
        <v>696</v>
      </c>
      <c r="F165" s="14" t="s">
        <v>184</v>
      </c>
      <c r="G165" s="25" t="str">
        <f>HYPERLINK("http://vk.com/wall-153326247_488816?reply=489442&amp;thread=488903")</f>
      </c>
      <c r="H165" s="14" t="s">
        <v>170</v>
      </c>
      <c r="I165" s="14" t="s">
        <v>231</v>
      </c>
      <c r="J165" s="14" t="s">
        <v>541</v>
      </c>
      <c r="K165" s="26" t="str">
        <f>HYPERLINK("http://vk.com/id611721829")</f>
      </c>
      <c r="L165" s="14" t="s">
        <v>173</v>
      </c>
      <c r="M165" s="14" t="s">
        <v>663</v>
      </c>
      <c r="N165" s="25" t="str">
        <f>HYPERLINK("http://vk.com/club153326247")</f>
      </c>
      <c r="O165" s="1" t="s">
        <v>186</v>
      </c>
      <c r="P165" s="1" t="n">
        <v>15</v>
      </c>
      <c r="Q165" s="1" t="n">
        <v>27180</v>
      </c>
      <c r="R165" s="1" t="n">
        <v>0</v>
      </c>
      <c r="S165" s="1"/>
      <c r="T165" s="1" t="n">
        <v>0</v>
      </c>
      <c r="U165" s="1" t="n">
        <v>0</v>
      </c>
      <c r="V165" s="1" t="n">
        <v>0</v>
      </c>
      <c r="W165" s="1"/>
      <c r="Y165" s="1" t="n">
        <v>1</v>
      </c>
      <c r="Z165" s="0" t="s">
        <v>319</v>
      </c>
      <c r="AA165" s="0" t="s">
        <v>292</v>
      </c>
      <c r="AC165" s="0" t="s">
        <v>177</v>
      </c>
      <c r="AD165" s="0" t="s">
        <v>604</v>
      </c>
      <c r="AE165" s="0" t="s">
        <v>605</v>
      </c>
      <c r="AH165" s="0" t="s">
        <v>180</v>
      </c>
      <c r="AI165" s="0" t="s">
        <v>92</v>
      </c>
      <c r="AJ165" s="0" t="s">
        <v>437</v>
      </c>
      <c r="AK165" s="0" t="s">
        <v>94</v>
      </c>
      <c r="AU165" s="0" t="s">
        <v>104</v>
      </c>
      <c r="AY165" s="0" t="s">
        <v>108</v>
      </c>
      <c r="BD165" s="0" t="s">
        <v>113</v>
      </c>
    </row>
    <row r="166" ht="588.75">
      <c r="B166" s="0" t="s">
        <v>697</v>
      </c>
      <c r="C166" s="1" t="n">
        <v>354130</v>
      </c>
      <c r="E166" s="14" t="s">
        <v>698</v>
      </c>
      <c r="F166" s="14" t="s">
        <v>192</v>
      </c>
      <c r="G166" s="25" t="str">
        <f>HYPERLINK("https://telegram.me/Dorixona_Dorihona/581094")</f>
      </c>
      <c r="H166" s="14" t="s">
        <v>193</v>
      </c>
      <c r="I166" s="14" t="s">
        <v>194</v>
      </c>
      <c r="J166" s="14" t="s">
        <v>699</v>
      </c>
      <c r="K166" s="26" t="str">
        <f>HYPERLINK("https://telegram.me/dori_darman")</f>
      </c>
      <c r="L166" s="14" t="s">
        <v>173</v>
      </c>
      <c r="M166" s="14" t="s">
        <v>616</v>
      </c>
      <c r="N166" s="25" t="str">
        <f>HYPERLINK("https://telegram.me/Dorixona_Dorihona")</f>
      </c>
      <c r="O166" s="1"/>
      <c r="P166" s="1"/>
      <c r="Q166" s="1" t="n">
        <v>7897</v>
      </c>
      <c r="R166" s="1" t="n">
        <v>0</v>
      </c>
      <c r="S166" s="1"/>
      <c r="T166" s="1" t="n">
        <v>0</v>
      </c>
      <c r="U166" s="1" t="n">
        <v>0</v>
      </c>
      <c r="V166" s="1" t="n">
        <v>0</v>
      </c>
      <c r="W166" s="1"/>
      <c r="Y166" s="1" t="n">
        <v>1</v>
      </c>
      <c r="Z166" s="0" t="s">
        <v>175</v>
      </c>
      <c r="AA166" s="0" t="s">
        <v>187</v>
      </c>
      <c r="AH166" s="0" t="s">
        <v>180</v>
      </c>
      <c r="AJ166" s="0" t="s">
        <v>181</v>
      </c>
      <c r="AK166" s="0" t="s">
        <v>94</v>
      </c>
      <c r="AU166" s="0" t="s">
        <v>104</v>
      </c>
    </row>
    <row r="167">
      <c r="B167" s="0" t="s">
        <v>697</v>
      </c>
      <c r="C167" s="1" t="n">
        <v>353917</v>
      </c>
      <c r="E167" s="14" t="s">
        <v>700</v>
      </c>
      <c r="F167" s="14" t="s">
        <v>184</v>
      </c>
      <c r="G167" s="25" t="str">
        <f>HYPERLINK("http://vk.com/wall-86024718_2018897?reply=2018900")</f>
      </c>
      <c r="H167" s="14" t="s">
        <v>170</v>
      </c>
      <c r="I167" s="14" t="s">
        <v>231</v>
      </c>
      <c r="J167" s="14" t="s">
        <v>701</v>
      </c>
      <c r="K167" s="26" t="str">
        <f>HYPERLINK("http://vk.com/id28896188")</f>
      </c>
      <c r="L167" s="14" t="s">
        <v>173</v>
      </c>
      <c r="M167" s="14" t="s">
        <v>450</v>
      </c>
      <c r="N167" s="25" t="str">
        <f>HYPERLINK("http://vk.com/club86024718")</f>
      </c>
      <c r="O167" s="1" t="s">
        <v>186</v>
      </c>
      <c r="P167" s="1"/>
      <c r="Q167" s="1" t="n">
        <v>30349</v>
      </c>
      <c r="R167" s="1" t="n">
        <v>0</v>
      </c>
      <c r="S167" s="1"/>
      <c r="T167" s="1" t="n">
        <v>0</v>
      </c>
      <c r="U167" s="1" t="n">
        <v>0</v>
      </c>
      <c r="V167" s="1" t="n">
        <v>0</v>
      </c>
      <c r="W167" s="1"/>
      <c r="Y167" s="1" t="n">
        <v>1</v>
      </c>
      <c r="Z167" s="0" t="s">
        <v>463</v>
      </c>
      <c r="AA167" s="0" t="s">
        <v>187</v>
      </c>
      <c r="AC167" s="0" t="s">
        <v>177</v>
      </c>
      <c r="AH167" s="0" t="s">
        <v>180</v>
      </c>
      <c r="AI167" s="0" t="s">
        <v>92</v>
      </c>
      <c r="AJ167" s="0" t="s">
        <v>437</v>
      </c>
      <c r="AK167" s="0" t="s">
        <v>94</v>
      </c>
      <c r="AP167" s="0" t="s">
        <v>99</v>
      </c>
      <c r="AR167" s="0" t="s">
        <v>101</v>
      </c>
      <c r="AT167" s="0" t="s">
        <v>103</v>
      </c>
      <c r="BV167" s="0" t="s">
        <v>131</v>
      </c>
      <c r="CE167" s="0" t="s">
        <v>140</v>
      </c>
    </row>
    <row r="168" ht="36.75">
      <c r="B168" s="0" t="s">
        <v>702</v>
      </c>
      <c r="C168" s="1" t="n">
        <v>353907</v>
      </c>
      <c r="E168" s="14" t="s">
        <v>202</v>
      </c>
      <c r="F168" s="14" t="s">
        <v>184</v>
      </c>
      <c r="G168" s="25" t="str">
        <f>HYPERLINK("http://vk.com/wall650143240_620")</f>
      </c>
      <c r="H168" s="14" t="s">
        <v>170</v>
      </c>
      <c r="I168" s="14" t="s">
        <v>171</v>
      </c>
      <c r="J168" s="14" t="s">
        <v>703</v>
      </c>
      <c r="K168" s="26" t="str">
        <f>HYPERLINK("http://vk.com/id650143240")</f>
      </c>
      <c r="L168" s="14" t="s">
        <v>173</v>
      </c>
      <c r="O168" s="1" t="s">
        <v>186</v>
      </c>
      <c r="P168" s="1" t="n">
        <v>64</v>
      </c>
      <c r="Q168" s="1" t="n">
        <v>74</v>
      </c>
      <c r="R168" s="1" t="n">
        <v>0</v>
      </c>
      <c r="S168" s="1"/>
      <c r="T168" s="1" t="n">
        <v>1</v>
      </c>
      <c r="U168" s="1" t="n">
        <v>0</v>
      </c>
      <c r="V168" s="1" t="n">
        <v>1</v>
      </c>
      <c r="W168" s="1" t="n">
        <v>1</v>
      </c>
      <c r="Y168" s="1" t="n">
        <v>60</v>
      </c>
      <c r="Z168" s="0" t="s">
        <v>175</v>
      </c>
      <c r="AA168" s="0" t="s">
        <v>176</v>
      </c>
      <c r="AH168" s="0" t="s">
        <v>180</v>
      </c>
      <c r="AJ168" s="0" t="s">
        <v>437</v>
      </c>
      <c r="AK168" s="0" t="s">
        <v>94</v>
      </c>
      <c r="AL168" s="0" t="s">
        <v>95</v>
      </c>
      <c r="AM168" s="0" t="s">
        <v>96</v>
      </c>
      <c r="AO168" s="0" t="s">
        <v>98</v>
      </c>
      <c r="AQ168" s="0" t="s">
        <v>100</v>
      </c>
    </row>
    <row r="169">
      <c r="B169" s="0" t="s">
        <v>702</v>
      </c>
      <c r="C169" s="1" t="n">
        <v>353912</v>
      </c>
      <c r="E169" s="14" t="s">
        <v>704</v>
      </c>
      <c r="F169" s="14" t="s">
        <v>184</v>
      </c>
      <c r="G169" s="25" t="str">
        <f>HYPERLINK("http://vk.com/wall-77301947_4381762?reply=4383978&amp;thread=4383099")</f>
      </c>
      <c r="H169" s="14" t="s">
        <v>170</v>
      </c>
      <c r="I169" s="14" t="s">
        <v>231</v>
      </c>
      <c r="J169" s="14" t="s">
        <v>611</v>
      </c>
      <c r="K169" s="26" t="str">
        <f>HYPERLINK("http://vk.com/id793760878")</f>
      </c>
      <c r="L169" s="14" t="s">
        <v>173</v>
      </c>
      <c r="M169" s="14" t="s">
        <v>705</v>
      </c>
      <c r="N169" s="25" t="str">
        <f>HYPERLINK("http://vk.com/club77301947")</f>
      </c>
      <c r="O169" s="1" t="s">
        <v>186</v>
      </c>
      <c r="P169" s="1" t="n">
        <v>25</v>
      </c>
      <c r="Q169" s="1" t="n">
        <v>30114</v>
      </c>
      <c r="R169" s="1" t="n">
        <v>0</v>
      </c>
      <c r="S169" s="1"/>
      <c r="T169" s="1" t="n">
        <v>0</v>
      </c>
      <c r="U169" s="1" t="n">
        <v>0</v>
      </c>
      <c r="V169" s="1" t="n">
        <v>0</v>
      </c>
      <c r="W169" s="1"/>
      <c r="Y169" s="1" t="n">
        <v>1</v>
      </c>
      <c r="Z169" s="0" t="s">
        <v>319</v>
      </c>
      <c r="AA169" s="0" t="s">
        <v>292</v>
      </c>
      <c r="AH169" s="0" t="s">
        <v>180</v>
      </c>
      <c r="AI169" s="0" t="s">
        <v>92</v>
      </c>
      <c r="AJ169" s="0" t="s">
        <v>437</v>
      </c>
      <c r="AK169" s="0" t="s">
        <v>94</v>
      </c>
      <c r="AR169" s="0" t="s">
        <v>101</v>
      </c>
      <c r="AY169" s="0" t="s">
        <v>108</v>
      </c>
      <c r="BP169" s="0" t="s">
        <v>125</v>
      </c>
    </row>
    <row r="170">
      <c r="B170" s="0" t="s">
        <v>706</v>
      </c>
      <c r="C170" s="1" t="n">
        <v>353916</v>
      </c>
      <c r="E170" s="14" t="s">
        <v>707</v>
      </c>
      <c r="F170" s="14" t="s">
        <v>184</v>
      </c>
      <c r="G170" s="25" t="str">
        <f>HYPERLINK("http://vk.com/wall-5692810_6324299?reply=6325938&amp;thread=6324334")</f>
      </c>
      <c r="H170" s="14" t="s">
        <v>170</v>
      </c>
      <c r="I170" s="14" t="s">
        <v>231</v>
      </c>
      <c r="J170" s="14" t="s">
        <v>541</v>
      </c>
      <c r="K170" s="26" t="str">
        <f>HYPERLINK("http://vk.com/id611721829")</f>
      </c>
      <c r="L170" s="14" t="s">
        <v>173</v>
      </c>
      <c r="M170" s="14" t="s">
        <v>608</v>
      </c>
      <c r="N170" s="25" t="str">
        <f>HYPERLINK("http://vk.com/club5692810")</f>
      </c>
      <c r="O170" s="1" t="s">
        <v>186</v>
      </c>
      <c r="P170" s="1" t="n">
        <v>15</v>
      </c>
      <c r="Q170" s="1" t="n">
        <v>31167</v>
      </c>
      <c r="R170" s="1" t="n">
        <v>0</v>
      </c>
      <c r="S170" s="1"/>
      <c r="T170" s="1" t="n">
        <v>0</v>
      </c>
      <c r="U170" s="1" t="n">
        <v>0</v>
      </c>
      <c r="V170" s="1" t="n">
        <v>0</v>
      </c>
      <c r="W170" s="1"/>
      <c r="Y170" s="1" t="n">
        <v>1</v>
      </c>
      <c r="Z170" s="0" t="s">
        <v>319</v>
      </c>
      <c r="AA170" s="0" t="s">
        <v>292</v>
      </c>
      <c r="AC170" s="0" t="s">
        <v>177</v>
      </c>
      <c r="AD170" s="0" t="s">
        <v>604</v>
      </c>
      <c r="AE170" s="0" t="s">
        <v>605</v>
      </c>
      <c r="AH170" s="0" t="s">
        <v>180</v>
      </c>
      <c r="AI170" s="0" t="s">
        <v>92</v>
      </c>
      <c r="AJ170" s="0" t="s">
        <v>437</v>
      </c>
      <c r="AY170" s="0" t="s">
        <v>108</v>
      </c>
      <c r="BD170" s="0" t="s">
        <v>113</v>
      </c>
    </row>
    <row r="171" ht="24.75">
      <c r="B171" s="0" t="s">
        <v>706</v>
      </c>
      <c r="C171" s="1" t="n">
        <v>353902</v>
      </c>
      <c r="E171" s="14" t="s">
        <v>491</v>
      </c>
      <c r="F171" s="14" t="s">
        <v>184</v>
      </c>
      <c r="G171" s="25" t="str">
        <f>HYPERLINK("http://vk.com/wall231154518_6591")</f>
      </c>
      <c r="H171" s="14" t="s">
        <v>170</v>
      </c>
      <c r="I171" s="14" t="s">
        <v>171</v>
      </c>
      <c r="J171" s="14" t="s">
        <v>708</v>
      </c>
      <c r="K171" s="26" t="str">
        <f>HYPERLINK("http://vk.com/id231154518")</f>
      </c>
      <c r="L171" s="14" t="s">
        <v>173</v>
      </c>
      <c r="O171" s="1" t="s">
        <v>186</v>
      </c>
      <c r="P171" s="1" t="n">
        <v>72</v>
      </c>
      <c r="Q171" s="1" t="n">
        <v>65</v>
      </c>
      <c r="R171" s="1" t="n">
        <v>0</v>
      </c>
      <c r="S171" s="1"/>
      <c r="T171" s="1" t="n">
        <v>0</v>
      </c>
      <c r="U171" s="1" t="n">
        <v>0</v>
      </c>
      <c r="V171" s="1" t="n">
        <v>0</v>
      </c>
      <c r="W171" s="1"/>
      <c r="Y171" s="1" t="n">
        <v>2</v>
      </c>
      <c r="Z171" s="0" t="s">
        <v>175</v>
      </c>
      <c r="AA171" s="0" t="s">
        <v>176</v>
      </c>
      <c r="AC171" s="0" t="s">
        <v>177</v>
      </c>
      <c r="AH171" s="0" t="s">
        <v>180</v>
      </c>
      <c r="AJ171" s="0" t="s">
        <v>437</v>
      </c>
      <c r="AK171" s="0" t="s">
        <v>94</v>
      </c>
      <c r="AL171" s="0" t="s">
        <v>95</v>
      </c>
      <c r="AM171" s="0" t="s">
        <v>96</v>
      </c>
      <c r="AO171" s="0" t="s">
        <v>98</v>
      </c>
      <c r="AQ171" s="0" t="s">
        <v>100</v>
      </c>
    </row>
    <row r="172" ht="36.75">
      <c r="B172" s="0" t="s">
        <v>709</v>
      </c>
      <c r="C172" s="1" t="n">
        <v>353901</v>
      </c>
      <c r="E172" s="14" t="s">
        <v>202</v>
      </c>
      <c r="F172" s="14" t="s">
        <v>184</v>
      </c>
      <c r="G172" s="25" t="str">
        <f>HYPERLINK("http://vk.com/wall592102761_1448")</f>
      </c>
      <c r="H172" s="14" t="s">
        <v>170</v>
      </c>
      <c r="I172" s="14" t="s">
        <v>171</v>
      </c>
      <c r="J172" s="14" t="s">
        <v>710</v>
      </c>
      <c r="K172" s="26" t="str">
        <f>HYPERLINK("http://vk.com/id592102761")</f>
      </c>
      <c r="L172" s="14" t="s">
        <v>173</v>
      </c>
      <c r="O172" s="1" t="s">
        <v>186</v>
      </c>
      <c r="P172" s="1" t="n">
        <v>60</v>
      </c>
      <c r="Q172" s="1" t="n">
        <v>92</v>
      </c>
      <c r="R172" s="1" t="n">
        <v>0</v>
      </c>
      <c r="S172" s="1"/>
      <c r="T172" s="1" t="n">
        <v>0</v>
      </c>
      <c r="U172" s="1" t="n">
        <v>0</v>
      </c>
      <c r="V172" s="1" t="n">
        <v>0</v>
      </c>
      <c r="W172" s="1"/>
      <c r="Y172" s="1" t="n">
        <v>60</v>
      </c>
      <c r="Z172" s="0" t="s">
        <v>175</v>
      </c>
      <c r="AA172" s="0" t="s">
        <v>176</v>
      </c>
      <c r="AH172" s="0" t="s">
        <v>180</v>
      </c>
      <c r="AJ172" s="0" t="s">
        <v>437</v>
      </c>
      <c r="AK172" s="0" t="s">
        <v>94</v>
      </c>
      <c r="AL172" s="0" t="s">
        <v>95</v>
      </c>
      <c r="AM172" s="0" t="s">
        <v>96</v>
      </c>
      <c r="AO172" s="0" t="s">
        <v>98</v>
      </c>
      <c r="AQ172" s="0" t="s">
        <v>100</v>
      </c>
    </row>
    <row r="173" ht="204.75">
      <c r="B173" s="0" t="s">
        <v>709</v>
      </c>
      <c r="C173" s="1" t="n">
        <v>353954</v>
      </c>
      <c r="E173" s="14" t="s">
        <v>711</v>
      </c>
      <c r="F173" s="14" t="s">
        <v>184</v>
      </c>
      <c r="G173" s="25" t="str">
        <f>HYPERLINK("http://vk.com/wall-215315078_92")</f>
      </c>
      <c r="H173" s="14" t="s">
        <v>170</v>
      </c>
      <c r="I173" s="14" t="s">
        <v>194</v>
      </c>
      <c r="J173" s="14" t="s">
        <v>712</v>
      </c>
      <c r="K173" s="26" t="str">
        <f>HYPERLINK("http://vk.com/club215315078")</f>
      </c>
      <c r="L173" s="14" t="s">
        <v>274</v>
      </c>
      <c r="O173" s="1"/>
      <c r="P173" s="1"/>
      <c r="Q173" s="1" t="n">
        <v>85</v>
      </c>
      <c r="R173" s="1" t="n">
        <v>0</v>
      </c>
      <c r="S173" s="1"/>
      <c r="T173" s="1" t="n">
        <v>1</v>
      </c>
      <c r="U173" s="1" t="n">
        <v>2</v>
      </c>
      <c r="V173" s="1" t="n">
        <v>3</v>
      </c>
      <c r="W173" s="1" t="n">
        <v>24</v>
      </c>
      <c r="Y173" s="1" t="n">
        <v>1</v>
      </c>
      <c r="Z173" s="0" t="s">
        <v>175</v>
      </c>
      <c r="AA173" s="0" t="s">
        <v>292</v>
      </c>
      <c r="AC173" s="0" t="s">
        <v>177</v>
      </c>
      <c r="AD173" s="0" t="s">
        <v>293</v>
      </c>
      <c r="AE173" s="0" t="s">
        <v>294</v>
      </c>
      <c r="AH173" s="0" t="s">
        <v>180</v>
      </c>
      <c r="AJ173" s="0" t="s">
        <v>437</v>
      </c>
      <c r="AK173" s="0" t="s">
        <v>94</v>
      </c>
      <c r="AN173" s="0" t="s">
        <v>97</v>
      </c>
      <c r="AP173" s="0" t="s">
        <v>99</v>
      </c>
      <c r="AS173" s="0" t="s">
        <v>102</v>
      </c>
      <c r="AT173" s="0" t="s">
        <v>103</v>
      </c>
      <c r="CL173" s="0" t="s">
        <v>147</v>
      </c>
    </row>
    <row r="174">
      <c r="B174" s="0" t="s">
        <v>713</v>
      </c>
      <c r="C174" s="1" t="n">
        <v>353923</v>
      </c>
      <c r="E174" s="14" t="s">
        <v>714</v>
      </c>
      <c r="F174" s="14" t="s">
        <v>184</v>
      </c>
      <c r="G174" s="25" t="str">
        <f>HYPERLINK("http://vk.com/wall730523579_186")</f>
      </c>
      <c r="H174" s="14" t="s">
        <v>170</v>
      </c>
      <c r="I174" s="14" t="s">
        <v>194</v>
      </c>
      <c r="J174" s="14" t="s">
        <v>715</v>
      </c>
      <c r="K174" s="26" t="str">
        <f>HYPERLINK("http://vk.com/id730523579")</f>
      </c>
      <c r="L174" s="14" t="s">
        <v>173</v>
      </c>
      <c r="O174" s="1" t="s">
        <v>174</v>
      </c>
      <c r="P174" s="1" t="n">
        <v>53</v>
      </c>
      <c r="Q174" s="1" t="n">
        <v>43</v>
      </c>
      <c r="R174" s="1" t="n">
        <v>0</v>
      </c>
      <c r="S174" s="1"/>
      <c r="T174" s="1" t="n">
        <v>0</v>
      </c>
      <c r="U174" s="1" t="n">
        <v>0</v>
      </c>
      <c r="V174" s="1" t="n">
        <v>0</v>
      </c>
      <c r="W174" s="1" t="n">
        <v>3</v>
      </c>
      <c r="Y174" s="1" t="n">
        <v>1</v>
      </c>
      <c r="Z174" s="0" t="s">
        <v>175</v>
      </c>
      <c r="AA174" s="0" t="s">
        <v>187</v>
      </c>
      <c r="AC174" s="0" t="s">
        <v>177</v>
      </c>
      <c r="AD174" s="0" t="s">
        <v>716</v>
      </c>
      <c r="AE174" s="0" t="s">
        <v>717</v>
      </c>
      <c r="AH174" s="0" t="s">
        <v>180</v>
      </c>
      <c r="AI174" s="0" t="s">
        <v>92</v>
      </c>
      <c r="AJ174" s="0" t="s">
        <v>437</v>
      </c>
      <c r="AK174" s="0" t="s">
        <v>94</v>
      </c>
      <c r="AN174" s="0" t="s">
        <v>97</v>
      </c>
      <c r="AP174" s="0" t="s">
        <v>99</v>
      </c>
      <c r="AR174" s="0" t="s">
        <v>101</v>
      </c>
      <c r="AT174" s="0" t="s">
        <v>103</v>
      </c>
      <c r="AW174" s="0" t="s">
        <v>106</v>
      </c>
      <c r="BU174" s="0" t="s">
        <v>130</v>
      </c>
      <c r="BV174" s="0" t="s">
        <v>131</v>
      </c>
      <c r="CF174" s="0" t="s">
        <v>141</v>
      </c>
    </row>
    <row r="175" ht="1632.75">
      <c r="B175" s="0" t="s">
        <v>713</v>
      </c>
      <c r="C175" s="1" t="n">
        <v>353891</v>
      </c>
      <c r="E175" s="14" t="s">
        <v>320</v>
      </c>
      <c r="F175" s="14" t="s">
        <v>184</v>
      </c>
      <c r="G175" s="25" t="str">
        <f>HYPERLINK("http://vk.com/wall291913936_504")</f>
      </c>
      <c r="H175" s="14" t="s">
        <v>170</v>
      </c>
      <c r="I175" s="14" t="s">
        <v>171</v>
      </c>
      <c r="J175" s="14" t="s">
        <v>718</v>
      </c>
      <c r="K175" s="26" t="str">
        <f>HYPERLINK("http://vk.com/id291913936")</f>
      </c>
      <c r="L175" s="14" t="s">
        <v>173</v>
      </c>
      <c r="O175" s="1" t="s">
        <v>186</v>
      </c>
      <c r="P175" s="1"/>
      <c r="Q175" s="1" t="n">
        <v>31</v>
      </c>
      <c r="R175" s="1" t="n">
        <v>0</v>
      </c>
      <c r="S175" s="1"/>
      <c r="T175" s="1" t="n">
        <v>0</v>
      </c>
      <c r="U175" s="1" t="n">
        <v>0</v>
      </c>
      <c r="V175" s="1" t="n">
        <v>0</v>
      </c>
      <c r="W175" s="1"/>
      <c r="Y175" s="1" t="n">
        <v>12</v>
      </c>
      <c r="Z175" s="0" t="s">
        <v>175</v>
      </c>
      <c r="AA175" s="0" t="s">
        <v>187</v>
      </c>
      <c r="AC175" s="0" t="s">
        <v>177</v>
      </c>
      <c r="AD175" s="0" t="s">
        <v>719</v>
      </c>
      <c r="AE175" s="0" t="s">
        <v>720</v>
      </c>
      <c r="AH175" s="0" t="s">
        <v>180</v>
      </c>
      <c r="AJ175" s="0" t="s">
        <v>437</v>
      </c>
      <c r="AK175" s="0" t="s">
        <v>94</v>
      </c>
      <c r="AM175" s="0" t="s">
        <v>96</v>
      </c>
      <c r="AP175" s="0" t="s">
        <v>99</v>
      </c>
      <c r="AX175" s="0" t="s">
        <v>107</v>
      </c>
    </row>
    <row r="176" ht="24.75">
      <c r="B176" s="0" t="s">
        <v>721</v>
      </c>
      <c r="C176" s="1" t="n">
        <v>353961</v>
      </c>
      <c r="E176" s="14" t="s">
        <v>722</v>
      </c>
      <c r="F176" s="14" t="s">
        <v>184</v>
      </c>
      <c r="G176" s="25" t="str">
        <f>HYPERLINK("http://vk.com/wall629883562_11513")</f>
      </c>
      <c r="H176" s="14" t="s">
        <v>170</v>
      </c>
      <c r="I176" s="14" t="s">
        <v>194</v>
      </c>
      <c r="J176" s="14" t="s">
        <v>723</v>
      </c>
      <c r="K176" s="26" t="str">
        <f>HYPERLINK("http://vk.com/id629883562")</f>
      </c>
      <c r="L176" s="14" t="s">
        <v>173</v>
      </c>
      <c r="O176" s="1" t="s">
        <v>174</v>
      </c>
      <c r="P176" s="1" t="n">
        <v>56</v>
      </c>
      <c r="Q176" s="1" t="n">
        <v>88</v>
      </c>
      <c r="R176" s="1" t="n">
        <v>0</v>
      </c>
      <c r="S176" s="1"/>
      <c r="T176" s="1" t="n">
        <v>0</v>
      </c>
      <c r="U176" s="1" t="n">
        <v>3</v>
      </c>
      <c r="V176" s="1" t="n">
        <v>3</v>
      </c>
      <c r="W176" s="1" t="n">
        <v>5</v>
      </c>
      <c r="Y176" s="1" t="n">
        <v>1</v>
      </c>
      <c r="Z176" s="0" t="s">
        <v>175</v>
      </c>
      <c r="AA176" s="0" t="s">
        <v>292</v>
      </c>
      <c r="AC176" s="0" t="s">
        <v>177</v>
      </c>
      <c r="AD176" s="0" t="s">
        <v>454</v>
      </c>
      <c r="AE176" s="0" t="s">
        <v>724</v>
      </c>
      <c r="AH176" s="0" t="s">
        <v>180</v>
      </c>
      <c r="AJ176" s="0" t="s">
        <v>437</v>
      </c>
      <c r="AM176" s="0" t="s">
        <v>96</v>
      </c>
      <c r="AP176" s="0" t="s">
        <v>99</v>
      </c>
      <c r="BD176" s="0" t="s">
        <v>113</v>
      </c>
      <c r="BP176" s="0" t="s">
        <v>125</v>
      </c>
    </row>
    <row r="177">
      <c r="B177" s="0" t="s">
        <v>725</v>
      </c>
      <c r="C177" s="1" t="n">
        <v>353894</v>
      </c>
      <c r="E177" s="14" t="s">
        <v>726</v>
      </c>
      <c r="F177" s="14" t="s">
        <v>184</v>
      </c>
      <c r="G177" s="25" t="str">
        <f>HYPERLINK("http://vk.com/wall-131908471_506717?reply=511824&amp;thread=506732")</f>
      </c>
      <c r="H177" s="14" t="s">
        <v>170</v>
      </c>
      <c r="I177" s="14" t="s">
        <v>231</v>
      </c>
      <c r="J177" s="14" t="s">
        <v>611</v>
      </c>
      <c r="K177" s="26" t="str">
        <f>HYPERLINK("http://vk.com/id793760878")</f>
      </c>
      <c r="L177" s="14" t="s">
        <v>173</v>
      </c>
      <c r="M177" s="14" t="s">
        <v>727</v>
      </c>
      <c r="N177" s="25" t="str">
        <f>HYPERLINK("http://vk.com/club131908471")</f>
      </c>
      <c r="O177" s="1" t="s">
        <v>186</v>
      </c>
      <c r="P177" s="1" t="n">
        <v>25</v>
      </c>
      <c r="Q177" s="1" t="n">
        <v>72989</v>
      </c>
      <c r="R177" s="1" t="n">
        <v>0</v>
      </c>
      <c r="S177" s="1"/>
      <c r="T177" s="1" t="n">
        <v>0</v>
      </c>
      <c r="U177" s="1" t="n">
        <v>0</v>
      </c>
      <c r="V177" s="1" t="n">
        <v>0</v>
      </c>
      <c r="W177" s="1"/>
      <c r="Y177" s="1" t="n">
        <v>1</v>
      </c>
      <c r="Z177" s="0" t="s">
        <v>319</v>
      </c>
      <c r="AA177" s="0" t="s">
        <v>292</v>
      </c>
      <c r="AH177" s="0" t="s">
        <v>180</v>
      </c>
      <c r="AI177" s="0" t="s">
        <v>92</v>
      </c>
      <c r="AJ177" s="0" t="s">
        <v>437</v>
      </c>
      <c r="AK177" s="0" t="s">
        <v>94</v>
      </c>
      <c r="AR177" s="0" t="s">
        <v>101</v>
      </c>
      <c r="AY177" s="0" t="s">
        <v>108</v>
      </c>
      <c r="BP177" s="0" t="s">
        <v>125</v>
      </c>
    </row>
    <row r="178" ht="36.75">
      <c r="B178" s="0" t="s">
        <v>728</v>
      </c>
      <c r="C178" s="1" t="n">
        <v>353895</v>
      </c>
      <c r="E178" s="14" t="s">
        <v>202</v>
      </c>
      <c r="F178" s="14" t="s">
        <v>184</v>
      </c>
      <c r="G178" s="25" t="str">
        <f>HYPERLINK("http://vk.com/wall658333044_233")</f>
      </c>
      <c r="H178" s="14" t="s">
        <v>170</v>
      </c>
      <c r="I178" s="14" t="s">
        <v>171</v>
      </c>
      <c r="J178" s="14" t="s">
        <v>729</v>
      </c>
      <c r="K178" s="26" t="str">
        <f>HYPERLINK("http://vk.com/id658333044")</f>
      </c>
      <c r="L178" s="14" t="s">
        <v>173</v>
      </c>
      <c r="O178" s="1" t="s">
        <v>186</v>
      </c>
      <c r="P178" s="1" t="n">
        <v>23</v>
      </c>
      <c r="Q178" s="1" t="n">
        <v>19</v>
      </c>
      <c r="R178" s="1" t="n">
        <v>0</v>
      </c>
      <c r="S178" s="1"/>
      <c r="T178" s="1" t="n">
        <v>0</v>
      </c>
      <c r="U178" s="1" t="n">
        <v>0</v>
      </c>
      <c r="V178" s="1" t="n">
        <v>0</v>
      </c>
      <c r="W178" s="1"/>
      <c r="Y178" s="1" t="n">
        <v>60</v>
      </c>
      <c r="Z178" s="0" t="s">
        <v>175</v>
      </c>
      <c r="AA178" s="0" t="s">
        <v>176</v>
      </c>
      <c r="AH178" s="0" t="s">
        <v>180</v>
      </c>
      <c r="AJ178" s="0" t="s">
        <v>437</v>
      </c>
      <c r="AK178" s="0" t="s">
        <v>94</v>
      </c>
      <c r="AL178" s="0" t="s">
        <v>95</v>
      </c>
      <c r="AM178" s="0" t="s">
        <v>96</v>
      </c>
      <c r="AO178" s="0" t="s">
        <v>98</v>
      </c>
      <c r="AQ178" s="0" t="s">
        <v>100</v>
      </c>
    </row>
    <row r="179">
      <c r="B179" s="0" t="s">
        <v>728</v>
      </c>
      <c r="C179" s="1" t="n">
        <v>353903</v>
      </c>
      <c r="E179" s="14" t="s">
        <v>730</v>
      </c>
      <c r="F179" s="14" t="s">
        <v>184</v>
      </c>
      <c r="G179" s="25" t="str">
        <f>HYPERLINK("http://vk.com/wall-49066148_1530613?reply=1540573&amp;thread=1530641")</f>
      </c>
      <c r="H179" s="14" t="s">
        <v>170</v>
      </c>
      <c r="I179" s="14" t="s">
        <v>231</v>
      </c>
      <c r="J179" s="14" t="s">
        <v>611</v>
      </c>
      <c r="K179" s="26" t="str">
        <f>HYPERLINK("http://vk.com/id793760878")</f>
      </c>
      <c r="L179" s="14" t="s">
        <v>173</v>
      </c>
      <c r="M179" s="14" t="s">
        <v>731</v>
      </c>
      <c r="N179" s="25" t="str">
        <f>HYPERLINK("http://vk.com/club49066148")</f>
      </c>
      <c r="O179" s="1" t="s">
        <v>186</v>
      </c>
      <c r="P179" s="1" t="n">
        <v>25</v>
      </c>
      <c r="Q179" s="1" t="n">
        <v>56280</v>
      </c>
      <c r="R179" s="1" t="n">
        <v>0</v>
      </c>
      <c r="S179" s="1"/>
      <c r="T179" s="1" t="n">
        <v>0</v>
      </c>
      <c r="U179" s="1" t="n">
        <v>0</v>
      </c>
      <c r="V179" s="1" t="n">
        <v>0</v>
      </c>
      <c r="W179" s="1"/>
      <c r="Y179" s="1" t="n">
        <v>1</v>
      </c>
      <c r="Z179" s="0" t="s">
        <v>319</v>
      </c>
      <c r="AA179" s="0" t="s">
        <v>292</v>
      </c>
      <c r="AH179" s="0" t="s">
        <v>180</v>
      </c>
      <c r="AI179" s="0" t="s">
        <v>92</v>
      </c>
      <c r="AJ179" s="0" t="s">
        <v>437</v>
      </c>
      <c r="AK179" s="0" t="s">
        <v>94</v>
      </c>
      <c r="AR179" s="0" t="s">
        <v>101</v>
      </c>
      <c r="AY179" s="0" t="s">
        <v>108</v>
      </c>
      <c r="BP179" s="0" t="s">
        <v>125</v>
      </c>
    </row>
    <row r="180" ht="24.75">
      <c r="B180" s="0" t="s">
        <v>732</v>
      </c>
      <c r="C180" s="1" t="n">
        <v>353868</v>
      </c>
      <c r="E180" s="14" t="s">
        <v>733</v>
      </c>
      <c r="F180" s="14" t="s">
        <v>184</v>
      </c>
      <c r="G180" s="25" t="str">
        <f>HYPERLINK("http://vk.com/wall-86024718_2018897?reply=2018898")</f>
      </c>
      <c r="H180" s="14" t="s">
        <v>170</v>
      </c>
      <c r="I180" s="14" t="s">
        <v>231</v>
      </c>
      <c r="J180" s="14" t="s">
        <v>734</v>
      </c>
      <c r="K180" s="26" t="str">
        <f>HYPERLINK("http://vk.com/id14438253")</f>
      </c>
      <c r="L180" s="14" t="s">
        <v>173</v>
      </c>
      <c r="M180" s="14" t="s">
        <v>450</v>
      </c>
      <c r="N180" s="25" t="str">
        <f>HYPERLINK("http://vk.com/club86024718")</f>
      </c>
      <c r="O180" s="1" t="s">
        <v>186</v>
      </c>
      <c r="P180" s="1"/>
      <c r="Q180" s="1" t="n">
        <v>30349</v>
      </c>
      <c r="R180" s="1" t="n">
        <v>0</v>
      </c>
      <c r="S180" s="1"/>
      <c r="T180" s="1" t="n">
        <v>0</v>
      </c>
      <c r="U180" s="1" t="n">
        <v>0</v>
      </c>
      <c r="V180" s="1" t="n">
        <v>0</v>
      </c>
      <c r="W180" s="1"/>
      <c r="Y180" s="1" t="n">
        <v>1</v>
      </c>
      <c r="Z180" s="0" t="s">
        <v>175</v>
      </c>
      <c r="AA180" s="0" t="s">
        <v>187</v>
      </c>
      <c r="AC180" s="0" t="s">
        <v>177</v>
      </c>
      <c r="AH180" s="0" t="s">
        <v>180</v>
      </c>
      <c r="AI180" s="0" t="s">
        <v>92</v>
      </c>
      <c r="AJ180" s="0" t="s">
        <v>437</v>
      </c>
      <c r="AK180" s="0" t="s">
        <v>94</v>
      </c>
      <c r="AN180" s="0" t="s">
        <v>97</v>
      </c>
      <c r="AP180" s="0" t="s">
        <v>99</v>
      </c>
      <c r="AR180" s="0" t="s">
        <v>101</v>
      </c>
      <c r="AT180" s="0" t="s">
        <v>103</v>
      </c>
      <c r="BV180" s="0" t="s">
        <v>131</v>
      </c>
      <c r="CF180" s="0" t="s">
        <v>141</v>
      </c>
    </row>
    <row r="181">
      <c r="B181" s="0" t="s">
        <v>732</v>
      </c>
      <c r="C181" s="1" t="n">
        <v>353870</v>
      </c>
      <c r="D181" s="0" t="s">
        <v>735</v>
      </c>
      <c r="E181" s="14" t="s">
        <v>736</v>
      </c>
      <c r="F181" s="14" t="s">
        <v>263</v>
      </c>
      <c r="G181" s="25" t="str">
        <f>HYPERLINK("https://www.baby.ru/blogs/post/2611406742-1969574877/")</f>
      </c>
      <c r="H181" s="14" t="s">
        <v>264</v>
      </c>
      <c r="I181" s="14" t="s">
        <v>231</v>
      </c>
      <c r="J181" s="14" t="s">
        <v>265</v>
      </c>
      <c r="K181" s="26" t="str">
        <f>HYPERLINK("https://www.baby.ru/u/usr2171834/")</f>
      </c>
      <c r="L181" s="14"/>
      <c r="M181" s="14" t="s">
        <v>737</v>
      </c>
      <c r="N181" s="25" t="str">
        <f>HYPERLINK("https://www.baby.ru/u/usr2516130/")</f>
      </c>
      <c r="O181" s="1"/>
      <c r="P181" s="1"/>
      <c r="Q181" s="1"/>
      <c r="R181" s="1" t="n">
        <v>0</v>
      </c>
      <c r="S181" s="1"/>
      <c r="T181" s="1" t="n">
        <v>0</v>
      </c>
      <c r="U181" s="1" t="n">
        <v>0</v>
      </c>
      <c r="V181" s="1" t="n">
        <v>0</v>
      </c>
      <c r="W181" s="1"/>
      <c r="Y181" s="1" t="n">
        <v>1</v>
      </c>
      <c r="Z181" s="0" t="s">
        <v>175</v>
      </c>
      <c r="AA181" s="0" t="s">
        <v>187</v>
      </c>
      <c r="AC181" s="0" t="s">
        <v>177</v>
      </c>
      <c r="AD181" s="0" t="s">
        <v>252</v>
      </c>
      <c r="AE181" s="0" t="s">
        <v>267</v>
      </c>
      <c r="AH181" s="0" t="s">
        <v>180</v>
      </c>
      <c r="AI181" s="0" t="s">
        <v>92</v>
      </c>
      <c r="AJ181" s="0" t="s">
        <v>437</v>
      </c>
      <c r="AK181" s="0" t="s">
        <v>94</v>
      </c>
      <c r="AP181" s="0" t="s">
        <v>99</v>
      </c>
      <c r="AT181" s="0" t="s">
        <v>103</v>
      </c>
      <c r="BC181" s="0" t="s">
        <v>112</v>
      </c>
      <c r="BI181" s="0" t="s">
        <v>118</v>
      </c>
    </row>
    <row r="182">
      <c r="B182" s="0" t="s">
        <v>738</v>
      </c>
      <c r="C182" s="1" t="n">
        <v>353897</v>
      </c>
      <c r="E182" s="14" t="s">
        <v>739</v>
      </c>
      <c r="F182" s="14" t="s">
        <v>184</v>
      </c>
      <c r="G182" s="25" t="str">
        <f>HYPERLINK("http://vk.com/wall-155403177_56807?reply=57247&amp;thread=56809")</f>
      </c>
      <c r="H182" s="14" t="s">
        <v>170</v>
      </c>
      <c r="I182" s="14" t="s">
        <v>231</v>
      </c>
      <c r="J182" s="14" t="s">
        <v>740</v>
      </c>
      <c r="K182" s="26" t="str">
        <f>HYPERLINK("http://vk.com/club155403177")</f>
      </c>
      <c r="L182" s="14" t="s">
        <v>274</v>
      </c>
      <c r="O182" s="1"/>
      <c r="P182" s="1"/>
      <c r="Q182" s="1" t="n">
        <v>95387</v>
      </c>
      <c r="R182" s="1" t="n">
        <v>0</v>
      </c>
      <c r="S182" s="1"/>
      <c r="T182" s="1" t="n">
        <v>0</v>
      </c>
      <c r="U182" s="1" t="n">
        <v>0</v>
      </c>
      <c r="V182" s="1" t="n">
        <v>0</v>
      </c>
      <c r="W182" s="1"/>
      <c r="Y182" s="1" t="n">
        <v>1</v>
      </c>
      <c r="Z182" s="0" t="s">
        <v>463</v>
      </c>
      <c r="AA182" s="0" t="s">
        <v>292</v>
      </c>
      <c r="AH182" s="0" t="s">
        <v>180</v>
      </c>
      <c r="AI182" s="0" t="s">
        <v>92</v>
      </c>
      <c r="AJ182" s="0" t="s">
        <v>437</v>
      </c>
      <c r="AP182" s="0" t="s">
        <v>99</v>
      </c>
      <c r="AY182" s="0" t="s">
        <v>108</v>
      </c>
      <c r="BP182" s="0" t="s">
        <v>125</v>
      </c>
      <c r="DB182" s="0" t="s">
        <v>163</v>
      </c>
    </row>
    <row r="183">
      <c r="B183" s="0" t="s">
        <v>741</v>
      </c>
      <c r="C183" s="1" t="n">
        <v>353883</v>
      </c>
      <c r="E183" s="14" t="s">
        <v>742</v>
      </c>
      <c r="F183" s="14" t="s">
        <v>184</v>
      </c>
      <c r="G183" s="25" t="str">
        <f>HYPERLINK("http://vk.com/wall-36274616_8349893?reply=8352377&amp;thread=8350576")</f>
      </c>
      <c r="H183" s="14" t="s">
        <v>170</v>
      </c>
      <c r="I183" s="14" t="s">
        <v>231</v>
      </c>
      <c r="J183" s="14" t="s">
        <v>541</v>
      </c>
      <c r="K183" s="26" t="str">
        <f>HYPERLINK("http://vk.com/id611721829")</f>
      </c>
      <c r="L183" s="14" t="s">
        <v>173</v>
      </c>
      <c r="M183" s="14" t="s">
        <v>600</v>
      </c>
      <c r="N183" s="25" t="str">
        <f>HYPERLINK("http://vk.com/club36274616")</f>
      </c>
      <c r="O183" s="1" t="s">
        <v>186</v>
      </c>
      <c r="P183" s="1" t="n">
        <v>15</v>
      </c>
      <c r="Q183" s="1" t="n">
        <v>46338</v>
      </c>
      <c r="R183" s="1" t="n">
        <v>0</v>
      </c>
      <c r="S183" s="1"/>
      <c r="T183" s="1" t="n">
        <v>0</v>
      </c>
      <c r="U183" s="1" t="n">
        <v>0</v>
      </c>
      <c r="V183" s="1" t="n">
        <v>0</v>
      </c>
      <c r="W183" s="1"/>
      <c r="Y183" s="1" t="n">
        <v>1</v>
      </c>
      <c r="Z183" s="0" t="s">
        <v>319</v>
      </c>
      <c r="AA183" s="0" t="s">
        <v>292</v>
      </c>
      <c r="AC183" s="0" t="s">
        <v>177</v>
      </c>
      <c r="AD183" s="0" t="s">
        <v>604</v>
      </c>
      <c r="AE183" s="0" t="s">
        <v>605</v>
      </c>
      <c r="AH183" s="0" t="s">
        <v>180</v>
      </c>
      <c r="AI183" s="0" t="s">
        <v>92</v>
      </c>
      <c r="AJ183" s="0" t="s">
        <v>437</v>
      </c>
      <c r="AK183" s="0" t="s">
        <v>94</v>
      </c>
      <c r="AU183" s="0" t="s">
        <v>104</v>
      </c>
      <c r="AY183" s="0" t="s">
        <v>108</v>
      </c>
      <c r="BD183" s="0" t="s">
        <v>113</v>
      </c>
    </row>
    <row r="184">
      <c r="B184" s="0" t="s">
        <v>741</v>
      </c>
      <c r="C184" s="1" t="n">
        <v>353864</v>
      </c>
      <c r="E184" s="14" t="s">
        <v>743</v>
      </c>
      <c r="F184" s="14" t="s">
        <v>184</v>
      </c>
      <c r="G184" s="25" t="str">
        <f>HYPERLINK("http://vk.com/wall-61061413_6639898?reply=6671115&amp;thread=6639927")</f>
      </c>
      <c r="H184" s="14" t="s">
        <v>170</v>
      </c>
      <c r="I184" s="14" t="s">
        <v>231</v>
      </c>
      <c r="J184" s="14" t="s">
        <v>611</v>
      </c>
      <c r="K184" s="26" t="str">
        <f>HYPERLINK("http://vk.com/id793760878")</f>
      </c>
      <c r="L184" s="14" t="s">
        <v>173</v>
      </c>
      <c r="M184" s="14" t="s">
        <v>744</v>
      </c>
      <c r="N184" s="25" t="str">
        <f>HYPERLINK("http://vk.com/club61061413")</f>
      </c>
      <c r="O184" s="1" t="s">
        <v>186</v>
      </c>
      <c r="P184" s="1" t="n">
        <v>25</v>
      </c>
      <c r="Q184" s="1" t="n">
        <v>232124</v>
      </c>
      <c r="R184" s="1" t="n">
        <v>0</v>
      </c>
      <c r="S184" s="1"/>
      <c r="T184" s="1" t="n">
        <v>0</v>
      </c>
      <c r="U184" s="1" t="n">
        <v>0</v>
      </c>
      <c r="V184" s="1" t="n">
        <v>0</v>
      </c>
      <c r="W184" s="1"/>
      <c r="Y184" s="1" t="n">
        <v>1</v>
      </c>
      <c r="Z184" s="0" t="s">
        <v>319</v>
      </c>
      <c r="AA184" s="0" t="s">
        <v>292</v>
      </c>
      <c r="AH184" s="0" t="s">
        <v>180</v>
      </c>
      <c r="AI184" s="0" t="s">
        <v>92</v>
      </c>
      <c r="AJ184" s="0" t="s">
        <v>437</v>
      </c>
      <c r="AK184" s="0" t="s">
        <v>94</v>
      </c>
      <c r="AR184" s="0" t="s">
        <v>101</v>
      </c>
      <c r="AY184" s="0" t="s">
        <v>108</v>
      </c>
      <c r="BP184" s="0" t="s">
        <v>125</v>
      </c>
    </row>
    <row r="185">
      <c r="B185" s="0" t="s">
        <v>741</v>
      </c>
      <c r="C185" s="1" t="n">
        <v>353899</v>
      </c>
      <c r="E185" s="14" t="s">
        <v>745</v>
      </c>
      <c r="F185" s="14" t="s">
        <v>184</v>
      </c>
      <c r="G185" s="25" t="str">
        <f>HYPERLINK("http://vk.com/wall-155341135_178485?reply=178506")</f>
      </c>
      <c r="H185" s="14" t="s">
        <v>170</v>
      </c>
      <c r="I185" s="14" t="s">
        <v>231</v>
      </c>
      <c r="J185" s="14" t="s">
        <v>746</v>
      </c>
      <c r="K185" s="26" t="str">
        <f>HYPERLINK("http://vk.com/id757012434")</f>
      </c>
      <c r="L185" s="14" t="s">
        <v>173</v>
      </c>
      <c r="M185" s="14" t="s">
        <v>747</v>
      </c>
      <c r="N185" s="25" t="str">
        <f>HYPERLINK("http://vk.com/club155341135")</f>
      </c>
      <c r="O185" s="1" t="s">
        <v>186</v>
      </c>
      <c r="P185" s="1" t="n">
        <v>27</v>
      </c>
      <c r="Q185" s="1" t="n">
        <v>13885</v>
      </c>
      <c r="R185" s="1" t="n">
        <v>0</v>
      </c>
      <c r="S185" s="1"/>
      <c r="T185" s="1" t="n">
        <v>0</v>
      </c>
      <c r="U185" s="1" t="n">
        <v>0</v>
      </c>
      <c r="V185" s="1" t="n">
        <v>0</v>
      </c>
      <c r="W185" s="1"/>
      <c r="Y185" s="1" t="n">
        <v>1</v>
      </c>
      <c r="Z185" s="0" t="s">
        <v>175</v>
      </c>
      <c r="AA185" s="0" t="s">
        <v>187</v>
      </c>
      <c r="AH185" s="0" t="s">
        <v>180</v>
      </c>
      <c r="AJ185" s="0" t="s">
        <v>437</v>
      </c>
      <c r="AK185" s="0" t="s">
        <v>94</v>
      </c>
      <c r="AN185" s="0" t="s">
        <v>97</v>
      </c>
      <c r="AP185" s="0" t="s">
        <v>99</v>
      </c>
      <c r="AS185" s="0" t="s">
        <v>102</v>
      </c>
      <c r="BG185" s="0" t="s">
        <v>116</v>
      </c>
      <c r="BL185" s="0" t="s">
        <v>121</v>
      </c>
      <c r="BW185" s="0" t="s">
        <v>132</v>
      </c>
    </row>
    <row r="186" ht="1308.75">
      <c r="B186" s="0" t="s">
        <v>741</v>
      </c>
      <c r="C186" s="1" t="n">
        <v>353934</v>
      </c>
      <c r="E186" s="14" t="s">
        <v>748</v>
      </c>
      <c r="F186" s="14" t="s">
        <v>169</v>
      </c>
      <c r="G186" s="25" t="str">
        <f>HYPERLINK("http://www.ok.ru/profile/573961104430/statuses/156364836641582")</f>
      </c>
      <c r="H186" s="14" t="s">
        <v>170</v>
      </c>
      <c r="I186" s="14" t="s">
        <v>171</v>
      </c>
      <c r="J186" s="14" t="s">
        <v>749</v>
      </c>
      <c r="K186" s="26" t="str">
        <f>HYPERLINK("http://www.ok.ru/profile/573961104430")</f>
      </c>
      <c r="L186" s="14" t="s">
        <v>173</v>
      </c>
      <c r="O186" s="1" t="s">
        <v>186</v>
      </c>
      <c r="P186" s="1" t="n">
        <v>58</v>
      </c>
      <c r="Q186" s="1" t="n">
        <v>6375</v>
      </c>
      <c r="R186" s="1" t="n">
        <v>0</v>
      </c>
      <c r="S186" s="1"/>
      <c r="T186" s="1" t="n">
        <v>1</v>
      </c>
      <c r="U186" s="1" t="n">
        <v>1</v>
      </c>
      <c r="V186" s="1" t="n">
        <v>2</v>
      </c>
      <c r="W186" s="1"/>
      <c r="Y186" s="1" t="n">
        <v>4</v>
      </c>
      <c r="Z186" s="0" t="s">
        <v>175</v>
      </c>
      <c r="AA186" s="0" t="s">
        <v>176</v>
      </c>
      <c r="AC186" s="0" t="s">
        <v>177</v>
      </c>
      <c r="AD186" s="0" t="s">
        <v>188</v>
      </c>
      <c r="AE186" s="0" t="s">
        <v>750</v>
      </c>
      <c r="AH186" s="0" t="s">
        <v>180</v>
      </c>
      <c r="AJ186" s="0" t="s">
        <v>437</v>
      </c>
      <c r="AK186" s="0" t="s">
        <v>94</v>
      </c>
      <c r="AL186" s="0" t="s">
        <v>95</v>
      </c>
      <c r="AM186" s="0" t="s">
        <v>96</v>
      </c>
      <c r="AO186" s="0" t="s">
        <v>98</v>
      </c>
      <c r="AQ186" s="0" t="s">
        <v>100</v>
      </c>
      <c r="AR186" s="0" t="s">
        <v>101</v>
      </c>
    </row>
    <row r="187">
      <c r="B187" s="0" t="s">
        <v>751</v>
      </c>
      <c r="C187" s="1" t="n">
        <v>353878</v>
      </c>
      <c r="E187" s="14" t="s">
        <v>752</v>
      </c>
      <c r="F187" s="14" t="s">
        <v>184</v>
      </c>
      <c r="G187" s="25" t="str">
        <f>HYPERLINK("http://vk.com/wall-96748875_1398264?reply=1412454&amp;thread=1398294")</f>
      </c>
      <c r="H187" s="14" t="s">
        <v>170</v>
      </c>
      <c r="I187" s="14" t="s">
        <v>231</v>
      </c>
      <c r="J187" s="14" t="s">
        <v>611</v>
      </c>
      <c r="K187" s="26" t="str">
        <f>HYPERLINK("http://vk.com/id793760878")</f>
      </c>
      <c r="L187" s="14" t="s">
        <v>173</v>
      </c>
      <c r="M187" s="14" t="s">
        <v>753</v>
      </c>
      <c r="N187" s="25" t="str">
        <f>HYPERLINK("http://vk.com/club96748875")</f>
      </c>
      <c r="O187" s="1" t="s">
        <v>186</v>
      </c>
      <c r="P187" s="1" t="n">
        <v>25</v>
      </c>
      <c r="Q187" s="1" t="n">
        <v>107448</v>
      </c>
      <c r="R187" s="1" t="n">
        <v>0</v>
      </c>
      <c r="S187" s="1"/>
      <c r="T187" s="1" t="n">
        <v>0</v>
      </c>
      <c r="U187" s="1" t="n">
        <v>0</v>
      </c>
      <c r="V187" s="1" t="n">
        <v>0</v>
      </c>
      <c r="W187" s="1"/>
      <c r="Y187" s="1" t="n">
        <v>1</v>
      </c>
      <c r="Z187" s="0" t="s">
        <v>319</v>
      </c>
      <c r="AA187" s="0" t="s">
        <v>292</v>
      </c>
      <c r="AH187" s="0" t="s">
        <v>180</v>
      </c>
      <c r="AI187" s="0" t="s">
        <v>92</v>
      </c>
      <c r="AJ187" s="0" t="s">
        <v>437</v>
      </c>
      <c r="AY187" s="0" t="s">
        <v>108</v>
      </c>
      <c r="BP187" s="0" t="s">
        <v>125</v>
      </c>
    </row>
    <row r="188">
      <c r="B188" s="0" t="s">
        <v>751</v>
      </c>
      <c r="C188" s="1" t="n">
        <v>353880</v>
      </c>
      <c r="E188" s="14" t="s">
        <v>754</v>
      </c>
      <c r="F188" s="14" t="s">
        <v>184</v>
      </c>
      <c r="G188" s="25" t="str">
        <f>HYPERLINK("http://vk.com/wall-153326247_489378?reply=489435")</f>
      </c>
      <c r="H188" s="14" t="s">
        <v>170</v>
      </c>
      <c r="I188" s="14" t="s">
        <v>231</v>
      </c>
      <c r="J188" s="14" t="s">
        <v>755</v>
      </c>
      <c r="K188" s="26" t="str">
        <f>HYPERLINK("http://vk.com/id33653527")</f>
      </c>
      <c r="L188" s="14" t="s">
        <v>173</v>
      </c>
      <c r="M188" s="14" t="s">
        <v>663</v>
      </c>
      <c r="N188" s="25" t="str">
        <f>HYPERLINK("http://vk.com/club153326247")</f>
      </c>
      <c r="O188" s="1" t="s">
        <v>186</v>
      </c>
      <c r="P188" s="1"/>
      <c r="Q188" s="1" t="n">
        <v>27180</v>
      </c>
      <c r="R188" s="1" t="n">
        <v>0</v>
      </c>
      <c r="S188" s="1"/>
      <c r="T188" s="1" t="n">
        <v>0</v>
      </c>
      <c r="U188" s="1" t="n">
        <v>0</v>
      </c>
      <c r="V188" s="1" t="n">
        <v>0</v>
      </c>
      <c r="W188" s="1"/>
      <c r="Y188" s="1" t="n">
        <v>1</v>
      </c>
      <c r="Z188" s="0" t="s">
        <v>175</v>
      </c>
      <c r="AA188" s="0" t="s">
        <v>187</v>
      </c>
      <c r="AC188" s="0" t="s">
        <v>177</v>
      </c>
      <c r="AD188" s="0" t="s">
        <v>293</v>
      </c>
      <c r="AE188" s="0" t="s">
        <v>294</v>
      </c>
      <c r="AH188" s="0" t="s">
        <v>180</v>
      </c>
      <c r="AI188" s="0" t="s">
        <v>92</v>
      </c>
      <c r="AJ188" s="0" t="s">
        <v>437</v>
      </c>
      <c r="AK188" s="0" t="s">
        <v>94</v>
      </c>
      <c r="AN188" s="0" t="s">
        <v>97</v>
      </c>
      <c r="AP188" s="0" t="s">
        <v>99</v>
      </c>
      <c r="AR188" s="0" t="s">
        <v>101</v>
      </c>
      <c r="AS188" s="0" t="s">
        <v>102</v>
      </c>
      <c r="AT188" s="0" t="s">
        <v>103</v>
      </c>
      <c r="BB188" s="0" t="s">
        <v>111</v>
      </c>
      <c r="CB188" s="0" t="s">
        <v>137</v>
      </c>
    </row>
    <row r="189" ht="48.75">
      <c r="B189" s="0" t="s">
        <v>756</v>
      </c>
      <c r="C189" s="1" t="n">
        <v>353872</v>
      </c>
      <c r="E189" s="14" t="s">
        <v>757</v>
      </c>
      <c r="F189" s="14" t="s">
        <v>184</v>
      </c>
      <c r="G189" s="25" t="str">
        <f>HYPERLINK("http://vk.com/wall-48067990_914514?reply=914586")</f>
      </c>
      <c r="H189" s="14" t="s">
        <v>170</v>
      </c>
      <c r="I189" s="14" t="s">
        <v>231</v>
      </c>
      <c r="J189" s="14" t="s">
        <v>758</v>
      </c>
      <c r="K189" s="26" t="str">
        <f>HYPERLINK("http://vk.com/id14884915")</f>
      </c>
      <c r="L189" s="14" t="s">
        <v>173</v>
      </c>
      <c r="M189" s="14" t="s">
        <v>759</v>
      </c>
      <c r="N189" s="25" t="str">
        <f>HYPERLINK("http://vk.com/club48067990")</f>
      </c>
      <c r="O189" s="1" t="s">
        <v>186</v>
      </c>
      <c r="P189" s="1"/>
      <c r="Q189" s="1" t="n">
        <v>59167</v>
      </c>
      <c r="R189" s="1" t="n">
        <v>0</v>
      </c>
      <c r="S189" s="1"/>
      <c r="T189" s="1" t="n">
        <v>0</v>
      </c>
      <c r="U189" s="1" t="n">
        <v>0</v>
      </c>
      <c r="V189" s="1" t="n">
        <v>0</v>
      </c>
      <c r="W189" s="1"/>
      <c r="Y189" s="1" t="n">
        <v>1</v>
      </c>
      <c r="Z189" s="0" t="s">
        <v>175</v>
      </c>
      <c r="AA189" s="0" t="s">
        <v>187</v>
      </c>
      <c r="AC189" s="0" t="s">
        <v>177</v>
      </c>
      <c r="AD189" s="0" t="s">
        <v>760</v>
      </c>
      <c r="AE189" s="0" t="s">
        <v>761</v>
      </c>
      <c r="AH189" s="0" t="s">
        <v>180</v>
      </c>
      <c r="AI189" s="0" t="s">
        <v>92</v>
      </c>
      <c r="AJ189" s="0" t="s">
        <v>437</v>
      </c>
      <c r="AK189" s="0" t="s">
        <v>94</v>
      </c>
      <c r="AN189" s="0" t="s">
        <v>97</v>
      </c>
      <c r="AP189" s="0" t="s">
        <v>99</v>
      </c>
      <c r="AT189" s="0" t="s">
        <v>103</v>
      </c>
      <c r="AW189" s="0" t="s">
        <v>106</v>
      </c>
      <c r="BI189" s="0" t="s">
        <v>118</v>
      </c>
      <c r="BZ189" s="0" t="s">
        <v>135</v>
      </c>
    </row>
    <row r="190">
      <c r="B190" s="0" t="s">
        <v>756</v>
      </c>
      <c r="C190" s="1" t="n">
        <v>353929</v>
      </c>
      <c r="E190" s="14" t="s">
        <v>762</v>
      </c>
      <c r="F190" s="14" t="s">
        <v>184</v>
      </c>
      <c r="G190" s="25" t="str">
        <f>HYPERLINK("http://vk.com/wall-86024718_2018897")</f>
      </c>
      <c r="H190" s="14" t="s">
        <v>170</v>
      </c>
      <c r="I190" s="14" t="s">
        <v>194</v>
      </c>
      <c r="J190" s="14" t="s">
        <v>450</v>
      </c>
      <c r="K190" s="26" t="str">
        <f>HYPERLINK("http://vk.com/club86024718")</f>
      </c>
      <c r="L190" s="14" t="s">
        <v>274</v>
      </c>
      <c r="O190" s="1"/>
      <c r="P190" s="1"/>
      <c r="Q190" s="1" t="n">
        <v>30349</v>
      </c>
      <c r="R190" s="1" t="n">
        <v>10</v>
      </c>
      <c r="S190" s="1"/>
      <c r="T190" s="1" t="n">
        <v>0</v>
      </c>
      <c r="U190" s="1" t="n">
        <v>0</v>
      </c>
      <c r="V190" s="1" t="n">
        <v>10</v>
      </c>
      <c r="W190" s="1" t="n">
        <v>570</v>
      </c>
      <c r="Y190" s="1" t="n">
        <v>1</v>
      </c>
      <c r="Z190" s="0" t="s">
        <v>175</v>
      </c>
      <c r="AA190" s="0" t="s">
        <v>187</v>
      </c>
      <c r="AB190" s="0" t="s">
        <v>85</v>
      </c>
      <c r="AC190" s="0" t="s">
        <v>177</v>
      </c>
      <c r="AD190" s="0" t="s">
        <v>341</v>
      </c>
      <c r="AE190" s="0" t="s">
        <v>451</v>
      </c>
      <c r="AH190" s="0" t="s">
        <v>180</v>
      </c>
      <c r="AI190" s="0" t="s">
        <v>92</v>
      </c>
      <c r="AJ190" s="0" t="s">
        <v>437</v>
      </c>
      <c r="AK190" s="0" t="s">
        <v>94</v>
      </c>
      <c r="AN190" s="0" t="s">
        <v>97</v>
      </c>
      <c r="AP190" s="0" t="s">
        <v>99</v>
      </c>
      <c r="AR190" s="0" t="s">
        <v>101</v>
      </c>
      <c r="AT190" s="0" t="s">
        <v>103</v>
      </c>
      <c r="BG190" s="0" t="s">
        <v>116</v>
      </c>
      <c r="BM190" s="0" t="s">
        <v>122</v>
      </c>
      <c r="BV190" s="0" t="s">
        <v>131</v>
      </c>
    </row>
    <row r="191">
      <c r="B191" s="0" t="s">
        <v>763</v>
      </c>
      <c r="C191" s="1" t="n">
        <v>353871</v>
      </c>
      <c r="E191" s="14" t="s">
        <v>764</v>
      </c>
      <c r="F191" s="14" t="s">
        <v>184</v>
      </c>
      <c r="G191" s="25" t="str">
        <f>HYPERLINK("http://vk.com/wall-143721349_522695?reply=535166&amp;thread=522727")</f>
      </c>
      <c r="H191" s="14" t="s">
        <v>170</v>
      </c>
      <c r="I191" s="14" t="s">
        <v>231</v>
      </c>
      <c r="J191" s="14" t="s">
        <v>611</v>
      </c>
      <c r="K191" s="26" t="str">
        <f>HYPERLINK("http://vk.com/id793760878")</f>
      </c>
      <c r="L191" s="14" t="s">
        <v>173</v>
      </c>
      <c r="M191" s="14" t="s">
        <v>765</v>
      </c>
      <c r="N191" s="25" t="str">
        <f>HYPERLINK("http://vk.com/club143721349")</f>
      </c>
      <c r="O191" s="1" t="s">
        <v>186</v>
      </c>
      <c r="P191" s="1" t="n">
        <v>25</v>
      </c>
      <c r="Q191" s="1" t="n">
        <v>74183</v>
      </c>
      <c r="R191" s="1" t="n">
        <v>0</v>
      </c>
      <c r="S191" s="1"/>
      <c r="T191" s="1" t="n">
        <v>0</v>
      </c>
      <c r="U191" s="1" t="n">
        <v>0</v>
      </c>
      <c r="V191" s="1" t="n">
        <v>0</v>
      </c>
      <c r="W191" s="1"/>
      <c r="Y191" s="1" t="n">
        <v>1</v>
      </c>
      <c r="Z191" s="0" t="s">
        <v>319</v>
      </c>
      <c r="AA191" s="0" t="s">
        <v>292</v>
      </c>
      <c r="AH191" s="0" t="s">
        <v>180</v>
      </c>
      <c r="AI191" s="0" t="s">
        <v>92</v>
      </c>
      <c r="AJ191" s="0" t="s">
        <v>437</v>
      </c>
      <c r="AK191" s="0" t="s">
        <v>94</v>
      </c>
      <c r="AR191" s="0" t="s">
        <v>101</v>
      </c>
      <c r="AY191" s="0" t="s">
        <v>108</v>
      </c>
      <c r="BP191" s="0" t="s">
        <v>125</v>
      </c>
    </row>
    <row r="192" ht="1164.75">
      <c r="B192" s="0" t="s">
        <v>763</v>
      </c>
      <c r="C192" s="1" t="n">
        <v>353876</v>
      </c>
      <c r="E192" s="14" t="s">
        <v>269</v>
      </c>
      <c r="F192" s="14" t="s">
        <v>184</v>
      </c>
      <c r="G192" s="25" t="str">
        <f>HYPERLINK("http://vk.com/wall507985472_3789")</f>
      </c>
      <c r="H192" s="14" t="s">
        <v>170</v>
      </c>
      <c r="I192" s="14" t="s">
        <v>171</v>
      </c>
      <c r="J192" s="14" t="s">
        <v>766</v>
      </c>
      <c r="K192" s="26" t="str">
        <f>HYPERLINK("http://vk.com/id507985472")</f>
      </c>
      <c r="L192" s="14" t="s">
        <v>173</v>
      </c>
      <c r="O192" s="1" t="s">
        <v>186</v>
      </c>
      <c r="P192" s="1"/>
      <c r="Q192" s="1" t="n">
        <v>51</v>
      </c>
      <c r="R192" s="1" t="n">
        <v>0</v>
      </c>
      <c r="S192" s="1"/>
      <c r="T192" s="1" t="n">
        <v>0</v>
      </c>
      <c r="U192" s="1" t="n">
        <v>0</v>
      </c>
      <c r="V192" s="1" t="n">
        <v>0</v>
      </c>
      <c r="W192" s="1"/>
      <c r="Y192" s="1" t="n">
        <v>24</v>
      </c>
      <c r="Z192" s="0" t="s">
        <v>175</v>
      </c>
      <c r="AA192" s="0" t="s">
        <v>187</v>
      </c>
      <c r="AC192" s="0" t="s">
        <v>177</v>
      </c>
      <c r="AD192" s="0" t="s">
        <v>767</v>
      </c>
      <c r="AE192" s="0" t="s">
        <v>768</v>
      </c>
      <c r="AH192" s="0" t="s">
        <v>180</v>
      </c>
      <c r="AJ192" s="0" t="s">
        <v>437</v>
      </c>
      <c r="AK192" s="0" t="s">
        <v>94</v>
      </c>
      <c r="AM192" s="0" t="s">
        <v>96</v>
      </c>
      <c r="AP192" s="0" t="s">
        <v>99</v>
      </c>
      <c r="AX192" s="0" t="s">
        <v>107</v>
      </c>
    </row>
    <row r="193">
      <c r="B193" s="0" t="s">
        <v>769</v>
      </c>
      <c r="C193" s="1" t="n">
        <v>353874</v>
      </c>
      <c r="E193" s="14" t="s">
        <v>770</v>
      </c>
      <c r="F193" s="14" t="s">
        <v>184</v>
      </c>
      <c r="G193" s="25" t="str">
        <f>HYPERLINK("http://vk.com/wall-149519487_117676?reply=117950&amp;thread=117705")</f>
      </c>
      <c r="H193" s="14" t="s">
        <v>170</v>
      </c>
      <c r="I193" s="14" t="s">
        <v>231</v>
      </c>
      <c r="J193" s="14" t="s">
        <v>512</v>
      </c>
      <c r="K193" s="26" t="str">
        <f>HYPERLINK("http://vk.com/id445935362")</f>
      </c>
      <c r="L193" s="14" t="s">
        <v>173</v>
      </c>
      <c r="M193" s="14" t="s">
        <v>771</v>
      </c>
      <c r="N193" s="25" t="str">
        <f>HYPERLINK("http://vk.com/club149519487")</f>
      </c>
      <c r="O193" s="1" t="s">
        <v>186</v>
      </c>
      <c r="P193" s="1" t="n">
        <v>60</v>
      </c>
      <c r="Q193" s="1" t="n">
        <v>22664</v>
      </c>
      <c r="R193" s="1" t="n">
        <v>0</v>
      </c>
      <c r="S193" s="1"/>
      <c r="T193" s="1" t="n">
        <v>0</v>
      </c>
      <c r="U193" s="1" t="n">
        <v>0</v>
      </c>
      <c r="V193" s="1" t="n">
        <v>0</v>
      </c>
      <c r="W193" s="1"/>
      <c r="Y193" s="1" t="n">
        <v>1</v>
      </c>
      <c r="Z193" s="0" t="s">
        <v>319</v>
      </c>
      <c r="AA193" s="0" t="s">
        <v>292</v>
      </c>
      <c r="AC193" s="0" t="s">
        <v>177</v>
      </c>
      <c r="AD193" s="0" t="s">
        <v>513</v>
      </c>
      <c r="AE193" s="0" t="s">
        <v>514</v>
      </c>
      <c r="AH193" s="0" t="s">
        <v>180</v>
      </c>
      <c r="AI193" s="0" t="s">
        <v>92</v>
      </c>
      <c r="AJ193" s="0" t="s">
        <v>437</v>
      </c>
      <c r="AK193" s="0" t="s">
        <v>94</v>
      </c>
      <c r="AY193" s="0" t="s">
        <v>108</v>
      </c>
      <c r="BD193" s="0" t="s">
        <v>113</v>
      </c>
      <c r="BX193" s="0" t="s">
        <v>133</v>
      </c>
    </row>
    <row r="194">
      <c r="B194" s="0" t="s">
        <v>772</v>
      </c>
      <c r="C194" s="1" t="n">
        <v>353889</v>
      </c>
      <c r="E194" s="14" t="s">
        <v>773</v>
      </c>
      <c r="F194" s="14" t="s">
        <v>184</v>
      </c>
      <c r="G194" s="25" t="str">
        <f>HYPERLINK("http://vk.com/wall-86830443_1099901?reply=1099919")</f>
      </c>
      <c r="H194" s="14" t="s">
        <v>170</v>
      </c>
      <c r="I194" s="14" t="s">
        <v>231</v>
      </c>
      <c r="J194" s="14" t="s">
        <v>774</v>
      </c>
      <c r="K194" s="26" t="str">
        <f>HYPERLINK("http://vk.com/id182563775")</f>
      </c>
      <c r="L194" s="14" t="s">
        <v>173</v>
      </c>
      <c r="M194" s="14" t="s">
        <v>477</v>
      </c>
      <c r="N194" s="25" t="str">
        <f>HYPERLINK("http://vk.com/club86830443")</f>
      </c>
      <c r="O194" s="1" t="s">
        <v>174</v>
      </c>
      <c r="P194" s="1" t="n">
        <v>28</v>
      </c>
      <c r="Q194" s="1" t="n">
        <v>277438</v>
      </c>
      <c r="R194" s="1" t="n">
        <v>0</v>
      </c>
      <c r="S194" s="1"/>
      <c r="T194" s="1" t="n">
        <v>0</v>
      </c>
      <c r="U194" s="1" t="n">
        <v>0</v>
      </c>
      <c r="V194" s="1" t="n">
        <v>0</v>
      </c>
      <c r="W194" s="1"/>
      <c r="Y194" s="1" t="n">
        <v>1</v>
      </c>
      <c r="Z194" s="0" t="s">
        <v>463</v>
      </c>
      <c r="AA194" s="0" t="s">
        <v>292</v>
      </c>
      <c r="AC194" s="0" t="s">
        <v>177</v>
      </c>
      <c r="AD194" s="0" t="s">
        <v>332</v>
      </c>
      <c r="AE194" s="0" t="s">
        <v>332</v>
      </c>
      <c r="AH194" s="0" t="s">
        <v>180</v>
      </c>
      <c r="AJ194" s="0" t="s">
        <v>437</v>
      </c>
      <c r="AK194" s="0" t="s">
        <v>94</v>
      </c>
      <c r="AO194" s="0" t="s">
        <v>98</v>
      </c>
      <c r="AP194" s="0" t="s">
        <v>99</v>
      </c>
      <c r="AR194" s="0" t="s">
        <v>101</v>
      </c>
      <c r="AY194" s="0" t="s">
        <v>108</v>
      </c>
      <c r="BW194" s="0" t="s">
        <v>132</v>
      </c>
      <c r="BY194" s="0" t="s">
        <v>134</v>
      </c>
      <c r="DB194" s="0" t="s">
        <v>163</v>
      </c>
    </row>
    <row r="195" ht="60.75">
      <c r="B195" s="0" t="s">
        <v>775</v>
      </c>
      <c r="C195" s="1" t="n">
        <v>353886</v>
      </c>
      <c r="E195" s="14" t="s">
        <v>776</v>
      </c>
      <c r="F195" s="14" t="s">
        <v>184</v>
      </c>
      <c r="G195" s="25" t="str">
        <f>HYPERLINK("http://vk.com/wall14412407_2673")</f>
      </c>
      <c r="H195" s="14" t="s">
        <v>170</v>
      </c>
      <c r="I195" s="14" t="s">
        <v>171</v>
      </c>
      <c r="J195" s="14" t="s">
        <v>777</v>
      </c>
      <c r="K195" s="26" t="str">
        <f>HYPERLINK("http://vk.com/id14412407")</f>
      </c>
      <c r="L195" s="14" t="s">
        <v>173</v>
      </c>
      <c r="O195" s="1" t="s">
        <v>186</v>
      </c>
      <c r="P195" s="1"/>
      <c r="Q195" s="1" t="n">
        <v>186</v>
      </c>
      <c r="R195" s="1" t="n">
        <v>0</v>
      </c>
      <c r="S195" s="1"/>
      <c r="T195" s="1" t="n">
        <v>0</v>
      </c>
      <c r="U195" s="1" t="n">
        <v>0</v>
      </c>
      <c r="V195" s="1" t="n">
        <v>0</v>
      </c>
      <c r="W195" s="1"/>
      <c r="Y195" s="1" t="n">
        <v>2</v>
      </c>
      <c r="Z195" s="0" t="s">
        <v>175</v>
      </c>
      <c r="AA195" s="0" t="s">
        <v>292</v>
      </c>
      <c r="AC195" s="0" t="s">
        <v>177</v>
      </c>
      <c r="AD195" s="0" t="s">
        <v>513</v>
      </c>
      <c r="AE195" s="0" t="s">
        <v>778</v>
      </c>
      <c r="AH195" s="0" t="s">
        <v>180</v>
      </c>
      <c r="AJ195" s="0" t="s">
        <v>437</v>
      </c>
      <c r="AK195" s="0" t="s">
        <v>94</v>
      </c>
      <c r="AP195" s="0" t="s">
        <v>99</v>
      </c>
      <c r="AR195" s="0" t="s">
        <v>101</v>
      </c>
      <c r="BA195" s="0" t="s">
        <v>110</v>
      </c>
      <c r="BF195" s="0" t="s">
        <v>115</v>
      </c>
    </row>
    <row r="196" ht="924.75">
      <c r="B196" s="0" t="s">
        <v>779</v>
      </c>
      <c r="C196" s="1" t="n">
        <v>353863</v>
      </c>
      <c r="E196" s="14" t="s">
        <v>780</v>
      </c>
      <c r="F196" s="14" t="s">
        <v>184</v>
      </c>
      <c r="G196" s="25" t="str">
        <f>HYPERLINK("http://vk.com/wall266281193_5561")</f>
      </c>
      <c r="H196" s="14" t="s">
        <v>170</v>
      </c>
      <c r="I196" s="14" t="s">
        <v>171</v>
      </c>
      <c r="J196" s="14" t="s">
        <v>781</v>
      </c>
      <c r="K196" s="26" t="str">
        <f>HYPERLINK("http://vk.com/id266281193")</f>
      </c>
      <c r="L196" s="14" t="s">
        <v>173</v>
      </c>
      <c r="O196" s="1" t="s">
        <v>186</v>
      </c>
      <c r="P196" s="1" t="n">
        <v>62</v>
      </c>
      <c r="Q196" s="1" t="n">
        <v>29</v>
      </c>
      <c r="R196" s="1" t="n">
        <v>0</v>
      </c>
      <c r="S196" s="1"/>
      <c r="T196" s="1" t="n">
        <v>0</v>
      </c>
      <c r="U196" s="1" t="n">
        <v>0</v>
      </c>
      <c r="V196" s="1" t="n">
        <v>0</v>
      </c>
      <c r="W196" s="1"/>
      <c r="Y196" s="1" t="n">
        <v>5</v>
      </c>
      <c r="Z196" s="0" t="s">
        <v>175</v>
      </c>
      <c r="AA196" s="0" t="s">
        <v>187</v>
      </c>
      <c r="AH196" s="0" t="s">
        <v>180</v>
      </c>
      <c r="AJ196" s="0" t="s">
        <v>437</v>
      </c>
      <c r="AK196" s="0" t="s">
        <v>94</v>
      </c>
      <c r="AM196" s="0" t="s">
        <v>96</v>
      </c>
      <c r="AP196" s="0" t="s">
        <v>99</v>
      </c>
      <c r="AQ196" s="0" t="s">
        <v>100</v>
      </c>
    </row>
    <row r="197" ht="288.75">
      <c r="B197" s="0" t="s">
        <v>782</v>
      </c>
      <c r="C197" s="1" t="n">
        <v>353861</v>
      </c>
      <c r="E197" s="14" t="s">
        <v>783</v>
      </c>
      <c r="F197" s="14" t="s">
        <v>192</v>
      </c>
      <c r="G197" s="25" t="str">
        <f>HYPERLINK("https://telegram.me/doctorafanasev/1480")</f>
      </c>
      <c r="H197" s="14" t="s">
        <v>655</v>
      </c>
      <c r="I197" s="14" t="s">
        <v>194</v>
      </c>
      <c r="J197" s="14" t="s">
        <v>784</v>
      </c>
      <c r="K197" s="26" t="str">
        <f>HYPERLINK("https://telegram.me/doctorafanasev")</f>
      </c>
      <c r="L197" s="14" t="s">
        <v>274</v>
      </c>
      <c r="O197" s="1"/>
      <c r="P197" s="1"/>
      <c r="Q197" s="1" t="n">
        <v>1292</v>
      </c>
      <c r="R197" s="1" t="n">
        <v>0</v>
      </c>
      <c r="S197" s="1"/>
      <c r="T197" s="1" t="n">
        <v>0</v>
      </c>
      <c r="U197" s="1" t="n">
        <v>1</v>
      </c>
      <c r="V197" s="1" t="n">
        <v>1</v>
      </c>
      <c r="W197" s="1" t="n">
        <v>79</v>
      </c>
      <c r="Y197" s="1" t="n">
        <v>1</v>
      </c>
      <c r="Z197" s="0" t="s">
        <v>175</v>
      </c>
      <c r="AA197" s="0" t="s">
        <v>187</v>
      </c>
      <c r="AH197" s="0" t="s">
        <v>180</v>
      </c>
      <c r="AJ197" s="0" t="s">
        <v>437</v>
      </c>
      <c r="AK197" s="0" t="s">
        <v>94</v>
      </c>
      <c r="AN197" s="0" t="s">
        <v>97</v>
      </c>
      <c r="AP197" s="0" t="s">
        <v>99</v>
      </c>
      <c r="AS197" s="0" t="s">
        <v>102</v>
      </c>
      <c r="AT197" s="0" t="s">
        <v>103</v>
      </c>
      <c r="AW197" s="0" t="s">
        <v>106</v>
      </c>
      <c r="CN197" s="0" t="s">
        <v>149</v>
      </c>
    </row>
    <row r="198">
      <c r="B198" s="0" t="s">
        <v>785</v>
      </c>
      <c r="C198" s="1" t="n">
        <v>353888</v>
      </c>
      <c r="E198" s="14" t="s">
        <v>786</v>
      </c>
      <c r="F198" s="14" t="s">
        <v>184</v>
      </c>
      <c r="G198" s="25" t="str">
        <f>HYPERLINK("http://vk.com/wall-80589388_315375?reply=315463&amp;thread=315382")</f>
      </c>
      <c r="H198" s="14" t="s">
        <v>170</v>
      </c>
      <c r="I198" s="14" t="s">
        <v>231</v>
      </c>
      <c r="J198" s="14" t="s">
        <v>611</v>
      </c>
      <c r="K198" s="26" t="str">
        <f>HYPERLINK("http://vk.com/id793760878")</f>
      </c>
      <c r="L198" s="14" t="s">
        <v>173</v>
      </c>
      <c r="M198" s="14" t="s">
        <v>787</v>
      </c>
      <c r="N198" s="25" t="str">
        <f>HYPERLINK("http://vk.com/club80589388")</f>
      </c>
      <c r="O198" s="1" t="s">
        <v>186</v>
      </c>
      <c r="P198" s="1" t="n">
        <v>25</v>
      </c>
      <c r="Q198" s="1" t="n">
        <v>11768</v>
      </c>
      <c r="R198" s="1" t="n">
        <v>0</v>
      </c>
      <c r="S198" s="1"/>
      <c r="T198" s="1" t="n">
        <v>0</v>
      </c>
      <c r="U198" s="1" t="n">
        <v>0</v>
      </c>
      <c r="V198" s="1" t="n">
        <v>0</v>
      </c>
      <c r="W198" s="1"/>
      <c r="Y198" s="1" t="n">
        <v>1</v>
      </c>
      <c r="Z198" s="0" t="s">
        <v>319</v>
      </c>
      <c r="AA198" s="0" t="s">
        <v>292</v>
      </c>
      <c r="AH198" s="0" t="s">
        <v>180</v>
      </c>
      <c r="AI198" s="0" t="s">
        <v>92</v>
      </c>
      <c r="AJ198" s="0" t="s">
        <v>437</v>
      </c>
      <c r="AK198" s="0" t="s">
        <v>94</v>
      </c>
      <c r="AR198" s="0" t="s">
        <v>101</v>
      </c>
      <c r="AY198" s="0" t="s">
        <v>108</v>
      </c>
      <c r="BP198" s="0" t="s">
        <v>125</v>
      </c>
    </row>
    <row r="199">
      <c r="B199" s="0" t="s">
        <v>785</v>
      </c>
      <c r="C199" s="1" t="n">
        <v>353869</v>
      </c>
      <c r="E199" s="14" t="s">
        <v>788</v>
      </c>
      <c r="F199" s="14" t="s">
        <v>184</v>
      </c>
      <c r="G199" s="25" t="str">
        <f>HYPERLINK("http://vk.com/wall-155386267_985789?reply=1061491&amp;thread=990783")</f>
      </c>
      <c r="H199" s="14" t="s">
        <v>170</v>
      </c>
      <c r="I199" s="14" t="s">
        <v>231</v>
      </c>
      <c r="J199" s="14" t="s">
        <v>789</v>
      </c>
      <c r="K199" s="26" t="str">
        <f>HYPERLINK("http://vk.com/id656608653")</f>
      </c>
      <c r="L199" s="14" t="s">
        <v>173</v>
      </c>
      <c r="M199" s="14" t="s">
        <v>406</v>
      </c>
      <c r="N199" s="25" t="str">
        <f>HYPERLINK("http://vk.com/club155386267")</f>
      </c>
      <c r="O199" s="1" t="s">
        <v>186</v>
      </c>
      <c r="P199" s="1" t="n">
        <v>40</v>
      </c>
      <c r="Q199" s="1" t="n">
        <v>113036</v>
      </c>
      <c r="R199" s="1" t="n">
        <v>0</v>
      </c>
      <c r="S199" s="1"/>
      <c r="T199" s="1" t="n">
        <v>0</v>
      </c>
      <c r="U199" s="1" t="n">
        <v>0</v>
      </c>
      <c r="V199" s="1" t="n">
        <v>0</v>
      </c>
      <c r="W199" s="1"/>
      <c r="Y199" s="1" t="n">
        <v>1</v>
      </c>
      <c r="Z199" s="0" t="s">
        <v>175</v>
      </c>
      <c r="AA199" s="0" t="s">
        <v>187</v>
      </c>
      <c r="AH199" s="0" t="s">
        <v>180</v>
      </c>
      <c r="AI199" s="0" t="s">
        <v>92</v>
      </c>
      <c r="AJ199" s="0" t="s">
        <v>437</v>
      </c>
      <c r="AK199" s="0" t="s">
        <v>94</v>
      </c>
      <c r="AN199" s="0" t="s">
        <v>97</v>
      </c>
      <c r="AP199" s="0" t="s">
        <v>99</v>
      </c>
      <c r="AT199" s="0" t="s">
        <v>103</v>
      </c>
      <c r="BB199" s="0" t="s">
        <v>111</v>
      </c>
      <c r="BC199" s="0" t="s">
        <v>112</v>
      </c>
      <c r="BL199" s="0" t="s">
        <v>121</v>
      </c>
      <c r="BN199" s="0" t="s">
        <v>123</v>
      </c>
    </row>
    <row r="200" ht="732.75">
      <c r="B200" s="0" t="s">
        <v>785</v>
      </c>
      <c r="C200" s="1" t="n">
        <v>353904</v>
      </c>
      <c r="E200" s="14" t="s">
        <v>790</v>
      </c>
      <c r="F200" s="14" t="s">
        <v>184</v>
      </c>
      <c r="G200" s="25" t="str">
        <f>HYPERLINK("http://vk.com/wall257339701_7530")</f>
      </c>
      <c r="H200" s="14" t="s">
        <v>170</v>
      </c>
      <c r="I200" s="14" t="s">
        <v>194</v>
      </c>
      <c r="J200" s="14" t="s">
        <v>791</v>
      </c>
      <c r="K200" s="26" t="str">
        <f>HYPERLINK("http://vk.com/id257339701")</f>
      </c>
      <c r="L200" s="14" t="s">
        <v>173</v>
      </c>
      <c r="O200" s="1" t="s">
        <v>174</v>
      </c>
      <c r="P200" s="1"/>
      <c r="Q200" s="1" t="n">
        <v>133</v>
      </c>
      <c r="R200" s="1" t="n">
        <v>0</v>
      </c>
      <c r="S200" s="1"/>
      <c r="T200" s="1" t="n">
        <v>0</v>
      </c>
      <c r="U200" s="1" t="n">
        <v>0</v>
      </c>
      <c r="V200" s="1" t="n">
        <v>0</v>
      </c>
      <c r="W200" s="1" t="n">
        <v>4</v>
      </c>
      <c r="Y200" s="1" t="n">
        <v>1</v>
      </c>
      <c r="Z200" s="0" t="s">
        <v>175</v>
      </c>
      <c r="AA200" s="0" t="s">
        <v>176</v>
      </c>
      <c r="AC200" s="0" t="s">
        <v>177</v>
      </c>
      <c r="AD200" s="0" t="s">
        <v>410</v>
      </c>
      <c r="AE200" s="0" t="s">
        <v>792</v>
      </c>
      <c r="AH200" s="0" t="s">
        <v>180</v>
      </c>
      <c r="AJ200" s="0" t="s">
        <v>437</v>
      </c>
      <c r="AK200" s="0" t="s">
        <v>94</v>
      </c>
      <c r="AP200" s="0" t="s">
        <v>99</v>
      </c>
      <c r="AR200" s="0" t="s">
        <v>101</v>
      </c>
      <c r="BA200" s="0" t="s">
        <v>110</v>
      </c>
      <c r="BF200" s="0" t="s">
        <v>115</v>
      </c>
    </row>
    <row r="201" ht="1212.75">
      <c r="B201" s="0" t="s">
        <v>793</v>
      </c>
      <c r="C201" s="1" t="n">
        <v>353859</v>
      </c>
      <c r="E201" s="14" t="s">
        <v>683</v>
      </c>
      <c r="F201" s="14" t="s">
        <v>184</v>
      </c>
      <c r="G201" s="25" t="str">
        <f>HYPERLINK("http://vk.com/wall790617992_11")</f>
      </c>
      <c r="H201" s="14" t="s">
        <v>170</v>
      </c>
      <c r="I201" s="14" t="s">
        <v>171</v>
      </c>
      <c r="J201" s="14" t="s">
        <v>794</v>
      </c>
      <c r="K201" s="26" t="str">
        <f>HYPERLINK("http://vk.com/id790617992")</f>
      </c>
      <c r="L201" s="14" t="s">
        <v>173</v>
      </c>
      <c r="O201" s="1" t="s">
        <v>186</v>
      </c>
      <c r="P201" s="1"/>
      <c r="Q201" s="1" t="n">
        <v>1</v>
      </c>
      <c r="R201" s="1" t="n">
        <v>0</v>
      </c>
      <c r="S201" s="1"/>
      <c r="T201" s="1" t="n">
        <v>0</v>
      </c>
      <c r="U201" s="1" t="n">
        <v>0</v>
      </c>
      <c r="V201" s="1" t="n">
        <v>0</v>
      </c>
      <c r="W201" s="1"/>
      <c r="Y201" s="1" t="n">
        <v>22</v>
      </c>
      <c r="Z201" s="0" t="s">
        <v>175</v>
      </c>
      <c r="AA201" s="0" t="s">
        <v>187</v>
      </c>
      <c r="AH201" s="0" t="s">
        <v>180</v>
      </c>
      <c r="AJ201" s="0" t="s">
        <v>437</v>
      </c>
      <c r="AK201" s="0" t="s">
        <v>94</v>
      </c>
      <c r="AM201" s="0" t="s">
        <v>96</v>
      </c>
      <c r="AP201" s="0" t="s">
        <v>99</v>
      </c>
      <c r="AU201" s="0" t="s">
        <v>104</v>
      </c>
      <c r="AV201" s="0" t="s">
        <v>105</v>
      </c>
      <c r="AX201" s="0" t="s">
        <v>107</v>
      </c>
    </row>
    <row r="202">
      <c r="B202" s="0" t="s">
        <v>795</v>
      </c>
      <c r="C202" s="1" t="n">
        <v>353865</v>
      </c>
      <c r="E202" s="14" t="s">
        <v>796</v>
      </c>
      <c r="F202" s="14" t="s">
        <v>184</v>
      </c>
      <c r="G202" s="25" t="str">
        <f>HYPERLINK("http://vk.com/wall-17734054_18182436?reply=18182609")</f>
      </c>
      <c r="H202" s="14" t="s">
        <v>170</v>
      </c>
      <c r="I202" s="14" t="s">
        <v>231</v>
      </c>
      <c r="J202" s="14" t="s">
        <v>797</v>
      </c>
      <c r="K202" s="26" t="str">
        <f>HYPERLINK("http://vk.com/id167041620")</f>
      </c>
      <c r="L202" s="14" t="s">
        <v>173</v>
      </c>
      <c r="M202" s="14" t="s">
        <v>798</v>
      </c>
      <c r="N202" s="25" t="str">
        <f>HYPERLINK("http://vk.com/club17734054")</f>
      </c>
      <c r="O202" s="1" t="s">
        <v>186</v>
      </c>
      <c r="P202" s="1"/>
      <c r="Q202" s="1" t="n">
        <v>106057</v>
      </c>
      <c r="R202" s="1" t="n">
        <v>0</v>
      </c>
      <c r="S202" s="1"/>
      <c r="T202" s="1" t="n">
        <v>0</v>
      </c>
      <c r="U202" s="1" t="n">
        <v>0</v>
      </c>
      <c r="V202" s="1" t="n">
        <v>0</v>
      </c>
      <c r="W202" s="1"/>
      <c r="Y202" s="1" t="n">
        <v>1</v>
      </c>
      <c r="Z202" s="0" t="s">
        <v>175</v>
      </c>
      <c r="AA202" s="0" t="s">
        <v>187</v>
      </c>
      <c r="AC202" s="0" t="s">
        <v>177</v>
      </c>
      <c r="AD202" s="0" t="s">
        <v>513</v>
      </c>
      <c r="AE202" s="0" t="s">
        <v>799</v>
      </c>
      <c r="AH202" s="0" t="s">
        <v>180</v>
      </c>
      <c r="AJ202" s="0" t="s">
        <v>437</v>
      </c>
      <c r="AK202" s="0" t="s">
        <v>94</v>
      </c>
      <c r="AN202" s="0" t="s">
        <v>97</v>
      </c>
      <c r="AP202" s="0" t="s">
        <v>99</v>
      </c>
      <c r="BC202" s="0" t="s">
        <v>112</v>
      </c>
      <c r="BG202" s="0" t="s">
        <v>116</v>
      </c>
      <c r="BL202" s="0" t="s">
        <v>121</v>
      </c>
    </row>
    <row r="203">
      <c r="B203" s="0" t="s">
        <v>800</v>
      </c>
      <c r="C203" s="1" t="n">
        <v>353866</v>
      </c>
      <c r="E203" s="14" t="s">
        <v>801</v>
      </c>
      <c r="F203" s="14" t="s">
        <v>184</v>
      </c>
      <c r="G203" s="25" t="str">
        <f>HYPERLINK("http://vk.com/wall-81840381_3446714?reply=3451839&amp;thread=3446724")</f>
      </c>
      <c r="H203" s="14" t="s">
        <v>170</v>
      </c>
      <c r="I203" s="14" t="s">
        <v>231</v>
      </c>
      <c r="J203" s="14" t="s">
        <v>512</v>
      </c>
      <c r="K203" s="26" t="str">
        <f>HYPERLINK("http://vk.com/id445935362")</f>
      </c>
      <c r="L203" s="14" t="s">
        <v>173</v>
      </c>
      <c r="M203" s="14" t="s">
        <v>251</v>
      </c>
      <c r="N203" s="25" t="str">
        <f>HYPERLINK("http://vk.com/club81840381")</f>
      </c>
      <c r="O203" s="1" t="s">
        <v>186</v>
      </c>
      <c r="P203" s="1" t="n">
        <v>60</v>
      </c>
      <c r="Q203" s="1" t="n">
        <v>103782</v>
      </c>
      <c r="R203" s="1" t="n">
        <v>0</v>
      </c>
      <c r="S203" s="1"/>
      <c r="T203" s="1" t="n">
        <v>0</v>
      </c>
      <c r="U203" s="1" t="n">
        <v>0</v>
      </c>
      <c r="V203" s="1" t="n">
        <v>0</v>
      </c>
      <c r="W203" s="1"/>
      <c r="Y203" s="1" t="n">
        <v>1</v>
      </c>
      <c r="Z203" s="0" t="s">
        <v>175</v>
      </c>
      <c r="AA203" s="0" t="s">
        <v>187</v>
      </c>
      <c r="AC203" s="0" t="s">
        <v>177</v>
      </c>
      <c r="AD203" s="0" t="s">
        <v>513</v>
      </c>
      <c r="AE203" s="0" t="s">
        <v>514</v>
      </c>
      <c r="AH203" s="0" t="s">
        <v>180</v>
      </c>
      <c r="AI203" s="0" t="s">
        <v>92</v>
      </c>
      <c r="AJ203" s="0" t="s">
        <v>437</v>
      </c>
      <c r="AK203" s="0" t="s">
        <v>94</v>
      </c>
      <c r="AN203" s="0" t="s">
        <v>97</v>
      </c>
      <c r="AP203" s="0" t="s">
        <v>99</v>
      </c>
      <c r="AT203" s="0" t="s">
        <v>103</v>
      </c>
      <c r="AX203" s="0" t="s">
        <v>107</v>
      </c>
      <c r="BE203" s="0" t="s">
        <v>114</v>
      </c>
    </row>
    <row r="204">
      <c r="B204" s="0" t="s">
        <v>802</v>
      </c>
      <c r="C204" s="1" t="n">
        <v>353857</v>
      </c>
      <c r="E204" s="14" t="s">
        <v>803</v>
      </c>
      <c r="F204" s="14" t="s">
        <v>184</v>
      </c>
      <c r="G204" s="25" t="str">
        <f>HYPERLINK("http://vk.com/wall-92006241_404960?reply=424941&amp;thread=405208")</f>
      </c>
      <c r="H204" s="14" t="s">
        <v>170</v>
      </c>
      <c r="I204" s="14" t="s">
        <v>231</v>
      </c>
      <c r="J204" s="14" t="s">
        <v>804</v>
      </c>
      <c r="K204" s="26" t="str">
        <f>HYPERLINK("http://vk.com/id793516016")</f>
      </c>
      <c r="L204" s="14" t="s">
        <v>173</v>
      </c>
      <c r="M204" s="14" t="s">
        <v>532</v>
      </c>
      <c r="N204" s="25" t="str">
        <f>HYPERLINK("http://vk.com/club92006241")</f>
      </c>
      <c r="O204" s="1" t="s">
        <v>186</v>
      </c>
      <c r="P204" s="1" t="n">
        <v>22</v>
      </c>
      <c r="Q204" s="1" t="n">
        <v>149568</v>
      </c>
      <c r="R204" s="1" t="n">
        <v>0</v>
      </c>
      <c r="S204" s="1"/>
      <c r="T204" s="1" t="n">
        <v>0</v>
      </c>
      <c r="U204" s="1" t="n">
        <v>0</v>
      </c>
      <c r="V204" s="1" t="n">
        <v>0</v>
      </c>
      <c r="W204" s="1"/>
      <c r="Y204" s="1" t="n">
        <v>1</v>
      </c>
      <c r="Z204" s="0" t="s">
        <v>319</v>
      </c>
      <c r="AA204" s="0" t="s">
        <v>292</v>
      </c>
      <c r="AH204" s="0" t="s">
        <v>180</v>
      </c>
      <c r="AI204" s="0" t="s">
        <v>92</v>
      </c>
      <c r="AJ204" s="0" t="s">
        <v>437</v>
      </c>
      <c r="AK204" s="0" t="s">
        <v>94</v>
      </c>
      <c r="AR204" s="0" t="s">
        <v>101</v>
      </c>
      <c r="AY204" s="0" t="s">
        <v>108</v>
      </c>
      <c r="BP204" s="0" t="s">
        <v>125</v>
      </c>
    </row>
    <row r="205">
      <c r="B205" s="0" t="s">
        <v>805</v>
      </c>
      <c r="C205" s="1" t="n">
        <v>353852</v>
      </c>
      <c r="E205" s="14" t="s">
        <v>806</v>
      </c>
      <c r="F205" s="14" t="s">
        <v>184</v>
      </c>
      <c r="G205" s="25" t="str">
        <f>HYPERLINK("http://vk.com/wall-112011819_882893?reply=990407")</f>
      </c>
      <c r="H205" s="14" t="s">
        <v>170</v>
      </c>
      <c r="I205" s="14" t="s">
        <v>231</v>
      </c>
      <c r="J205" s="14" t="s">
        <v>789</v>
      </c>
      <c r="K205" s="26" t="str">
        <f>HYPERLINK("http://vk.com/id656608653")</f>
      </c>
      <c r="L205" s="14" t="s">
        <v>173</v>
      </c>
      <c r="M205" s="14" t="s">
        <v>807</v>
      </c>
      <c r="N205" s="25" t="str">
        <f>HYPERLINK("http://vk.com/club112011819")</f>
      </c>
      <c r="O205" s="1" t="s">
        <v>186</v>
      </c>
      <c r="P205" s="1" t="n">
        <v>40</v>
      </c>
      <c r="Q205" s="1" t="n">
        <v>143001</v>
      </c>
      <c r="R205" s="1" t="n">
        <v>0</v>
      </c>
      <c r="S205" s="1"/>
      <c r="T205" s="1" t="n">
        <v>0</v>
      </c>
      <c r="U205" s="1" t="n">
        <v>0</v>
      </c>
      <c r="V205" s="1" t="n">
        <v>0</v>
      </c>
      <c r="W205" s="1"/>
      <c r="Y205" s="1" t="n">
        <v>1</v>
      </c>
      <c r="Z205" s="0" t="s">
        <v>319</v>
      </c>
      <c r="AA205" s="0" t="s">
        <v>187</v>
      </c>
      <c r="AH205" s="0" t="s">
        <v>180</v>
      </c>
      <c r="AI205" s="0" t="s">
        <v>92</v>
      </c>
      <c r="AJ205" s="0" t="s">
        <v>437</v>
      </c>
      <c r="AK205" s="0" t="s">
        <v>94</v>
      </c>
      <c r="AN205" s="0" t="s">
        <v>97</v>
      </c>
      <c r="AP205" s="0" t="s">
        <v>99</v>
      </c>
      <c r="BC205" s="0" t="s">
        <v>112</v>
      </c>
      <c r="BG205" s="0" t="s">
        <v>116</v>
      </c>
      <c r="BL205" s="0" t="s">
        <v>121</v>
      </c>
      <c r="BO205" s="0" t="s">
        <v>124</v>
      </c>
    </row>
    <row r="206">
      <c r="B206" s="0" t="s">
        <v>805</v>
      </c>
      <c r="C206" s="1" t="n">
        <v>353927</v>
      </c>
      <c r="D206" s="0" t="s">
        <v>808</v>
      </c>
      <c r="E206" s="14" t="s">
        <v>809</v>
      </c>
      <c r="F206" s="14" t="s">
        <v>810</v>
      </c>
      <c r="G206" s="25" t="str">
        <f>HYPERLINK("https://protabletky.ru/ingavirin/")</f>
      </c>
      <c r="H206" s="14" t="s">
        <v>317</v>
      </c>
      <c r="I206" s="14" t="s">
        <v>231</v>
      </c>
      <c r="J206" s="14" t="s">
        <v>811</v>
      </c>
      <c r="L206" s="14"/>
      <c r="M206" s="14" t="s">
        <v>810</v>
      </c>
      <c r="O206" s="1"/>
      <c r="P206" s="1"/>
      <c r="Q206" s="1"/>
      <c r="R206" s="1" t="n">
        <v>0</v>
      </c>
      <c r="S206" s="1"/>
      <c r="T206" s="1" t="n">
        <v>0</v>
      </c>
      <c r="U206" s="1" t="n">
        <v>0</v>
      </c>
      <c r="V206" s="1" t="n">
        <v>0</v>
      </c>
      <c r="W206" s="1"/>
      <c r="X206" s="0" t="n">
        <v>4.3</v>
      </c>
      <c r="Y206" s="1" t="n">
        <v>1</v>
      </c>
      <c r="Z206" s="0" t="s">
        <v>319</v>
      </c>
      <c r="AA206" s="0" t="s">
        <v>187</v>
      </c>
      <c r="AH206" s="0" t="s">
        <v>180</v>
      </c>
      <c r="AI206" s="0" t="s">
        <v>92</v>
      </c>
      <c r="AJ206" s="0" t="s">
        <v>437</v>
      </c>
      <c r="AK206" s="0" t="s">
        <v>94</v>
      </c>
      <c r="AN206" s="0" t="s">
        <v>97</v>
      </c>
      <c r="AP206" s="0" t="s">
        <v>99</v>
      </c>
      <c r="AS206" s="0" t="s">
        <v>102</v>
      </c>
      <c r="AW206" s="0" t="s">
        <v>106</v>
      </c>
      <c r="BW206" s="0" t="s">
        <v>132</v>
      </c>
      <c r="CP206" s="0" t="s">
        <v>151</v>
      </c>
    </row>
    <row r="207">
      <c r="B207" s="0" t="s">
        <v>812</v>
      </c>
      <c r="C207" s="1" t="n">
        <v>353877</v>
      </c>
      <c r="E207" s="14" t="s">
        <v>813</v>
      </c>
      <c r="F207" s="14" t="s">
        <v>184</v>
      </c>
      <c r="G207" s="25" t="str">
        <f>HYPERLINK("http://vk.com/wall-219920516_6")</f>
      </c>
      <c r="H207" s="14" t="s">
        <v>170</v>
      </c>
      <c r="I207" s="14" t="s">
        <v>194</v>
      </c>
      <c r="J207" s="14" t="s">
        <v>814</v>
      </c>
      <c r="K207" s="26" t="str">
        <f>HYPERLINK("http://vk.com/club219920516")</f>
      </c>
      <c r="L207" s="14" t="s">
        <v>274</v>
      </c>
      <c r="O207" s="1"/>
      <c r="P207" s="1"/>
      <c r="Q207" s="1"/>
      <c r="R207" s="1" t="n">
        <v>0</v>
      </c>
      <c r="S207" s="1"/>
      <c r="T207" s="1" t="n">
        <v>0</v>
      </c>
      <c r="U207" s="1" t="n">
        <v>0</v>
      </c>
      <c r="V207" s="1" t="n">
        <v>0</v>
      </c>
      <c r="W207" s="1" t="n">
        <v>2</v>
      </c>
      <c r="Y207" s="1" t="n">
        <v>1</v>
      </c>
      <c r="Z207" s="0" t="s">
        <v>175</v>
      </c>
      <c r="AA207" s="0" t="s">
        <v>187</v>
      </c>
      <c r="AH207" s="0" t="s">
        <v>180</v>
      </c>
      <c r="AJ207" s="0" t="s">
        <v>437</v>
      </c>
      <c r="AK207" s="0" t="s">
        <v>94</v>
      </c>
      <c r="AM207" s="0" t="s">
        <v>96</v>
      </c>
      <c r="AP207" s="0" t="s">
        <v>99</v>
      </c>
      <c r="BC207" s="0" t="s">
        <v>112</v>
      </c>
      <c r="BN207" s="0" t="s">
        <v>123</v>
      </c>
    </row>
    <row r="208">
      <c r="B208" s="0" t="s">
        <v>812</v>
      </c>
      <c r="C208" s="1" t="n">
        <v>353839</v>
      </c>
      <c r="E208" s="14" t="s">
        <v>815</v>
      </c>
      <c r="F208" s="14" t="s">
        <v>184</v>
      </c>
      <c r="G208" s="25" t="str">
        <f>HYPERLINK("http://vk.com/wall-136637198_109456?reply=109902&amp;thread=109482")</f>
      </c>
      <c r="H208" s="14" t="s">
        <v>170</v>
      </c>
      <c r="I208" s="14" t="s">
        <v>231</v>
      </c>
      <c r="J208" s="14" t="s">
        <v>804</v>
      </c>
      <c r="K208" s="26" t="str">
        <f>HYPERLINK("http://vk.com/id793516016")</f>
      </c>
      <c r="L208" s="14" t="s">
        <v>173</v>
      </c>
      <c r="M208" s="14" t="s">
        <v>423</v>
      </c>
      <c r="N208" s="25" t="str">
        <f>HYPERLINK("http://vk.com/club136637198")</f>
      </c>
      <c r="O208" s="1" t="s">
        <v>186</v>
      </c>
      <c r="P208" s="1" t="n">
        <v>22</v>
      </c>
      <c r="Q208" s="1" t="n">
        <v>80553</v>
      </c>
      <c r="R208" s="1" t="n">
        <v>0</v>
      </c>
      <c r="S208" s="1"/>
      <c r="T208" s="1" t="n">
        <v>0</v>
      </c>
      <c r="U208" s="1" t="n">
        <v>0</v>
      </c>
      <c r="V208" s="1" t="n">
        <v>0</v>
      </c>
      <c r="W208" s="1"/>
      <c r="Y208" s="1" t="n">
        <v>1</v>
      </c>
      <c r="Z208" s="0" t="s">
        <v>319</v>
      </c>
      <c r="AA208" s="0" t="s">
        <v>292</v>
      </c>
      <c r="AH208" s="0" t="s">
        <v>180</v>
      </c>
      <c r="AI208" s="0" t="s">
        <v>92</v>
      </c>
      <c r="AJ208" s="0" t="s">
        <v>437</v>
      </c>
      <c r="AY208" s="0" t="s">
        <v>108</v>
      </c>
      <c r="BP208" s="0" t="s">
        <v>125</v>
      </c>
    </row>
    <row r="209">
      <c r="B209" s="0" t="s">
        <v>816</v>
      </c>
      <c r="C209" s="1" t="n">
        <v>353837</v>
      </c>
      <c r="E209" s="14" t="s">
        <v>817</v>
      </c>
      <c r="F209" s="14" t="s">
        <v>184</v>
      </c>
      <c r="G209" s="25" t="str">
        <f>HYPERLINK("http://vk.com/wall-153326247_489378?reply=489429&amp;thread=489408")</f>
      </c>
      <c r="H209" s="14" t="s">
        <v>170</v>
      </c>
      <c r="I209" s="14" t="s">
        <v>231</v>
      </c>
      <c r="J209" s="14" t="s">
        <v>818</v>
      </c>
      <c r="K209" s="26" t="str">
        <f>HYPERLINK("http://vk.com/id28856903")</f>
      </c>
      <c r="L209" s="14" t="s">
        <v>173</v>
      </c>
      <c r="M209" s="14" t="s">
        <v>663</v>
      </c>
      <c r="N209" s="25" t="str">
        <f>HYPERLINK("http://vk.com/club153326247")</f>
      </c>
      <c r="O209" s="1" t="s">
        <v>186</v>
      </c>
      <c r="P209" s="1" t="n">
        <v>52</v>
      </c>
      <c r="Q209" s="1" t="n">
        <v>27180</v>
      </c>
      <c r="R209" s="1" t="n">
        <v>0</v>
      </c>
      <c r="S209" s="1"/>
      <c r="T209" s="1" t="n">
        <v>0</v>
      </c>
      <c r="U209" s="1" t="n">
        <v>0</v>
      </c>
      <c r="V209" s="1" t="n">
        <v>0</v>
      </c>
      <c r="W209" s="1"/>
      <c r="Y209" s="1" t="n">
        <v>1</v>
      </c>
      <c r="Z209" s="0" t="s">
        <v>175</v>
      </c>
      <c r="AA209" s="0" t="s">
        <v>292</v>
      </c>
      <c r="AC209" s="0" t="s">
        <v>177</v>
      </c>
      <c r="AD209" s="0" t="s">
        <v>293</v>
      </c>
      <c r="AE209" s="0" t="s">
        <v>294</v>
      </c>
      <c r="AH209" s="0" t="s">
        <v>180</v>
      </c>
      <c r="AI209" s="0" t="s">
        <v>92</v>
      </c>
      <c r="AJ209" s="0" t="s">
        <v>437</v>
      </c>
      <c r="AK209" s="0" t="s">
        <v>94</v>
      </c>
      <c r="AN209" s="0" t="s">
        <v>97</v>
      </c>
      <c r="AO209" s="0" t="s">
        <v>98</v>
      </c>
      <c r="AP209" s="0" t="s">
        <v>99</v>
      </c>
      <c r="AR209" s="0" t="s">
        <v>101</v>
      </c>
      <c r="AS209" s="0" t="s">
        <v>102</v>
      </c>
      <c r="AW209" s="0" t="s">
        <v>106</v>
      </c>
      <c r="AY209" s="0" t="s">
        <v>108</v>
      </c>
      <c r="BP209" s="0" t="s">
        <v>125</v>
      </c>
    </row>
    <row r="210" ht="36.75">
      <c r="B210" s="0" t="s">
        <v>819</v>
      </c>
      <c r="C210" s="1" t="n">
        <v>353851</v>
      </c>
      <c r="E210" s="14" t="s">
        <v>820</v>
      </c>
      <c r="F210" s="14" t="s">
        <v>184</v>
      </c>
      <c r="G210" s="25" t="str">
        <f>HYPERLINK("http://vk.com/wall-48067990_914514")</f>
      </c>
      <c r="H210" s="14" t="s">
        <v>170</v>
      </c>
      <c r="I210" s="14" t="s">
        <v>194</v>
      </c>
      <c r="J210" s="14" t="s">
        <v>759</v>
      </c>
      <c r="K210" s="26" t="str">
        <f>HYPERLINK("http://vk.com/club48067990")</f>
      </c>
      <c r="L210" s="14" t="s">
        <v>274</v>
      </c>
      <c r="O210" s="1"/>
      <c r="P210" s="1"/>
      <c r="Q210" s="1" t="n">
        <v>59167</v>
      </c>
      <c r="R210" s="1" t="n">
        <v>5</v>
      </c>
      <c r="S210" s="1"/>
      <c r="T210" s="1" t="n">
        <v>0</v>
      </c>
      <c r="U210" s="1" t="n">
        <v>1</v>
      </c>
      <c r="V210" s="1" t="n">
        <v>6</v>
      </c>
      <c r="W210" s="1" t="n">
        <v>726</v>
      </c>
      <c r="Y210" s="1" t="n">
        <v>1</v>
      </c>
      <c r="Z210" s="0" t="s">
        <v>175</v>
      </c>
      <c r="AA210" s="0" t="s">
        <v>187</v>
      </c>
      <c r="AC210" s="0" t="s">
        <v>177</v>
      </c>
      <c r="AH210" s="0" t="s">
        <v>180</v>
      </c>
      <c r="AI210" s="0" t="s">
        <v>92</v>
      </c>
      <c r="AJ210" s="0" t="s">
        <v>437</v>
      </c>
      <c r="AK210" s="0" t="s">
        <v>94</v>
      </c>
      <c r="AN210" s="0" t="s">
        <v>97</v>
      </c>
      <c r="AP210" s="0" t="s">
        <v>99</v>
      </c>
      <c r="AT210" s="0" t="s">
        <v>103</v>
      </c>
      <c r="AW210" s="0" t="s">
        <v>106</v>
      </c>
      <c r="BI210" s="0" t="s">
        <v>118</v>
      </c>
      <c r="BQ210" s="0" t="s">
        <v>126</v>
      </c>
      <c r="BV210" s="0" t="s">
        <v>131</v>
      </c>
      <c r="BZ210" s="0" t="s">
        <v>135</v>
      </c>
    </row>
    <row r="211">
      <c r="B211" s="0" t="s">
        <v>821</v>
      </c>
      <c r="C211" s="1" t="n">
        <v>353848</v>
      </c>
      <c r="E211" s="14" t="s">
        <v>822</v>
      </c>
      <c r="F211" s="14" t="s">
        <v>184</v>
      </c>
      <c r="G211" s="25" t="str">
        <f>HYPERLINK("http://vk.com/wall-48067990_757711?reply=914507")</f>
      </c>
      <c r="H211" s="14" t="s">
        <v>170</v>
      </c>
      <c r="I211" s="14" t="s">
        <v>231</v>
      </c>
      <c r="J211" s="14" t="s">
        <v>789</v>
      </c>
      <c r="K211" s="26" t="str">
        <f>HYPERLINK("http://vk.com/id656608653")</f>
      </c>
      <c r="L211" s="14" t="s">
        <v>173</v>
      </c>
      <c r="M211" s="14" t="s">
        <v>759</v>
      </c>
      <c r="N211" s="25" t="str">
        <f>HYPERLINK("http://vk.com/club48067990")</f>
      </c>
      <c r="O211" s="1" t="s">
        <v>186</v>
      </c>
      <c r="P211" s="1" t="n">
        <v>40</v>
      </c>
      <c r="Q211" s="1" t="n">
        <v>59167</v>
      </c>
      <c r="R211" s="1" t="n">
        <v>0</v>
      </c>
      <c r="S211" s="1"/>
      <c r="T211" s="1" t="n">
        <v>0</v>
      </c>
      <c r="U211" s="1" t="n">
        <v>0</v>
      </c>
      <c r="V211" s="1" t="n">
        <v>0</v>
      </c>
      <c r="W211" s="1"/>
      <c r="Y211" s="1" t="n">
        <v>1</v>
      </c>
      <c r="Z211" s="0" t="s">
        <v>175</v>
      </c>
      <c r="AA211" s="0" t="s">
        <v>187</v>
      </c>
      <c r="AH211" s="0" t="s">
        <v>180</v>
      </c>
      <c r="AJ211" s="0" t="s">
        <v>437</v>
      </c>
      <c r="AK211" s="0" t="s">
        <v>94</v>
      </c>
      <c r="AN211" s="0" t="s">
        <v>97</v>
      </c>
      <c r="AP211" s="0" t="s">
        <v>99</v>
      </c>
      <c r="AT211" s="0" t="s">
        <v>103</v>
      </c>
      <c r="BC211" s="0" t="s">
        <v>112</v>
      </c>
      <c r="BI211" s="0" t="s">
        <v>118</v>
      </c>
      <c r="BZ211" s="0" t="s">
        <v>135</v>
      </c>
    </row>
    <row r="212">
      <c r="B212" s="0" t="s">
        <v>823</v>
      </c>
      <c r="C212" s="1" t="n">
        <v>353824</v>
      </c>
      <c r="E212" s="14" t="s">
        <v>824</v>
      </c>
      <c r="F212" s="14" t="s">
        <v>184</v>
      </c>
      <c r="G212" s="25" t="str">
        <f>HYPERLINK("http://vk.com/wall-62596804_2704672?reply=2705807&amp;thread=2704679")</f>
      </c>
      <c r="H212" s="14" t="s">
        <v>170</v>
      </c>
      <c r="I212" s="14" t="s">
        <v>231</v>
      </c>
      <c r="J212" s="14" t="s">
        <v>804</v>
      </c>
      <c r="K212" s="26" t="str">
        <f>HYPERLINK("http://vk.com/id793516016")</f>
      </c>
      <c r="L212" s="14" t="s">
        <v>173</v>
      </c>
      <c r="M212" s="14" t="s">
        <v>307</v>
      </c>
      <c r="N212" s="25" t="str">
        <f>HYPERLINK("http://vk.com/club62596804")</f>
      </c>
      <c r="O212" s="1" t="s">
        <v>186</v>
      </c>
      <c r="P212" s="1" t="n">
        <v>22</v>
      </c>
      <c r="Q212" s="1" t="n">
        <v>80751</v>
      </c>
      <c r="R212" s="1" t="n">
        <v>0</v>
      </c>
      <c r="S212" s="1"/>
      <c r="T212" s="1" t="n">
        <v>0</v>
      </c>
      <c r="U212" s="1" t="n">
        <v>0</v>
      </c>
      <c r="V212" s="1" t="n">
        <v>0</v>
      </c>
      <c r="W212" s="1"/>
      <c r="Y212" s="1" t="n">
        <v>1</v>
      </c>
      <c r="Z212" s="0" t="s">
        <v>319</v>
      </c>
      <c r="AA212" s="0" t="s">
        <v>292</v>
      </c>
      <c r="AH212" s="0" t="s">
        <v>180</v>
      </c>
      <c r="AI212" s="0" t="s">
        <v>92</v>
      </c>
      <c r="AJ212" s="0" t="s">
        <v>437</v>
      </c>
      <c r="AY212" s="0" t="s">
        <v>108</v>
      </c>
      <c r="BP212" s="0" t="s">
        <v>125</v>
      </c>
    </row>
    <row r="213" ht="24.75">
      <c r="B213" s="0" t="s">
        <v>825</v>
      </c>
      <c r="C213" s="1" t="n">
        <v>353835</v>
      </c>
      <c r="E213" s="14" t="s">
        <v>296</v>
      </c>
      <c r="F213" s="14" t="s">
        <v>184</v>
      </c>
      <c r="G213" s="25" t="str">
        <f>HYPERLINK("http://vk.com/wall281865194_1821")</f>
      </c>
      <c r="H213" s="14" t="s">
        <v>170</v>
      </c>
      <c r="I213" s="14" t="s">
        <v>171</v>
      </c>
      <c r="J213" s="14" t="s">
        <v>826</v>
      </c>
      <c r="K213" s="26" t="str">
        <f>HYPERLINK("http://vk.com/id281865194")</f>
      </c>
      <c r="L213" s="14" t="s">
        <v>173</v>
      </c>
      <c r="O213" s="1" t="s">
        <v>186</v>
      </c>
      <c r="P213" s="1" t="n">
        <v>61</v>
      </c>
      <c r="Q213" s="1" t="n">
        <v>111</v>
      </c>
      <c r="R213" s="1" t="n">
        <v>0</v>
      </c>
      <c r="S213" s="1"/>
      <c r="T213" s="1" t="n">
        <v>0</v>
      </c>
      <c r="U213" s="1" t="n">
        <v>0</v>
      </c>
      <c r="V213" s="1" t="n">
        <v>0</v>
      </c>
      <c r="W213" s="1"/>
      <c r="Y213" s="1" t="n">
        <v>92</v>
      </c>
      <c r="Z213" s="0" t="s">
        <v>175</v>
      </c>
      <c r="AA213" s="0" t="s">
        <v>187</v>
      </c>
      <c r="AH213" s="0" t="s">
        <v>180</v>
      </c>
      <c r="AJ213" s="0" t="s">
        <v>437</v>
      </c>
      <c r="AK213" s="0" t="s">
        <v>94</v>
      </c>
      <c r="AM213" s="0" t="s">
        <v>96</v>
      </c>
      <c r="AP213" s="0" t="s">
        <v>99</v>
      </c>
      <c r="AU213" s="0" t="s">
        <v>104</v>
      </c>
      <c r="AV213" s="0" t="s">
        <v>105</v>
      </c>
    </row>
    <row r="214" ht="1536.75">
      <c r="B214" s="0" t="s">
        <v>825</v>
      </c>
      <c r="C214" s="1" t="n">
        <v>353834</v>
      </c>
      <c r="E214" s="14" t="s">
        <v>827</v>
      </c>
      <c r="F214" s="14" t="s">
        <v>184</v>
      </c>
      <c r="G214" s="25" t="str">
        <f>HYPERLINK("http://vk.com/wall401016901_1329")</f>
      </c>
      <c r="H214" s="14" t="s">
        <v>170</v>
      </c>
      <c r="I214" s="14" t="s">
        <v>171</v>
      </c>
      <c r="J214" s="14" t="s">
        <v>828</v>
      </c>
      <c r="K214" s="26" t="str">
        <f>HYPERLINK("http://vk.com/id401016901")</f>
      </c>
      <c r="L214" s="14" t="s">
        <v>173</v>
      </c>
      <c r="O214" s="1" t="s">
        <v>186</v>
      </c>
      <c r="P214" s="1" t="n">
        <v>26</v>
      </c>
      <c r="Q214" s="1" t="n">
        <v>17</v>
      </c>
      <c r="R214" s="1" t="n">
        <v>0</v>
      </c>
      <c r="S214" s="1"/>
      <c r="T214" s="1" t="n">
        <v>0</v>
      </c>
      <c r="U214" s="1" t="n">
        <v>0</v>
      </c>
      <c r="V214" s="1" t="n">
        <v>0</v>
      </c>
      <c r="W214" s="1"/>
      <c r="Y214" s="1" t="n">
        <v>1</v>
      </c>
      <c r="Z214" s="0" t="s">
        <v>175</v>
      </c>
      <c r="AA214" s="0" t="s">
        <v>176</v>
      </c>
      <c r="AC214" s="0" t="s">
        <v>177</v>
      </c>
      <c r="AD214" s="0" t="s">
        <v>349</v>
      </c>
      <c r="AE214" s="0" t="s">
        <v>829</v>
      </c>
      <c r="AH214" s="0" t="s">
        <v>180</v>
      </c>
      <c r="AJ214" s="0" t="s">
        <v>437</v>
      </c>
      <c r="AK214" s="0" t="s">
        <v>94</v>
      </c>
      <c r="AP214" s="0" t="s">
        <v>99</v>
      </c>
      <c r="AR214" s="0" t="s">
        <v>101</v>
      </c>
      <c r="BA214" s="0" t="s">
        <v>110</v>
      </c>
      <c r="BF214" s="0" t="s">
        <v>115</v>
      </c>
      <c r="BM214" s="0" t="s">
        <v>122</v>
      </c>
      <c r="BO214" s="0" t="s">
        <v>124</v>
      </c>
    </row>
    <row r="215">
      <c r="B215" s="0" t="s">
        <v>825</v>
      </c>
      <c r="C215" s="1" t="n">
        <v>353821</v>
      </c>
      <c r="E215" s="14" t="s">
        <v>830</v>
      </c>
      <c r="F215" s="14" t="s">
        <v>184</v>
      </c>
      <c r="G215" s="25" t="str">
        <f>HYPERLINK("http://vk.com/wall-192599495_202759?reply=203716&amp;thread=202853")</f>
      </c>
      <c r="H215" s="14" t="s">
        <v>170</v>
      </c>
      <c r="I215" s="14" t="s">
        <v>231</v>
      </c>
      <c r="J215" s="14" t="s">
        <v>804</v>
      </c>
      <c r="K215" s="26" t="str">
        <f>HYPERLINK("http://vk.com/id793516016")</f>
      </c>
      <c r="L215" s="14" t="s">
        <v>173</v>
      </c>
      <c r="M215" s="14" t="s">
        <v>831</v>
      </c>
      <c r="N215" s="25" t="str">
        <f>HYPERLINK("http://vk.com/club192599495")</f>
      </c>
      <c r="O215" s="1" t="s">
        <v>186</v>
      </c>
      <c r="P215" s="1" t="n">
        <v>22</v>
      </c>
      <c r="Q215" s="1" t="n">
        <v>9059</v>
      </c>
      <c r="R215" s="1" t="n">
        <v>0</v>
      </c>
      <c r="S215" s="1"/>
      <c r="T215" s="1" t="n">
        <v>0</v>
      </c>
      <c r="U215" s="1" t="n">
        <v>0</v>
      </c>
      <c r="V215" s="1" t="n">
        <v>0</v>
      </c>
      <c r="W215" s="1"/>
      <c r="Y215" s="1" t="n">
        <v>1</v>
      </c>
      <c r="Z215" s="0" t="s">
        <v>319</v>
      </c>
      <c r="AA215" s="0" t="s">
        <v>292</v>
      </c>
      <c r="AH215" s="0" t="s">
        <v>180</v>
      </c>
      <c r="AI215" s="0" t="s">
        <v>92</v>
      </c>
      <c r="AJ215" s="0" t="s">
        <v>437</v>
      </c>
      <c r="AK215" s="0" t="s">
        <v>94</v>
      </c>
      <c r="AY215" s="0" t="s">
        <v>108</v>
      </c>
      <c r="BP215" s="0" t="s">
        <v>125</v>
      </c>
      <c r="CR215" s="0" t="s">
        <v>153</v>
      </c>
    </row>
    <row r="216" ht="24.75">
      <c r="B216" s="0" t="s">
        <v>832</v>
      </c>
      <c r="C216" s="1" t="n">
        <v>353994</v>
      </c>
      <c r="E216" s="14" t="s">
        <v>554</v>
      </c>
      <c r="F216" s="14" t="s">
        <v>169</v>
      </c>
      <c r="G216" s="25" t="str">
        <f>HYPERLINK("http://www.ok.ru/profile/570209216593/statuses/156017644689489")</f>
      </c>
      <c r="H216" s="14" t="s">
        <v>170</v>
      </c>
      <c r="I216" s="14" t="s">
        <v>171</v>
      </c>
      <c r="J216" s="14" t="s">
        <v>833</v>
      </c>
      <c r="K216" s="26" t="str">
        <f>HYPERLINK("http://www.ok.ru/profile/570209216593")</f>
      </c>
      <c r="L216" s="14" t="s">
        <v>173</v>
      </c>
      <c r="O216" s="1" t="s">
        <v>174</v>
      </c>
      <c r="P216" s="1" t="n">
        <v>50</v>
      </c>
      <c r="Q216" s="1" t="n">
        <v>311</v>
      </c>
      <c r="R216" s="1" t="n">
        <v>0</v>
      </c>
      <c r="S216" s="1"/>
      <c r="T216" s="1" t="n">
        <v>0</v>
      </c>
      <c r="U216" s="1" t="n">
        <v>1</v>
      </c>
      <c r="V216" s="1" t="n">
        <v>1</v>
      </c>
      <c r="W216" s="1"/>
      <c r="Y216" s="1" t="n">
        <v>59</v>
      </c>
      <c r="Z216" s="0" t="s">
        <v>175</v>
      </c>
      <c r="AA216" s="0" t="s">
        <v>176</v>
      </c>
      <c r="AC216" s="0" t="s">
        <v>177</v>
      </c>
      <c r="AH216" s="0" t="s">
        <v>180</v>
      </c>
      <c r="AJ216" s="0" t="s">
        <v>437</v>
      </c>
      <c r="AK216" s="0" t="s">
        <v>94</v>
      </c>
      <c r="AM216" s="0" t="s">
        <v>96</v>
      </c>
      <c r="AO216" s="0" t="s">
        <v>98</v>
      </c>
      <c r="AP216" s="0" t="s">
        <v>99</v>
      </c>
      <c r="AQ216" s="0" t="s">
        <v>100</v>
      </c>
    </row>
    <row r="217">
      <c r="B217" s="0" t="s">
        <v>834</v>
      </c>
      <c r="C217" s="1" t="n">
        <v>353832</v>
      </c>
      <c r="E217" s="14" t="s">
        <v>835</v>
      </c>
      <c r="F217" s="14" t="s">
        <v>184</v>
      </c>
      <c r="G217" s="25" t="str">
        <f>HYPERLINK("http://vk.com/wall-203023242_19133?reply=19285&amp;thread=19143")</f>
      </c>
      <c r="H217" s="14" t="s">
        <v>170</v>
      </c>
      <c r="I217" s="14" t="s">
        <v>231</v>
      </c>
      <c r="J217" s="14" t="s">
        <v>836</v>
      </c>
      <c r="K217" s="26" t="str">
        <f>HYPERLINK("http://vk.com/id795024010")</f>
      </c>
      <c r="L217" s="14" t="s">
        <v>173</v>
      </c>
      <c r="M217" s="14" t="s">
        <v>553</v>
      </c>
      <c r="N217" s="25" t="str">
        <f>HYPERLINK("http://vk.com/club203023242")</f>
      </c>
      <c r="O217" s="1" t="s">
        <v>186</v>
      </c>
      <c r="P217" s="1" t="n">
        <v>33</v>
      </c>
      <c r="Q217" s="1" t="n">
        <v>5404</v>
      </c>
      <c r="R217" s="1" t="n">
        <v>0</v>
      </c>
      <c r="S217" s="1"/>
      <c r="T217" s="1" t="n">
        <v>0</v>
      </c>
      <c r="U217" s="1" t="n">
        <v>0</v>
      </c>
      <c r="V217" s="1" t="n">
        <v>0</v>
      </c>
      <c r="W217" s="1"/>
      <c r="Y217" s="1" t="n">
        <v>1</v>
      </c>
      <c r="Z217" s="0" t="s">
        <v>319</v>
      </c>
      <c r="AA217" s="0" t="s">
        <v>187</v>
      </c>
      <c r="AH217" s="0" t="s">
        <v>180</v>
      </c>
      <c r="AI217" s="0" t="s">
        <v>92</v>
      </c>
      <c r="AJ217" s="0" t="s">
        <v>437</v>
      </c>
      <c r="AK217" s="0" t="s">
        <v>94</v>
      </c>
      <c r="AN217" s="0" t="s">
        <v>97</v>
      </c>
      <c r="AP217" s="0" t="s">
        <v>99</v>
      </c>
      <c r="BB217" s="0" t="s">
        <v>111</v>
      </c>
      <c r="BF217" s="0" t="s">
        <v>115</v>
      </c>
      <c r="BQ217" s="0" t="s">
        <v>126</v>
      </c>
    </row>
    <row r="218">
      <c r="B218" s="0" t="s">
        <v>834</v>
      </c>
      <c r="C218" s="1" t="n">
        <v>353820</v>
      </c>
      <c r="E218" s="14" t="s">
        <v>837</v>
      </c>
      <c r="F218" s="14" t="s">
        <v>184</v>
      </c>
      <c r="G218" s="25" t="str">
        <f>HYPERLINK("http://vk.com/wall-120040122_179359?reply=179786&amp;thread=179366")</f>
      </c>
      <c r="H218" s="14" t="s">
        <v>170</v>
      </c>
      <c r="I218" s="14" t="s">
        <v>231</v>
      </c>
      <c r="J218" s="14" t="s">
        <v>804</v>
      </c>
      <c r="K218" s="26" t="str">
        <f>HYPERLINK("http://vk.com/id793516016")</f>
      </c>
      <c r="L218" s="14" t="s">
        <v>173</v>
      </c>
      <c r="M218" s="14" t="s">
        <v>838</v>
      </c>
      <c r="N218" s="25" t="str">
        <f>HYPERLINK("http://vk.com/club120040122")</f>
      </c>
      <c r="O218" s="1" t="s">
        <v>186</v>
      </c>
      <c r="P218" s="1" t="n">
        <v>22</v>
      </c>
      <c r="Q218" s="1" t="n">
        <v>17109</v>
      </c>
      <c r="R218" s="1" t="n">
        <v>0</v>
      </c>
      <c r="S218" s="1"/>
      <c r="T218" s="1" t="n">
        <v>0</v>
      </c>
      <c r="U218" s="1" t="n">
        <v>0</v>
      </c>
      <c r="V218" s="1" t="n">
        <v>0</v>
      </c>
      <c r="W218" s="1"/>
      <c r="Y218" s="1" t="n">
        <v>1</v>
      </c>
      <c r="Z218" s="0" t="s">
        <v>319</v>
      </c>
      <c r="AA218" s="0" t="s">
        <v>292</v>
      </c>
      <c r="AH218" s="0" t="s">
        <v>180</v>
      </c>
      <c r="AI218" s="0" t="s">
        <v>92</v>
      </c>
      <c r="AJ218" s="0" t="s">
        <v>437</v>
      </c>
      <c r="AY218" s="0" t="s">
        <v>108</v>
      </c>
      <c r="BP218" s="0" t="s">
        <v>125</v>
      </c>
    </row>
    <row r="219" ht="1356.75">
      <c r="B219" s="0" t="s">
        <v>839</v>
      </c>
      <c r="C219" s="1" t="n">
        <v>353825</v>
      </c>
      <c r="E219" s="14" t="s">
        <v>840</v>
      </c>
      <c r="F219" s="14" t="s">
        <v>184</v>
      </c>
      <c r="G219" s="25" t="str">
        <f>HYPERLINK("http://vk.com/wall49328161_3227")</f>
      </c>
      <c r="H219" s="14" t="s">
        <v>170</v>
      </c>
      <c r="I219" s="14" t="s">
        <v>171</v>
      </c>
      <c r="J219" s="14" t="s">
        <v>841</v>
      </c>
      <c r="K219" s="26" t="str">
        <f>HYPERLINK("http://vk.com/id49328161")</f>
      </c>
      <c r="L219" s="14" t="s">
        <v>173</v>
      </c>
      <c r="O219" s="1" t="s">
        <v>186</v>
      </c>
      <c r="P219" s="1"/>
      <c r="Q219" s="1" t="n">
        <v>572</v>
      </c>
      <c r="R219" s="1" t="n">
        <v>0</v>
      </c>
      <c r="S219" s="1"/>
      <c r="T219" s="1" t="n">
        <v>0</v>
      </c>
      <c r="U219" s="1" t="n">
        <v>0</v>
      </c>
      <c r="V219" s="1" t="n">
        <v>0</v>
      </c>
      <c r="W219" s="1" t="n">
        <v>4</v>
      </c>
      <c r="Y219" s="1" t="n">
        <v>5</v>
      </c>
      <c r="Z219" s="0" t="s">
        <v>175</v>
      </c>
      <c r="AA219" s="0" t="s">
        <v>176</v>
      </c>
      <c r="AC219" s="0" t="s">
        <v>177</v>
      </c>
      <c r="AD219" s="0" t="s">
        <v>842</v>
      </c>
      <c r="AE219" s="0" t="s">
        <v>843</v>
      </c>
      <c r="AH219" s="0" t="s">
        <v>180</v>
      </c>
      <c r="AJ219" s="0" t="s">
        <v>437</v>
      </c>
      <c r="AK219" s="0" t="s">
        <v>94</v>
      </c>
      <c r="AL219" s="0" t="s">
        <v>95</v>
      </c>
      <c r="AM219" s="0" t="s">
        <v>96</v>
      </c>
      <c r="AO219" s="0" t="s">
        <v>98</v>
      </c>
      <c r="AQ219" s="0" t="s">
        <v>100</v>
      </c>
    </row>
    <row r="220">
      <c r="B220" s="0" t="s">
        <v>839</v>
      </c>
      <c r="C220" s="1" t="n">
        <v>353828</v>
      </c>
      <c r="E220" s="14" t="s">
        <v>844</v>
      </c>
      <c r="F220" s="14" t="s">
        <v>184</v>
      </c>
      <c r="G220" s="25" t="str">
        <f>HYPERLINK("http://vk.com/wall-111555133_2685956?reply=2689612&amp;thread=2687658")</f>
      </c>
      <c r="H220" s="14" t="s">
        <v>170</v>
      </c>
      <c r="I220" s="14" t="s">
        <v>231</v>
      </c>
      <c r="J220" s="14" t="s">
        <v>804</v>
      </c>
      <c r="K220" s="26" t="str">
        <f>HYPERLINK("http://vk.com/id793516016")</f>
      </c>
      <c r="L220" s="14" t="s">
        <v>173</v>
      </c>
      <c r="M220" s="14" t="s">
        <v>845</v>
      </c>
      <c r="N220" s="25" t="str">
        <f>HYPERLINK("http://vk.com/club111555133")</f>
      </c>
      <c r="O220" s="1" t="s">
        <v>186</v>
      </c>
      <c r="P220" s="1" t="n">
        <v>22</v>
      </c>
      <c r="Q220" s="1" t="n">
        <v>79493</v>
      </c>
      <c r="R220" s="1" t="n">
        <v>0</v>
      </c>
      <c r="S220" s="1"/>
      <c r="T220" s="1" t="n">
        <v>0</v>
      </c>
      <c r="U220" s="1" t="n">
        <v>0</v>
      </c>
      <c r="V220" s="1" t="n">
        <v>0</v>
      </c>
      <c r="W220" s="1"/>
      <c r="Y220" s="1" t="n">
        <v>1</v>
      </c>
      <c r="Z220" s="0" t="s">
        <v>319</v>
      </c>
      <c r="AA220" s="0" t="s">
        <v>292</v>
      </c>
      <c r="AH220" s="0" t="s">
        <v>180</v>
      </c>
      <c r="AI220" s="0" t="s">
        <v>92</v>
      </c>
      <c r="AJ220" s="0" t="s">
        <v>437</v>
      </c>
      <c r="AY220" s="0" t="s">
        <v>108</v>
      </c>
      <c r="BP220" s="0" t="s">
        <v>125</v>
      </c>
    </row>
    <row r="221">
      <c r="B221" s="0" t="s">
        <v>846</v>
      </c>
      <c r="C221" s="1" t="n">
        <v>353819</v>
      </c>
      <c r="E221" s="14" t="s">
        <v>847</v>
      </c>
      <c r="F221" s="14" t="s">
        <v>184</v>
      </c>
      <c r="G221" s="25" t="str">
        <f>HYPERLINK("http://vk.com/wall-47120073_3193668?reply=3253891&amp;thread=3253620")</f>
      </c>
      <c r="H221" s="14" t="s">
        <v>170</v>
      </c>
      <c r="I221" s="14" t="s">
        <v>231</v>
      </c>
      <c r="J221" s="14" t="s">
        <v>789</v>
      </c>
      <c r="K221" s="26" t="str">
        <f>HYPERLINK("http://vk.com/id656608653")</f>
      </c>
      <c r="L221" s="14" t="s">
        <v>173</v>
      </c>
      <c r="M221" s="14" t="s">
        <v>848</v>
      </c>
      <c r="N221" s="25" t="str">
        <f>HYPERLINK("http://vk.com/club47120073")</f>
      </c>
      <c r="O221" s="1" t="s">
        <v>186</v>
      </c>
      <c r="P221" s="1" t="n">
        <v>40</v>
      </c>
      <c r="Q221" s="1" t="n">
        <v>393157</v>
      </c>
      <c r="R221" s="1" t="n">
        <v>0</v>
      </c>
      <c r="S221" s="1"/>
      <c r="T221" s="1" t="n">
        <v>0</v>
      </c>
      <c r="U221" s="1" t="n">
        <v>0</v>
      </c>
      <c r="V221" s="1" t="n">
        <v>0</v>
      </c>
      <c r="W221" s="1"/>
      <c r="Y221" s="1" t="n">
        <v>1</v>
      </c>
      <c r="Z221" s="0" t="s">
        <v>463</v>
      </c>
      <c r="AA221" s="0" t="s">
        <v>292</v>
      </c>
      <c r="AH221" s="0" t="s">
        <v>180</v>
      </c>
      <c r="AI221" s="0" t="s">
        <v>92</v>
      </c>
      <c r="AJ221" s="0" t="s">
        <v>437</v>
      </c>
      <c r="AO221" s="0" t="s">
        <v>98</v>
      </c>
      <c r="AP221" s="0" t="s">
        <v>99</v>
      </c>
      <c r="AY221" s="0" t="s">
        <v>108</v>
      </c>
      <c r="CG221" s="0" t="s">
        <v>142</v>
      </c>
    </row>
    <row r="222" ht="48.75">
      <c r="B222" s="0" t="s">
        <v>849</v>
      </c>
      <c r="C222" s="1" t="n">
        <v>353809</v>
      </c>
      <c r="E222" s="14" t="s">
        <v>850</v>
      </c>
      <c r="F222" s="14" t="s">
        <v>184</v>
      </c>
      <c r="G222" s="25" t="str">
        <f>HYPERLINK("http://vk.com/wall304092230_5449")</f>
      </c>
      <c r="H222" s="14" t="s">
        <v>170</v>
      </c>
      <c r="I222" s="14" t="s">
        <v>171</v>
      </c>
      <c r="J222" s="14" t="s">
        <v>851</v>
      </c>
      <c r="K222" s="26" t="str">
        <f>HYPERLINK("http://vk.com/id304092230")</f>
      </c>
      <c r="L222" s="14" t="s">
        <v>173</v>
      </c>
      <c r="O222" s="1" t="s">
        <v>186</v>
      </c>
      <c r="P222" s="1" t="n">
        <v>60</v>
      </c>
      <c r="Q222" s="1" t="n">
        <v>234</v>
      </c>
      <c r="R222" s="1" t="n">
        <v>0</v>
      </c>
      <c r="S222" s="1"/>
      <c r="T222" s="1" t="n">
        <v>0</v>
      </c>
      <c r="U222" s="1" t="n">
        <v>0</v>
      </c>
      <c r="V222" s="1" t="n">
        <v>0</v>
      </c>
      <c r="W222" s="1" t="n">
        <v>1</v>
      </c>
      <c r="Y222" s="1" t="n">
        <v>1</v>
      </c>
      <c r="Z222" s="0" t="s">
        <v>175</v>
      </c>
      <c r="AA222" s="0" t="s">
        <v>187</v>
      </c>
      <c r="AC222" s="0" t="s">
        <v>177</v>
      </c>
      <c r="AD222" s="0" t="s">
        <v>852</v>
      </c>
      <c r="AE222" s="0" t="s">
        <v>853</v>
      </c>
      <c r="AH222" s="0" t="s">
        <v>180</v>
      </c>
      <c r="AJ222" s="0" t="s">
        <v>437</v>
      </c>
      <c r="AK222" s="0" t="s">
        <v>94</v>
      </c>
      <c r="AM222" s="0" t="s">
        <v>96</v>
      </c>
      <c r="AP222" s="0" t="s">
        <v>99</v>
      </c>
      <c r="AU222" s="0" t="s">
        <v>104</v>
      </c>
      <c r="AV222" s="0" t="s">
        <v>105</v>
      </c>
    </row>
    <row r="223" ht="36.75">
      <c r="B223" s="0" t="s">
        <v>849</v>
      </c>
      <c r="C223" s="1" t="n">
        <v>353800</v>
      </c>
      <c r="E223" s="14" t="s">
        <v>202</v>
      </c>
      <c r="F223" s="14" t="s">
        <v>184</v>
      </c>
      <c r="G223" s="25" t="str">
        <f>HYPERLINK("http://vk.com/wall604299732_445")</f>
      </c>
      <c r="H223" s="14" t="s">
        <v>170</v>
      </c>
      <c r="I223" s="14" t="s">
        <v>171</v>
      </c>
      <c r="J223" s="14" t="s">
        <v>854</v>
      </c>
      <c r="K223" s="26" t="str">
        <f>HYPERLINK("http://vk.com/id604299732")</f>
      </c>
      <c r="L223" s="14" t="s">
        <v>173</v>
      </c>
      <c r="O223" s="1" t="s">
        <v>186</v>
      </c>
      <c r="P223" s="1" t="n">
        <v>50</v>
      </c>
      <c r="Q223" s="1" t="n">
        <v>359</v>
      </c>
      <c r="R223" s="1" t="n">
        <v>0</v>
      </c>
      <c r="S223" s="1"/>
      <c r="T223" s="1" t="n">
        <v>0</v>
      </c>
      <c r="U223" s="1" t="n">
        <v>0</v>
      </c>
      <c r="V223" s="1" t="n">
        <v>0</v>
      </c>
      <c r="W223" s="1" t="n">
        <v>2</v>
      </c>
      <c r="Y223" s="1" t="n">
        <v>60</v>
      </c>
      <c r="Z223" s="0" t="s">
        <v>175</v>
      </c>
      <c r="AA223" s="0" t="s">
        <v>176</v>
      </c>
      <c r="AH223" s="0" t="s">
        <v>180</v>
      </c>
      <c r="AJ223" s="0" t="s">
        <v>437</v>
      </c>
      <c r="AK223" s="0" t="s">
        <v>94</v>
      </c>
      <c r="AL223" s="0" t="s">
        <v>95</v>
      </c>
      <c r="AM223" s="0" t="s">
        <v>96</v>
      </c>
      <c r="AO223" s="0" t="s">
        <v>98</v>
      </c>
      <c r="AQ223" s="0" t="s">
        <v>100</v>
      </c>
    </row>
    <row r="224" ht="24.75">
      <c r="B224" s="0" t="s">
        <v>855</v>
      </c>
      <c r="C224" s="1" t="n">
        <v>353796</v>
      </c>
      <c r="E224" s="14" t="s">
        <v>856</v>
      </c>
      <c r="F224" s="14" t="s">
        <v>184</v>
      </c>
      <c r="G224" s="25" t="str">
        <f>HYPERLINK("http://vk.com/wall756395807_30")</f>
      </c>
      <c r="H224" s="14" t="s">
        <v>170</v>
      </c>
      <c r="I224" s="14" t="s">
        <v>171</v>
      </c>
      <c r="J224" s="14" t="s">
        <v>857</v>
      </c>
      <c r="K224" s="26" t="str">
        <f>HYPERLINK("http://vk.com/id756395807")</f>
      </c>
      <c r="L224" s="14" t="s">
        <v>173</v>
      </c>
      <c r="O224" s="1" t="s">
        <v>186</v>
      </c>
      <c r="P224" s="1" t="n">
        <v>57</v>
      </c>
      <c r="Q224" s="1" t="n">
        <v>18</v>
      </c>
      <c r="R224" s="1" t="n">
        <v>0</v>
      </c>
      <c r="S224" s="1"/>
      <c r="T224" s="1" t="n">
        <v>0</v>
      </c>
      <c r="U224" s="1" t="n">
        <v>0</v>
      </c>
      <c r="V224" s="1" t="n">
        <v>0</v>
      </c>
      <c r="W224" s="1" t="n">
        <v>2</v>
      </c>
      <c r="Y224" s="1" t="n">
        <v>3</v>
      </c>
      <c r="Z224" s="0" t="s">
        <v>175</v>
      </c>
      <c r="AA224" s="0" t="s">
        <v>187</v>
      </c>
      <c r="AH224" s="0" t="s">
        <v>180</v>
      </c>
      <c r="AJ224" s="0" t="s">
        <v>437</v>
      </c>
      <c r="AK224" s="0" t="s">
        <v>94</v>
      </c>
      <c r="AM224" s="0" t="s">
        <v>96</v>
      </c>
      <c r="AP224" s="0" t="s">
        <v>99</v>
      </c>
      <c r="BC224" s="0" t="s">
        <v>112</v>
      </c>
      <c r="BN224" s="0" t="s">
        <v>123</v>
      </c>
    </row>
    <row r="225">
      <c r="B225" s="0" t="s">
        <v>858</v>
      </c>
      <c r="C225" s="1" t="n">
        <v>353831</v>
      </c>
      <c r="E225" s="14" t="s">
        <v>859</v>
      </c>
      <c r="F225" s="14" t="s">
        <v>184</v>
      </c>
      <c r="G225" s="25" t="str">
        <f>HYPERLINK("http://vk.com/wall-156317052_564218?reply=565510&amp;thread=564309")</f>
      </c>
      <c r="H225" s="14" t="s">
        <v>170</v>
      </c>
      <c r="I225" s="14" t="s">
        <v>231</v>
      </c>
      <c r="J225" s="14" t="s">
        <v>804</v>
      </c>
      <c r="K225" s="26" t="str">
        <f>HYPERLINK("http://vk.com/id793516016")</f>
      </c>
      <c r="L225" s="14" t="s">
        <v>173</v>
      </c>
      <c r="M225" s="14" t="s">
        <v>860</v>
      </c>
      <c r="N225" s="25" t="str">
        <f>HYPERLINK("http://vk.com/club156317052")</f>
      </c>
      <c r="O225" s="1" t="s">
        <v>186</v>
      </c>
      <c r="P225" s="1" t="n">
        <v>22</v>
      </c>
      <c r="Q225" s="1" t="n">
        <v>29527</v>
      </c>
      <c r="R225" s="1" t="n">
        <v>0</v>
      </c>
      <c r="S225" s="1"/>
      <c r="T225" s="1" t="n">
        <v>0</v>
      </c>
      <c r="U225" s="1" t="n">
        <v>0</v>
      </c>
      <c r="V225" s="1" t="n">
        <v>0</v>
      </c>
      <c r="W225" s="1"/>
      <c r="Y225" s="1" t="n">
        <v>1</v>
      </c>
      <c r="Z225" s="0" t="s">
        <v>319</v>
      </c>
      <c r="AA225" s="0" t="s">
        <v>292</v>
      </c>
      <c r="AH225" s="0" t="s">
        <v>180</v>
      </c>
      <c r="AI225" s="0" t="s">
        <v>92</v>
      </c>
      <c r="AJ225" s="0" t="s">
        <v>437</v>
      </c>
      <c r="AY225" s="0" t="s">
        <v>108</v>
      </c>
      <c r="BP225" s="0" t="s">
        <v>125</v>
      </c>
    </row>
    <row r="226">
      <c r="B226" s="0" t="s">
        <v>858</v>
      </c>
      <c r="C226" s="1" t="n">
        <v>353822</v>
      </c>
      <c r="E226" s="14" t="s">
        <v>861</v>
      </c>
      <c r="F226" s="14" t="s">
        <v>184</v>
      </c>
      <c r="G226" s="25" t="str">
        <f>HYPERLINK("http://vk.com/wall-158393246_1356109?reply=1356364")</f>
      </c>
      <c r="H226" s="14" t="s">
        <v>170</v>
      </c>
      <c r="I226" s="14" t="s">
        <v>231</v>
      </c>
      <c r="J226" s="14" t="s">
        <v>862</v>
      </c>
      <c r="K226" s="26" t="str">
        <f>HYPERLINK("http://vk.com/id91634514")</f>
      </c>
      <c r="L226" s="14" t="s">
        <v>173</v>
      </c>
      <c r="M226" s="14" t="s">
        <v>590</v>
      </c>
      <c r="N226" s="25" t="str">
        <f>HYPERLINK("http://vk.com/club158393246")</f>
      </c>
      <c r="O226" s="1" t="s">
        <v>186</v>
      </c>
      <c r="P226" s="1"/>
      <c r="Q226" s="1" t="n">
        <v>16513</v>
      </c>
      <c r="R226" s="1" t="n">
        <v>0</v>
      </c>
      <c r="S226" s="1"/>
      <c r="T226" s="1" t="n">
        <v>0</v>
      </c>
      <c r="U226" s="1" t="n">
        <v>0</v>
      </c>
      <c r="V226" s="1" t="n">
        <v>0</v>
      </c>
      <c r="W226" s="1"/>
      <c r="Y226" s="1" t="n">
        <v>1</v>
      </c>
      <c r="Z226" s="0" t="s">
        <v>175</v>
      </c>
      <c r="AA226" s="0" t="s">
        <v>187</v>
      </c>
      <c r="AC226" s="0" t="s">
        <v>177</v>
      </c>
      <c r="AD226" s="0" t="s">
        <v>246</v>
      </c>
      <c r="AE226" s="0" t="s">
        <v>863</v>
      </c>
      <c r="AH226" s="0" t="s">
        <v>180</v>
      </c>
      <c r="AI226" s="0" t="s">
        <v>92</v>
      </c>
      <c r="AJ226" s="0" t="s">
        <v>437</v>
      </c>
      <c r="AK226" s="0" t="s">
        <v>94</v>
      </c>
      <c r="AN226" s="0" t="s">
        <v>97</v>
      </c>
      <c r="AP226" s="0" t="s">
        <v>99</v>
      </c>
      <c r="AT226" s="0" t="s">
        <v>103</v>
      </c>
      <c r="AW226" s="0" t="s">
        <v>106</v>
      </c>
      <c r="BC226" s="0" t="s">
        <v>112</v>
      </c>
      <c r="CT226" s="0" t="s">
        <v>155</v>
      </c>
    </row>
    <row r="227" ht="852.75">
      <c r="B227" s="0" t="s">
        <v>864</v>
      </c>
      <c r="C227" s="1" t="n">
        <v>353794</v>
      </c>
      <c r="E227" s="14" t="s">
        <v>865</v>
      </c>
      <c r="F227" s="14" t="s">
        <v>184</v>
      </c>
      <c r="G227" s="25" t="str">
        <f>HYPERLINK("http://vk.com/wall639669938_12")</f>
      </c>
      <c r="H227" s="14" t="s">
        <v>170</v>
      </c>
      <c r="I227" s="14" t="s">
        <v>171</v>
      </c>
      <c r="J227" s="14" t="s">
        <v>866</v>
      </c>
      <c r="K227" s="26" t="str">
        <f>HYPERLINK("http://vk.com/id639669938")</f>
      </c>
      <c r="L227" s="14" t="s">
        <v>173</v>
      </c>
      <c r="O227" s="1" t="s">
        <v>174</v>
      </c>
      <c r="P227" s="1"/>
      <c r="Q227" s="1" t="n">
        <v>16</v>
      </c>
      <c r="R227" s="1" t="n">
        <v>0</v>
      </c>
      <c r="S227" s="1"/>
      <c r="T227" s="1" t="n">
        <v>0</v>
      </c>
      <c r="U227" s="1" t="n">
        <v>1</v>
      </c>
      <c r="V227" s="1" t="n">
        <v>1</v>
      </c>
      <c r="W227" s="1" t="n">
        <v>2</v>
      </c>
      <c r="Y227" s="1" t="n">
        <v>4</v>
      </c>
      <c r="Z227" s="0" t="s">
        <v>175</v>
      </c>
      <c r="AA227" s="0" t="s">
        <v>176</v>
      </c>
      <c r="AC227" s="0" t="s">
        <v>177</v>
      </c>
      <c r="AD227" s="0" t="s">
        <v>760</v>
      </c>
      <c r="AE227" s="0" t="s">
        <v>761</v>
      </c>
      <c r="AH227" s="0" t="s">
        <v>180</v>
      </c>
      <c r="AJ227" s="0" t="s">
        <v>437</v>
      </c>
      <c r="AK227" s="0" t="s">
        <v>94</v>
      </c>
      <c r="AP227" s="0" t="s">
        <v>99</v>
      </c>
      <c r="AR227" s="0" t="s">
        <v>101</v>
      </c>
      <c r="BA227" s="0" t="s">
        <v>110</v>
      </c>
      <c r="BF227" s="0" t="s">
        <v>115</v>
      </c>
    </row>
    <row r="228">
      <c r="B228" s="0" t="s">
        <v>867</v>
      </c>
      <c r="C228" s="1" t="n">
        <v>353814</v>
      </c>
      <c r="D228" s="0" t="s">
        <v>868</v>
      </c>
      <c r="E228" s="14" t="s">
        <v>869</v>
      </c>
      <c r="F228" s="14" t="s">
        <v>870</v>
      </c>
      <c r="G228" s="25" t="str">
        <f>HYPERLINK("https://dzen.ru/news/story/Ceny_nalekarstva_vOmske_vyrosli_na04--147e74bf3c4bb24c360bc680a9f24fa5")</f>
      </c>
      <c r="H228" s="14" t="s">
        <v>208</v>
      </c>
      <c r="I228" s="14" t="s">
        <v>194</v>
      </c>
      <c r="J228" s="14"/>
      <c r="L228" s="14"/>
      <c r="O228" s="1"/>
      <c r="P228" s="1"/>
      <c r="Q228" s="1"/>
      <c r="R228" s="1" t="n">
        <v>0</v>
      </c>
      <c r="S228" s="1" t="n">
        <v>137128</v>
      </c>
      <c r="T228" s="1" t="n">
        <v>0</v>
      </c>
      <c r="U228" s="1" t="n">
        <v>0</v>
      </c>
      <c r="V228" s="1" t="n">
        <v>0</v>
      </c>
      <c r="W228" s="1"/>
      <c r="Y228" s="1" t="n">
        <v>1</v>
      </c>
      <c r="Z228" s="0" t="s">
        <v>175</v>
      </c>
      <c r="AA228" s="0" t="s">
        <v>223</v>
      </c>
      <c r="AH228" s="0" t="s">
        <v>180</v>
      </c>
      <c r="AJ228" s="0" t="s">
        <v>437</v>
      </c>
      <c r="AM228" s="0" t="s">
        <v>96</v>
      </c>
      <c r="AP228" s="0" t="s">
        <v>99</v>
      </c>
      <c r="BD228" s="0" t="s">
        <v>113</v>
      </c>
    </row>
    <row r="229" ht="24.75">
      <c r="B229" s="0" t="s">
        <v>867</v>
      </c>
      <c r="C229" s="1" t="n">
        <v>353752</v>
      </c>
      <c r="E229" s="14" t="s">
        <v>871</v>
      </c>
      <c r="F229" s="14" t="s">
        <v>192</v>
      </c>
      <c r="G229" s="25" t="str">
        <f>HYPERLINK("https://telegram.me/vzenite_chat/367944")</f>
      </c>
      <c r="H229" s="14" t="s">
        <v>193</v>
      </c>
      <c r="I229" s="14" t="s">
        <v>194</v>
      </c>
      <c r="J229" s="14" t="s">
        <v>872</v>
      </c>
      <c r="K229" s="26" t="str">
        <f>HYPERLINK("https://telegram.me/MikhailAlexeyevich")</f>
      </c>
      <c r="L229" s="14" t="s">
        <v>173</v>
      </c>
      <c r="M229" s="14" t="s">
        <v>873</v>
      </c>
      <c r="N229" s="25" t="str">
        <f>HYPERLINK("https://telegram.me/vzenite_chat")</f>
      </c>
      <c r="O229" s="1" t="s">
        <v>174</v>
      </c>
      <c r="P229" s="1"/>
      <c r="Q229" s="1" t="n">
        <v>228</v>
      </c>
      <c r="R229" s="1" t="n">
        <v>0</v>
      </c>
      <c r="S229" s="1"/>
      <c r="T229" s="1" t="n">
        <v>0</v>
      </c>
      <c r="U229" s="1" t="n">
        <v>0</v>
      </c>
      <c r="V229" s="1" t="n">
        <v>0</v>
      </c>
      <c r="W229" s="1"/>
      <c r="Y229" s="1" t="n">
        <v>1</v>
      </c>
      <c r="Z229" s="0" t="s">
        <v>175</v>
      </c>
      <c r="AA229" s="0" t="s">
        <v>187</v>
      </c>
      <c r="AH229" s="0" t="s">
        <v>180</v>
      </c>
      <c r="AI229" s="0" t="s">
        <v>92</v>
      </c>
      <c r="AJ229" s="0" t="s">
        <v>437</v>
      </c>
      <c r="AK229" s="0" t="s">
        <v>94</v>
      </c>
      <c r="AN229" s="0" t="s">
        <v>97</v>
      </c>
      <c r="AP229" s="0" t="s">
        <v>99</v>
      </c>
      <c r="AR229" s="0" t="s">
        <v>101</v>
      </c>
      <c r="AT229" s="0" t="s">
        <v>103</v>
      </c>
      <c r="BG229" s="0" t="s">
        <v>116</v>
      </c>
    </row>
    <row r="230">
      <c r="B230" s="0" t="s">
        <v>867</v>
      </c>
      <c r="C230" s="1" t="n">
        <v>353791</v>
      </c>
      <c r="E230" s="14" t="s">
        <v>874</v>
      </c>
      <c r="F230" s="14" t="s">
        <v>192</v>
      </c>
      <c r="G230" s="25" t="str">
        <f>HYPERLINK("https://telegram.me/kanzlerdaddy/6336?comment=245892")</f>
      </c>
      <c r="H230" s="14" t="s">
        <v>193</v>
      </c>
      <c r="I230" s="14" t="s">
        <v>231</v>
      </c>
      <c r="J230" s="14" t="s">
        <v>875</v>
      </c>
      <c r="K230" s="26" t="str">
        <f>HYPERLINK("https://telegram.me/")</f>
      </c>
      <c r="L230" s="14" t="s">
        <v>173</v>
      </c>
      <c r="M230" s="14" t="s">
        <v>876</v>
      </c>
      <c r="N230" s="25" t="str">
        <f>HYPERLINK("https://telegram.me/kanzlerdaddy")</f>
      </c>
      <c r="O230" s="1" t="s">
        <v>174</v>
      </c>
      <c r="P230" s="1"/>
      <c r="Q230" s="1" t="n">
        <v>55923</v>
      </c>
      <c r="R230" s="1" t="n">
        <v>0</v>
      </c>
      <c r="S230" s="1"/>
      <c r="T230" s="1" t="n">
        <v>0</v>
      </c>
      <c r="U230" s="1" t="n">
        <v>0</v>
      </c>
      <c r="V230" s="1" t="n">
        <v>0</v>
      </c>
      <c r="W230" s="1"/>
      <c r="Y230" s="1" t="n">
        <v>1</v>
      </c>
      <c r="Z230" s="0" t="s">
        <v>175</v>
      </c>
      <c r="AA230" s="0" t="s">
        <v>187</v>
      </c>
      <c r="AH230" s="0" t="s">
        <v>180</v>
      </c>
      <c r="AI230" s="0" t="s">
        <v>92</v>
      </c>
      <c r="AJ230" s="0" t="s">
        <v>437</v>
      </c>
      <c r="AK230" s="0" t="s">
        <v>94</v>
      </c>
      <c r="AP230" s="0" t="s">
        <v>99</v>
      </c>
      <c r="AT230" s="0" t="s">
        <v>103</v>
      </c>
      <c r="BH230" s="0" t="s">
        <v>117</v>
      </c>
    </row>
    <row r="231" ht="36.75">
      <c r="B231" s="0" t="s">
        <v>877</v>
      </c>
      <c r="C231" s="1" t="n">
        <v>353795</v>
      </c>
      <c r="E231" s="14" t="s">
        <v>878</v>
      </c>
      <c r="F231" s="14" t="s">
        <v>184</v>
      </c>
      <c r="G231" s="25" t="str">
        <f>HYPERLINK("http://vk.com/wall-36456996_616209?reply=616321&amp;thread=616247")</f>
      </c>
      <c r="H231" s="14" t="s">
        <v>170</v>
      </c>
      <c r="I231" s="14" t="s">
        <v>231</v>
      </c>
      <c r="J231" s="14" t="s">
        <v>879</v>
      </c>
      <c r="K231" s="26" t="str">
        <f>HYPERLINK("http://vk.com/id439912924")</f>
      </c>
      <c r="L231" s="14" t="s">
        <v>173</v>
      </c>
      <c r="M231" s="14" t="s">
        <v>880</v>
      </c>
      <c r="N231" s="25" t="str">
        <f>HYPERLINK("http://vk.com/club36456996")</f>
      </c>
      <c r="O231" s="1" t="s">
        <v>186</v>
      </c>
      <c r="P231" s="1"/>
      <c r="Q231" s="1" t="n">
        <v>234186</v>
      </c>
      <c r="R231" s="1" t="n">
        <v>0</v>
      </c>
      <c r="S231" s="1"/>
      <c r="T231" s="1" t="n">
        <v>0</v>
      </c>
      <c r="U231" s="1" t="n">
        <v>0</v>
      </c>
      <c r="V231" s="1" t="n">
        <v>0</v>
      </c>
      <c r="W231" s="1"/>
      <c r="Y231" s="1" t="n">
        <v>1</v>
      </c>
      <c r="Z231" s="0" t="s">
        <v>319</v>
      </c>
      <c r="AA231" s="0" t="s">
        <v>187</v>
      </c>
      <c r="AB231" s="0" t="s">
        <v>85</v>
      </c>
      <c r="AC231" s="0" t="s">
        <v>177</v>
      </c>
      <c r="AD231" s="0" t="s">
        <v>881</v>
      </c>
      <c r="AE231" s="0" t="s">
        <v>882</v>
      </c>
      <c r="AH231" s="0" t="s">
        <v>180</v>
      </c>
      <c r="AI231" s="0" t="s">
        <v>92</v>
      </c>
      <c r="AJ231" s="0" t="s">
        <v>437</v>
      </c>
      <c r="AK231" s="0" t="s">
        <v>94</v>
      </c>
      <c r="AN231" s="0" t="s">
        <v>97</v>
      </c>
      <c r="AP231" s="0" t="s">
        <v>99</v>
      </c>
      <c r="BC231" s="0" t="s">
        <v>112</v>
      </c>
    </row>
    <row r="232" ht="36.75">
      <c r="B232" s="0" t="s">
        <v>877</v>
      </c>
      <c r="C232" s="1" t="n">
        <v>353802</v>
      </c>
      <c r="E232" s="14" t="s">
        <v>883</v>
      </c>
      <c r="F232" s="14" t="s">
        <v>184</v>
      </c>
      <c r="G232" s="25" t="str">
        <f>HYPERLINK("http://vk.com/wall756955843_335")</f>
      </c>
      <c r="H232" s="14" t="s">
        <v>170</v>
      </c>
      <c r="I232" s="14" t="s">
        <v>171</v>
      </c>
      <c r="J232" s="14" t="s">
        <v>884</v>
      </c>
      <c r="K232" s="26" t="str">
        <f>HYPERLINK("http://vk.com/id756955843")</f>
      </c>
      <c r="L232" s="14" t="s">
        <v>173</v>
      </c>
      <c r="O232" s="1" t="s">
        <v>186</v>
      </c>
      <c r="P232" s="1" t="n">
        <v>64</v>
      </c>
      <c r="Q232" s="1" t="n">
        <v>182</v>
      </c>
      <c r="R232" s="1" t="n">
        <v>0</v>
      </c>
      <c r="S232" s="1"/>
      <c r="T232" s="1" t="n">
        <v>0</v>
      </c>
      <c r="U232" s="1" t="n">
        <v>0</v>
      </c>
      <c r="V232" s="1" t="n">
        <v>0</v>
      </c>
      <c r="W232" s="1"/>
      <c r="Y232" s="1" t="n">
        <v>1</v>
      </c>
      <c r="Z232" s="0" t="s">
        <v>175</v>
      </c>
      <c r="AA232" s="0" t="s">
        <v>176</v>
      </c>
      <c r="AH232" s="0" t="s">
        <v>180</v>
      </c>
      <c r="AJ232" s="0" t="s">
        <v>437</v>
      </c>
      <c r="AL232" s="0" t="s">
        <v>95</v>
      </c>
      <c r="AM232" s="0" t="s">
        <v>96</v>
      </c>
      <c r="AO232" s="0" t="s">
        <v>98</v>
      </c>
    </row>
    <row r="233">
      <c r="B233" s="0" t="s">
        <v>877</v>
      </c>
      <c r="C233" s="1" t="n">
        <v>353804</v>
      </c>
      <c r="E233" s="14" t="s">
        <v>885</v>
      </c>
      <c r="F233" s="14" t="s">
        <v>184</v>
      </c>
      <c r="G233" s="25" t="str">
        <f>HYPERLINK("http://vk.com/wall-42296923_568358?reply=569351&amp;thread=568368")</f>
      </c>
      <c r="H233" s="14" t="s">
        <v>170</v>
      </c>
      <c r="I233" s="14" t="s">
        <v>231</v>
      </c>
      <c r="J233" s="14" t="s">
        <v>804</v>
      </c>
      <c r="K233" s="26" t="str">
        <f>HYPERLINK("http://vk.com/id793516016")</f>
      </c>
      <c r="L233" s="14" t="s">
        <v>173</v>
      </c>
      <c r="M233" s="14" t="s">
        <v>886</v>
      </c>
      <c r="N233" s="25" t="str">
        <f>HYPERLINK("http://vk.com/club42296923")</f>
      </c>
      <c r="O233" s="1" t="s">
        <v>186</v>
      </c>
      <c r="P233" s="1" t="n">
        <v>22</v>
      </c>
      <c r="Q233" s="1" t="n">
        <v>743913</v>
      </c>
      <c r="R233" s="1" t="n">
        <v>0</v>
      </c>
      <c r="S233" s="1"/>
      <c r="T233" s="1" t="n">
        <v>0</v>
      </c>
      <c r="U233" s="1" t="n">
        <v>0</v>
      </c>
      <c r="V233" s="1" t="n">
        <v>0</v>
      </c>
      <c r="W233" s="1"/>
      <c r="Y233" s="1" t="n">
        <v>1</v>
      </c>
      <c r="Z233" s="0" t="s">
        <v>319</v>
      </c>
      <c r="AA233" s="0" t="s">
        <v>292</v>
      </c>
      <c r="AH233" s="0" t="s">
        <v>180</v>
      </c>
      <c r="AI233" s="0" t="s">
        <v>92</v>
      </c>
      <c r="AJ233" s="0" t="s">
        <v>437</v>
      </c>
      <c r="AK233" s="0" t="s">
        <v>94</v>
      </c>
      <c r="AR233" s="0" t="s">
        <v>101</v>
      </c>
      <c r="AY233" s="0" t="s">
        <v>108</v>
      </c>
      <c r="BP233" s="0" t="s">
        <v>125</v>
      </c>
    </row>
    <row r="234" ht="72.75">
      <c r="B234" s="0" t="s">
        <v>887</v>
      </c>
      <c r="C234" s="1" t="n">
        <v>353816</v>
      </c>
      <c r="E234" s="14" t="s">
        <v>888</v>
      </c>
      <c r="F234" s="14" t="s">
        <v>184</v>
      </c>
      <c r="G234" s="25" t="str">
        <f>HYPERLINK("http://vk.com/wall-89460402_150821")</f>
      </c>
      <c r="H234" s="14" t="s">
        <v>170</v>
      </c>
      <c r="I234" s="14" t="s">
        <v>194</v>
      </c>
      <c r="J234" s="14" t="s">
        <v>560</v>
      </c>
      <c r="K234" s="26" t="str">
        <f>HYPERLINK("http://vk.com/club89460402")</f>
      </c>
      <c r="L234" s="14" t="s">
        <v>274</v>
      </c>
      <c r="O234" s="1"/>
      <c r="P234" s="1"/>
      <c r="Q234" s="1" t="n">
        <v>47954</v>
      </c>
      <c r="R234" s="1" t="n">
        <v>0</v>
      </c>
      <c r="S234" s="1"/>
      <c r="T234" s="1" t="n">
        <v>0</v>
      </c>
      <c r="U234" s="1" t="n">
        <v>0</v>
      </c>
      <c r="V234" s="1" t="n">
        <v>0</v>
      </c>
      <c r="W234" s="1" t="n">
        <v>364</v>
      </c>
      <c r="Y234" s="1" t="n">
        <v>1</v>
      </c>
      <c r="Z234" s="0" t="s">
        <v>175</v>
      </c>
      <c r="AA234" s="0" t="s">
        <v>176</v>
      </c>
      <c r="AC234" s="0" t="s">
        <v>177</v>
      </c>
      <c r="AD234" s="0" t="s">
        <v>561</v>
      </c>
      <c r="AE234" s="0" t="s">
        <v>562</v>
      </c>
      <c r="AH234" s="0" t="s">
        <v>180</v>
      </c>
      <c r="AJ234" s="0" t="s">
        <v>437</v>
      </c>
      <c r="AK234" s="0" t="s">
        <v>94</v>
      </c>
      <c r="AM234" s="0" t="s">
        <v>96</v>
      </c>
      <c r="AP234" s="0" t="s">
        <v>99</v>
      </c>
      <c r="BD234" s="0" t="s">
        <v>113</v>
      </c>
      <c r="BJ234" s="0" t="s">
        <v>119</v>
      </c>
    </row>
    <row r="235" ht="24.75">
      <c r="B235" s="0" t="s">
        <v>889</v>
      </c>
      <c r="C235" s="1" t="n">
        <v>353797</v>
      </c>
      <c r="E235" s="14" t="s">
        <v>183</v>
      </c>
      <c r="F235" s="14" t="s">
        <v>184</v>
      </c>
      <c r="G235" s="25" t="str">
        <f>HYPERLINK("http://vk.com/wall304564038_1939")</f>
      </c>
      <c r="H235" s="14" t="s">
        <v>170</v>
      </c>
      <c r="I235" s="14" t="s">
        <v>171</v>
      </c>
      <c r="J235" s="14" t="s">
        <v>890</v>
      </c>
      <c r="K235" s="26" t="str">
        <f>HYPERLINK("http://vk.com/id304564038")</f>
      </c>
      <c r="L235" s="14" t="s">
        <v>173</v>
      </c>
      <c r="O235" s="1" t="s">
        <v>186</v>
      </c>
      <c r="P235" s="1" t="n">
        <v>60</v>
      </c>
      <c r="Q235" s="1" t="n">
        <v>132</v>
      </c>
      <c r="R235" s="1" t="n">
        <v>0</v>
      </c>
      <c r="S235" s="1"/>
      <c r="T235" s="1" t="n">
        <v>0</v>
      </c>
      <c r="U235" s="1" t="n">
        <v>0</v>
      </c>
      <c r="V235" s="1" t="n">
        <v>0</v>
      </c>
      <c r="W235" s="1"/>
      <c r="Y235" s="1" t="n">
        <v>62</v>
      </c>
      <c r="Z235" s="0" t="s">
        <v>175</v>
      </c>
      <c r="AA235" s="0" t="s">
        <v>187</v>
      </c>
      <c r="AH235" s="0" t="s">
        <v>180</v>
      </c>
      <c r="AJ235" s="0" t="s">
        <v>437</v>
      </c>
      <c r="AK235" s="0" t="s">
        <v>94</v>
      </c>
      <c r="AO235" s="0" t="s">
        <v>98</v>
      </c>
      <c r="AP235" s="0" t="s">
        <v>99</v>
      </c>
      <c r="AR235" s="0" t="s">
        <v>101</v>
      </c>
      <c r="BA235" s="0" t="s">
        <v>110</v>
      </c>
      <c r="BH235" s="0" t="s">
        <v>117</v>
      </c>
    </row>
    <row r="236">
      <c r="B236" s="0" t="s">
        <v>891</v>
      </c>
      <c r="C236" s="1" t="n">
        <v>353790</v>
      </c>
      <c r="E236" s="14" t="s">
        <v>892</v>
      </c>
      <c r="F236" s="14" t="s">
        <v>184</v>
      </c>
      <c r="G236" s="25" t="str">
        <f>HYPERLINK("http://vk.com/wall-75679763_5158284?reply=5179211&amp;thread=5158331")</f>
      </c>
      <c r="H236" s="14" t="s">
        <v>170</v>
      </c>
      <c r="I236" s="14" t="s">
        <v>231</v>
      </c>
      <c r="J236" s="14" t="s">
        <v>804</v>
      </c>
      <c r="K236" s="26" t="str">
        <f>HYPERLINK("http://vk.com/id793516016")</f>
      </c>
      <c r="L236" s="14" t="s">
        <v>173</v>
      </c>
      <c r="M236" s="14" t="s">
        <v>893</v>
      </c>
      <c r="N236" s="25" t="str">
        <f>HYPERLINK("http://vk.com/club75679763")</f>
      </c>
      <c r="O236" s="1" t="s">
        <v>186</v>
      </c>
      <c r="P236" s="1" t="n">
        <v>22</v>
      </c>
      <c r="Q236" s="1" t="n">
        <v>751179</v>
      </c>
      <c r="R236" s="1" t="n">
        <v>0</v>
      </c>
      <c r="S236" s="1"/>
      <c r="T236" s="1" t="n">
        <v>0</v>
      </c>
      <c r="U236" s="1" t="n">
        <v>0</v>
      </c>
      <c r="V236" s="1" t="n">
        <v>0</v>
      </c>
      <c r="W236" s="1"/>
      <c r="Y236" s="1" t="n">
        <v>1</v>
      </c>
      <c r="Z236" s="0" t="s">
        <v>319</v>
      </c>
      <c r="AA236" s="0" t="s">
        <v>292</v>
      </c>
      <c r="AH236" s="0" t="s">
        <v>180</v>
      </c>
      <c r="AI236" s="0" t="s">
        <v>92</v>
      </c>
      <c r="AJ236" s="0" t="s">
        <v>437</v>
      </c>
      <c r="AY236" s="0" t="s">
        <v>108</v>
      </c>
      <c r="BP236" s="0" t="s">
        <v>125</v>
      </c>
    </row>
    <row r="237">
      <c r="B237" s="0" t="s">
        <v>891</v>
      </c>
      <c r="C237" s="1" t="n">
        <v>354120</v>
      </c>
      <c r="E237" s="14" t="s">
        <v>894</v>
      </c>
      <c r="F237" s="14" t="s">
        <v>184</v>
      </c>
      <c r="G237" s="25" t="str">
        <f>HYPERLINK("http://vk.com/wall-142016348_752245?reply=752920&amp;thread=752368")</f>
      </c>
      <c r="H237" s="14" t="s">
        <v>170</v>
      </c>
      <c r="I237" s="14" t="s">
        <v>231</v>
      </c>
      <c r="J237" s="14" t="s">
        <v>512</v>
      </c>
      <c r="K237" s="26" t="str">
        <f>HYPERLINK("http://vk.com/id445935362")</f>
      </c>
      <c r="L237" s="14" t="s">
        <v>173</v>
      </c>
      <c r="M237" s="14" t="s">
        <v>895</v>
      </c>
      <c r="N237" s="25" t="str">
        <f>HYPERLINK("http://vk.com/club142016348")</f>
      </c>
      <c r="O237" s="1" t="s">
        <v>186</v>
      </c>
      <c r="P237" s="1" t="n">
        <v>60</v>
      </c>
      <c r="Q237" s="1" t="n">
        <v>5919</v>
      </c>
      <c r="R237" s="1" t="n">
        <v>0</v>
      </c>
      <c r="S237" s="1"/>
      <c r="T237" s="1" t="n">
        <v>0</v>
      </c>
      <c r="U237" s="1" t="n">
        <v>0</v>
      </c>
      <c r="V237" s="1" t="n">
        <v>0</v>
      </c>
      <c r="W237" s="1"/>
      <c r="Y237" s="1" t="n">
        <v>1</v>
      </c>
      <c r="Z237" s="0" t="s">
        <v>319</v>
      </c>
      <c r="AA237" s="0" t="s">
        <v>292</v>
      </c>
      <c r="AC237" s="0" t="s">
        <v>177</v>
      </c>
      <c r="AD237" s="0" t="s">
        <v>513</v>
      </c>
      <c r="AE237" s="0" t="s">
        <v>514</v>
      </c>
      <c r="AH237" s="0" t="s">
        <v>180</v>
      </c>
      <c r="AI237" s="0" t="s">
        <v>92</v>
      </c>
      <c r="AJ237" s="0" t="s">
        <v>181</v>
      </c>
      <c r="AK237" s="0" t="s">
        <v>94</v>
      </c>
      <c r="AN237" s="0" t="s">
        <v>97</v>
      </c>
      <c r="AS237" s="0" t="s">
        <v>102</v>
      </c>
      <c r="AX237" s="0" t="s">
        <v>107</v>
      </c>
      <c r="BD237" s="0" t="s">
        <v>113</v>
      </c>
      <c r="BE237" s="0" t="s">
        <v>114</v>
      </c>
    </row>
    <row r="238" ht="24.75">
      <c r="B238" s="0" t="s">
        <v>891</v>
      </c>
      <c r="C238" s="1" t="n">
        <v>353775</v>
      </c>
      <c r="E238" s="14" t="s">
        <v>896</v>
      </c>
      <c r="F238" s="14" t="s">
        <v>192</v>
      </c>
      <c r="G238" s="25" t="str">
        <f>HYPERLINK("https://telegram.me/vv_volodin/632?comment=4535334")</f>
      </c>
      <c r="H238" s="14" t="s">
        <v>193</v>
      </c>
      <c r="I238" s="14" t="s">
        <v>231</v>
      </c>
      <c r="J238" s="14" t="s">
        <v>897</v>
      </c>
      <c r="K238" s="26" t="str">
        <f>HYPERLINK("https://telegram.me/ksenia_vasileyva")</f>
      </c>
      <c r="L238" s="14" t="s">
        <v>173</v>
      </c>
      <c r="M238" s="14" t="s">
        <v>362</v>
      </c>
      <c r="N238" s="25" t="str">
        <f>HYPERLINK("https://telegram.me/vv_volodin")</f>
      </c>
      <c r="O238" s="1" t="s">
        <v>186</v>
      </c>
      <c r="P238" s="1"/>
      <c r="Q238" s="1" t="n">
        <v>943304</v>
      </c>
      <c r="R238" s="1" t="n">
        <v>0</v>
      </c>
      <c r="S238" s="1"/>
      <c r="T238" s="1" t="n">
        <v>0</v>
      </c>
      <c r="U238" s="1" t="n">
        <v>0</v>
      </c>
      <c r="V238" s="1" t="n">
        <v>0</v>
      </c>
      <c r="W238" s="1"/>
      <c r="Y238" s="1" t="n">
        <v>1</v>
      </c>
      <c r="Z238" s="0" t="s">
        <v>319</v>
      </c>
      <c r="AA238" s="0" t="s">
        <v>187</v>
      </c>
      <c r="AH238" s="0" t="s">
        <v>180</v>
      </c>
      <c r="AJ238" s="0" t="s">
        <v>437</v>
      </c>
      <c r="AK238" s="0" t="s">
        <v>94</v>
      </c>
      <c r="AP238" s="0" t="s">
        <v>99</v>
      </c>
      <c r="AT238" s="0" t="s">
        <v>103</v>
      </c>
      <c r="BF238" s="0" t="s">
        <v>115</v>
      </c>
    </row>
    <row r="239">
      <c r="B239" s="0" t="s">
        <v>898</v>
      </c>
      <c r="C239" s="1" t="n">
        <v>353756</v>
      </c>
      <c r="D239" s="0" t="s">
        <v>899</v>
      </c>
      <c r="E239" s="14" t="s">
        <v>900</v>
      </c>
      <c r="F239" s="14" t="s">
        <v>901</v>
      </c>
      <c r="G239" s="25" t="str">
        <f>HYPERLINK("https://barnaul.bezformata.com/listnews/potrebitelskie-tceni-v-respublike-altay/116243311/")</f>
      </c>
      <c r="H239" s="14" t="s">
        <v>208</v>
      </c>
      <c r="I239" s="14" t="s">
        <v>194</v>
      </c>
      <c r="J239" s="14"/>
      <c r="L239" s="14"/>
      <c r="O239" s="1"/>
      <c r="P239" s="1"/>
      <c r="Q239" s="1"/>
      <c r="R239" s="1" t="n">
        <v>0</v>
      </c>
      <c r="S239" s="1" t="n">
        <v>62</v>
      </c>
      <c r="T239" s="1" t="n">
        <v>0</v>
      </c>
      <c r="U239" s="1" t="n">
        <v>0</v>
      </c>
      <c r="V239" s="1" t="n">
        <v>0</v>
      </c>
      <c r="W239" s="1"/>
      <c r="Y239" s="1" t="n">
        <v>1</v>
      </c>
      <c r="Z239" s="0" t="s">
        <v>175</v>
      </c>
      <c r="AA239" s="0" t="s">
        <v>176</v>
      </c>
      <c r="AH239" s="0" t="s">
        <v>180</v>
      </c>
      <c r="AJ239" s="0" t="s">
        <v>437</v>
      </c>
      <c r="AM239" s="0" t="s">
        <v>96</v>
      </c>
      <c r="AP239" s="0" t="s">
        <v>99</v>
      </c>
      <c r="BD239" s="0" t="s">
        <v>113</v>
      </c>
      <c r="BP239" s="0" t="s">
        <v>125</v>
      </c>
    </row>
    <row r="240">
      <c r="B240" s="0" t="s">
        <v>902</v>
      </c>
      <c r="C240" s="1" t="n">
        <v>353801</v>
      </c>
      <c r="E240" s="14" t="s">
        <v>903</v>
      </c>
      <c r="F240" s="14" t="s">
        <v>184</v>
      </c>
      <c r="G240" s="25" t="str">
        <f>HYPERLINK("http://vk.com/wall-64735800_1253775?reply=1253957")</f>
      </c>
      <c r="H240" s="14" t="s">
        <v>170</v>
      </c>
      <c r="I240" s="14" t="s">
        <v>231</v>
      </c>
      <c r="J240" s="14" t="s">
        <v>904</v>
      </c>
      <c r="K240" s="26" t="str">
        <f>HYPERLINK("http://vk.com/id682650334")</f>
      </c>
      <c r="L240" s="14" t="s">
        <v>173</v>
      </c>
      <c r="M240" s="14" t="s">
        <v>905</v>
      </c>
      <c r="N240" s="25" t="str">
        <f>HYPERLINK("http://vk.com/club64735800")</f>
      </c>
      <c r="O240" s="1" t="s">
        <v>186</v>
      </c>
      <c r="P240" s="1" t="n">
        <v>50</v>
      </c>
      <c r="Q240" s="1" t="n">
        <v>43192</v>
      </c>
      <c r="R240" s="1" t="n">
        <v>0</v>
      </c>
      <c r="S240" s="1"/>
      <c r="T240" s="1" t="n">
        <v>0</v>
      </c>
      <c r="U240" s="1" t="n">
        <v>0</v>
      </c>
      <c r="V240" s="1" t="n">
        <v>0</v>
      </c>
      <c r="W240" s="1"/>
      <c r="Y240" s="1" t="n">
        <v>1</v>
      </c>
      <c r="Z240" s="0" t="s">
        <v>175</v>
      </c>
      <c r="AA240" s="0" t="s">
        <v>187</v>
      </c>
      <c r="AC240" s="0" t="s">
        <v>177</v>
      </c>
      <c r="AD240" s="0" t="s">
        <v>760</v>
      </c>
      <c r="AE240" s="0" t="s">
        <v>906</v>
      </c>
      <c r="AH240" s="0" t="s">
        <v>180</v>
      </c>
      <c r="AJ240" s="0" t="s">
        <v>437</v>
      </c>
      <c r="AK240" s="0" t="s">
        <v>94</v>
      </c>
      <c r="AN240" s="0" t="s">
        <v>97</v>
      </c>
      <c r="AP240" s="0" t="s">
        <v>99</v>
      </c>
      <c r="BB240" s="0" t="s">
        <v>111</v>
      </c>
      <c r="BN240" s="0" t="s">
        <v>123</v>
      </c>
      <c r="BQ240" s="0" t="s">
        <v>126</v>
      </c>
    </row>
    <row r="241">
      <c r="B241" s="0" t="s">
        <v>902</v>
      </c>
      <c r="C241" s="1" t="n">
        <v>353788</v>
      </c>
      <c r="E241" s="14" t="s">
        <v>907</v>
      </c>
      <c r="F241" s="14" t="s">
        <v>184</v>
      </c>
      <c r="G241" s="25" t="str">
        <f>HYPERLINK("http://vk.com/wall-193197436_6093?reply=6178&amp;thread=6097")</f>
      </c>
      <c r="H241" s="14" t="s">
        <v>170</v>
      </c>
      <c r="I241" s="14" t="s">
        <v>231</v>
      </c>
      <c r="J241" s="14" t="s">
        <v>908</v>
      </c>
      <c r="K241" s="26" t="str">
        <f>HYPERLINK("http://vk.com/id237932195")</f>
      </c>
      <c r="L241" s="14" t="s">
        <v>173</v>
      </c>
      <c r="M241" s="14" t="s">
        <v>909</v>
      </c>
      <c r="N241" s="25" t="str">
        <f>HYPERLINK("http://vk.com/club193197436")</f>
      </c>
      <c r="O241" s="1" t="s">
        <v>174</v>
      </c>
      <c r="P241" s="1" t="n">
        <v>119</v>
      </c>
      <c r="Q241" s="1" t="n">
        <v>432</v>
      </c>
      <c r="R241" s="1" t="n">
        <v>0</v>
      </c>
      <c r="S241" s="1"/>
      <c r="T241" s="1" t="n">
        <v>0</v>
      </c>
      <c r="U241" s="1" t="n">
        <v>0</v>
      </c>
      <c r="V241" s="1" t="n">
        <v>0</v>
      </c>
      <c r="W241" s="1"/>
      <c r="Y241" s="1" t="n">
        <v>1</v>
      </c>
      <c r="Z241" s="0" t="s">
        <v>175</v>
      </c>
      <c r="AA241" s="0" t="s">
        <v>187</v>
      </c>
      <c r="AC241" s="0" t="s">
        <v>177</v>
      </c>
      <c r="AD241" s="0" t="s">
        <v>910</v>
      </c>
      <c r="AE241" s="0" t="s">
        <v>911</v>
      </c>
      <c r="AH241" s="0" t="s">
        <v>180</v>
      </c>
      <c r="AI241" s="0" t="s">
        <v>92</v>
      </c>
      <c r="AJ241" s="0" t="s">
        <v>437</v>
      </c>
      <c r="AK241" s="0" t="s">
        <v>94</v>
      </c>
      <c r="AP241" s="0" t="s">
        <v>99</v>
      </c>
      <c r="AR241" s="0" t="s">
        <v>101</v>
      </c>
      <c r="AT241" s="0" t="s">
        <v>103</v>
      </c>
    </row>
    <row r="242" ht="1356.75">
      <c r="B242" s="0" t="s">
        <v>902</v>
      </c>
      <c r="C242" s="1" t="n">
        <v>353750</v>
      </c>
      <c r="E242" s="14" t="s">
        <v>840</v>
      </c>
      <c r="F242" s="14" t="s">
        <v>184</v>
      </c>
      <c r="G242" s="25" t="str">
        <f>HYPERLINK("http://vk.com/wall410780097_1934")</f>
      </c>
      <c r="H242" s="14" t="s">
        <v>170</v>
      </c>
      <c r="I242" s="14" t="s">
        <v>171</v>
      </c>
      <c r="J242" s="14" t="s">
        <v>912</v>
      </c>
      <c r="K242" s="26" t="str">
        <f>HYPERLINK("http://vk.com/id410780097")</f>
      </c>
      <c r="L242" s="14" t="s">
        <v>173</v>
      </c>
      <c r="O242" s="1" t="s">
        <v>186</v>
      </c>
      <c r="P242" s="1" t="n">
        <v>44</v>
      </c>
      <c r="Q242" s="1" t="n">
        <v>489</v>
      </c>
      <c r="R242" s="1" t="n">
        <v>0</v>
      </c>
      <c r="S242" s="1"/>
      <c r="T242" s="1" t="n">
        <v>0</v>
      </c>
      <c r="U242" s="1" t="n">
        <v>0</v>
      </c>
      <c r="V242" s="1" t="n">
        <v>0</v>
      </c>
      <c r="W242" s="1" t="n">
        <v>3</v>
      </c>
      <c r="Y242" s="1" t="n">
        <v>5</v>
      </c>
      <c r="Z242" s="0" t="s">
        <v>175</v>
      </c>
      <c r="AA242" s="0" t="s">
        <v>176</v>
      </c>
      <c r="AC242" s="0" t="s">
        <v>177</v>
      </c>
      <c r="AD242" s="0" t="s">
        <v>246</v>
      </c>
      <c r="AE242" s="0" t="s">
        <v>913</v>
      </c>
      <c r="AH242" s="0" t="s">
        <v>180</v>
      </c>
      <c r="AJ242" s="0" t="s">
        <v>437</v>
      </c>
      <c r="AK242" s="0" t="s">
        <v>94</v>
      </c>
      <c r="AL242" s="0" t="s">
        <v>95</v>
      </c>
      <c r="AM242" s="0" t="s">
        <v>96</v>
      </c>
      <c r="AO242" s="0" t="s">
        <v>98</v>
      </c>
      <c r="AQ242" s="0" t="s">
        <v>100</v>
      </c>
    </row>
    <row r="243">
      <c r="B243" s="0" t="s">
        <v>914</v>
      </c>
      <c r="C243" s="1" t="n">
        <v>353784</v>
      </c>
      <c r="E243" s="14" t="s">
        <v>915</v>
      </c>
      <c r="F243" s="14" t="s">
        <v>184</v>
      </c>
      <c r="G243" s="25" t="str">
        <f>HYPERLINK("http://vk.com/wall-110697191_622099?reply=622798&amp;thread=622772")</f>
      </c>
      <c r="H243" s="14" t="s">
        <v>170</v>
      </c>
      <c r="I243" s="14" t="s">
        <v>231</v>
      </c>
      <c r="J243" s="14" t="s">
        <v>804</v>
      </c>
      <c r="K243" s="26" t="str">
        <f>HYPERLINK("http://vk.com/id793516016")</f>
      </c>
      <c r="L243" s="14" t="s">
        <v>173</v>
      </c>
      <c r="M243" s="14" t="s">
        <v>626</v>
      </c>
      <c r="N243" s="25" t="str">
        <f>HYPERLINK("http://vk.com/club110697191")</f>
      </c>
      <c r="O243" s="1" t="s">
        <v>186</v>
      </c>
      <c r="P243" s="1" t="n">
        <v>22</v>
      </c>
      <c r="Q243" s="1" t="n">
        <v>33088</v>
      </c>
      <c r="R243" s="1" t="n">
        <v>0</v>
      </c>
      <c r="S243" s="1"/>
      <c r="T243" s="1" t="n">
        <v>0</v>
      </c>
      <c r="U243" s="1" t="n">
        <v>0</v>
      </c>
      <c r="V243" s="1" t="n">
        <v>0</v>
      </c>
      <c r="W243" s="1"/>
      <c r="Y243" s="1" t="n">
        <v>1</v>
      </c>
      <c r="Z243" s="0" t="s">
        <v>319</v>
      </c>
      <c r="AA243" s="0" t="s">
        <v>292</v>
      </c>
      <c r="AH243" s="0" t="s">
        <v>180</v>
      </c>
      <c r="AI243" s="0" t="s">
        <v>92</v>
      </c>
      <c r="AJ243" s="0" t="s">
        <v>437</v>
      </c>
      <c r="AY243" s="0" t="s">
        <v>108</v>
      </c>
      <c r="BP243" s="0" t="s">
        <v>125</v>
      </c>
    </row>
    <row r="244">
      <c r="B244" s="0" t="s">
        <v>914</v>
      </c>
      <c r="C244" s="1" t="n">
        <v>353805</v>
      </c>
      <c r="E244" s="14" t="s">
        <v>916</v>
      </c>
      <c r="F244" s="14" t="s">
        <v>184</v>
      </c>
      <c r="G244" s="25" t="str">
        <f>HYPERLINK("http://vk.com/wall-207192602_17988?reply=18012")</f>
      </c>
      <c r="H244" s="14" t="s">
        <v>170</v>
      </c>
      <c r="I244" s="14" t="s">
        <v>231</v>
      </c>
      <c r="J244" s="14" t="s">
        <v>917</v>
      </c>
      <c r="K244" s="26" t="str">
        <f>HYPERLINK("http://vk.com/id2568547")</f>
      </c>
      <c r="L244" s="14" t="s">
        <v>173</v>
      </c>
      <c r="M244" s="14" t="s">
        <v>918</v>
      </c>
      <c r="N244" s="25" t="str">
        <f>HYPERLINK("http://vk.com/club207192602")</f>
      </c>
      <c r="O244" s="1" t="s">
        <v>186</v>
      </c>
      <c r="P244" s="1"/>
      <c r="Q244" s="1" t="n">
        <v>4732</v>
      </c>
      <c r="R244" s="1" t="n">
        <v>0</v>
      </c>
      <c r="S244" s="1"/>
      <c r="T244" s="1" t="n">
        <v>0</v>
      </c>
      <c r="U244" s="1" t="n">
        <v>0</v>
      </c>
      <c r="V244" s="1" t="n">
        <v>0</v>
      </c>
      <c r="W244" s="1"/>
      <c r="Y244" s="1" t="n">
        <v>1</v>
      </c>
      <c r="Z244" s="0" t="s">
        <v>175</v>
      </c>
      <c r="AA244" s="0" t="s">
        <v>187</v>
      </c>
      <c r="AC244" s="0" t="s">
        <v>177</v>
      </c>
      <c r="AD244" s="0" t="s">
        <v>240</v>
      </c>
      <c r="AE244" s="0" t="s">
        <v>240</v>
      </c>
      <c r="AH244" s="0" t="s">
        <v>180</v>
      </c>
      <c r="AI244" s="0" t="s">
        <v>92</v>
      </c>
      <c r="AJ244" s="0" t="s">
        <v>437</v>
      </c>
      <c r="AK244" s="0" t="s">
        <v>94</v>
      </c>
      <c r="AN244" s="0" t="s">
        <v>97</v>
      </c>
      <c r="AP244" s="0" t="s">
        <v>99</v>
      </c>
      <c r="AW244" s="0" t="s">
        <v>106</v>
      </c>
      <c r="AX244" s="0" t="s">
        <v>107</v>
      </c>
      <c r="BB244" s="0" t="s">
        <v>111</v>
      </c>
      <c r="BE244" s="0" t="s">
        <v>114</v>
      </c>
      <c r="BQ244" s="0" t="s">
        <v>126</v>
      </c>
    </row>
    <row r="245" ht="24.75">
      <c r="B245" s="0" t="s">
        <v>919</v>
      </c>
      <c r="C245" s="1" t="n">
        <v>353774</v>
      </c>
      <c r="D245" s="0" t="s">
        <v>920</v>
      </c>
      <c r="E245" s="14" t="s">
        <v>921</v>
      </c>
      <c r="F245" s="14" t="s">
        <v>922</v>
      </c>
      <c r="G245" s="25" t="str">
        <f>HYPERLINK("https://omsk.bezformata.com/listnews/potrebitelskoy-inflyatcii-na-medikamenti/116240803/")</f>
      </c>
      <c r="H245" s="14" t="s">
        <v>208</v>
      </c>
      <c r="I245" s="14" t="s">
        <v>194</v>
      </c>
      <c r="J245" s="14"/>
      <c r="L245" s="14"/>
      <c r="O245" s="1"/>
      <c r="P245" s="1"/>
      <c r="Q245" s="1"/>
      <c r="R245" s="1" t="n">
        <v>0</v>
      </c>
      <c r="S245" s="1" t="n">
        <v>196</v>
      </c>
      <c r="T245" s="1" t="n">
        <v>0</v>
      </c>
      <c r="U245" s="1" t="n">
        <v>0</v>
      </c>
      <c r="V245" s="1" t="n">
        <v>0</v>
      </c>
      <c r="W245" s="1"/>
      <c r="Y245" s="1" t="n">
        <v>1</v>
      </c>
      <c r="Z245" s="0" t="s">
        <v>175</v>
      </c>
      <c r="AA245" s="0" t="s">
        <v>176</v>
      </c>
      <c r="AH245" s="0" t="s">
        <v>180</v>
      </c>
      <c r="AJ245" s="0" t="s">
        <v>437</v>
      </c>
      <c r="AK245" s="0" t="s">
        <v>94</v>
      </c>
      <c r="AM245" s="0" t="s">
        <v>96</v>
      </c>
      <c r="AP245" s="0" t="s">
        <v>99</v>
      </c>
      <c r="BD245" s="0" t="s">
        <v>113</v>
      </c>
      <c r="BJ245" s="0" t="s">
        <v>119</v>
      </c>
    </row>
    <row r="246" ht="360.75">
      <c r="B246" s="0" t="s">
        <v>923</v>
      </c>
      <c r="C246" s="1" t="n">
        <v>353789</v>
      </c>
      <c r="E246" s="14" t="s">
        <v>924</v>
      </c>
      <c r="F246" s="14" t="s">
        <v>184</v>
      </c>
      <c r="G246" s="25" t="str">
        <f>HYPERLINK("http://vk.com/wall155612931_1584")</f>
      </c>
      <c r="H246" s="14" t="s">
        <v>170</v>
      </c>
      <c r="I246" s="14" t="s">
        <v>194</v>
      </c>
      <c r="J246" s="14" t="s">
        <v>925</v>
      </c>
      <c r="K246" s="26" t="str">
        <f>HYPERLINK("http://vk.com/id155612931")</f>
      </c>
      <c r="L246" s="14" t="s">
        <v>173</v>
      </c>
      <c r="O246" s="1" t="s">
        <v>186</v>
      </c>
      <c r="P246" s="1"/>
      <c r="Q246" s="1" t="n">
        <v>171</v>
      </c>
      <c r="R246" s="1" t="n">
        <v>0</v>
      </c>
      <c r="S246" s="1"/>
      <c r="T246" s="1" t="n">
        <v>0</v>
      </c>
      <c r="U246" s="1" t="n">
        <v>4</v>
      </c>
      <c r="V246" s="1" t="n">
        <v>4</v>
      </c>
      <c r="W246" s="1" t="n">
        <v>14</v>
      </c>
      <c r="Y246" s="1" t="n">
        <v>1</v>
      </c>
      <c r="Z246" s="0" t="s">
        <v>175</v>
      </c>
      <c r="AA246" s="0" t="s">
        <v>176</v>
      </c>
      <c r="AC246" s="0" t="s">
        <v>177</v>
      </c>
      <c r="AD246" s="0" t="s">
        <v>392</v>
      </c>
      <c r="AE246" s="0" t="s">
        <v>459</v>
      </c>
      <c r="AH246" s="0" t="s">
        <v>180</v>
      </c>
      <c r="AJ246" s="0" t="s">
        <v>437</v>
      </c>
      <c r="AK246" s="0" t="s">
        <v>94</v>
      </c>
      <c r="AM246" s="0" t="s">
        <v>96</v>
      </c>
      <c r="AO246" s="0" t="s">
        <v>98</v>
      </c>
      <c r="AP246" s="0" t="s">
        <v>99</v>
      </c>
      <c r="AQ246" s="0" t="s">
        <v>100</v>
      </c>
      <c r="AR246" s="0" t="s">
        <v>101</v>
      </c>
      <c r="AU246" s="0" t="s">
        <v>104</v>
      </c>
      <c r="AV246" s="0" t="s">
        <v>105</v>
      </c>
      <c r="AX246" s="0" t="s">
        <v>107</v>
      </c>
      <c r="BC246" s="0" t="s">
        <v>112</v>
      </c>
      <c r="BF246" s="0" t="s">
        <v>115</v>
      </c>
      <c r="BI246" s="0" t="s">
        <v>118</v>
      </c>
      <c r="BJ246" s="0" t="s">
        <v>119</v>
      </c>
      <c r="BP246" s="0" t="s">
        <v>125</v>
      </c>
      <c r="BR246" s="0" t="s">
        <v>127</v>
      </c>
      <c r="BW246" s="0" t="s">
        <v>132</v>
      </c>
      <c r="CI246" s="0" t="s">
        <v>144</v>
      </c>
      <c r="CO246" s="0" t="s">
        <v>150</v>
      </c>
      <c r="CR246" s="0" t="s">
        <v>153</v>
      </c>
    </row>
    <row r="247">
      <c r="B247" s="0" t="s">
        <v>926</v>
      </c>
      <c r="C247" s="1" t="n">
        <v>353771</v>
      </c>
      <c r="E247" s="14" t="s">
        <v>927</v>
      </c>
      <c r="F247" s="14" t="s">
        <v>184</v>
      </c>
      <c r="G247" s="25" t="str">
        <f>HYPERLINK("http://vk.com/wall-142016348_752245?reply=752918&amp;thread=752250")</f>
      </c>
      <c r="H247" s="14" t="s">
        <v>170</v>
      </c>
      <c r="I247" s="14" t="s">
        <v>231</v>
      </c>
      <c r="J247" s="14" t="s">
        <v>928</v>
      </c>
      <c r="K247" s="26" t="str">
        <f>HYPERLINK("http://vk.com/id793700960")</f>
      </c>
      <c r="L247" s="14" t="s">
        <v>173</v>
      </c>
      <c r="M247" s="14" t="s">
        <v>895</v>
      </c>
      <c r="N247" s="25" t="str">
        <f>HYPERLINK("http://vk.com/club142016348")</f>
      </c>
      <c r="O247" s="1" t="s">
        <v>186</v>
      </c>
      <c r="P247" s="1" t="n">
        <v>26</v>
      </c>
      <c r="Q247" s="1" t="n">
        <v>5919</v>
      </c>
      <c r="R247" s="1" t="n">
        <v>0</v>
      </c>
      <c r="S247" s="1"/>
      <c r="T247" s="1" t="n">
        <v>0</v>
      </c>
      <c r="U247" s="1" t="n">
        <v>0</v>
      </c>
      <c r="V247" s="1" t="n">
        <v>0</v>
      </c>
      <c r="W247" s="1"/>
      <c r="Y247" s="1" t="n">
        <v>1</v>
      </c>
      <c r="Z247" s="0" t="s">
        <v>319</v>
      </c>
      <c r="AA247" s="0" t="s">
        <v>292</v>
      </c>
      <c r="AH247" s="0" t="s">
        <v>180</v>
      </c>
      <c r="AI247" s="0" t="s">
        <v>92</v>
      </c>
      <c r="AJ247" s="0" t="s">
        <v>437</v>
      </c>
      <c r="AY247" s="0" t="s">
        <v>108</v>
      </c>
      <c r="BP247" s="0" t="s">
        <v>125</v>
      </c>
    </row>
    <row r="248">
      <c r="B248" s="0" t="s">
        <v>926</v>
      </c>
      <c r="C248" s="1" t="n">
        <v>353753</v>
      </c>
      <c r="E248" s="14" t="s">
        <v>929</v>
      </c>
      <c r="F248" s="14" t="s">
        <v>184</v>
      </c>
      <c r="G248" s="25" t="str">
        <f>HYPERLINK("http://vk.com/wall-1945598_6458939?reply=6460890&amp;thread=6459069")</f>
      </c>
      <c r="H248" s="14" t="s">
        <v>170</v>
      </c>
      <c r="I248" s="14" t="s">
        <v>231</v>
      </c>
      <c r="J248" s="14" t="s">
        <v>930</v>
      </c>
      <c r="K248" s="26" t="str">
        <f>HYPERLINK("http://vk.com/id173758241")</f>
      </c>
      <c r="L248" s="14" t="s">
        <v>173</v>
      </c>
      <c r="M248" s="14" t="s">
        <v>931</v>
      </c>
      <c r="N248" s="25" t="str">
        <f>HYPERLINK("http://vk.com/club1945598")</f>
      </c>
      <c r="O248" s="1" t="s">
        <v>186</v>
      </c>
      <c r="P248" s="1" t="n">
        <v>21</v>
      </c>
      <c r="Q248" s="1" t="n">
        <v>87651</v>
      </c>
      <c r="R248" s="1" t="n">
        <v>0</v>
      </c>
      <c r="S248" s="1"/>
      <c r="T248" s="1" t="n">
        <v>0</v>
      </c>
      <c r="U248" s="1" t="n">
        <v>0</v>
      </c>
      <c r="V248" s="1" t="n">
        <v>0</v>
      </c>
      <c r="W248" s="1"/>
      <c r="Y248" s="1" t="n">
        <v>1</v>
      </c>
      <c r="Z248" s="0" t="s">
        <v>319</v>
      </c>
      <c r="AA248" s="0" t="s">
        <v>292</v>
      </c>
      <c r="AH248" s="0" t="s">
        <v>180</v>
      </c>
      <c r="AI248" s="0" t="s">
        <v>92</v>
      </c>
      <c r="AJ248" s="0" t="s">
        <v>437</v>
      </c>
      <c r="AK248" s="0" t="s">
        <v>94</v>
      </c>
      <c r="AU248" s="0" t="s">
        <v>104</v>
      </c>
      <c r="AY248" s="0" t="s">
        <v>108</v>
      </c>
      <c r="BD248" s="0" t="s">
        <v>113</v>
      </c>
    </row>
    <row r="249">
      <c r="B249" s="0" t="s">
        <v>932</v>
      </c>
      <c r="C249" s="1" t="n">
        <v>353769</v>
      </c>
      <c r="E249" s="14" t="s">
        <v>933</v>
      </c>
      <c r="F249" s="14" t="s">
        <v>184</v>
      </c>
      <c r="G249" s="25" t="str">
        <f>HYPERLINK("http://vk.com/wall-150079080_238166?reply=241914")</f>
      </c>
      <c r="H249" s="14" t="s">
        <v>170</v>
      </c>
      <c r="I249" s="14" t="s">
        <v>231</v>
      </c>
      <c r="J249" s="14" t="s">
        <v>934</v>
      </c>
      <c r="K249" s="26" t="str">
        <f>HYPERLINK("http://vk.com/id470335665")</f>
      </c>
      <c r="L249" s="14" t="s">
        <v>173</v>
      </c>
      <c r="M249" s="14" t="s">
        <v>592</v>
      </c>
      <c r="N249" s="25" t="str">
        <f>HYPERLINK("http://vk.com/club150079080")</f>
      </c>
      <c r="O249" s="1" t="s">
        <v>186</v>
      </c>
      <c r="P249" s="1"/>
      <c r="Q249" s="1" t="n">
        <v>30754</v>
      </c>
      <c r="R249" s="1" t="n">
        <v>0</v>
      </c>
      <c r="S249" s="1"/>
      <c r="T249" s="1" t="n">
        <v>0</v>
      </c>
      <c r="U249" s="1" t="n">
        <v>0</v>
      </c>
      <c r="V249" s="1" t="n">
        <v>0</v>
      </c>
      <c r="W249" s="1"/>
      <c r="Y249" s="1" t="n">
        <v>1</v>
      </c>
      <c r="Z249" s="0" t="s">
        <v>319</v>
      </c>
      <c r="AA249" s="0" t="s">
        <v>187</v>
      </c>
      <c r="AH249" s="0" t="s">
        <v>180</v>
      </c>
      <c r="AI249" s="0" t="s">
        <v>92</v>
      </c>
      <c r="AJ249" s="0" t="s">
        <v>437</v>
      </c>
      <c r="AK249" s="0" t="s">
        <v>94</v>
      </c>
      <c r="AN249" s="0" t="s">
        <v>97</v>
      </c>
      <c r="AP249" s="0" t="s">
        <v>99</v>
      </c>
      <c r="AW249" s="0" t="s">
        <v>106</v>
      </c>
      <c r="BG249" s="0" t="s">
        <v>116</v>
      </c>
      <c r="BL249" s="0" t="s">
        <v>121</v>
      </c>
      <c r="BN249" s="0" t="s">
        <v>123</v>
      </c>
    </row>
    <row r="250">
      <c r="B250" s="0" t="s">
        <v>932</v>
      </c>
      <c r="C250" s="1" t="n">
        <v>353773</v>
      </c>
      <c r="E250" s="14" t="s">
        <v>935</v>
      </c>
      <c r="F250" s="14" t="s">
        <v>184</v>
      </c>
      <c r="G250" s="25" t="str">
        <f>HYPERLINK("http://vk.com/wall-187886497_61077?reply=64775")</f>
      </c>
      <c r="H250" s="14" t="s">
        <v>170</v>
      </c>
      <c r="I250" s="14" t="s">
        <v>231</v>
      </c>
      <c r="J250" s="14" t="s">
        <v>934</v>
      </c>
      <c r="K250" s="26" t="str">
        <f>HYPERLINK("http://vk.com/id470335665")</f>
      </c>
      <c r="L250" s="14" t="s">
        <v>173</v>
      </c>
      <c r="M250" s="14" t="s">
        <v>936</v>
      </c>
      <c r="N250" s="25" t="str">
        <f>HYPERLINK("http://vk.com/club187886497")</f>
      </c>
      <c r="O250" s="1" t="s">
        <v>186</v>
      </c>
      <c r="P250" s="1"/>
      <c r="Q250" s="1" t="n">
        <v>17060</v>
      </c>
      <c r="R250" s="1" t="n">
        <v>0</v>
      </c>
      <c r="S250" s="1"/>
      <c r="T250" s="1" t="n">
        <v>0</v>
      </c>
      <c r="U250" s="1" t="n">
        <v>0</v>
      </c>
      <c r="V250" s="1" t="n">
        <v>0</v>
      </c>
      <c r="W250" s="1"/>
      <c r="Y250" s="1" t="n">
        <v>1</v>
      </c>
      <c r="Z250" s="0" t="s">
        <v>319</v>
      </c>
      <c r="AA250" s="0" t="s">
        <v>187</v>
      </c>
      <c r="AH250" s="0" t="s">
        <v>180</v>
      </c>
      <c r="AI250" s="0" t="s">
        <v>92</v>
      </c>
      <c r="AJ250" s="0" t="s">
        <v>437</v>
      </c>
      <c r="AK250" s="0" t="s">
        <v>94</v>
      </c>
      <c r="AN250" s="0" t="s">
        <v>97</v>
      </c>
      <c r="AP250" s="0" t="s">
        <v>99</v>
      </c>
      <c r="BB250" s="0" t="s">
        <v>111</v>
      </c>
      <c r="BE250" s="0" t="s">
        <v>114</v>
      </c>
      <c r="BL250" s="0" t="s">
        <v>121</v>
      </c>
      <c r="BM250" s="0" t="s">
        <v>122</v>
      </c>
      <c r="BN250" s="0" t="s">
        <v>123</v>
      </c>
    </row>
    <row r="251">
      <c r="B251" s="0" t="s">
        <v>932</v>
      </c>
      <c r="C251" s="1" t="n">
        <v>353751</v>
      </c>
      <c r="E251" s="14" t="s">
        <v>937</v>
      </c>
      <c r="F251" s="14" t="s">
        <v>184</v>
      </c>
      <c r="G251" s="25" t="str">
        <f>HYPERLINK("http://vk.com/wall-36274616_8349893?reply=8352342&amp;thread=8349914")</f>
      </c>
      <c r="H251" s="14" t="s">
        <v>170</v>
      </c>
      <c r="I251" s="14" t="s">
        <v>231</v>
      </c>
      <c r="J251" s="14" t="s">
        <v>928</v>
      </c>
      <c r="K251" s="26" t="str">
        <f>HYPERLINK("http://vk.com/id793700960")</f>
      </c>
      <c r="L251" s="14" t="s">
        <v>173</v>
      </c>
      <c r="M251" s="14" t="s">
        <v>600</v>
      </c>
      <c r="N251" s="25" t="str">
        <f>HYPERLINK("http://vk.com/club36274616")</f>
      </c>
      <c r="O251" s="1" t="s">
        <v>186</v>
      </c>
      <c r="P251" s="1" t="n">
        <v>26</v>
      </c>
      <c r="Q251" s="1" t="n">
        <v>46338</v>
      </c>
      <c r="R251" s="1" t="n">
        <v>0</v>
      </c>
      <c r="S251" s="1"/>
      <c r="T251" s="1" t="n">
        <v>0</v>
      </c>
      <c r="U251" s="1" t="n">
        <v>0</v>
      </c>
      <c r="V251" s="1" t="n">
        <v>0</v>
      </c>
      <c r="W251" s="1"/>
      <c r="Y251" s="1" t="n">
        <v>1</v>
      </c>
      <c r="Z251" s="0" t="s">
        <v>319</v>
      </c>
      <c r="AA251" s="0" t="s">
        <v>292</v>
      </c>
      <c r="AH251" s="0" t="s">
        <v>180</v>
      </c>
      <c r="AI251" s="0" t="s">
        <v>92</v>
      </c>
      <c r="AJ251" s="0" t="s">
        <v>437</v>
      </c>
      <c r="AY251" s="0" t="s">
        <v>108</v>
      </c>
      <c r="BP251" s="0" t="s">
        <v>125</v>
      </c>
    </row>
    <row r="252">
      <c r="B252" s="0" t="s">
        <v>932</v>
      </c>
      <c r="C252" s="1" t="n">
        <v>353768</v>
      </c>
      <c r="E252" s="14" t="s">
        <v>938</v>
      </c>
      <c r="F252" s="14" t="s">
        <v>184</v>
      </c>
      <c r="G252" s="25" t="str">
        <f>HYPERLINK("http://vk.com/wall-187886497_62311?reply=64774")</f>
      </c>
      <c r="H252" s="14" t="s">
        <v>170</v>
      </c>
      <c r="I252" s="14" t="s">
        <v>231</v>
      </c>
      <c r="J252" s="14" t="s">
        <v>934</v>
      </c>
      <c r="K252" s="26" t="str">
        <f>HYPERLINK("http://vk.com/id470335665")</f>
      </c>
      <c r="L252" s="14" t="s">
        <v>173</v>
      </c>
      <c r="M252" s="14" t="s">
        <v>936</v>
      </c>
      <c r="N252" s="25" t="str">
        <f>HYPERLINK("http://vk.com/club187886497")</f>
      </c>
      <c r="O252" s="1" t="s">
        <v>186</v>
      </c>
      <c r="P252" s="1"/>
      <c r="Q252" s="1" t="n">
        <v>17060</v>
      </c>
      <c r="R252" s="1" t="n">
        <v>0</v>
      </c>
      <c r="S252" s="1"/>
      <c r="T252" s="1" t="n">
        <v>0</v>
      </c>
      <c r="U252" s="1" t="n">
        <v>0</v>
      </c>
      <c r="V252" s="1" t="n">
        <v>0</v>
      </c>
      <c r="W252" s="1"/>
      <c r="Y252" s="1" t="n">
        <v>1</v>
      </c>
      <c r="Z252" s="0" t="s">
        <v>319</v>
      </c>
      <c r="AA252" s="0" t="s">
        <v>187</v>
      </c>
      <c r="AH252" s="0" t="s">
        <v>180</v>
      </c>
      <c r="AI252" s="0" t="s">
        <v>92</v>
      </c>
      <c r="AJ252" s="0" t="s">
        <v>437</v>
      </c>
      <c r="AK252" s="0" t="s">
        <v>94</v>
      </c>
      <c r="AN252" s="0" t="s">
        <v>97</v>
      </c>
      <c r="AP252" s="0" t="s">
        <v>99</v>
      </c>
      <c r="BN252" s="0" t="s">
        <v>123</v>
      </c>
      <c r="BQ252" s="0" t="s">
        <v>126</v>
      </c>
      <c r="CU252" s="0" t="s">
        <v>156</v>
      </c>
    </row>
    <row r="253" ht="36.75">
      <c r="B253" s="0" t="s">
        <v>939</v>
      </c>
      <c r="C253" s="1" t="n">
        <v>353770</v>
      </c>
      <c r="E253" s="14" t="s">
        <v>202</v>
      </c>
      <c r="F253" s="14" t="s">
        <v>184</v>
      </c>
      <c r="G253" s="25" t="str">
        <f>HYPERLINK("http://vk.com/wall450739719_440")</f>
      </c>
      <c r="H253" s="14" t="s">
        <v>170</v>
      </c>
      <c r="I253" s="14" t="s">
        <v>171</v>
      </c>
      <c r="J253" s="14" t="s">
        <v>940</v>
      </c>
      <c r="K253" s="26" t="str">
        <f>HYPERLINK("http://vk.com/id450739719")</f>
      </c>
      <c r="L253" s="14" t="s">
        <v>173</v>
      </c>
      <c r="O253" s="1" t="s">
        <v>186</v>
      </c>
      <c r="P253" s="1"/>
      <c r="Q253" s="1" t="n">
        <v>353</v>
      </c>
      <c r="R253" s="1" t="n">
        <v>0</v>
      </c>
      <c r="S253" s="1"/>
      <c r="T253" s="1" t="n">
        <v>0</v>
      </c>
      <c r="U253" s="1" t="n">
        <v>0</v>
      </c>
      <c r="V253" s="1" t="n">
        <v>0</v>
      </c>
      <c r="W253" s="1" t="n">
        <v>3</v>
      </c>
      <c r="Y253" s="1" t="n">
        <v>60</v>
      </c>
      <c r="Z253" s="0" t="s">
        <v>175</v>
      </c>
      <c r="AA253" s="0" t="s">
        <v>176</v>
      </c>
      <c r="AC253" s="0" t="s">
        <v>177</v>
      </c>
      <c r="AD253" s="0" t="s">
        <v>556</v>
      </c>
      <c r="AE253" s="0" t="s">
        <v>557</v>
      </c>
      <c r="AH253" s="0" t="s">
        <v>180</v>
      </c>
      <c r="AJ253" s="0" t="s">
        <v>437</v>
      </c>
      <c r="AK253" s="0" t="s">
        <v>94</v>
      </c>
      <c r="AL253" s="0" t="s">
        <v>95</v>
      </c>
      <c r="AM253" s="0" t="s">
        <v>96</v>
      </c>
      <c r="AO253" s="0" t="s">
        <v>98</v>
      </c>
      <c r="AQ253" s="0" t="s">
        <v>100</v>
      </c>
    </row>
    <row r="254">
      <c r="B254" s="0" t="s">
        <v>941</v>
      </c>
      <c r="C254" s="1" t="n">
        <v>353764</v>
      </c>
      <c r="E254" s="14" t="s">
        <v>942</v>
      </c>
      <c r="F254" s="14" t="s">
        <v>184</v>
      </c>
      <c r="G254" s="25" t="str">
        <f>HYPERLINK("http://vk.com/wall-136860886_525463?reply=525964&amp;thread=525493")</f>
      </c>
      <c r="H254" s="14" t="s">
        <v>170</v>
      </c>
      <c r="I254" s="14" t="s">
        <v>231</v>
      </c>
      <c r="J254" s="14" t="s">
        <v>928</v>
      </c>
      <c r="K254" s="26" t="str">
        <f>HYPERLINK("http://vk.com/id793700960")</f>
      </c>
      <c r="L254" s="14" t="s">
        <v>173</v>
      </c>
      <c r="M254" s="14" t="s">
        <v>583</v>
      </c>
      <c r="N254" s="25" t="str">
        <f>HYPERLINK("http://vk.com/club136860886")</f>
      </c>
      <c r="O254" s="1" t="s">
        <v>186</v>
      </c>
      <c r="P254" s="1" t="n">
        <v>26</v>
      </c>
      <c r="Q254" s="1" t="n">
        <v>52245</v>
      </c>
      <c r="R254" s="1" t="n">
        <v>0</v>
      </c>
      <c r="S254" s="1"/>
      <c r="T254" s="1" t="n">
        <v>0</v>
      </c>
      <c r="U254" s="1" t="n">
        <v>0</v>
      </c>
      <c r="V254" s="1" t="n">
        <v>0</v>
      </c>
      <c r="W254" s="1"/>
      <c r="Y254" s="1" t="n">
        <v>1</v>
      </c>
      <c r="Z254" s="0" t="s">
        <v>319</v>
      </c>
      <c r="AA254" s="0" t="s">
        <v>292</v>
      </c>
      <c r="AH254" s="0" t="s">
        <v>180</v>
      </c>
      <c r="AI254" s="0" t="s">
        <v>92</v>
      </c>
      <c r="AJ254" s="0" t="s">
        <v>437</v>
      </c>
      <c r="AY254" s="0" t="s">
        <v>108</v>
      </c>
      <c r="BP254" s="0" t="s">
        <v>125</v>
      </c>
    </row>
    <row r="255">
      <c r="B255" s="0" t="s">
        <v>941</v>
      </c>
      <c r="C255" s="1" t="n">
        <v>353772</v>
      </c>
      <c r="E255" s="14" t="s">
        <v>943</v>
      </c>
      <c r="F255" s="14" t="s">
        <v>184</v>
      </c>
      <c r="G255" s="25" t="str">
        <f>HYPERLINK("http://vk.com/wall-161957723_25668?reply=48201&amp;thread=25788")</f>
      </c>
      <c r="H255" s="14" t="s">
        <v>170</v>
      </c>
      <c r="I255" s="14" t="s">
        <v>231</v>
      </c>
      <c r="J255" s="14" t="s">
        <v>789</v>
      </c>
      <c r="K255" s="26" t="str">
        <f>HYPERLINK("http://vk.com/id656608653")</f>
      </c>
      <c r="L255" s="14" t="s">
        <v>173</v>
      </c>
      <c r="M255" s="14" t="s">
        <v>944</v>
      </c>
      <c r="N255" s="25" t="str">
        <f>HYPERLINK("http://vk.com/club161957723")</f>
      </c>
      <c r="O255" s="1" t="s">
        <v>186</v>
      </c>
      <c r="P255" s="1" t="n">
        <v>40</v>
      </c>
      <c r="Q255" s="1" t="n">
        <v>7459</v>
      </c>
      <c r="R255" s="1" t="n">
        <v>0</v>
      </c>
      <c r="S255" s="1"/>
      <c r="T255" s="1" t="n">
        <v>0</v>
      </c>
      <c r="U255" s="1" t="n">
        <v>0</v>
      </c>
      <c r="V255" s="1" t="n">
        <v>0</v>
      </c>
      <c r="W255" s="1"/>
      <c r="Y255" s="1" t="n">
        <v>1</v>
      </c>
      <c r="Z255" s="0" t="s">
        <v>463</v>
      </c>
      <c r="AA255" s="0" t="s">
        <v>223</v>
      </c>
      <c r="AH255" s="0" t="s">
        <v>180</v>
      </c>
      <c r="AI255" s="0" t="s">
        <v>92</v>
      </c>
      <c r="AJ255" s="0" t="s">
        <v>437</v>
      </c>
      <c r="AK255" s="0" t="s">
        <v>94</v>
      </c>
      <c r="AN255" s="0" t="s">
        <v>97</v>
      </c>
      <c r="AO255" s="0" t="s">
        <v>98</v>
      </c>
      <c r="AP255" s="0" t="s">
        <v>99</v>
      </c>
      <c r="AY255" s="0" t="s">
        <v>108</v>
      </c>
      <c r="BC255" s="0" t="s">
        <v>112</v>
      </c>
      <c r="BY255" s="0" t="s">
        <v>134</v>
      </c>
      <c r="CU255" s="0" t="s">
        <v>156</v>
      </c>
    </row>
    <row r="256">
      <c r="B256" s="0" t="s">
        <v>945</v>
      </c>
      <c r="C256" s="1" t="n">
        <v>353754</v>
      </c>
      <c r="E256" s="14" t="s">
        <v>946</v>
      </c>
      <c r="F256" s="14" t="s">
        <v>184</v>
      </c>
      <c r="G256" s="25" t="str">
        <f>HYPERLINK("http://vk.com/wall-150791024_1119734?reply=1119803")</f>
      </c>
      <c r="H256" s="14" t="s">
        <v>170</v>
      </c>
      <c r="I256" s="14" t="s">
        <v>231</v>
      </c>
      <c r="J256" s="14" t="s">
        <v>947</v>
      </c>
      <c r="K256" s="26" t="str">
        <f>HYPERLINK("http://vk.com/id521177943")</f>
      </c>
      <c r="L256" s="14" t="s">
        <v>173</v>
      </c>
      <c r="M256" s="14" t="s">
        <v>948</v>
      </c>
      <c r="N256" s="25" t="str">
        <f>HYPERLINK("http://vk.com/club150791024")</f>
      </c>
      <c r="O256" s="1" t="s">
        <v>186</v>
      </c>
      <c r="P256" s="1" t="n">
        <v>20</v>
      </c>
      <c r="Q256" s="1" t="n">
        <v>16234</v>
      </c>
      <c r="R256" s="1" t="n">
        <v>0</v>
      </c>
      <c r="S256" s="1"/>
      <c r="T256" s="1" t="n">
        <v>0</v>
      </c>
      <c r="U256" s="1" t="n">
        <v>0</v>
      </c>
      <c r="V256" s="1" t="n">
        <v>0</v>
      </c>
      <c r="W256" s="1"/>
      <c r="Y256" s="1" t="n">
        <v>1</v>
      </c>
      <c r="Z256" s="0" t="s">
        <v>175</v>
      </c>
      <c r="AA256" s="0" t="s">
        <v>187</v>
      </c>
      <c r="AC256" s="0" t="s">
        <v>177</v>
      </c>
      <c r="AD256" s="0" t="s">
        <v>881</v>
      </c>
      <c r="AE256" s="0" t="s">
        <v>949</v>
      </c>
      <c r="AH256" s="0" t="s">
        <v>180</v>
      </c>
      <c r="AI256" s="0" t="s">
        <v>92</v>
      </c>
      <c r="AJ256" s="0" t="s">
        <v>437</v>
      </c>
      <c r="AK256" s="0" t="s">
        <v>94</v>
      </c>
      <c r="AN256" s="0" t="s">
        <v>97</v>
      </c>
      <c r="AP256" s="0" t="s">
        <v>99</v>
      </c>
      <c r="AU256" s="0" t="s">
        <v>104</v>
      </c>
      <c r="AW256" s="0" t="s">
        <v>106</v>
      </c>
      <c r="BB256" s="0" t="s">
        <v>111</v>
      </c>
    </row>
    <row r="257" ht="24.75">
      <c r="B257" s="0" t="s">
        <v>950</v>
      </c>
      <c r="C257" s="1" t="n">
        <v>353717</v>
      </c>
      <c r="E257" s="14" t="s">
        <v>693</v>
      </c>
      <c r="F257" s="14" t="s">
        <v>184</v>
      </c>
      <c r="G257" s="25" t="str">
        <f>HYPERLINK("http://vk.com/wall285587958_1451")</f>
      </c>
      <c r="H257" s="14" t="s">
        <v>170</v>
      </c>
      <c r="I257" s="14" t="s">
        <v>171</v>
      </c>
      <c r="J257" s="14" t="s">
        <v>951</v>
      </c>
      <c r="K257" s="26" t="str">
        <f>HYPERLINK("http://vk.com/id285587958")</f>
      </c>
      <c r="L257" s="14" t="s">
        <v>173</v>
      </c>
      <c r="O257" s="1" t="s">
        <v>186</v>
      </c>
      <c r="P257" s="1" t="n">
        <v>39</v>
      </c>
      <c r="Q257" s="1" t="n">
        <v>137</v>
      </c>
      <c r="R257" s="1" t="n">
        <v>0</v>
      </c>
      <c r="S257" s="1"/>
      <c r="T257" s="1" t="n">
        <v>0</v>
      </c>
      <c r="U257" s="1" t="n">
        <v>0</v>
      </c>
      <c r="V257" s="1" t="n">
        <v>0</v>
      </c>
      <c r="W257" s="1"/>
      <c r="Y257" s="1" t="n">
        <v>5</v>
      </c>
      <c r="Z257" s="0" t="s">
        <v>175</v>
      </c>
      <c r="AA257" s="0" t="s">
        <v>187</v>
      </c>
      <c r="AC257" s="0" t="s">
        <v>177</v>
      </c>
      <c r="AD257" s="0" t="s">
        <v>952</v>
      </c>
      <c r="AE257" s="0" t="s">
        <v>953</v>
      </c>
      <c r="AH257" s="0" t="s">
        <v>180</v>
      </c>
      <c r="AJ257" s="0" t="s">
        <v>437</v>
      </c>
      <c r="AK257" s="0" t="s">
        <v>94</v>
      </c>
      <c r="AM257" s="0" t="s">
        <v>96</v>
      </c>
      <c r="AP257" s="0" t="s">
        <v>99</v>
      </c>
      <c r="AX257" s="0" t="s">
        <v>107</v>
      </c>
    </row>
    <row r="258">
      <c r="B258" s="0" t="s">
        <v>950</v>
      </c>
      <c r="C258" s="1" t="n">
        <v>353755</v>
      </c>
      <c r="E258" s="14" t="s">
        <v>954</v>
      </c>
      <c r="F258" s="14" t="s">
        <v>184</v>
      </c>
      <c r="G258" s="25" t="str">
        <f>HYPERLINK("http://vk.com/wall-158505477_1120049?reply=1120419&amp;thread=1120061")</f>
      </c>
      <c r="H258" s="14" t="s">
        <v>170</v>
      </c>
      <c r="I258" s="14" t="s">
        <v>231</v>
      </c>
      <c r="J258" s="14" t="s">
        <v>928</v>
      </c>
      <c r="K258" s="26" t="str">
        <f>HYPERLINK("http://vk.com/id793700960")</f>
      </c>
      <c r="L258" s="14" t="s">
        <v>173</v>
      </c>
      <c r="M258" s="14" t="s">
        <v>955</v>
      </c>
      <c r="N258" s="25" t="str">
        <f>HYPERLINK("http://vk.com/club158505477")</f>
      </c>
      <c r="O258" s="1" t="s">
        <v>186</v>
      </c>
      <c r="P258" s="1" t="n">
        <v>26</v>
      </c>
      <c r="Q258" s="1" t="n">
        <v>617122</v>
      </c>
      <c r="R258" s="1" t="n">
        <v>0</v>
      </c>
      <c r="S258" s="1"/>
      <c r="T258" s="1" t="n">
        <v>0</v>
      </c>
      <c r="U258" s="1" t="n">
        <v>0</v>
      </c>
      <c r="V258" s="1" t="n">
        <v>0</v>
      </c>
      <c r="W258" s="1"/>
      <c r="Y258" s="1" t="n">
        <v>1</v>
      </c>
      <c r="Z258" s="0" t="s">
        <v>319</v>
      </c>
      <c r="AA258" s="0" t="s">
        <v>292</v>
      </c>
      <c r="AH258" s="0" t="s">
        <v>180</v>
      </c>
      <c r="AI258" s="0" t="s">
        <v>92</v>
      </c>
      <c r="AJ258" s="0" t="s">
        <v>437</v>
      </c>
      <c r="AK258" s="0" t="s">
        <v>94</v>
      </c>
      <c r="AR258" s="0" t="s">
        <v>101</v>
      </c>
      <c r="AY258" s="0" t="s">
        <v>108</v>
      </c>
      <c r="BP258" s="0" t="s">
        <v>125</v>
      </c>
    </row>
    <row r="259" ht="24.75">
      <c r="B259" s="0" t="s">
        <v>956</v>
      </c>
      <c r="C259" s="1" t="n">
        <v>353732</v>
      </c>
      <c r="D259" s="0" t="s">
        <v>957</v>
      </c>
      <c r="E259" s="14" t="s">
        <v>958</v>
      </c>
      <c r="F259" s="14" t="s">
        <v>222</v>
      </c>
      <c r="G259" s="25" t="str">
        <f>HYPERLINK("https://pskov.bezformata.com/listnews/potrebitelskih-tcen-na-osnovnie/116243796/")</f>
      </c>
      <c r="H259" s="14" t="s">
        <v>208</v>
      </c>
      <c r="I259" s="14" t="s">
        <v>194</v>
      </c>
      <c r="J259" s="14"/>
      <c r="L259" s="14"/>
      <c r="O259" s="1"/>
      <c r="P259" s="1"/>
      <c r="Q259" s="1"/>
      <c r="R259" s="1" t="n">
        <v>0</v>
      </c>
      <c r="S259" s="1" t="n">
        <v>33</v>
      </c>
      <c r="T259" s="1" t="n">
        <v>0</v>
      </c>
      <c r="U259" s="1" t="n">
        <v>0</v>
      </c>
      <c r="V259" s="1" t="n">
        <v>0</v>
      </c>
      <c r="W259" s="1"/>
      <c r="Y259" s="1" t="n">
        <v>1</v>
      </c>
      <c r="Z259" s="0" t="s">
        <v>175</v>
      </c>
      <c r="AA259" s="0" t="s">
        <v>176</v>
      </c>
      <c r="AH259" s="0" t="s">
        <v>180</v>
      </c>
      <c r="AJ259" s="0" t="s">
        <v>437</v>
      </c>
      <c r="AM259" s="0" t="s">
        <v>96</v>
      </c>
      <c r="AP259" s="0" t="s">
        <v>99</v>
      </c>
      <c r="BD259" s="0" t="s">
        <v>113</v>
      </c>
      <c r="BP259" s="0" t="s">
        <v>125</v>
      </c>
    </row>
    <row r="260">
      <c r="B260" s="0" t="s">
        <v>956</v>
      </c>
      <c r="C260" s="1" t="n">
        <v>353700</v>
      </c>
      <c r="E260" s="14" t="s">
        <v>959</v>
      </c>
      <c r="F260" s="14" t="s">
        <v>184</v>
      </c>
      <c r="G260" s="25" t="str">
        <f>HYPERLINK("http://vk.com/wall-212866196_185543?reply=186890&amp;thread=186118")</f>
      </c>
      <c r="H260" s="14" t="s">
        <v>170</v>
      </c>
      <c r="I260" s="14" t="s">
        <v>231</v>
      </c>
      <c r="J260" s="14" t="s">
        <v>930</v>
      </c>
      <c r="K260" s="26" t="str">
        <f>HYPERLINK("http://vk.com/id173758241")</f>
      </c>
      <c r="L260" s="14" t="s">
        <v>173</v>
      </c>
      <c r="M260" s="14" t="s">
        <v>960</v>
      </c>
      <c r="N260" s="25" t="str">
        <f>HYPERLINK("http://vk.com/club212866196")</f>
      </c>
      <c r="O260" s="1" t="s">
        <v>186</v>
      </c>
      <c r="P260" s="1" t="n">
        <v>21</v>
      </c>
      <c r="Q260" s="1" t="n">
        <v>10348</v>
      </c>
      <c r="R260" s="1" t="n">
        <v>0</v>
      </c>
      <c r="S260" s="1"/>
      <c r="T260" s="1" t="n">
        <v>0</v>
      </c>
      <c r="U260" s="1" t="n">
        <v>0</v>
      </c>
      <c r="V260" s="1" t="n">
        <v>0</v>
      </c>
      <c r="W260" s="1"/>
      <c r="Y260" s="1" t="n">
        <v>1</v>
      </c>
      <c r="Z260" s="0" t="s">
        <v>319</v>
      </c>
      <c r="AA260" s="0" t="s">
        <v>292</v>
      </c>
      <c r="AH260" s="0" t="s">
        <v>180</v>
      </c>
      <c r="AI260" s="0" t="s">
        <v>92</v>
      </c>
      <c r="AJ260" s="0" t="s">
        <v>437</v>
      </c>
      <c r="AK260" s="0" t="s">
        <v>94</v>
      </c>
      <c r="AU260" s="0" t="s">
        <v>104</v>
      </c>
      <c r="AY260" s="0" t="s">
        <v>108</v>
      </c>
      <c r="BD260" s="0" t="s">
        <v>113</v>
      </c>
    </row>
    <row r="261">
      <c r="B261" s="0" t="s">
        <v>961</v>
      </c>
      <c r="C261" s="1" t="n">
        <v>353709</v>
      </c>
      <c r="E261" s="14" t="s">
        <v>962</v>
      </c>
      <c r="F261" s="14" t="s">
        <v>184</v>
      </c>
      <c r="G261" s="25" t="str">
        <f>HYPERLINK("http://vk.com/wall-193197436_6093?reply=6177&amp;thread=6097")</f>
      </c>
      <c r="H261" s="14" t="s">
        <v>170</v>
      </c>
      <c r="I261" s="14" t="s">
        <v>231</v>
      </c>
      <c r="J261" s="14" t="s">
        <v>928</v>
      </c>
      <c r="K261" s="26" t="str">
        <f>HYPERLINK("http://vk.com/id793700960")</f>
      </c>
      <c r="L261" s="14" t="s">
        <v>173</v>
      </c>
      <c r="M261" s="14" t="s">
        <v>909</v>
      </c>
      <c r="N261" s="25" t="str">
        <f>HYPERLINK("http://vk.com/club193197436")</f>
      </c>
      <c r="O261" s="1" t="s">
        <v>186</v>
      </c>
      <c r="P261" s="1" t="n">
        <v>26</v>
      </c>
      <c r="Q261" s="1" t="n">
        <v>432</v>
      </c>
      <c r="R261" s="1" t="n">
        <v>0</v>
      </c>
      <c r="S261" s="1"/>
      <c r="T261" s="1" t="n">
        <v>0</v>
      </c>
      <c r="U261" s="1" t="n">
        <v>0</v>
      </c>
      <c r="V261" s="1" t="n">
        <v>0</v>
      </c>
      <c r="W261" s="1"/>
      <c r="Y261" s="1" t="n">
        <v>1</v>
      </c>
      <c r="Z261" s="0" t="s">
        <v>319</v>
      </c>
      <c r="AA261" s="0" t="s">
        <v>292</v>
      </c>
      <c r="AH261" s="0" t="s">
        <v>180</v>
      </c>
      <c r="AI261" s="0" t="s">
        <v>92</v>
      </c>
      <c r="AJ261" s="0" t="s">
        <v>437</v>
      </c>
      <c r="AY261" s="0" t="s">
        <v>108</v>
      </c>
      <c r="BP261" s="0" t="s">
        <v>125</v>
      </c>
    </row>
    <row r="262" ht="108.75">
      <c r="B262" s="0" t="s">
        <v>961</v>
      </c>
      <c r="C262" s="1" t="n">
        <v>353710</v>
      </c>
      <c r="D262" s="0" t="s">
        <v>963</v>
      </c>
      <c r="E262" s="14" t="s">
        <v>964</v>
      </c>
      <c r="F262" s="14" t="s">
        <v>965</v>
      </c>
      <c r="G262" s="25" t="str">
        <f>HYPERLINK("http://nsday.ru/news/140423122454")</f>
      </c>
      <c r="H262" s="14" t="s">
        <v>208</v>
      </c>
      <c r="I262" s="14" t="s">
        <v>194</v>
      </c>
      <c r="J262" s="14"/>
      <c r="L262" s="14"/>
      <c r="O262" s="1"/>
      <c r="P262" s="1"/>
      <c r="Q262" s="1"/>
      <c r="R262" s="1" t="n">
        <v>0</v>
      </c>
      <c r="S262" s="1" t="n">
        <v>2413</v>
      </c>
      <c r="T262" s="1" t="n">
        <v>0</v>
      </c>
      <c r="U262" s="1" t="n">
        <v>0</v>
      </c>
      <c r="V262" s="1" t="n">
        <v>0</v>
      </c>
      <c r="W262" s="1"/>
      <c r="Y262" s="1" t="n">
        <v>1</v>
      </c>
      <c r="Z262" s="0" t="s">
        <v>175</v>
      </c>
      <c r="AA262" s="0" t="s">
        <v>223</v>
      </c>
      <c r="AH262" s="0" t="s">
        <v>180</v>
      </c>
      <c r="AJ262" s="0" t="s">
        <v>437</v>
      </c>
      <c r="AM262" s="0" t="s">
        <v>96</v>
      </c>
      <c r="AP262" s="0" t="s">
        <v>99</v>
      </c>
      <c r="BP262" s="0" t="s">
        <v>125</v>
      </c>
    </row>
    <row r="263" ht="36.75">
      <c r="B263" s="0" t="s">
        <v>966</v>
      </c>
      <c r="C263" s="1" t="n">
        <v>353736</v>
      </c>
      <c r="E263" s="14" t="s">
        <v>967</v>
      </c>
      <c r="F263" s="14" t="s">
        <v>184</v>
      </c>
      <c r="G263" s="25" t="str">
        <f>HYPERLINK("http://vk.com/wall522631866_12")</f>
      </c>
      <c r="H263" s="14" t="s">
        <v>170</v>
      </c>
      <c r="I263" s="14" t="s">
        <v>171</v>
      </c>
      <c r="J263" s="14" t="s">
        <v>968</v>
      </c>
      <c r="K263" s="26" t="str">
        <f>HYPERLINK("http://vk.com/id522631866")</f>
      </c>
      <c r="L263" s="14" t="s">
        <v>173</v>
      </c>
      <c r="O263" s="1" t="s">
        <v>186</v>
      </c>
      <c r="P263" s="1" t="n">
        <v>70</v>
      </c>
      <c r="Q263" s="1" t="n">
        <v>32</v>
      </c>
      <c r="R263" s="1" t="n">
        <v>0</v>
      </c>
      <c r="S263" s="1"/>
      <c r="T263" s="1" t="n">
        <v>0</v>
      </c>
      <c r="U263" s="1" t="n">
        <v>0</v>
      </c>
      <c r="V263" s="1" t="n">
        <v>0</v>
      </c>
      <c r="W263" s="1"/>
      <c r="Y263" s="1" t="n">
        <v>3</v>
      </c>
      <c r="Z263" s="0" t="s">
        <v>175</v>
      </c>
      <c r="AA263" s="0" t="s">
        <v>176</v>
      </c>
      <c r="AC263" s="0" t="s">
        <v>177</v>
      </c>
      <c r="AD263" s="0" t="s">
        <v>520</v>
      </c>
      <c r="AE263" s="0" t="s">
        <v>969</v>
      </c>
      <c r="AH263" s="0" t="s">
        <v>180</v>
      </c>
      <c r="AJ263" s="0" t="s">
        <v>437</v>
      </c>
      <c r="AK263" s="0" t="s">
        <v>94</v>
      </c>
      <c r="AP263" s="0" t="s">
        <v>99</v>
      </c>
      <c r="AR263" s="0" t="s">
        <v>101</v>
      </c>
      <c r="BA263" s="0" t="s">
        <v>110</v>
      </c>
      <c r="BF263" s="0" t="s">
        <v>115</v>
      </c>
    </row>
    <row r="264" ht="108.75">
      <c r="B264" s="0" t="s">
        <v>966</v>
      </c>
      <c r="C264" s="1" t="n">
        <v>353724</v>
      </c>
      <c r="D264" s="0" t="s">
        <v>963</v>
      </c>
      <c r="E264" s="14" t="s">
        <v>970</v>
      </c>
      <c r="F264" s="14" t="s">
        <v>971</v>
      </c>
      <c r="G264" s="25" t="str">
        <f>HYPERLINK("https://sorochinskday.ru/news/140423130354")</f>
      </c>
      <c r="H264" s="14" t="s">
        <v>208</v>
      </c>
      <c r="I264" s="14" t="s">
        <v>194</v>
      </c>
      <c r="J264" s="14"/>
      <c r="L264" s="14"/>
      <c r="O264" s="1"/>
      <c r="P264" s="1"/>
      <c r="Q264" s="1"/>
      <c r="R264" s="1" t="n">
        <v>0</v>
      </c>
      <c r="S264" s="1" t="n">
        <v>1887</v>
      </c>
      <c r="T264" s="1" t="n">
        <v>0</v>
      </c>
      <c r="U264" s="1" t="n">
        <v>0</v>
      </c>
      <c r="V264" s="1" t="n">
        <v>0</v>
      </c>
      <c r="W264" s="1"/>
      <c r="Y264" s="1" t="n">
        <v>1</v>
      </c>
      <c r="Z264" s="0" t="s">
        <v>175</v>
      </c>
      <c r="AA264" s="0" t="s">
        <v>176</v>
      </c>
      <c r="AH264" s="0" t="s">
        <v>180</v>
      </c>
      <c r="AJ264" s="0" t="s">
        <v>437</v>
      </c>
      <c r="AM264" s="0" t="s">
        <v>96</v>
      </c>
      <c r="AP264" s="0" t="s">
        <v>99</v>
      </c>
      <c r="BD264" s="0" t="s">
        <v>113</v>
      </c>
      <c r="BP264" s="0" t="s">
        <v>125</v>
      </c>
    </row>
    <row r="265">
      <c r="B265" s="0" t="s">
        <v>972</v>
      </c>
      <c r="C265" s="1" t="n">
        <v>353699</v>
      </c>
      <c r="E265" s="14" t="s">
        <v>973</v>
      </c>
      <c r="F265" s="14" t="s">
        <v>184</v>
      </c>
      <c r="G265" s="25" t="str">
        <f>HYPERLINK("http://vk.com/wall-98506288_2854359?reply=2907666&amp;thread=2854389")</f>
      </c>
      <c r="H265" s="14" t="s">
        <v>170</v>
      </c>
      <c r="I265" s="14" t="s">
        <v>231</v>
      </c>
      <c r="J265" s="14" t="s">
        <v>789</v>
      </c>
      <c r="K265" s="26" t="str">
        <f>HYPERLINK("http://vk.com/id656608653")</f>
      </c>
      <c r="L265" s="14" t="s">
        <v>173</v>
      </c>
      <c r="M265" s="14" t="s">
        <v>974</v>
      </c>
      <c r="N265" s="25" t="str">
        <f>HYPERLINK("http://vk.com/club98506288")</f>
      </c>
      <c r="O265" s="1" t="s">
        <v>186</v>
      </c>
      <c r="P265" s="1" t="n">
        <v>40</v>
      </c>
      <c r="Q265" s="1" t="n">
        <v>44496</v>
      </c>
      <c r="R265" s="1" t="n">
        <v>0</v>
      </c>
      <c r="S265" s="1"/>
      <c r="T265" s="1" t="n">
        <v>0</v>
      </c>
      <c r="U265" s="1" t="n">
        <v>0</v>
      </c>
      <c r="V265" s="1" t="n">
        <v>0</v>
      </c>
      <c r="W265" s="1"/>
      <c r="Y265" s="1" t="n">
        <v>1</v>
      </c>
      <c r="Z265" s="0" t="s">
        <v>463</v>
      </c>
      <c r="AA265" s="0" t="s">
        <v>292</v>
      </c>
      <c r="AH265" s="0" t="s">
        <v>180</v>
      </c>
      <c r="AI265" s="0" t="s">
        <v>92</v>
      </c>
      <c r="AJ265" s="0" t="s">
        <v>437</v>
      </c>
      <c r="AK265" s="0" t="s">
        <v>94</v>
      </c>
      <c r="AO265" s="0" t="s">
        <v>98</v>
      </c>
      <c r="AP265" s="0" t="s">
        <v>99</v>
      </c>
      <c r="AY265" s="0" t="s">
        <v>108</v>
      </c>
      <c r="BC265" s="0" t="s">
        <v>112</v>
      </c>
      <c r="CG265" s="0" t="s">
        <v>142</v>
      </c>
    </row>
    <row r="266">
      <c r="B266" s="0" t="s">
        <v>972</v>
      </c>
      <c r="C266" s="1" t="n">
        <v>353731</v>
      </c>
      <c r="E266" s="14" t="s">
        <v>975</v>
      </c>
      <c r="F266" s="14" t="s">
        <v>184</v>
      </c>
      <c r="G266" s="25" t="str">
        <f>HYPERLINK("http://vk.com/wall-197412679_201645?reply=202200&amp;thread=201648")</f>
      </c>
      <c r="H266" s="14" t="s">
        <v>170</v>
      </c>
      <c r="I266" s="14" t="s">
        <v>231</v>
      </c>
      <c r="J266" s="14" t="s">
        <v>930</v>
      </c>
      <c r="K266" s="26" t="str">
        <f>HYPERLINK("http://vk.com/id173758241")</f>
      </c>
      <c r="L266" s="14" t="s">
        <v>173</v>
      </c>
      <c r="M266" s="14" t="s">
        <v>597</v>
      </c>
      <c r="N266" s="25" t="str">
        <f>HYPERLINK("http://vk.com/club197412679")</f>
      </c>
      <c r="O266" s="1" t="s">
        <v>186</v>
      </c>
      <c r="P266" s="1" t="n">
        <v>21</v>
      </c>
      <c r="Q266" s="1" t="n">
        <v>720532</v>
      </c>
      <c r="R266" s="1" t="n">
        <v>0</v>
      </c>
      <c r="S266" s="1"/>
      <c r="T266" s="1" t="n">
        <v>0</v>
      </c>
      <c r="U266" s="1" t="n">
        <v>0</v>
      </c>
      <c r="V266" s="1" t="n">
        <v>0</v>
      </c>
      <c r="W266" s="1"/>
      <c r="Y266" s="1" t="n">
        <v>1</v>
      </c>
      <c r="Z266" s="0" t="s">
        <v>319</v>
      </c>
      <c r="AA266" s="0" t="s">
        <v>292</v>
      </c>
      <c r="AH266" s="0" t="s">
        <v>180</v>
      </c>
      <c r="AI266" s="0" t="s">
        <v>92</v>
      </c>
      <c r="AJ266" s="0" t="s">
        <v>437</v>
      </c>
      <c r="AK266" s="0" t="s">
        <v>94</v>
      </c>
      <c r="AX266" s="0" t="s">
        <v>107</v>
      </c>
      <c r="AY266" s="0" t="s">
        <v>108</v>
      </c>
      <c r="BD266" s="0" t="s">
        <v>113</v>
      </c>
    </row>
    <row r="267">
      <c r="B267" s="0" t="s">
        <v>976</v>
      </c>
      <c r="C267" s="1" t="n">
        <v>353707</v>
      </c>
      <c r="E267" s="14" t="s">
        <v>977</v>
      </c>
      <c r="F267" s="14" t="s">
        <v>184</v>
      </c>
      <c r="G267" s="25" t="str">
        <f>HYPERLINK("http://vk.com/wall-139923997_4238168?reply=4240020&amp;thread=4238891")</f>
      </c>
      <c r="H267" s="14" t="s">
        <v>170</v>
      </c>
      <c r="I267" s="14" t="s">
        <v>231</v>
      </c>
      <c r="J267" s="14" t="s">
        <v>928</v>
      </c>
      <c r="K267" s="26" t="str">
        <f>HYPERLINK("http://vk.com/id793700960")</f>
      </c>
      <c r="L267" s="14" t="s">
        <v>173</v>
      </c>
      <c r="M267" s="14" t="s">
        <v>539</v>
      </c>
      <c r="N267" s="25" t="str">
        <f>HYPERLINK("http://vk.com/club139923997")</f>
      </c>
      <c r="O267" s="1" t="s">
        <v>186</v>
      </c>
      <c r="P267" s="1" t="n">
        <v>26</v>
      </c>
      <c r="Q267" s="1" t="n">
        <v>2371324</v>
      </c>
      <c r="R267" s="1" t="n">
        <v>0</v>
      </c>
      <c r="S267" s="1"/>
      <c r="T267" s="1" t="n">
        <v>0</v>
      </c>
      <c r="U267" s="1" t="n">
        <v>0</v>
      </c>
      <c r="V267" s="1" t="n">
        <v>0</v>
      </c>
      <c r="W267" s="1"/>
      <c r="Y267" s="1" t="n">
        <v>1</v>
      </c>
      <c r="Z267" s="0" t="s">
        <v>319</v>
      </c>
      <c r="AA267" s="0" t="s">
        <v>292</v>
      </c>
      <c r="AH267" s="0" t="s">
        <v>180</v>
      </c>
      <c r="AI267" s="0" t="s">
        <v>92</v>
      </c>
      <c r="AJ267" s="0" t="s">
        <v>437</v>
      </c>
      <c r="AY267" s="0" t="s">
        <v>108</v>
      </c>
      <c r="BP267" s="0" t="s">
        <v>125</v>
      </c>
    </row>
    <row r="268" ht="24.75">
      <c r="B268" s="0" t="s">
        <v>976</v>
      </c>
      <c r="C268" s="1" t="n">
        <v>353689</v>
      </c>
      <c r="D268" s="0" t="s">
        <v>978</v>
      </c>
      <c r="E268" s="14" t="s">
        <v>979</v>
      </c>
      <c r="F268" s="14" t="s">
        <v>980</v>
      </c>
      <c r="G268" s="25" t="str">
        <f>HYPERLINK("https://progoroduhta.ru/news/42450")</f>
      </c>
      <c r="H268" s="14" t="s">
        <v>208</v>
      </c>
      <c r="I268" s="14" t="s">
        <v>194</v>
      </c>
      <c r="J268" s="14"/>
      <c r="L268" s="14"/>
      <c r="O268" s="1"/>
      <c r="P268" s="1"/>
      <c r="Q268" s="1"/>
      <c r="R268" s="1" t="n">
        <v>0</v>
      </c>
      <c r="S268" s="1" t="n">
        <v>3015</v>
      </c>
      <c r="T268" s="1" t="n">
        <v>0</v>
      </c>
      <c r="U268" s="1" t="n">
        <v>0</v>
      </c>
      <c r="V268" s="1" t="n">
        <v>0</v>
      </c>
      <c r="W268" s="1"/>
      <c r="Y268" s="1" t="n">
        <v>1</v>
      </c>
      <c r="Z268" s="0" t="s">
        <v>175</v>
      </c>
      <c r="AA268" s="0" t="s">
        <v>176</v>
      </c>
      <c r="AH268" s="0" t="s">
        <v>180</v>
      </c>
      <c r="AJ268" s="0" t="s">
        <v>437</v>
      </c>
      <c r="AM268" s="0" t="s">
        <v>96</v>
      </c>
      <c r="AP268" s="0" t="s">
        <v>99</v>
      </c>
      <c r="BD268" s="0" t="s">
        <v>113</v>
      </c>
    </row>
    <row r="269" ht="72.75">
      <c r="B269" s="0" t="s">
        <v>981</v>
      </c>
      <c r="C269" s="1" t="n">
        <v>353688</v>
      </c>
      <c r="D269" s="0" t="s">
        <v>982</v>
      </c>
      <c r="E269" s="14" t="s">
        <v>983</v>
      </c>
      <c r="F269" s="14" t="s">
        <v>984</v>
      </c>
      <c r="G269" s="25" t="str">
        <f>HYPERLINK("https://12-kanal.ru/news/167053/")</f>
      </c>
      <c r="H269" s="14" t="s">
        <v>208</v>
      </c>
      <c r="I269" s="14" t="s">
        <v>194</v>
      </c>
      <c r="J269" s="14"/>
      <c r="L269" s="14"/>
      <c r="O269" s="1"/>
      <c r="P269" s="1"/>
      <c r="Q269" s="1"/>
      <c r="R269" s="1" t="n">
        <v>0</v>
      </c>
      <c r="S269" s="1" t="n">
        <v>6059</v>
      </c>
      <c r="T269" s="1" t="n">
        <v>0</v>
      </c>
      <c r="U269" s="1" t="n">
        <v>0</v>
      </c>
      <c r="V269" s="1" t="n">
        <v>0</v>
      </c>
      <c r="W269" s="1"/>
      <c r="Y269" s="1" t="n">
        <v>1</v>
      </c>
      <c r="Z269" s="0" t="s">
        <v>175</v>
      </c>
      <c r="AA269" s="0" t="s">
        <v>223</v>
      </c>
      <c r="AH269" s="0" t="s">
        <v>180</v>
      </c>
      <c r="AJ269" s="0" t="s">
        <v>437</v>
      </c>
      <c r="AK269" s="0" t="s">
        <v>94</v>
      </c>
      <c r="AM269" s="0" t="s">
        <v>96</v>
      </c>
      <c r="AP269" s="0" t="s">
        <v>99</v>
      </c>
      <c r="BD269" s="0" t="s">
        <v>113</v>
      </c>
      <c r="BJ269" s="0" t="s">
        <v>119</v>
      </c>
    </row>
    <row r="270" ht="24.75">
      <c r="B270" s="0" t="s">
        <v>981</v>
      </c>
      <c r="C270" s="1" t="n">
        <v>353735</v>
      </c>
      <c r="E270" s="14" t="s">
        <v>183</v>
      </c>
      <c r="F270" s="14" t="s">
        <v>184</v>
      </c>
      <c r="G270" s="25" t="str">
        <f>HYPERLINK("http://vk.com/wall384996496_66")</f>
      </c>
      <c r="H270" s="14" t="s">
        <v>170</v>
      </c>
      <c r="I270" s="14" t="s">
        <v>171</v>
      </c>
      <c r="J270" s="14" t="s">
        <v>985</v>
      </c>
      <c r="K270" s="26" t="str">
        <f>HYPERLINK("http://vk.com/id384996496")</f>
      </c>
      <c r="L270" s="14" t="s">
        <v>173</v>
      </c>
      <c r="O270" s="1" t="s">
        <v>186</v>
      </c>
      <c r="P270" s="1" t="n">
        <v>52</v>
      </c>
      <c r="Q270" s="1" t="n">
        <v>25</v>
      </c>
      <c r="R270" s="1" t="n">
        <v>0</v>
      </c>
      <c r="S270" s="1"/>
      <c r="T270" s="1" t="n">
        <v>0</v>
      </c>
      <c r="U270" s="1" t="n">
        <v>0</v>
      </c>
      <c r="V270" s="1" t="n">
        <v>0</v>
      </c>
      <c r="W270" s="1"/>
      <c r="Y270" s="1" t="n">
        <v>62</v>
      </c>
      <c r="Z270" s="0" t="s">
        <v>175</v>
      </c>
      <c r="AA270" s="0" t="s">
        <v>187</v>
      </c>
      <c r="AH270" s="0" t="s">
        <v>180</v>
      </c>
      <c r="AJ270" s="0" t="s">
        <v>437</v>
      </c>
      <c r="AK270" s="0" t="s">
        <v>94</v>
      </c>
      <c r="AO270" s="0" t="s">
        <v>98</v>
      </c>
      <c r="AP270" s="0" t="s">
        <v>99</v>
      </c>
      <c r="AR270" s="0" t="s">
        <v>101</v>
      </c>
      <c r="BA270" s="0" t="s">
        <v>110</v>
      </c>
      <c r="BH270" s="0" t="s">
        <v>117</v>
      </c>
    </row>
    <row r="271">
      <c r="B271" s="0" t="s">
        <v>981</v>
      </c>
      <c r="C271" s="1" t="n">
        <v>353705</v>
      </c>
      <c r="E271" s="14" t="s">
        <v>986</v>
      </c>
      <c r="F271" s="14" t="s">
        <v>184</v>
      </c>
      <c r="G271" s="25" t="str">
        <f>HYPERLINK("http://vk.com/wall-150079080_234058?reply=241902&amp;thread=238648")</f>
      </c>
      <c r="H271" s="14" t="s">
        <v>170</v>
      </c>
      <c r="I271" s="14" t="s">
        <v>231</v>
      </c>
      <c r="J271" s="14" t="s">
        <v>930</v>
      </c>
      <c r="K271" s="26" t="str">
        <f>HYPERLINK("http://vk.com/id173758241")</f>
      </c>
      <c r="L271" s="14" t="s">
        <v>173</v>
      </c>
      <c r="M271" s="14" t="s">
        <v>592</v>
      </c>
      <c r="N271" s="25" t="str">
        <f>HYPERLINK("http://vk.com/club150079080")</f>
      </c>
      <c r="O271" s="1" t="s">
        <v>186</v>
      </c>
      <c r="P271" s="1" t="n">
        <v>21</v>
      </c>
      <c r="Q271" s="1" t="n">
        <v>30754</v>
      </c>
      <c r="R271" s="1" t="n">
        <v>0</v>
      </c>
      <c r="S271" s="1"/>
      <c r="T271" s="1" t="n">
        <v>0</v>
      </c>
      <c r="U271" s="1" t="n">
        <v>0</v>
      </c>
      <c r="V271" s="1" t="n">
        <v>0</v>
      </c>
      <c r="W271" s="1"/>
      <c r="Y271" s="1" t="n">
        <v>1</v>
      </c>
      <c r="Z271" s="0" t="s">
        <v>319</v>
      </c>
      <c r="AA271" s="0" t="s">
        <v>292</v>
      </c>
      <c r="AH271" s="0" t="s">
        <v>180</v>
      </c>
      <c r="AI271" s="0" t="s">
        <v>92</v>
      </c>
      <c r="AJ271" s="0" t="s">
        <v>437</v>
      </c>
      <c r="AK271" s="0" t="s">
        <v>94</v>
      </c>
      <c r="AX271" s="0" t="s">
        <v>107</v>
      </c>
      <c r="AY271" s="0" t="s">
        <v>108</v>
      </c>
      <c r="BD271" s="0" t="s">
        <v>113</v>
      </c>
    </row>
    <row r="272">
      <c r="B272" s="0" t="s">
        <v>987</v>
      </c>
      <c r="C272" s="1" t="n">
        <v>353739</v>
      </c>
      <c r="E272" s="14" t="s">
        <v>988</v>
      </c>
      <c r="F272" s="14" t="s">
        <v>184</v>
      </c>
      <c r="G272" s="25" t="str">
        <f>HYPERLINK("http://vk.com/wall-196716269_1248233?reply=1465426")</f>
      </c>
      <c r="H272" s="14" t="s">
        <v>170</v>
      </c>
      <c r="I272" s="14" t="s">
        <v>231</v>
      </c>
      <c r="J272" s="14" t="s">
        <v>789</v>
      </c>
      <c r="K272" s="26" t="str">
        <f>HYPERLINK("http://vk.com/id656608653")</f>
      </c>
      <c r="L272" s="14" t="s">
        <v>173</v>
      </c>
      <c r="M272" s="14" t="s">
        <v>989</v>
      </c>
      <c r="N272" s="25" t="str">
        <f>HYPERLINK("http://vk.com/club196716269")</f>
      </c>
      <c r="O272" s="1" t="s">
        <v>186</v>
      </c>
      <c r="P272" s="1" t="n">
        <v>40</v>
      </c>
      <c r="Q272" s="1" t="n">
        <v>47137</v>
      </c>
      <c r="R272" s="1" t="n">
        <v>0</v>
      </c>
      <c r="S272" s="1"/>
      <c r="T272" s="1" t="n">
        <v>0</v>
      </c>
      <c r="U272" s="1" t="n">
        <v>0</v>
      </c>
      <c r="V272" s="1" t="n">
        <v>0</v>
      </c>
      <c r="W272" s="1"/>
      <c r="Y272" s="1" t="n">
        <v>1</v>
      </c>
      <c r="Z272" s="0" t="s">
        <v>175</v>
      </c>
      <c r="AA272" s="0" t="s">
        <v>187</v>
      </c>
      <c r="AH272" s="0" t="s">
        <v>180</v>
      </c>
      <c r="AI272" s="0" t="s">
        <v>92</v>
      </c>
      <c r="AJ272" s="0" t="s">
        <v>437</v>
      </c>
      <c r="AK272" s="0" t="s">
        <v>94</v>
      </c>
      <c r="AL272" s="0" t="s">
        <v>95</v>
      </c>
      <c r="AN272" s="0" t="s">
        <v>97</v>
      </c>
      <c r="AW272" s="0" t="s">
        <v>106</v>
      </c>
      <c r="BC272" s="0" t="s">
        <v>112</v>
      </c>
      <c r="BG272" s="0" t="s">
        <v>116</v>
      </c>
      <c r="BI272" s="0" t="s">
        <v>118</v>
      </c>
      <c r="BO272" s="0" t="s">
        <v>124</v>
      </c>
      <c r="BZ272" s="0" t="s">
        <v>135</v>
      </c>
    </row>
    <row r="273">
      <c r="B273" s="0" t="s">
        <v>990</v>
      </c>
      <c r="C273" s="1" t="n">
        <v>353714</v>
      </c>
      <c r="E273" s="14" t="s">
        <v>991</v>
      </c>
      <c r="F273" s="14" t="s">
        <v>184</v>
      </c>
      <c r="G273" s="25" t="str">
        <f>HYPERLINK("http://vk.com/wall-93123137_11095?reply=11108&amp;thread=11105")</f>
      </c>
      <c r="H273" s="14" t="s">
        <v>170</v>
      </c>
      <c r="I273" s="14" t="s">
        <v>231</v>
      </c>
      <c r="J273" s="14" t="s">
        <v>992</v>
      </c>
      <c r="K273" s="26" t="str">
        <f>HYPERLINK("http://vk.com/id40820627")</f>
      </c>
      <c r="L273" s="14" t="s">
        <v>173</v>
      </c>
      <c r="M273" s="14" t="s">
        <v>993</v>
      </c>
      <c r="N273" s="25" t="str">
        <f>HYPERLINK("http://vk.com/club93123137")</f>
      </c>
      <c r="O273" s="1" t="s">
        <v>186</v>
      </c>
      <c r="P273" s="1" t="n">
        <v>40</v>
      </c>
      <c r="Q273" s="1" t="n">
        <v>2208</v>
      </c>
      <c r="R273" s="1" t="n">
        <v>0</v>
      </c>
      <c r="S273" s="1"/>
      <c r="T273" s="1" t="n">
        <v>0</v>
      </c>
      <c r="U273" s="1" t="n">
        <v>0</v>
      </c>
      <c r="V273" s="1" t="n">
        <v>0</v>
      </c>
      <c r="W273" s="1"/>
      <c r="Y273" s="1" t="n">
        <v>1</v>
      </c>
      <c r="Z273" s="0" t="s">
        <v>175</v>
      </c>
      <c r="AA273" s="0" t="s">
        <v>187</v>
      </c>
      <c r="AC273" s="0" t="s">
        <v>177</v>
      </c>
      <c r="AD273" s="0" t="s">
        <v>332</v>
      </c>
      <c r="AE273" s="0" t="s">
        <v>332</v>
      </c>
      <c r="AH273" s="0" t="s">
        <v>180</v>
      </c>
      <c r="AI273" s="0" t="s">
        <v>92</v>
      </c>
      <c r="AJ273" s="0" t="s">
        <v>437</v>
      </c>
      <c r="AK273" s="0" t="s">
        <v>94</v>
      </c>
      <c r="AL273" s="0" t="s">
        <v>95</v>
      </c>
      <c r="AN273" s="0" t="s">
        <v>97</v>
      </c>
      <c r="AR273" s="0" t="s">
        <v>101</v>
      </c>
      <c r="AW273" s="0" t="s">
        <v>106</v>
      </c>
      <c r="BG273" s="0" t="s">
        <v>116</v>
      </c>
    </row>
    <row r="274">
      <c r="B274" s="0" t="s">
        <v>994</v>
      </c>
      <c r="C274" s="1" t="n">
        <v>353694</v>
      </c>
      <c r="E274" s="14" t="s">
        <v>995</v>
      </c>
      <c r="F274" s="14" t="s">
        <v>192</v>
      </c>
      <c r="G274" s="25" t="str">
        <f>HYPERLINK("https://telegram.me/kanzlerdaddy/6336?comment=245881")</f>
      </c>
      <c r="H274" s="14" t="s">
        <v>193</v>
      </c>
      <c r="I274" s="14" t="s">
        <v>231</v>
      </c>
      <c r="J274" s="14" t="s">
        <v>996</v>
      </c>
      <c r="K274" s="26" t="str">
        <f>HYPERLINK("https://telegram.me/")</f>
      </c>
      <c r="L274" s="14" t="s">
        <v>173</v>
      </c>
      <c r="M274" s="14" t="s">
        <v>876</v>
      </c>
      <c r="N274" s="25" t="str">
        <f>HYPERLINK("https://telegram.me/kanzlerdaddy")</f>
      </c>
      <c r="O274" s="1" t="s">
        <v>186</v>
      </c>
      <c r="P274" s="1"/>
      <c r="Q274" s="1" t="n">
        <v>55923</v>
      </c>
      <c r="R274" s="1" t="n">
        <v>0</v>
      </c>
      <c r="S274" s="1"/>
      <c r="T274" s="1" t="n">
        <v>0</v>
      </c>
      <c r="U274" s="1" t="n">
        <v>0</v>
      </c>
      <c r="V274" s="1" t="n">
        <v>0</v>
      </c>
      <c r="W274" s="1"/>
      <c r="Y274" s="1" t="n">
        <v>1</v>
      </c>
      <c r="Z274" s="0" t="s">
        <v>175</v>
      </c>
      <c r="AA274" s="0" t="s">
        <v>187</v>
      </c>
      <c r="AH274" s="0" t="s">
        <v>180</v>
      </c>
      <c r="AI274" s="0" t="s">
        <v>92</v>
      </c>
      <c r="AJ274" s="0" t="s">
        <v>437</v>
      </c>
      <c r="AK274" s="0" t="s">
        <v>94</v>
      </c>
      <c r="AN274" s="0" t="s">
        <v>97</v>
      </c>
      <c r="AP274" s="0" t="s">
        <v>99</v>
      </c>
      <c r="AT274" s="0" t="s">
        <v>103</v>
      </c>
      <c r="BB274" s="0" t="s">
        <v>111</v>
      </c>
      <c r="BH274" s="0" t="s">
        <v>117</v>
      </c>
    </row>
    <row r="275" ht="36.75">
      <c r="B275" s="0" t="s">
        <v>997</v>
      </c>
      <c r="C275" s="1" t="n">
        <v>353737</v>
      </c>
      <c r="E275" s="14" t="s">
        <v>202</v>
      </c>
      <c r="F275" s="14" t="s">
        <v>184</v>
      </c>
      <c r="G275" s="25" t="str">
        <f>HYPERLINK("http://vk.com/wall784424178_1390")</f>
      </c>
      <c r="H275" s="14" t="s">
        <v>170</v>
      </c>
      <c r="I275" s="14" t="s">
        <v>171</v>
      </c>
      <c r="J275" s="14" t="s">
        <v>998</v>
      </c>
      <c r="K275" s="26" t="str">
        <f>HYPERLINK("http://vk.com/id784424178")</f>
      </c>
      <c r="L275" s="14" t="s">
        <v>173</v>
      </c>
      <c r="O275" s="1" t="s">
        <v>186</v>
      </c>
      <c r="P275" s="1" t="n">
        <v>71</v>
      </c>
      <c r="Q275" s="1" t="n">
        <v>231</v>
      </c>
      <c r="R275" s="1" t="n">
        <v>0</v>
      </c>
      <c r="S275" s="1"/>
      <c r="T275" s="1" t="n">
        <v>0</v>
      </c>
      <c r="U275" s="1" t="n">
        <v>0</v>
      </c>
      <c r="V275" s="1" t="n">
        <v>0</v>
      </c>
      <c r="W275" s="1" t="n">
        <v>1</v>
      </c>
      <c r="Y275" s="1" t="n">
        <v>60</v>
      </c>
      <c r="Z275" s="0" t="s">
        <v>175</v>
      </c>
      <c r="AA275" s="0" t="s">
        <v>176</v>
      </c>
      <c r="AH275" s="0" t="s">
        <v>180</v>
      </c>
      <c r="AJ275" s="0" t="s">
        <v>437</v>
      </c>
      <c r="AK275" s="0" t="s">
        <v>94</v>
      </c>
      <c r="AL275" s="0" t="s">
        <v>95</v>
      </c>
      <c r="AM275" s="0" t="s">
        <v>96</v>
      </c>
      <c r="AO275" s="0" t="s">
        <v>98</v>
      </c>
      <c r="AQ275" s="0" t="s">
        <v>100</v>
      </c>
    </row>
    <row r="276">
      <c r="B276" s="0" t="s">
        <v>999</v>
      </c>
      <c r="C276" s="1" t="n">
        <v>353721</v>
      </c>
      <c r="E276" s="14" t="s">
        <v>1000</v>
      </c>
      <c r="F276" s="14" t="s">
        <v>184</v>
      </c>
      <c r="G276" s="25" t="str">
        <f>HYPERLINK("http://vk.com/wall-36456996_616209?reply=616304&amp;thread=616247")</f>
      </c>
      <c r="H276" s="14" t="s">
        <v>170</v>
      </c>
      <c r="I276" s="14" t="s">
        <v>231</v>
      </c>
      <c r="J276" s="14" t="s">
        <v>1001</v>
      </c>
      <c r="K276" s="26" t="str">
        <f>HYPERLINK("http://vk.com/id23854704")</f>
      </c>
      <c r="L276" s="14" t="s">
        <v>173</v>
      </c>
      <c r="M276" s="14" t="s">
        <v>880</v>
      </c>
      <c r="N276" s="25" t="str">
        <f>HYPERLINK("http://vk.com/club36456996")</f>
      </c>
      <c r="O276" s="1" t="s">
        <v>186</v>
      </c>
      <c r="P276" s="1"/>
      <c r="Q276" s="1" t="n">
        <v>234186</v>
      </c>
      <c r="R276" s="1" t="n">
        <v>0</v>
      </c>
      <c r="S276" s="1"/>
      <c r="T276" s="1" t="n">
        <v>0</v>
      </c>
      <c r="U276" s="1" t="n">
        <v>0</v>
      </c>
      <c r="V276" s="1" t="n">
        <v>0</v>
      </c>
      <c r="W276" s="1"/>
      <c r="Y276" s="1" t="n">
        <v>1</v>
      </c>
      <c r="Z276" s="0" t="s">
        <v>463</v>
      </c>
      <c r="AA276" s="0" t="s">
        <v>187</v>
      </c>
      <c r="AC276" s="0" t="s">
        <v>177</v>
      </c>
      <c r="AD276" s="0" t="s">
        <v>1002</v>
      </c>
      <c r="AE276" s="0" t="s">
        <v>1002</v>
      </c>
      <c r="AH276" s="0" t="s">
        <v>180</v>
      </c>
      <c r="AI276" s="0" t="s">
        <v>92</v>
      </c>
      <c r="AJ276" s="0" t="s">
        <v>437</v>
      </c>
      <c r="AK276" s="0" t="s">
        <v>94</v>
      </c>
      <c r="AL276" s="0" t="s">
        <v>95</v>
      </c>
      <c r="AN276" s="0" t="s">
        <v>97</v>
      </c>
      <c r="BB276" s="0" t="s">
        <v>111</v>
      </c>
      <c r="BC276" s="0" t="s">
        <v>112</v>
      </c>
      <c r="CJ276" s="0" t="s">
        <v>145</v>
      </c>
    </row>
    <row r="277" ht="36.75">
      <c r="B277" s="0" t="s">
        <v>999</v>
      </c>
      <c r="C277" s="1" t="n">
        <v>353704</v>
      </c>
      <c r="E277" s="14" t="s">
        <v>202</v>
      </c>
      <c r="F277" s="14" t="s">
        <v>184</v>
      </c>
      <c r="G277" s="25" t="str">
        <f>HYPERLINK("http://vk.com/wall111061547_8203")</f>
      </c>
      <c r="H277" s="14" t="s">
        <v>170</v>
      </c>
      <c r="I277" s="14" t="s">
        <v>171</v>
      </c>
      <c r="J277" s="14" t="s">
        <v>1003</v>
      </c>
      <c r="K277" s="26" t="str">
        <f>HYPERLINK("http://vk.com/id111061547")</f>
      </c>
      <c r="L277" s="14" t="s">
        <v>173</v>
      </c>
      <c r="O277" s="1" t="s">
        <v>186</v>
      </c>
      <c r="P277" s="1"/>
      <c r="Q277" s="1" t="n">
        <v>168</v>
      </c>
      <c r="R277" s="1" t="n">
        <v>0</v>
      </c>
      <c r="S277" s="1"/>
      <c r="T277" s="1" t="n">
        <v>0</v>
      </c>
      <c r="U277" s="1" t="n">
        <v>0</v>
      </c>
      <c r="V277" s="1" t="n">
        <v>0</v>
      </c>
      <c r="W277" s="1"/>
      <c r="Y277" s="1" t="n">
        <v>60</v>
      </c>
      <c r="Z277" s="0" t="s">
        <v>175</v>
      </c>
      <c r="AA277" s="0" t="s">
        <v>176</v>
      </c>
      <c r="AC277" s="0" t="s">
        <v>177</v>
      </c>
      <c r="AD277" s="0" t="s">
        <v>1004</v>
      </c>
      <c r="AE277" s="0" t="s">
        <v>1005</v>
      </c>
      <c r="AH277" s="0" t="s">
        <v>180</v>
      </c>
      <c r="AJ277" s="0" t="s">
        <v>437</v>
      </c>
      <c r="AK277" s="0" t="s">
        <v>94</v>
      </c>
      <c r="AL277" s="0" t="s">
        <v>95</v>
      </c>
      <c r="AM277" s="0" t="s">
        <v>96</v>
      </c>
      <c r="AO277" s="0" t="s">
        <v>98</v>
      </c>
      <c r="AQ277" s="0" t="s">
        <v>100</v>
      </c>
    </row>
    <row r="278">
      <c r="B278" s="0" t="s">
        <v>1006</v>
      </c>
      <c r="C278" s="1" t="n">
        <v>353734</v>
      </c>
      <c r="E278" s="14" t="s">
        <v>1007</v>
      </c>
      <c r="F278" s="14" t="s">
        <v>184</v>
      </c>
      <c r="G278" s="25" t="str">
        <f>HYPERLINK("http://vk.com/wall-87598739_813314?reply=817750&amp;thread=813355")</f>
      </c>
      <c r="H278" s="14" t="s">
        <v>170</v>
      </c>
      <c r="I278" s="14" t="s">
        <v>231</v>
      </c>
      <c r="J278" s="14" t="s">
        <v>928</v>
      </c>
      <c r="K278" s="26" t="str">
        <f>HYPERLINK("http://vk.com/id793700960")</f>
      </c>
      <c r="L278" s="14" t="s">
        <v>173</v>
      </c>
      <c r="M278" s="14" t="s">
        <v>331</v>
      </c>
      <c r="N278" s="25" t="str">
        <f>HYPERLINK("http://vk.com/club87598739")</f>
      </c>
      <c r="O278" s="1" t="s">
        <v>186</v>
      </c>
      <c r="P278" s="1" t="n">
        <v>26</v>
      </c>
      <c r="Q278" s="1" t="n">
        <v>36919</v>
      </c>
      <c r="R278" s="1" t="n">
        <v>0</v>
      </c>
      <c r="S278" s="1"/>
      <c r="T278" s="1" t="n">
        <v>0</v>
      </c>
      <c r="U278" s="1" t="n">
        <v>0</v>
      </c>
      <c r="V278" s="1" t="n">
        <v>0</v>
      </c>
      <c r="W278" s="1"/>
      <c r="Y278" s="1" t="n">
        <v>1</v>
      </c>
      <c r="Z278" s="0" t="s">
        <v>319</v>
      </c>
      <c r="AA278" s="0" t="s">
        <v>292</v>
      </c>
      <c r="AH278" s="0" t="s">
        <v>180</v>
      </c>
      <c r="AI278" s="0" t="s">
        <v>92</v>
      </c>
      <c r="AJ278" s="0" t="s">
        <v>437</v>
      </c>
      <c r="AK278" s="0" t="s">
        <v>94</v>
      </c>
      <c r="AR278" s="0" t="s">
        <v>101</v>
      </c>
      <c r="AY278" s="0" t="s">
        <v>108</v>
      </c>
      <c r="BP278" s="0" t="s">
        <v>125</v>
      </c>
    </row>
    <row r="279" ht="24.75">
      <c r="B279" s="0" t="s">
        <v>1006</v>
      </c>
      <c r="C279" s="1" t="n">
        <v>353817</v>
      </c>
      <c r="E279" s="14" t="s">
        <v>1008</v>
      </c>
      <c r="F279" s="14" t="s">
        <v>192</v>
      </c>
      <c r="G279" s="25" t="str">
        <f>HYPERLINK("https://telegram.me/piter_rogay/223831")</f>
      </c>
      <c r="H279" s="14" t="s">
        <v>193</v>
      </c>
      <c r="I279" s="14" t="s">
        <v>194</v>
      </c>
      <c r="J279" s="14" t="s">
        <v>1009</v>
      </c>
      <c r="K279" s="26" t="str">
        <f>HYPERLINK("https://telegram.me/bubunya_spb")</f>
      </c>
      <c r="L279" s="14" t="s">
        <v>173</v>
      </c>
      <c r="M279" s="14" t="s">
        <v>1010</v>
      </c>
      <c r="N279" s="25" t="str">
        <f>HYPERLINK("https://telegram.me/piter_rogay")</f>
      </c>
      <c r="O279" s="1" t="s">
        <v>186</v>
      </c>
      <c r="P279" s="1"/>
      <c r="Q279" s="1" t="n">
        <v>1476</v>
      </c>
      <c r="R279" s="1" t="n">
        <v>0</v>
      </c>
      <c r="S279" s="1"/>
      <c r="T279" s="1" t="n">
        <v>0</v>
      </c>
      <c r="U279" s="1" t="n">
        <v>0</v>
      </c>
      <c r="V279" s="1" t="n">
        <v>0</v>
      </c>
      <c r="W279" s="1"/>
      <c r="Y279" s="1" t="n">
        <v>1</v>
      </c>
      <c r="Z279" s="0" t="s">
        <v>175</v>
      </c>
      <c r="AA279" s="0" t="s">
        <v>187</v>
      </c>
      <c r="AH279" s="0" t="s">
        <v>180</v>
      </c>
      <c r="AJ279" s="0" t="s">
        <v>437</v>
      </c>
      <c r="AK279" s="0" t="s">
        <v>94</v>
      </c>
      <c r="AL279" s="0" t="s">
        <v>95</v>
      </c>
      <c r="AN279" s="0" t="s">
        <v>97</v>
      </c>
      <c r="AT279" s="0" t="s">
        <v>103</v>
      </c>
      <c r="BC279" s="0" t="s">
        <v>112</v>
      </c>
      <c r="BL279" s="0" t="s">
        <v>121</v>
      </c>
      <c r="BV279" s="0" t="s">
        <v>131</v>
      </c>
      <c r="BZ279" s="0" t="s">
        <v>135</v>
      </c>
    </row>
    <row r="280" ht="24.75">
      <c r="B280" s="0" t="s">
        <v>1011</v>
      </c>
      <c r="C280" s="1" t="n">
        <v>354119</v>
      </c>
      <c r="E280" s="14" t="s">
        <v>1012</v>
      </c>
      <c r="F280" s="14" t="s">
        <v>169</v>
      </c>
      <c r="G280" s="25" t="str">
        <f>HYPERLINK("http://www.ok.ru/profile/570266989430/statuses/156533708637046")</f>
      </c>
      <c r="H280" s="14" t="s">
        <v>170</v>
      </c>
      <c r="I280" s="14" t="s">
        <v>171</v>
      </c>
      <c r="J280" s="14" t="s">
        <v>1013</v>
      </c>
      <c r="K280" s="26" t="str">
        <f>HYPERLINK("http://www.ok.ru/profile/570266989430")</f>
      </c>
      <c r="L280" s="14" t="s">
        <v>173</v>
      </c>
      <c r="O280" s="1" t="s">
        <v>186</v>
      </c>
      <c r="P280" s="1" t="n">
        <v>77</v>
      </c>
      <c r="Q280" s="1" t="n">
        <v>367</v>
      </c>
      <c r="R280" s="1" t="n">
        <v>0</v>
      </c>
      <c r="S280" s="1"/>
      <c r="T280" s="1" t="n">
        <v>0</v>
      </c>
      <c r="U280" s="1" t="n">
        <v>0</v>
      </c>
      <c r="V280" s="1" t="n">
        <v>0</v>
      </c>
      <c r="W280" s="1"/>
      <c r="Y280" s="1" t="n">
        <v>4</v>
      </c>
      <c r="Z280" s="0" t="s">
        <v>175</v>
      </c>
      <c r="AA280" s="0" t="s">
        <v>187</v>
      </c>
      <c r="AC280" s="0" t="s">
        <v>177</v>
      </c>
      <c r="AD280" s="0" t="s">
        <v>513</v>
      </c>
      <c r="AE280" s="0" t="s">
        <v>778</v>
      </c>
      <c r="AH280" s="0" t="s">
        <v>180</v>
      </c>
      <c r="AJ280" s="0" t="s">
        <v>181</v>
      </c>
      <c r="AK280" s="0" t="s">
        <v>94</v>
      </c>
      <c r="AX280" s="0" t="s">
        <v>107</v>
      </c>
      <c r="BG280" s="0" t="s">
        <v>116</v>
      </c>
    </row>
    <row r="281" ht="276.75">
      <c r="B281" s="0" t="s">
        <v>1011</v>
      </c>
      <c r="C281" s="1" t="n">
        <v>353765</v>
      </c>
      <c r="E281" s="14" t="s">
        <v>1014</v>
      </c>
      <c r="F281" s="14" t="s">
        <v>184</v>
      </c>
      <c r="G281" s="25" t="str">
        <f>HYPERLINK("http://vk.com/wall-218081747_676")</f>
      </c>
      <c r="H281" s="14" t="s">
        <v>170</v>
      </c>
      <c r="I281" s="14" t="s">
        <v>194</v>
      </c>
      <c r="J281" s="14" t="s">
        <v>1015</v>
      </c>
      <c r="K281" s="26" t="str">
        <f>HYPERLINK("http://vk.com/club218081747")</f>
      </c>
      <c r="L281" s="14" t="s">
        <v>274</v>
      </c>
      <c r="O281" s="1"/>
      <c r="P281" s="1"/>
      <c r="Q281" s="1" t="n">
        <v>45</v>
      </c>
      <c r="R281" s="1" t="n">
        <v>0</v>
      </c>
      <c r="S281" s="1"/>
      <c r="T281" s="1" t="n">
        <v>0</v>
      </c>
      <c r="U281" s="1" t="n">
        <v>2</v>
      </c>
      <c r="V281" s="1" t="n">
        <v>2</v>
      </c>
      <c r="W281" s="1" t="n">
        <v>19</v>
      </c>
      <c r="Y281" s="1" t="n">
        <v>1</v>
      </c>
      <c r="Z281" s="0" t="s">
        <v>175</v>
      </c>
      <c r="AA281" s="0" t="s">
        <v>223</v>
      </c>
      <c r="AH281" s="0" t="s">
        <v>180</v>
      </c>
      <c r="AJ281" s="0" t="s">
        <v>437</v>
      </c>
      <c r="AK281" s="0" t="s">
        <v>94</v>
      </c>
      <c r="AM281" s="0" t="s">
        <v>96</v>
      </c>
      <c r="AO281" s="0" t="s">
        <v>98</v>
      </c>
      <c r="AP281" s="0" t="s">
        <v>99</v>
      </c>
      <c r="AQ281" s="0" t="s">
        <v>100</v>
      </c>
      <c r="AR281" s="0" t="s">
        <v>101</v>
      </c>
      <c r="AU281" s="0" t="s">
        <v>104</v>
      </c>
      <c r="AV281" s="0" t="s">
        <v>105</v>
      </c>
      <c r="AX281" s="0" t="s">
        <v>107</v>
      </c>
      <c r="BC281" s="0" t="s">
        <v>112</v>
      </c>
      <c r="BF281" s="0" t="s">
        <v>115</v>
      </c>
      <c r="BI281" s="0" t="s">
        <v>118</v>
      </c>
      <c r="BJ281" s="0" t="s">
        <v>119</v>
      </c>
      <c r="BP281" s="0" t="s">
        <v>125</v>
      </c>
      <c r="BR281" s="0" t="s">
        <v>127</v>
      </c>
      <c r="BW281" s="0" t="s">
        <v>132</v>
      </c>
      <c r="CA281" s="0" t="s">
        <v>136</v>
      </c>
      <c r="CI281" s="0" t="s">
        <v>144</v>
      </c>
      <c r="CO281" s="0" t="s">
        <v>150</v>
      </c>
      <c r="CR281" s="0" t="s">
        <v>153</v>
      </c>
    </row>
    <row r="282">
      <c r="B282" s="0" t="s">
        <v>1016</v>
      </c>
      <c r="C282" s="1" t="n">
        <v>353708</v>
      </c>
      <c r="E282" s="14" t="s">
        <v>1017</v>
      </c>
      <c r="F282" s="14" t="s">
        <v>184</v>
      </c>
      <c r="G282" s="25" t="str">
        <f>HYPERLINK("http://vk.com/wall-150337440_368111?reply=375097")</f>
      </c>
      <c r="H282" s="14" t="s">
        <v>170</v>
      </c>
      <c r="I282" s="14" t="s">
        <v>231</v>
      </c>
      <c r="J282" s="14" t="s">
        <v>789</v>
      </c>
      <c r="K282" s="26" t="str">
        <f>HYPERLINK("http://vk.com/id656608653")</f>
      </c>
      <c r="L282" s="14" t="s">
        <v>173</v>
      </c>
      <c r="M282" s="14" t="s">
        <v>1018</v>
      </c>
      <c r="N282" s="25" t="str">
        <f>HYPERLINK("http://vk.com/club150337440")</f>
      </c>
      <c r="O282" s="1" t="s">
        <v>186</v>
      </c>
      <c r="P282" s="1" t="n">
        <v>40</v>
      </c>
      <c r="Q282" s="1" t="n">
        <v>7943</v>
      </c>
      <c r="R282" s="1" t="n">
        <v>0</v>
      </c>
      <c r="S282" s="1"/>
      <c r="T282" s="1" t="n">
        <v>0</v>
      </c>
      <c r="U282" s="1" t="n">
        <v>0</v>
      </c>
      <c r="V282" s="1" t="n">
        <v>0</v>
      </c>
      <c r="W282" s="1"/>
      <c r="Y282" s="1" t="n">
        <v>1</v>
      </c>
      <c r="Z282" s="0" t="s">
        <v>175</v>
      </c>
      <c r="AA282" s="0" t="s">
        <v>187</v>
      </c>
      <c r="AH282" s="0" t="s">
        <v>180</v>
      </c>
      <c r="AJ282" s="0" t="s">
        <v>437</v>
      </c>
      <c r="AK282" s="0" t="s">
        <v>94</v>
      </c>
      <c r="AL282" s="0" t="s">
        <v>95</v>
      </c>
      <c r="AN282" s="0" t="s">
        <v>97</v>
      </c>
      <c r="AS282" s="0" t="s">
        <v>102</v>
      </c>
      <c r="BB282" s="0" t="s">
        <v>111</v>
      </c>
      <c r="BC282" s="0" t="s">
        <v>112</v>
      </c>
      <c r="BL282" s="0" t="s">
        <v>121</v>
      </c>
      <c r="BO282" s="0" t="s">
        <v>124</v>
      </c>
    </row>
    <row r="283">
      <c r="B283" s="0" t="s">
        <v>1016</v>
      </c>
      <c r="C283" s="1" t="n">
        <v>353697</v>
      </c>
      <c r="E283" s="14" t="s">
        <v>1019</v>
      </c>
      <c r="F283" s="14" t="s">
        <v>184</v>
      </c>
      <c r="G283" s="25" t="str">
        <f>HYPERLINK("http://vk.com/wall-155403177_56807?reply=57242&amp;thread=56809")</f>
      </c>
      <c r="H283" s="14" t="s">
        <v>170</v>
      </c>
      <c r="I283" s="14" t="s">
        <v>231</v>
      </c>
      <c r="J283" s="14" t="s">
        <v>928</v>
      </c>
      <c r="K283" s="26" t="str">
        <f>HYPERLINK("http://vk.com/id793700960")</f>
      </c>
      <c r="L283" s="14" t="s">
        <v>173</v>
      </c>
      <c r="M283" s="14" t="s">
        <v>740</v>
      </c>
      <c r="N283" s="25" t="str">
        <f>HYPERLINK("http://vk.com/club155403177")</f>
      </c>
      <c r="O283" s="1" t="s">
        <v>186</v>
      </c>
      <c r="P283" s="1" t="n">
        <v>26</v>
      </c>
      <c r="Q283" s="1" t="n">
        <v>95387</v>
      </c>
      <c r="R283" s="1" t="n">
        <v>0</v>
      </c>
      <c r="S283" s="1"/>
      <c r="T283" s="1" t="n">
        <v>0</v>
      </c>
      <c r="U283" s="1" t="n">
        <v>0</v>
      </c>
      <c r="V283" s="1" t="n">
        <v>0</v>
      </c>
      <c r="W283" s="1"/>
      <c r="Y283" s="1" t="n">
        <v>1</v>
      </c>
      <c r="Z283" s="0" t="s">
        <v>319</v>
      </c>
      <c r="AA283" s="0" t="s">
        <v>292</v>
      </c>
      <c r="AH283" s="0" t="s">
        <v>180</v>
      </c>
      <c r="AI283" s="0" t="s">
        <v>92</v>
      </c>
      <c r="AJ283" s="0" t="s">
        <v>437</v>
      </c>
      <c r="AK283" s="0" t="s">
        <v>94</v>
      </c>
      <c r="AR283" s="0" t="s">
        <v>101</v>
      </c>
      <c r="AY283" s="0" t="s">
        <v>108</v>
      </c>
      <c r="BP283" s="0" t="s">
        <v>125</v>
      </c>
    </row>
    <row r="284">
      <c r="B284" s="0" t="s">
        <v>1016</v>
      </c>
      <c r="C284" s="1" t="n">
        <v>354096</v>
      </c>
      <c r="D284" s="0" t="s">
        <v>1020</v>
      </c>
      <c r="E284" s="14" t="s">
        <v>1021</v>
      </c>
      <c r="F284" s="14" t="s">
        <v>263</v>
      </c>
      <c r="G284" s="25" t="str">
        <f>HYPERLINK("https://www.baby.ru/blogs/post/2611546837-484832450/")</f>
      </c>
      <c r="H284" s="14" t="s">
        <v>264</v>
      </c>
      <c r="I284" s="14" t="s">
        <v>231</v>
      </c>
      <c r="J284" s="14" t="s">
        <v>1022</v>
      </c>
      <c r="K284" s="26" t="str">
        <f>HYPERLINK("https://www.baby.ru/u/usr1598110/")</f>
      </c>
      <c r="L284" s="14"/>
      <c r="O284" s="1"/>
      <c r="P284" s="1"/>
      <c r="Q284" s="1"/>
      <c r="R284" s="1" t="n">
        <v>0</v>
      </c>
      <c r="S284" s="1"/>
      <c r="T284" s="1" t="n">
        <v>0</v>
      </c>
      <c r="U284" s="1" t="n">
        <v>0</v>
      </c>
      <c r="V284" s="1" t="n">
        <v>0</v>
      </c>
      <c r="W284" s="1"/>
      <c r="Y284" s="1" t="n">
        <v>1</v>
      </c>
      <c r="Z284" s="0" t="s">
        <v>175</v>
      </c>
      <c r="AA284" s="0" t="s">
        <v>187</v>
      </c>
      <c r="AC284" s="0" t="s">
        <v>177</v>
      </c>
      <c r="AD284" s="0" t="s">
        <v>1023</v>
      </c>
      <c r="AE284" s="0" t="s">
        <v>1024</v>
      </c>
      <c r="AH284" s="0" t="s">
        <v>180</v>
      </c>
      <c r="AI284" s="0" t="s">
        <v>92</v>
      </c>
      <c r="AJ284" s="0" t="s">
        <v>181</v>
      </c>
      <c r="AN284" s="0" t="s">
        <v>97</v>
      </c>
      <c r="BE284" s="0" t="s">
        <v>114</v>
      </c>
    </row>
    <row r="285" ht="24.75">
      <c r="B285" s="0" t="s">
        <v>1025</v>
      </c>
      <c r="C285" s="1" t="n">
        <v>353726</v>
      </c>
      <c r="E285" s="14" t="s">
        <v>1026</v>
      </c>
      <c r="F285" s="14" t="s">
        <v>184</v>
      </c>
      <c r="G285" s="25" t="str">
        <f>HYPERLINK("http://vk.com/wall-36456996_616209?reply=616301&amp;thread=616247")</f>
      </c>
      <c r="H285" s="14" t="s">
        <v>170</v>
      </c>
      <c r="I285" s="14" t="s">
        <v>231</v>
      </c>
      <c r="J285" s="14" t="s">
        <v>879</v>
      </c>
      <c r="K285" s="26" t="str">
        <f>HYPERLINK("http://vk.com/id439912924")</f>
      </c>
      <c r="L285" s="14" t="s">
        <v>173</v>
      </c>
      <c r="M285" s="14" t="s">
        <v>880</v>
      </c>
      <c r="N285" s="25" t="str">
        <f>HYPERLINK("http://vk.com/club36456996")</f>
      </c>
      <c r="O285" s="1" t="s">
        <v>186</v>
      </c>
      <c r="P285" s="1"/>
      <c r="Q285" s="1" t="n">
        <v>234186</v>
      </c>
      <c r="R285" s="1" t="n">
        <v>0</v>
      </c>
      <c r="S285" s="1"/>
      <c r="T285" s="1" t="n">
        <v>0</v>
      </c>
      <c r="U285" s="1" t="n">
        <v>0</v>
      </c>
      <c r="V285" s="1" t="n">
        <v>0</v>
      </c>
      <c r="W285" s="1"/>
      <c r="Y285" s="1" t="n">
        <v>1</v>
      </c>
      <c r="Z285" s="0" t="s">
        <v>175</v>
      </c>
      <c r="AA285" s="0" t="s">
        <v>187</v>
      </c>
      <c r="AC285" s="0" t="s">
        <v>177</v>
      </c>
      <c r="AD285" s="0" t="s">
        <v>881</v>
      </c>
      <c r="AE285" s="0" t="s">
        <v>882</v>
      </c>
      <c r="AH285" s="0" t="s">
        <v>180</v>
      </c>
      <c r="AI285" s="0" t="s">
        <v>92</v>
      </c>
      <c r="AJ285" s="0" t="s">
        <v>437</v>
      </c>
      <c r="AK285" s="0" t="s">
        <v>94</v>
      </c>
      <c r="AL285" s="0" t="s">
        <v>95</v>
      </c>
      <c r="AN285" s="0" t="s">
        <v>97</v>
      </c>
      <c r="AS285" s="0" t="s">
        <v>102</v>
      </c>
      <c r="BC285" s="0" t="s">
        <v>112</v>
      </c>
    </row>
    <row r="286">
      <c r="B286" s="0" t="s">
        <v>1027</v>
      </c>
      <c r="C286" s="1" t="n">
        <v>353720</v>
      </c>
      <c r="E286" s="14" t="s">
        <v>1028</v>
      </c>
      <c r="F286" s="14" t="s">
        <v>192</v>
      </c>
      <c r="G286" s="25" t="str">
        <f>HYPERLINK("https://telegram.me/kanzlerdaddy/6336?comment=245875")</f>
      </c>
      <c r="H286" s="14" t="s">
        <v>193</v>
      </c>
      <c r="I286" s="14" t="s">
        <v>231</v>
      </c>
      <c r="J286" s="14" t="s">
        <v>875</v>
      </c>
      <c r="K286" s="26" t="str">
        <f>HYPERLINK("https://telegram.me/")</f>
      </c>
      <c r="L286" s="14" t="s">
        <v>173</v>
      </c>
      <c r="M286" s="14" t="s">
        <v>876</v>
      </c>
      <c r="N286" s="25" t="str">
        <f>HYPERLINK("https://telegram.me/kanzlerdaddy")</f>
      </c>
      <c r="O286" s="1" t="s">
        <v>174</v>
      </c>
      <c r="P286" s="1"/>
      <c r="Q286" s="1" t="n">
        <v>55923</v>
      </c>
      <c r="R286" s="1" t="n">
        <v>0</v>
      </c>
      <c r="S286" s="1"/>
      <c r="T286" s="1" t="n">
        <v>0</v>
      </c>
      <c r="U286" s="1" t="n">
        <v>0</v>
      </c>
      <c r="V286" s="1" t="n">
        <v>0</v>
      </c>
      <c r="W286" s="1"/>
      <c r="Y286" s="1" t="n">
        <v>1</v>
      </c>
      <c r="Z286" s="0" t="s">
        <v>463</v>
      </c>
      <c r="AA286" s="0" t="s">
        <v>187</v>
      </c>
      <c r="AH286" s="0" t="s">
        <v>180</v>
      </c>
      <c r="AJ286" s="0" t="s">
        <v>437</v>
      </c>
      <c r="AK286" s="0" t="s">
        <v>94</v>
      </c>
      <c r="AL286" s="0" t="s">
        <v>95</v>
      </c>
      <c r="AN286" s="0" t="s">
        <v>97</v>
      </c>
      <c r="AT286" s="0" t="s">
        <v>103</v>
      </c>
      <c r="BE286" s="0" t="s">
        <v>114</v>
      </c>
      <c r="BH286" s="0" t="s">
        <v>117</v>
      </c>
      <c r="CM286" s="0" t="s">
        <v>148</v>
      </c>
    </row>
    <row r="287" ht="36.75">
      <c r="B287" s="0" t="s">
        <v>1027</v>
      </c>
      <c r="C287" s="1" t="n">
        <v>353687</v>
      </c>
      <c r="E287" s="14" t="s">
        <v>202</v>
      </c>
      <c r="F287" s="14" t="s">
        <v>184</v>
      </c>
      <c r="G287" s="25" t="str">
        <f>HYPERLINK("http://vk.com/wall224498134_8884")</f>
      </c>
      <c r="H287" s="14" t="s">
        <v>170</v>
      </c>
      <c r="I287" s="14" t="s">
        <v>171</v>
      </c>
      <c r="J287" s="14" t="s">
        <v>1029</v>
      </c>
      <c r="K287" s="26" t="str">
        <f>HYPERLINK("http://vk.com/id224498134")</f>
      </c>
      <c r="L287" s="14" t="s">
        <v>173</v>
      </c>
      <c r="O287" s="1" t="s">
        <v>186</v>
      </c>
      <c r="P287" s="1"/>
      <c r="Q287" s="1" t="n">
        <v>45</v>
      </c>
      <c r="R287" s="1" t="n">
        <v>0</v>
      </c>
      <c r="S287" s="1"/>
      <c r="T287" s="1" t="n">
        <v>0</v>
      </c>
      <c r="U287" s="1" t="n">
        <v>0</v>
      </c>
      <c r="V287" s="1" t="n">
        <v>0</v>
      </c>
      <c r="W287" s="1"/>
      <c r="Y287" s="1" t="n">
        <v>60</v>
      </c>
      <c r="Z287" s="0" t="s">
        <v>175</v>
      </c>
      <c r="AA287" s="0" t="s">
        <v>176</v>
      </c>
      <c r="AC287" s="0" t="s">
        <v>177</v>
      </c>
      <c r="AD287" s="0" t="s">
        <v>332</v>
      </c>
      <c r="AE287" s="0" t="s">
        <v>332</v>
      </c>
      <c r="AH287" s="0" t="s">
        <v>180</v>
      </c>
      <c r="AJ287" s="0" t="s">
        <v>437</v>
      </c>
      <c r="AK287" s="0" t="s">
        <v>94</v>
      </c>
      <c r="AM287" s="0" t="s">
        <v>96</v>
      </c>
      <c r="AO287" s="0" t="s">
        <v>98</v>
      </c>
      <c r="AP287" s="0" t="s">
        <v>99</v>
      </c>
      <c r="AQ287" s="0" t="s">
        <v>100</v>
      </c>
    </row>
    <row r="288">
      <c r="B288" s="0" t="s">
        <v>1030</v>
      </c>
      <c r="C288" s="1" t="n">
        <v>353677</v>
      </c>
      <c r="E288" s="14" t="s">
        <v>1031</v>
      </c>
      <c r="F288" s="14" t="s">
        <v>184</v>
      </c>
      <c r="G288" s="25" t="str">
        <f>HYPERLINK("http://vk.com/wall-164460003_1863466?reply=1866447&amp;thread=1864239")</f>
      </c>
      <c r="H288" s="14" t="s">
        <v>170</v>
      </c>
      <c r="I288" s="14" t="s">
        <v>231</v>
      </c>
      <c r="J288" s="14" t="s">
        <v>789</v>
      </c>
      <c r="K288" s="26" t="str">
        <f>HYPERLINK("http://vk.com/id656608653")</f>
      </c>
      <c r="L288" s="14" t="s">
        <v>173</v>
      </c>
      <c r="M288" s="14" t="s">
        <v>1032</v>
      </c>
      <c r="N288" s="25" t="str">
        <f>HYPERLINK("http://vk.com/club164460003")</f>
      </c>
      <c r="O288" s="1" t="s">
        <v>186</v>
      </c>
      <c r="P288" s="1" t="n">
        <v>40</v>
      </c>
      <c r="Q288" s="1" t="n">
        <v>126031</v>
      </c>
      <c r="R288" s="1" t="n">
        <v>0</v>
      </c>
      <c r="S288" s="1"/>
      <c r="T288" s="1" t="n">
        <v>0</v>
      </c>
      <c r="U288" s="1" t="n">
        <v>0</v>
      </c>
      <c r="V288" s="1" t="n">
        <v>0</v>
      </c>
      <c r="W288" s="1"/>
      <c r="Y288" s="1" t="n">
        <v>1</v>
      </c>
      <c r="Z288" s="0" t="s">
        <v>463</v>
      </c>
      <c r="AA288" s="0" t="s">
        <v>292</v>
      </c>
      <c r="AH288" s="0" t="s">
        <v>180</v>
      </c>
      <c r="AI288" s="0" t="s">
        <v>92</v>
      </c>
      <c r="AJ288" s="0" t="s">
        <v>437</v>
      </c>
      <c r="AK288" s="0" t="s">
        <v>94</v>
      </c>
      <c r="AO288" s="0" t="s">
        <v>98</v>
      </c>
      <c r="AP288" s="0" t="s">
        <v>99</v>
      </c>
      <c r="AY288" s="0" t="s">
        <v>108</v>
      </c>
      <c r="BC288" s="0" t="s">
        <v>112</v>
      </c>
      <c r="CG288" s="0" t="s">
        <v>142</v>
      </c>
    </row>
    <row r="289">
      <c r="B289" s="0" t="s">
        <v>1033</v>
      </c>
      <c r="C289" s="1" t="n">
        <v>353833</v>
      </c>
      <c r="D289" s="0" t="s">
        <v>1034</v>
      </c>
      <c r="E289" s="14" t="s">
        <v>1035</v>
      </c>
      <c r="F289" s="14" t="s">
        <v>263</v>
      </c>
      <c r="G289" s="25" t="str">
        <f>HYPERLINK("https://www.baby.ru/blogs/post/2611463403-520375476/")</f>
      </c>
      <c r="H289" s="14" t="s">
        <v>264</v>
      </c>
      <c r="I289" s="14" t="s">
        <v>231</v>
      </c>
      <c r="J289" s="14" t="s">
        <v>1036</v>
      </c>
      <c r="K289" s="26" t="str">
        <f>HYPERLINK("https://www.baby.ru/u/usr2510420/")</f>
      </c>
      <c r="L289" s="14"/>
      <c r="M289" s="14" t="s">
        <v>353</v>
      </c>
      <c r="N289" s="25" t="str">
        <f>HYPERLINK("https://www.baby.ru/u/usr1132236/")</f>
      </c>
      <c r="O289" s="1"/>
      <c r="P289" s="1"/>
      <c r="Q289" s="1"/>
      <c r="R289" s="1" t="n">
        <v>0</v>
      </c>
      <c r="S289" s="1"/>
      <c r="T289" s="1" t="n">
        <v>0</v>
      </c>
      <c r="U289" s="1" t="n">
        <v>0</v>
      </c>
      <c r="V289" s="1" t="n">
        <v>0</v>
      </c>
      <c r="W289" s="1"/>
      <c r="Y289" s="1" t="n">
        <v>1</v>
      </c>
      <c r="Z289" s="0" t="s">
        <v>319</v>
      </c>
      <c r="AA289" s="0" t="s">
        <v>187</v>
      </c>
      <c r="AH289" s="0" t="s">
        <v>180</v>
      </c>
      <c r="AI289" s="0" t="s">
        <v>92</v>
      </c>
      <c r="AJ289" s="0" t="s">
        <v>437</v>
      </c>
      <c r="AK289" s="0" t="s">
        <v>94</v>
      </c>
      <c r="AL289" s="0" t="s">
        <v>95</v>
      </c>
      <c r="AN289" s="0" t="s">
        <v>97</v>
      </c>
      <c r="AS289" s="0" t="s">
        <v>102</v>
      </c>
      <c r="AV289" s="0" t="s">
        <v>105</v>
      </c>
      <c r="BG289" s="0" t="s">
        <v>116</v>
      </c>
    </row>
    <row r="290">
      <c r="B290" s="0" t="s">
        <v>1033</v>
      </c>
      <c r="C290" s="1" t="n">
        <v>353678</v>
      </c>
      <c r="E290" s="14" t="s">
        <v>1037</v>
      </c>
      <c r="F290" s="14" t="s">
        <v>184</v>
      </c>
      <c r="G290" s="25" t="str">
        <f>HYPERLINK("http://vk.com/wall-136860886_525859?reply=525962")</f>
      </c>
      <c r="H290" s="14" t="s">
        <v>170</v>
      </c>
      <c r="I290" s="14" t="s">
        <v>231</v>
      </c>
      <c r="J290" s="14" t="s">
        <v>1038</v>
      </c>
      <c r="K290" s="26" t="str">
        <f>HYPERLINK("http://vk.com/id5843691")</f>
      </c>
      <c r="L290" s="14" t="s">
        <v>173</v>
      </c>
      <c r="M290" s="14" t="s">
        <v>583</v>
      </c>
      <c r="N290" s="25" t="str">
        <f>HYPERLINK("http://vk.com/club136860886")</f>
      </c>
      <c r="O290" s="1" t="s">
        <v>186</v>
      </c>
      <c r="P290" s="1"/>
      <c r="Q290" s="1" t="n">
        <v>52245</v>
      </c>
      <c r="R290" s="1" t="n">
        <v>0</v>
      </c>
      <c r="S290" s="1"/>
      <c r="T290" s="1" t="n">
        <v>0</v>
      </c>
      <c r="U290" s="1" t="n">
        <v>0</v>
      </c>
      <c r="V290" s="1" t="n">
        <v>0</v>
      </c>
      <c r="W290" s="1"/>
      <c r="Y290" s="1" t="n">
        <v>1</v>
      </c>
      <c r="Z290" s="0" t="s">
        <v>175</v>
      </c>
      <c r="AA290" s="0" t="s">
        <v>187</v>
      </c>
      <c r="AC290" s="0" t="s">
        <v>177</v>
      </c>
      <c r="AD290" s="0" t="s">
        <v>332</v>
      </c>
      <c r="AE290" s="0" t="s">
        <v>332</v>
      </c>
      <c r="AH290" s="0" t="s">
        <v>180</v>
      </c>
      <c r="AJ290" s="0" t="s">
        <v>437</v>
      </c>
      <c r="AK290" s="0" t="s">
        <v>94</v>
      </c>
      <c r="AN290" s="0" t="s">
        <v>97</v>
      </c>
      <c r="AP290" s="0" t="s">
        <v>99</v>
      </c>
      <c r="AW290" s="0" t="s">
        <v>106</v>
      </c>
      <c r="BE290" s="0" t="s">
        <v>114</v>
      </c>
      <c r="BH290" s="0" t="s">
        <v>117</v>
      </c>
      <c r="BL290" s="0" t="s">
        <v>121</v>
      </c>
      <c r="BZ290" s="0" t="s">
        <v>135</v>
      </c>
    </row>
    <row r="291" ht="852.75">
      <c r="B291" s="0" t="s">
        <v>1039</v>
      </c>
      <c r="C291" s="1" t="n">
        <v>353684</v>
      </c>
      <c r="E291" s="14" t="s">
        <v>1040</v>
      </c>
      <c r="F291" s="14" t="s">
        <v>184</v>
      </c>
      <c r="G291" s="25" t="str">
        <f>HYPERLINK("http://vk.com/wall318168610_57494")</f>
      </c>
      <c r="H291" s="14" t="s">
        <v>170</v>
      </c>
      <c r="I291" s="14" t="s">
        <v>194</v>
      </c>
      <c r="J291" s="14" t="s">
        <v>1041</v>
      </c>
      <c r="K291" s="26" t="str">
        <f>HYPERLINK("http://vk.com/id318168610")</f>
      </c>
      <c r="L291" s="14" t="s">
        <v>173</v>
      </c>
      <c r="O291" s="1" t="s">
        <v>186</v>
      </c>
      <c r="P291" s="1"/>
      <c r="Q291" s="1" t="n">
        <v>928</v>
      </c>
      <c r="R291" s="1" t="n">
        <v>0</v>
      </c>
      <c r="S291" s="1"/>
      <c r="T291" s="1" t="n">
        <v>0</v>
      </c>
      <c r="U291" s="1" t="n">
        <v>0</v>
      </c>
      <c r="V291" s="1" t="n">
        <v>0</v>
      </c>
      <c r="W291" s="1" t="n">
        <v>8</v>
      </c>
      <c r="Y291" s="1" t="n">
        <v>1</v>
      </c>
      <c r="Z291" s="0" t="s">
        <v>175</v>
      </c>
      <c r="AA291" s="0" t="s">
        <v>176</v>
      </c>
      <c r="AC291" s="0" t="s">
        <v>177</v>
      </c>
      <c r="AD291" s="0" t="s">
        <v>332</v>
      </c>
      <c r="AE291" s="0" t="s">
        <v>332</v>
      </c>
      <c r="AH291" s="0" t="s">
        <v>180</v>
      </c>
      <c r="AJ291" s="0" t="s">
        <v>437</v>
      </c>
      <c r="AK291" s="0" t="s">
        <v>94</v>
      </c>
      <c r="AL291" s="0" t="s">
        <v>95</v>
      </c>
      <c r="AR291" s="0" t="s">
        <v>101</v>
      </c>
      <c r="BA291" s="0" t="s">
        <v>110</v>
      </c>
      <c r="BF291" s="0" t="s">
        <v>115</v>
      </c>
    </row>
    <row r="292" ht="36.75">
      <c r="B292" s="0" t="s">
        <v>1042</v>
      </c>
      <c r="C292" s="1" t="n">
        <v>353675</v>
      </c>
      <c r="E292" s="14" t="s">
        <v>202</v>
      </c>
      <c r="F292" s="14" t="s">
        <v>184</v>
      </c>
      <c r="G292" s="25" t="str">
        <f>HYPERLINK("http://vk.com/wall301245570_2225")</f>
      </c>
      <c r="H292" s="14" t="s">
        <v>170</v>
      </c>
      <c r="I292" s="14" t="s">
        <v>171</v>
      </c>
      <c r="J292" s="14" t="s">
        <v>1043</v>
      </c>
      <c r="K292" s="26" t="str">
        <f>HYPERLINK("http://vk.com/id301245570")</f>
      </c>
      <c r="L292" s="14" t="s">
        <v>173</v>
      </c>
      <c r="O292" s="1" t="s">
        <v>186</v>
      </c>
      <c r="P292" s="1"/>
      <c r="Q292" s="1" t="n">
        <v>209</v>
      </c>
      <c r="R292" s="1" t="n">
        <v>0</v>
      </c>
      <c r="S292" s="1"/>
      <c r="T292" s="1" t="n">
        <v>0</v>
      </c>
      <c r="U292" s="1" t="n">
        <v>0</v>
      </c>
      <c r="V292" s="1" t="n">
        <v>0</v>
      </c>
      <c r="W292" s="1" t="n">
        <v>1</v>
      </c>
      <c r="Y292" s="1" t="n">
        <v>60</v>
      </c>
      <c r="Z292" s="0" t="s">
        <v>175</v>
      </c>
      <c r="AA292" s="0" t="s">
        <v>176</v>
      </c>
      <c r="AH292" s="0" t="s">
        <v>180</v>
      </c>
      <c r="AJ292" s="0" t="s">
        <v>437</v>
      </c>
      <c r="AK292" s="0" t="s">
        <v>94</v>
      </c>
      <c r="AM292" s="0" t="s">
        <v>96</v>
      </c>
      <c r="AO292" s="0" t="s">
        <v>98</v>
      </c>
      <c r="AP292" s="0" t="s">
        <v>99</v>
      </c>
      <c r="AQ292" s="0" t="s">
        <v>100</v>
      </c>
    </row>
    <row r="293" ht="1200.75">
      <c r="B293" s="0" t="s">
        <v>1044</v>
      </c>
      <c r="C293" s="1" t="n">
        <v>353671</v>
      </c>
      <c r="E293" s="14" t="s">
        <v>1045</v>
      </c>
      <c r="F293" s="14" t="s">
        <v>184</v>
      </c>
      <c r="G293" s="25" t="str">
        <f>HYPERLINK("http://vk.com/wall456851554_86349")</f>
      </c>
      <c r="H293" s="14" t="s">
        <v>170</v>
      </c>
      <c r="I293" s="14" t="s">
        <v>171</v>
      </c>
      <c r="J293" s="14" t="s">
        <v>1046</v>
      </c>
      <c r="K293" s="26" t="str">
        <f>HYPERLINK("http://vk.com/id456851554")</f>
      </c>
      <c r="L293" s="14" t="s">
        <v>173</v>
      </c>
      <c r="O293" s="1" t="s">
        <v>186</v>
      </c>
      <c r="P293" s="1"/>
      <c r="Q293" s="1" t="n">
        <v>1631</v>
      </c>
      <c r="R293" s="1" t="n">
        <v>0</v>
      </c>
      <c r="S293" s="1"/>
      <c r="T293" s="1" t="n">
        <v>0</v>
      </c>
      <c r="U293" s="1" t="n">
        <v>0</v>
      </c>
      <c r="V293" s="1" t="n">
        <v>0</v>
      </c>
      <c r="W293" s="1" t="n">
        <v>2</v>
      </c>
      <c r="Y293" s="1" t="n">
        <v>1</v>
      </c>
      <c r="Z293" s="0" t="s">
        <v>175</v>
      </c>
      <c r="AA293" s="0" t="s">
        <v>176</v>
      </c>
      <c r="AC293" s="0" t="s">
        <v>177</v>
      </c>
      <c r="AD293" s="0" t="s">
        <v>1002</v>
      </c>
      <c r="AE293" s="0" t="s">
        <v>1002</v>
      </c>
      <c r="AH293" s="0" t="s">
        <v>180</v>
      </c>
      <c r="AJ293" s="0" t="s">
        <v>437</v>
      </c>
      <c r="AK293" s="0" t="s">
        <v>94</v>
      </c>
      <c r="AM293" s="0" t="s">
        <v>96</v>
      </c>
      <c r="AO293" s="0" t="s">
        <v>98</v>
      </c>
      <c r="AP293" s="0" t="s">
        <v>99</v>
      </c>
      <c r="AQ293" s="0" t="s">
        <v>100</v>
      </c>
      <c r="AR293" s="0" t="s">
        <v>101</v>
      </c>
    </row>
    <row r="294" ht="24.75">
      <c r="B294" s="0" t="s">
        <v>1044</v>
      </c>
      <c r="C294" s="1" t="n">
        <v>353673</v>
      </c>
      <c r="E294" s="14" t="s">
        <v>296</v>
      </c>
      <c r="F294" s="14" t="s">
        <v>184</v>
      </c>
      <c r="G294" s="25" t="str">
        <f>HYPERLINK("http://vk.com/wall573382094_1156")</f>
      </c>
      <c r="H294" s="14" t="s">
        <v>170</v>
      </c>
      <c r="I294" s="14" t="s">
        <v>171</v>
      </c>
      <c r="J294" s="14" t="s">
        <v>1047</v>
      </c>
      <c r="K294" s="26" t="str">
        <f>HYPERLINK("http://vk.com/id573382094")</f>
      </c>
      <c r="L294" s="14" t="s">
        <v>173</v>
      </c>
      <c r="O294" s="1" t="s">
        <v>186</v>
      </c>
      <c r="P294" s="1" t="n">
        <v>66</v>
      </c>
      <c r="Q294" s="1" t="n">
        <v>1</v>
      </c>
      <c r="R294" s="1" t="n">
        <v>0</v>
      </c>
      <c r="S294" s="1"/>
      <c r="T294" s="1" t="n">
        <v>0</v>
      </c>
      <c r="U294" s="1" t="n">
        <v>0</v>
      </c>
      <c r="V294" s="1" t="n">
        <v>0</v>
      </c>
      <c r="W294" s="1"/>
      <c r="Y294" s="1" t="n">
        <v>92</v>
      </c>
      <c r="Z294" s="0" t="s">
        <v>175</v>
      </c>
      <c r="AA294" s="0" t="s">
        <v>187</v>
      </c>
      <c r="AC294" s="0" t="s">
        <v>177</v>
      </c>
      <c r="AD294" s="0" t="s">
        <v>392</v>
      </c>
      <c r="AE294" s="0" t="s">
        <v>1048</v>
      </c>
      <c r="AH294" s="0" t="s">
        <v>180</v>
      </c>
      <c r="AJ294" s="0" t="s">
        <v>437</v>
      </c>
      <c r="AK294" s="0" t="s">
        <v>94</v>
      </c>
      <c r="AM294" s="0" t="s">
        <v>96</v>
      </c>
      <c r="AP294" s="0" t="s">
        <v>99</v>
      </c>
      <c r="AU294" s="0" t="s">
        <v>104</v>
      </c>
      <c r="AV294" s="0" t="s">
        <v>105</v>
      </c>
    </row>
    <row r="295" ht="96.75">
      <c r="B295" s="0" t="s">
        <v>1044</v>
      </c>
      <c r="C295" s="1" t="n">
        <v>354141</v>
      </c>
      <c r="E295" s="14" t="s">
        <v>1049</v>
      </c>
      <c r="F295" s="14" t="s">
        <v>169</v>
      </c>
      <c r="G295" s="25" t="str">
        <f>HYPERLINK("http://www.ok.ru/profile/574032874654/statuses/155309092810142")</f>
      </c>
      <c r="H295" s="14" t="s">
        <v>170</v>
      </c>
      <c r="I295" s="14" t="s">
        <v>171</v>
      </c>
      <c r="J295" s="14" t="s">
        <v>1050</v>
      </c>
      <c r="K295" s="26" t="str">
        <f>HYPERLINK("http://www.ok.ru/profile/574032874654")</f>
      </c>
      <c r="L295" s="14" t="s">
        <v>173</v>
      </c>
      <c r="O295" s="1" t="s">
        <v>186</v>
      </c>
      <c r="P295" s="1" t="n">
        <v>65</v>
      </c>
      <c r="Q295" s="1" t="n">
        <v>382</v>
      </c>
      <c r="R295" s="1" t="n">
        <v>0</v>
      </c>
      <c r="S295" s="1"/>
      <c r="T295" s="1" t="n">
        <v>0</v>
      </c>
      <c r="U295" s="1" t="n">
        <v>0</v>
      </c>
      <c r="V295" s="1" t="n">
        <v>0</v>
      </c>
      <c r="W295" s="1"/>
      <c r="Y295" s="1" t="n">
        <v>6</v>
      </c>
      <c r="Z295" s="0" t="s">
        <v>175</v>
      </c>
      <c r="AA295" s="0" t="s">
        <v>187</v>
      </c>
      <c r="AC295" s="0" t="s">
        <v>177</v>
      </c>
      <c r="AD295" s="0" t="s">
        <v>1051</v>
      </c>
      <c r="AE295" s="0" t="s">
        <v>1052</v>
      </c>
      <c r="AH295" s="0" t="s">
        <v>180</v>
      </c>
      <c r="AJ295" s="0" t="s">
        <v>181</v>
      </c>
      <c r="AK295" s="0" t="s">
        <v>94</v>
      </c>
      <c r="AN295" s="0" t="s">
        <v>97</v>
      </c>
      <c r="AW295" s="0" t="s">
        <v>106</v>
      </c>
      <c r="BE295" s="0" t="s">
        <v>114</v>
      </c>
      <c r="BJ295" s="0" t="s">
        <v>119</v>
      </c>
    </row>
    <row r="296" ht="36.75">
      <c r="B296" s="0" t="s">
        <v>1053</v>
      </c>
      <c r="C296" s="1" t="n">
        <v>354111</v>
      </c>
      <c r="E296" s="14" t="s">
        <v>1054</v>
      </c>
      <c r="F296" s="14" t="s">
        <v>169</v>
      </c>
      <c r="G296" s="25" t="str">
        <f>HYPERLINK("http://www.ok.ru/group/61119749750937/topic/155618952061081")</f>
      </c>
      <c r="H296" s="14" t="s">
        <v>170</v>
      </c>
      <c r="I296" s="14" t="s">
        <v>194</v>
      </c>
      <c r="J296" s="14" t="s">
        <v>1055</v>
      </c>
      <c r="K296" s="26" t="str">
        <f>HYPERLINK("http://www.ok.ru/group/61119749750937")</f>
      </c>
      <c r="L296" s="14" t="s">
        <v>274</v>
      </c>
      <c r="O296" s="1"/>
      <c r="P296" s="1"/>
      <c r="Q296" s="1" t="n">
        <v>22706</v>
      </c>
      <c r="R296" s="1" t="n">
        <v>0</v>
      </c>
      <c r="S296" s="1"/>
      <c r="T296" s="1" t="n">
        <v>0</v>
      </c>
      <c r="U296" s="1" t="n">
        <v>0</v>
      </c>
      <c r="V296" s="1" t="n">
        <v>0</v>
      </c>
      <c r="W296" s="1"/>
      <c r="Y296" s="1" t="n">
        <v>1</v>
      </c>
      <c r="Z296" s="0" t="s">
        <v>175</v>
      </c>
      <c r="AA296" s="0" t="s">
        <v>187</v>
      </c>
      <c r="AH296" s="0" t="s">
        <v>180</v>
      </c>
      <c r="AJ296" s="0" t="s">
        <v>181</v>
      </c>
      <c r="AK296" s="0" t="s">
        <v>94</v>
      </c>
      <c r="AM296" s="0" t="s">
        <v>96</v>
      </c>
      <c r="AX296" s="0" t="s">
        <v>107</v>
      </c>
    </row>
    <row r="297" ht="1164.75">
      <c r="B297" s="0" t="s">
        <v>1056</v>
      </c>
      <c r="C297" s="1" t="n">
        <v>353669</v>
      </c>
      <c r="E297" s="14" t="s">
        <v>269</v>
      </c>
      <c r="F297" s="14" t="s">
        <v>184</v>
      </c>
      <c r="G297" s="25" t="str">
        <f>HYPERLINK("http://vk.com/wall230177339_2932")</f>
      </c>
      <c r="H297" s="14" t="s">
        <v>170</v>
      </c>
      <c r="I297" s="14" t="s">
        <v>171</v>
      </c>
      <c r="J297" s="14" t="s">
        <v>1057</v>
      </c>
      <c r="K297" s="26" t="str">
        <f>HYPERLINK("http://vk.com/id230177339")</f>
      </c>
      <c r="L297" s="14" t="s">
        <v>173</v>
      </c>
      <c r="O297" s="1" t="s">
        <v>186</v>
      </c>
      <c r="P297" s="1"/>
      <c r="Q297" s="1" t="n">
        <v>259</v>
      </c>
      <c r="R297" s="1" t="n">
        <v>0</v>
      </c>
      <c r="S297" s="1"/>
      <c r="T297" s="1" t="n">
        <v>0</v>
      </c>
      <c r="U297" s="1" t="n">
        <v>0</v>
      </c>
      <c r="V297" s="1" t="n">
        <v>0</v>
      </c>
      <c r="W297" s="1" t="n">
        <v>1</v>
      </c>
      <c r="Y297" s="1" t="n">
        <v>24</v>
      </c>
      <c r="Z297" s="0" t="s">
        <v>175</v>
      </c>
      <c r="AA297" s="0" t="s">
        <v>187</v>
      </c>
      <c r="AC297" s="0" t="s">
        <v>177</v>
      </c>
      <c r="AD297" s="0" t="s">
        <v>1058</v>
      </c>
      <c r="AE297" s="0" t="s">
        <v>1059</v>
      </c>
      <c r="AH297" s="0" t="s">
        <v>180</v>
      </c>
      <c r="AJ297" s="0" t="s">
        <v>437</v>
      </c>
      <c r="AK297" s="0" t="s">
        <v>94</v>
      </c>
      <c r="AM297" s="0" t="s">
        <v>96</v>
      </c>
      <c r="AP297" s="0" t="s">
        <v>99</v>
      </c>
      <c r="AX297" s="0" t="s">
        <v>107</v>
      </c>
    </row>
    <row r="298" ht="96.75">
      <c r="B298" s="0" t="s">
        <v>1056</v>
      </c>
      <c r="C298" s="1" t="n">
        <v>353711</v>
      </c>
      <c r="D298" s="0" t="s">
        <v>1060</v>
      </c>
      <c r="E298" s="14" t="s">
        <v>1061</v>
      </c>
      <c r="F298" s="14" t="s">
        <v>1062</v>
      </c>
      <c r="G298" s="25" t="str">
        <f>HYPERLINK("http://medicmap.ru/news/1704-v-omske-podskochili-ceny-na-lekarstva-iz-spiska-zhiznenno-neobhodimyh.html")</f>
      </c>
      <c r="H298" s="14" t="s">
        <v>208</v>
      </c>
      <c r="I298" s="14" t="s">
        <v>194</v>
      </c>
      <c r="J298" s="14"/>
      <c r="L298" s="14"/>
      <c r="O298" s="1"/>
      <c r="P298" s="1"/>
      <c r="Q298" s="1"/>
      <c r="R298" s="1" t="n">
        <v>0</v>
      </c>
      <c r="S298" s="1" t="n">
        <v>210</v>
      </c>
      <c r="T298" s="1" t="n">
        <v>0</v>
      </c>
      <c r="U298" s="1" t="n">
        <v>0</v>
      </c>
      <c r="V298" s="1" t="n">
        <v>0</v>
      </c>
      <c r="W298" s="1"/>
      <c r="Y298" s="1" t="n">
        <v>1</v>
      </c>
      <c r="Z298" s="0" t="s">
        <v>175</v>
      </c>
      <c r="AA298" s="0" t="s">
        <v>223</v>
      </c>
      <c r="AH298" s="0" t="s">
        <v>180</v>
      </c>
      <c r="AJ298" s="0" t="s">
        <v>437</v>
      </c>
      <c r="AL298" s="0" t="s">
        <v>95</v>
      </c>
      <c r="BD298" s="0" t="s">
        <v>113</v>
      </c>
      <c r="BK298" s="0" t="s">
        <v>120</v>
      </c>
    </row>
    <row r="299" ht="60.75">
      <c r="B299" s="0" t="s">
        <v>1056</v>
      </c>
      <c r="C299" s="1" t="n">
        <v>353676</v>
      </c>
      <c r="E299" s="14" t="s">
        <v>1063</v>
      </c>
      <c r="F299" s="14" t="s">
        <v>184</v>
      </c>
      <c r="G299" s="25" t="str">
        <f>HYPERLINK("http://vk.com/wall-214445085_1314")</f>
      </c>
      <c r="H299" s="14" t="s">
        <v>170</v>
      </c>
      <c r="I299" s="14" t="s">
        <v>194</v>
      </c>
      <c r="J299" s="14" t="s">
        <v>1064</v>
      </c>
      <c r="K299" s="26" t="str">
        <f>HYPERLINK("http://vk.com/club214445085")</f>
      </c>
      <c r="L299" s="14" t="s">
        <v>274</v>
      </c>
      <c r="O299" s="1"/>
      <c r="P299" s="1"/>
      <c r="Q299" s="1" t="n">
        <v>14</v>
      </c>
      <c r="R299" s="1" t="n">
        <v>0</v>
      </c>
      <c r="S299" s="1"/>
      <c r="T299" s="1" t="n">
        <v>0</v>
      </c>
      <c r="U299" s="1" t="n">
        <v>0</v>
      </c>
      <c r="V299" s="1" t="n">
        <v>0</v>
      </c>
      <c r="W299" s="1" t="n">
        <v>7</v>
      </c>
      <c r="Y299" s="1" t="n">
        <v>1</v>
      </c>
      <c r="Z299" s="0" t="s">
        <v>319</v>
      </c>
      <c r="AA299" s="0" t="s">
        <v>176</v>
      </c>
      <c r="AC299" s="0" t="s">
        <v>177</v>
      </c>
      <c r="AD299" s="0" t="s">
        <v>561</v>
      </c>
      <c r="AE299" s="0" t="s">
        <v>562</v>
      </c>
      <c r="AH299" s="0" t="s">
        <v>180</v>
      </c>
      <c r="AJ299" s="0" t="s">
        <v>437</v>
      </c>
      <c r="AK299" s="0" t="s">
        <v>94</v>
      </c>
      <c r="AM299" s="0" t="s">
        <v>96</v>
      </c>
      <c r="AP299" s="0" t="s">
        <v>99</v>
      </c>
      <c r="BD299" s="0" t="s">
        <v>113</v>
      </c>
      <c r="BJ299" s="0" t="s">
        <v>119</v>
      </c>
    </row>
    <row r="300" ht="36.75">
      <c r="B300" s="0" t="s">
        <v>1056</v>
      </c>
      <c r="C300" s="1" t="n">
        <v>353962</v>
      </c>
      <c r="D300" s="0" t="s">
        <v>1065</v>
      </c>
      <c r="E300" s="14" t="s">
        <v>1066</v>
      </c>
      <c r="F300" s="14" t="s">
        <v>1067</v>
      </c>
      <c r="G300" s="25" t="str">
        <f>HYPERLINK("https://omsk.top24.news/obshestvo/omskstat-rasskazal-kakie-medikamenty-podorozhali-v-regione-s-nachala-goda-bolshe-vsego/")</f>
      </c>
      <c r="H300" s="14" t="s">
        <v>208</v>
      </c>
      <c r="I300" s="14" t="s">
        <v>194</v>
      </c>
      <c r="J300" s="14"/>
      <c r="L300" s="14"/>
      <c r="O300" s="1"/>
      <c r="P300" s="1"/>
      <c r="Q300" s="1"/>
      <c r="R300" s="1" t="n">
        <v>0</v>
      </c>
      <c r="S300" s="1" t="n">
        <v>156</v>
      </c>
      <c r="T300" s="1" t="n">
        <v>0</v>
      </c>
      <c r="U300" s="1" t="n">
        <v>0</v>
      </c>
      <c r="V300" s="1" t="n">
        <v>0</v>
      </c>
      <c r="W300" s="1"/>
      <c r="Y300" s="1" t="n">
        <v>1</v>
      </c>
      <c r="Z300" s="0" t="s">
        <v>175</v>
      </c>
      <c r="AA300" s="0" t="s">
        <v>223</v>
      </c>
      <c r="AH300" s="0" t="s">
        <v>180</v>
      </c>
      <c r="AJ300" s="0" t="s">
        <v>437</v>
      </c>
      <c r="AK300" s="0" t="s">
        <v>94</v>
      </c>
      <c r="AL300" s="0" t="s">
        <v>95</v>
      </c>
      <c r="BD300" s="0" t="s">
        <v>113</v>
      </c>
      <c r="BJ300" s="0" t="s">
        <v>119</v>
      </c>
      <c r="BK300" s="0" t="s">
        <v>120</v>
      </c>
    </row>
    <row r="301" ht="36.75">
      <c r="B301" s="0" t="s">
        <v>1068</v>
      </c>
      <c r="C301" s="1" t="n">
        <v>353667</v>
      </c>
      <c r="E301" s="14" t="s">
        <v>202</v>
      </c>
      <c r="F301" s="14" t="s">
        <v>184</v>
      </c>
      <c r="G301" s="25" t="str">
        <f>HYPERLINK("http://vk.com/wall141877634_1442")</f>
      </c>
      <c r="H301" s="14" t="s">
        <v>170</v>
      </c>
      <c r="I301" s="14" t="s">
        <v>171</v>
      </c>
      <c r="J301" s="14" t="s">
        <v>1069</v>
      </c>
      <c r="K301" s="26" t="str">
        <f>HYPERLINK("http://vk.com/id141877634")</f>
      </c>
      <c r="L301" s="14" t="s">
        <v>173</v>
      </c>
      <c r="O301" s="1" t="s">
        <v>186</v>
      </c>
      <c r="P301" s="1"/>
      <c r="Q301" s="1" t="n">
        <v>248</v>
      </c>
      <c r="R301" s="1" t="n">
        <v>0</v>
      </c>
      <c r="S301" s="1"/>
      <c r="T301" s="1" t="n">
        <v>0</v>
      </c>
      <c r="U301" s="1" t="n">
        <v>0</v>
      </c>
      <c r="V301" s="1" t="n">
        <v>0</v>
      </c>
      <c r="W301" s="1"/>
      <c r="Y301" s="1" t="n">
        <v>60</v>
      </c>
      <c r="Z301" s="0" t="s">
        <v>175</v>
      </c>
      <c r="AA301" s="0" t="s">
        <v>176</v>
      </c>
      <c r="AC301" s="0" t="s">
        <v>177</v>
      </c>
      <c r="AD301" s="0" t="s">
        <v>410</v>
      </c>
      <c r="AE301" s="0" t="s">
        <v>792</v>
      </c>
      <c r="AH301" s="0" t="s">
        <v>180</v>
      </c>
      <c r="AJ301" s="0" t="s">
        <v>437</v>
      </c>
      <c r="AK301" s="0" t="s">
        <v>94</v>
      </c>
      <c r="AM301" s="0" t="s">
        <v>96</v>
      </c>
      <c r="AO301" s="0" t="s">
        <v>98</v>
      </c>
      <c r="AP301" s="0" t="s">
        <v>99</v>
      </c>
      <c r="AQ301" s="0" t="s">
        <v>100</v>
      </c>
    </row>
    <row r="302" ht="168.75">
      <c r="B302" s="0" t="s">
        <v>1070</v>
      </c>
      <c r="C302" s="1" t="n">
        <v>353670</v>
      </c>
      <c r="E302" s="14" t="s">
        <v>1071</v>
      </c>
      <c r="F302" s="14" t="s">
        <v>184</v>
      </c>
      <c r="G302" s="25" t="str">
        <f>HYPERLINK("http://vk.com/wall-212506983_454")</f>
      </c>
      <c r="H302" s="14" t="s">
        <v>170</v>
      </c>
      <c r="I302" s="14" t="s">
        <v>194</v>
      </c>
      <c r="J302" s="14" t="s">
        <v>1072</v>
      </c>
      <c r="K302" s="26" t="str">
        <f>HYPERLINK("http://vk.com/club212506983")</f>
      </c>
      <c r="L302" s="14" t="s">
        <v>274</v>
      </c>
      <c r="O302" s="1"/>
      <c r="P302" s="1"/>
      <c r="Q302" s="1" t="n">
        <v>300</v>
      </c>
      <c r="R302" s="1" t="n">
        <v>0</v>
      </c>
      <c r="S302" s="1"/>
      <c r="T302" s="1" t="n">
        <v>0</v>
      </c>
      <c r="U302" s="1" t="n">
        <v>1</v>
      </c>
      <c r="V302" s="1" t="n">
        <v>1</v>
      </c>
      <c r="W302" s="1" t="n">
        <v>47</v>
      </c>
      <c r="Y302" s="1" t="n">
        <v>1</v>
      </c>
      <c r="Z302" s="0" t="s">
        <v>175</v>
      </c>
      <c r="AA302" s="0" t="s">
        <v>187</v>
      </c>
      <c r="AC302" s="0" t="s">
        <v>177</v>
      </c>
      <c r="AD302" s="0" t="s">
        <v>1073</v>
      </c>
      <c r="AE302" s="0" t="s">
        <v>1074</v>
      </c>
      <c r="AH302" s="0" t="s">
        <v>180</v>
      </c>
      <c r="AJ302" s="0" t="s">
        <v>437</v>
      </c>
      <c r="AK302" s="0" t="s">
        <v>94</v>
      </c>
      <c r="AM302" s="0" t="s">
        <v>96</v>
      </c>
      <c r="AP302" s="0" t="s">
        <v>99</v>
      </c>
      <c r="AU302" s="0" t="s">
        <v>104</v>
      </c>
      <c r="AX302" s="0" t="s">
        <v>107</v>
      </c>
    </row>
    <row r="303" ht="36.75">
      <c r="B303" s="0" t="s">
        <v>1075</v>
      </c>
      <c r="C303" s="1" t="n">
        <v>353668</v>
      </c>
      <c r="E303" s="14" t="s">
        <v>202</v>
      </c>
      <c r="F303" s="14" t="s">
        <v>184</v>
      </c>
      <c r="G303" s="25" t="str">
        <f>HYPERLINK("http://vk.com/wall558237491_392")</f>
      </c>
      <c r="H303" s="14" t="s">
        <v>170</v>
      </c>
      <c r="I303" s="14" t="s">
        <v>171</v>
      </c>
      <c r="J303" s="14" t="s">
        <v>1076</v>
      </c>
      <c r="K303" s="26" t="str">
        <f>HYPERLINK("http://vk.com/id558237491")</f>
      </c>
      <c r="L303" s="14" t="s">
        <v>173</v>
      </c>
      <c r="O303" s="1" t="s">
        <v>186</v>
      </c>
      <c r="P303" s="1" t="n">
        <v>64</v>
      </c>
      <c r="Q303" s="1" t="n">
        <v>91</v>
      </c>
      <c r="R303" s="1" t="n">
        <v>0</v>
      </c>
      <c r="S303" s="1"/>
      <c r="T303" s="1" t="n">
        <v>0</v>
      </c>
      <c r="U303" s="1" t="n">
        <v>0</v>
      </c>
      <c r="V303" s="1" t="n">
        <v>0</v>
      </c>
      <c r="W303" s="1"/>
      <c r="Y303" s="1" t="n">
        <v>60</v>
      </c>
      <c r="Z303" s="0" t="s">
        <v>175</v>
      </c>
      <c r="AA303" s="0" t="s">
        <v>176</v>
      </c>
      <c r="AH303" s="0" t="s">
        <v>180</v>
      </c>
      <c r="AJ303" s="0" t="s">
        <v>437</v>
      </c>
      <c r="AK303" s="0" t="s">
        <v>94</v>
      </c>
      <c r="AM303" s="0" t="s">
        <v>96</v>
      </c>
      <c r="AO303" s="0" t="s">
        <v>98</v>
      </c>
      <c r="AP303" s="0" t="s">
        <v>99</v>
      </c>
      <c r="AQ303" s="0" t="s">
        <v>100</v>
      </c>
    </row>
    <row r="304">
      <c r="B304" s="0" t="s">
        <v>1077</v>
      </c>
      <c r="C304" s="1" t="n">
        <v>353882</v>
      </c>
      <c r="E304" s="14" t="s">
        <v>1078</v>
      </c>
      <c r="F304" s="14" t="s">
        <v>184</v>
      </c>
      <c r="G304" s="25" t="str">
        <f>HYPERLINK("http://vk.com/wall-214450246_108353?reply=108382")</f>
      </c>
      <c r="H304" s="14" t="s">
        <v>170</v>
      </c>
      <c r="I304" s="14" t="s">
        <v>231</v>
      </c>
      <c r="J304" s="14" t="s">
        <v>1079</v>
      </c>
      <c r="K304" s="26" t="str">
        <f>HYPERLINK("http://vk.com/id353556531")</f>
      </c>
      <c r="L304" s="14" t="s">
        <v>173</v>
      </c>
      <c r="M304" s="14" t="s">
        <v>1080</v>
      </c>
      <c r="N304" s="25" t="str">
        <f>HYPERLINK("http://vk.com/club214450246")</f>
      </c>
      <c r="O304" s="1" t="s">
        <v>186</v>
      </c>
      <c r="P304" s="1"/>
      <c r="Q304" s="1" t="n">
        <v>130975</v>
      </c>
      <c r="R304" s="1" t="n">
        <v>0</v>
      </c>
      <c r="S304" s="1"/>
      <c r="T304" s="1" t="n">
        <v>0</v>
      </c>
      <c r="U304" s="1" t="n">
        <v>0</v>
      </c>
      <c r="V304" s="1" t="n">
        <v>0</v>
      </c>
      <c r="W304" s="1"/>
      <c r="Y304" s="1" t="n">
        <v>1</v>
      </c>
      <c r="Z304" s="0" t="s">
        <v>463</v>
      </c>
      <c r="AA304" s="0" t="s">
        <v>292</v>
      </c>
      <c r="AC304" s="0" t="s">
        <v>177</v>
      </c>
      <c r="AH304" s="0" t="s">
        <v>180</v>
      </c>
      <c r="AI304" s="0" t="s">
        <v>92</v>
      </c>
      <c r="AJ304" s="0" t="s">
        <v>437</v>
      </c>
      <c r="AL304" s="0" t="s">
        <v>95</v>
      </c>
      <c r="AO304" s="0" t="s">
        <v>98</v>
      </c>
      <c r="AY304" s="0" t="s">
        <v>108</v>
      </c>
      <c r="BY304" s="0" t="s">
        <v>134</v>
      </c>
    </row>
    <row r="305">
      <c r="B305" s="0" t="s">
        <v>1077</v>
      </c>
      <c r="C305" s="1" t="n">
        <v>353855</v>
      </c>
      <c r="E305" s="14" t="s">
        <v>1081</v>
      </c>
      <c r="F305" s="14" t="s">
        <v>184</v>
      </c>
      <c r="G305" s="25" t="str">
        <f>HYPERLINK("http://vk.com/wall-119249179_1024603?reply=1024899&amp;thread=1024813")</f>
      </c>
      <c r="H305" s="14" t="s">
        <v>170</v>
      </c>
      <c r="I305" s="14" t="s">
        <v>231</v>
      </c>
      <c r="J305" s="14" t="s">
        <v>1082</v>
      </c>
      <c r="K305" s="26" t="str">
        <f>HYPERLINK("http://vk.com/id161336569")</f>
      </c>
      <c r="L305" s="14" t="s">
        <v>173</v>
      </c>
      <c r="M305" s="14" t="s">
        <v>1083</v>
      </c>
      <c r="N305" s="25" t="str">
        <f>HYPERLINK("http://vk.com/club119249179")</f>
      </c>
      <c r="O305" s="1" t="s">
        <v>186</v>
      </c>
      <c r="P305" s="1"/>
      <c r="Q305" s="1" t="n">
        <v>18920</v>
      </c>
      <c r="R305" s="1" t="n">
        <v>0</v>
      </c>
      <c r="S305" s="1"/>
      <c r="T305" s="1" t="n">
        <v>0</v>
      </c>
      <c r="U305" s="1" t="n">
        <v>0</v>
      </c>
      <c r="V305" s="1" t="n">
        <v>0</v>
      </c>
      <c r="W305" s="1"/>
      <c r="Y305" s="1" t="n">
        <v>1</v>
      </c>
      <c r="Z305" s="0" t="s">
        <v>175</v>
      </c>
      <c r="AA305" s="0" t="s">
        <v>187</v>
      </c>
      <c r="AC305" s="0" t="s">
        <v>177</v>
      </c>
      <c r="AD305" s="0" t="s">
        <v>332</v>
      </c>
      <c r="AE305" s="0" t="s">
        <v>332</v>
      </c>
      <c r="AH305" s="0" t="s">
        <v>180</v>
      </c>
      <c r="AI305" s="0" t="s">
        <v>92</v>
      </c>
      <c r="AJ305" s="0" t="s">
        <v>437</v>
      </c>
      <c r="AK305" s="0" t="s">
        <v>94</v>
      </c>
      <c r="AL305" s="0" t="s">
        <v>95</v>
      </c>
      <c r="AN305" s="0" t="s">
        <v>97</v>
      </c>
      <c r="AS305" s="0" t="s">
        <v>102</v>
      </c>
      <c r="BB305" s="0" t="s">
        <v>111</v>
      </c>
      <c r="BM305" s="0" t="s">
        <v>122</v>
      </c>
      <c r="CA305" s="0" t="s">
        <v>136</v>
      </c>
    </row>
    <row r="306">
      <c r="B306" s="0" t="s">
        <v>1084</v>
      </c>
      <c r="C306" s="1" t="n">
        <v>353881</v>
      </c>
      <c r="E306" s="14" t="s">
        <v>1085</v>
      </c>
      <c r="F306" s="14" t="s">
        <v>184</v>
      </c>
      <c r="G306" s="25" t="str">
        <f>HYPERLINK("http://vk.com/wall-74822124_898853?reply=898933&amp;thread=898860")</f>
      </c>
      <c r="H306" s="14" t="s">
        <v>170</v>
      </c>
      <c r="I306" s="14" t="s">
        <v>231</v>
      </c>
      <c r="J306" s="14" t="s">
        <v>1086</v>
      </c>
      <c r="K306" s="26" t="str">
        <f>HYPERLINK("http://vk.com/id673760")</f>
      </c>
      <c r="L306" s="14" t="s">
        <v>173</v>
      </c>
      <c r="M306" s="14" t="s">
        <v>1087</v>
      </c>
      <c r="N306" s="25" t="str">
        <f>HYPERLINK("http://vk.com/club74822124")</f>
      </c>
      <c r="O306" s="1" t="s">
        <v>186</v>
      </c>
      <c r="P306" s="1" t="n">
        <v>41</v>
      </c>
      <c r="Q306" s="1" t="n">
        <v>10706</v>
      </c>
      <c r="R306" s="1" t="n">
        <v>0</v>
      </c>
      <c r="S306" s="1"/>
      <c r="T306" s="1" t="n">
        <v>0</v>
      </c>
      <c r="U306" s="1" t="n">
        <v>0</v>
      </c>
      <c r="V306" s="1" t="n">
        <v>0</v>
      </c>
      <c r="W306" s="1"/>
      <c r="Y306" s="1" t="n">
        <v>1</v>
      </c>
      <c r="Z306" s="0" t="s">
        <v>463</v>
      </c>
      <c r="AA306" s="0" t="s">
        <v>187</v>
      </c>
      <c r="AB306" s="0" t="s">
        <v>85</v>
      </c>
      <c r="AC306" s="0" t="s">
        <v>177</v>
      </c>
      <c r="AD306" s="0" t="s">
        <v>240</v>
      </c>
      <c r="AE306" s="0" t="s">
        <v>240</v>
      </c>
      <c r="AH306" s="0" t="s">
        <v>180</v>
      </c>
      <c r="AI306" s="0" t="s">
        <v>92</v>
      </c>
      <c r="AJ306" s="0" t="s">
        <v>437</v>
      </c>
      <c r="AK306" s="0" t="s">
        <v>94</v>
      </c>
      <c r="AL306" s="0" t="s">
        <v>95</v>
      </c>
      <c r="AR306" s="0" t="s">
        <v>101</v>
      </c>
      <c r="CJ306" s="0" t="s">
        <v>145</v>
      </c>
    </row>
    <row r="307">
      <c r="B307" s="0" t="s">
        <v>1088</v>
      </c>
      <c r="C307" s="1" t="n">
        <v>353854</v>
      </c>
      <c r="E307" s="14" t="s">
        <v>1089</v>
      </c>
      <c r="F307" s="14" t="s">
        <v>184</v>
      </c>
      <c r="G307" s="25" t="str">
        <f>HYPERLINK("http://vk.com/wall-150791024_1119734?reply=1119782")</f>
      </c>
      <c r="H307" s="14" t="s">
        <v>170</v>
      </c>
      <c r="I307" s="14" t="s">
        <v>231</v>
      </c>
      <c r="J307" s="14" t="s">
        <v>1090</v>
      </c>
      <c r="K307" s="26" t="str">
        <f>HYPERLINK("http://vk.com/id16453890")</f>
      </c>
      <c r="L307" s="14" t="s">
        <v>173</v>
      </c>
      <c r="M307" s="14" t="s">
        <v>948</v>
      </c>
      <c r="N307" s="25" t="str">
        <f>HYPERLINK("http://vk.com/club150791024")</f>
      </c>
      <c r="O307" s="1" t="s">
        <v>186</v>
      </c>
      <c r="P307" s="1"/>
      <c r="Q307" s="1" t="n">
        <v>16234</v>
      </c>
      <c r="R307" s="1" t="n">
        <v>0</v>
      </c>
      <c r="S307" s="1"/>
      <c r="T307" s="1" t="n">
        <v>0</v>
      </c>
      <c r="U307" s="1" t="n">
        <v>0</v>
      </c>
      <c r="V307" s="1" t="n">
        <v>0</v>
      </c>
      <c r="W307" s="1"/>
      <c r="Y307" s="1" t="n">
        <v>1</v>
      </c>
      <c r="Z307" s="0" t="s">
        <v>175</v>
      </c>
      <c r="AA307" s="0" t="s">
        <v>187</v>
      </c>
      <c r="AC307" s="0" t="s">
        <v>177</v>
      </c>
      <c r="AH307" s="0" t="s">
        <v>180</v>
      </c>
      <c r="AJ307" s="0" t="s">
        <v>437</v>
      </c>
      <c r="AK307" s="0" t="s">
        <v>94</v>
      </c>
      <c r="AL307" s="0" t="s">
        <v>95</v>
      </c>
      <c r="AN307" s="0" t="s">
        <v>97</v>
      </c>
      <c r="AW307" s="0" t="s">
        <v>106</v>
      </c>
      <c r="BB307" s="0" t="s">
        <v>111</v>
      </c>
      <c r="BE307" s="0" t="s">
        <v>114</v>
      </c>
      <c r="BH307" s="0" t="s">
        <v>117</v>
      </c>
      <c r="BQ307" s="0" t="s">
        <v>126</v>
      </c>
    </row>
    <row r="308" ht="36.75">
      <c r="B308" s="0" t="s">
        <v>1091</v>
      </c>
      <c r="C308" s="1" t="n">
        <v>353657</v>
      </c>
      <c r="E308" s="14" t="s">
        <v>202</v>
      </c>
      <c r="F308" s="14" t="s">
        <v>184</v>
      </c>
      <c r="G308" s="25" t="str">
        <f>HYPERLINK("http://vk.com/wall500717328_26893")</f>
      </c>
      <c r="H308" s="14" t="s">
        <v>170</v>
      </c>
      <c r="I308" s="14" t="s">
        <v>171</v>
      </c>
      <c r="J308" s="14" t="s">
        <v>1092</v>
      </c>
      <c r="K308" s="26" t="str">
        <f>HYPERLINK("http://vk.com/id500717328")</f>
      </c>
      <c r="L308" s="14" t="s">
        <v>173</v>
      </c>
      <c r="O308" s="1" t="s">
        <v>186</v>
      </c>
      <c r="P308" s="1" t="n">
        <v>54</v>
      </c>
      <c r="Q308" s="1" t="n">
        <v>166</v>
      </c>
      <c r="R308" s="1" t="n">
        <v>0</v>
      </c>
      <c r="S308" s="1"/>
      <c r="T308" s="1" t="n">
        <v>0</v>
      </c>
      <c r="U308" s="1" t="n">
        <v>0</v>
      </c>
      <c r="V308" s="1" t="n">
        <v>0</v>
      </c>
      <c r="W308" s="1" t="n">
        <v>1</v>
      </c>
      <c r="Y308" s="1" t="n">
        <v>60</v>
      </c>
      <c r="Z308" s="0" t="s">
        <v>175</v>
      </c>
      <c r="AA308" s="0" t="s">
        <v>176</v>
      </c>
      <c r="AH308" s="0" t="s">
        <v>180</v>
      </c>
      <c r="AJ308" s="0" t="s">
        <v>437</v>
      </c>
      <c r="AK308" s="0" t="s">
        <v>94</v>
      </c>
      <c r="AL308" s="0" t="s">
        <v>95</v>
      </c>
      <c r="AM308" s="0" t="s">
        <v>96</v>
      </c>
      <c r="AO308" s="0" t="s">
        <v>98</v>
      </c>
      <c r="AQ308" s="0" t="s">
        <v>100</v>
      </c>
    </row>
    <row r="309">
      <c r="B309" s="0" t="s">
        <v>1091</v>
      </c>
      <c r="C309" s="1" t="n">
        <v>353727</v>
      </c>
      <c r="D309" s="0" t="s">
        <v>1093</v>
      </c>
      <c r="E309" s="14" t="s">
        <v>1094</v>
      </c>
      <c r="F309" s="14" t="s">
        <v>1095</v>
      </c>
      <c r="G309" s="25" t="str">
        <f>HYPERLINK("https://news.myseldon.com/ru/news/index/282050860")</f>
      </c>
      <c r="H309" s="14" t="s">
        <v>208</v>
      </c>
      <c r="I309" s="14" t="s">
        <v>194</v>
      </c>
      <c r="J309" s="14"/>
      <c r="L309" s="14"/>
      <c r="O309" s="1"/>
      <c r="P309" s="1"/>
      <c r="Q309" s="1"/>
      <c r="R309" s="1" t="n">
        <v>0</v>
      </c>
      <c r="S309" s="1" t="n">
        <v>3034</v>
      </c>
      <c r="T309" s="1" t="n">
        <v>0</v>
      </c>
      <c r="U309" s="1" t="n">
        <v>0</v>
      </c>
      <c r="V309" s="1" t="n">
        <v>0</v>
      </c>
      <c r="W309" s="1"/>
      <c r="Y309" s="1" t="n">
        <v>1</v>
      </c>
      <c r="Z309" s="0" t="s">
        <v>175</v>
      </c>
      <c r="AA309" s="0" t="s">
        <v>176</v>
      </c>
      <c r="AH309" s="0" t="s">
        <v>180</v>
      </c>
      <c r="AJ309" s="0" t="s">
        <v>437</v>
      </c>
      <c r="AK309" s="0" t="s">
        <v>94</v>
      </c>
      <c r="AL309" s="0" t="s">
        <v>95</v>
      </c>
      <c r="BD309" s="0" t="s">
        <v>113</v>
      </c>
      <c r="BJ309" s="0" t="s">
        <v>119</v>
      </c>
      <c r="BK309" s="0" t="s">
        <v>120</v>
      </c>
    </row>
    <row r="310" ht="24.75">
      <c r="B310" s="0" t="s">
        <v>1096</v>
      </c>
      <c r="C310" s="1" t="n">
        <v>353629</v>
      </c>
      <c r="E310" s="14" t="s">
        <v>183</v>
      </c>
      <c r="F310" s="14" t="s">
        <v>184</v>
      </c>
      <c r="G310" s="25" t="str">
        <f>HYPERLINK("http://vk.com/wall509488394_1568")</f>
      </c>
      <c r="H310" s="14" t="s">
        <v>170</v>
      </c>
      <c r="I310" s="14" t="s">
        <v>171</v>
      </c>
      <c r="J310" s="14" t="s">
        <v>1097</v>
      </c>
      <c r="K310" s="26" t="str">
        <f>HYPERLINK("http://vk.com/id509488394")</f>
      </c>
      <c r="L310" s="14" t="s">
        <v>173</v>
      </c>
      <c r="O310" s="1" t="s">
        <v>174</v>
      </c>
      <c r="P310" s="1" t="n">
        <v>25</v>
      </c>
      <c r="Q310" s="1" t="n">
        <v>16</v>
      </c>
      <c r="R310" s="1" t="n">
        <v>0</v>
      </c>
      <c r="S310" s="1"/>
      <c r="T310" s="1" t="n">
        <v>0</v>
      </c>
      <c r="U310" s="1" t="n">
        <v>0</v>
      </c>
      <c r="V310" s="1" t="n">
        <v>0</v>
      </c>
      <c r="W310" s="1"/>
      <c r="Y310" s="1" t="n">
        <v>62</v>
      </c>
      <c r="Z310" s="0" t="s">
        <v>175</v>
      </c>
      <c r="AA310" s="0" t="s">
        <v>187</v>
      </c>
      <c r="AH310" s="0" t="s">
        <v>180</v>
      </c>
      <c r="AJ310" s="0" t="s">
        <v>437</v>
      </c>
      <c r="AK310" s="0" t="s">
        <v>94</v>
      </c>
      <c r="AO310" s="0" t="s">
        <v>98</v>
      </c>
      <c r="AP310" s="0" t="s">
        <v>99</v>
      </c>
      <c r="AR310" s="0" t="s">
        <v>101</v>
      </c>
      <c r="BA310" s="0" t="s">
        <v>110</v>
      </c>
      <c r="BH310" s="0" t="s">
        <v>117</v>
      </c>
    </row>
    <row r="311" ht="24.75">
      <c r="B311" s="0" t="s">
        <v>1096</v>
      </c>
      <c r="C311" s="1" t="n">
        <v>353656</v>
      </c>
      <c r="E311" s="14" t="s">
        <v>183</v>
      </c>
      <c r="F311" s="14" t="s">
        <v>184</v>
      </c>
      <c r="G311" s="25" t="str">
        <f>HYPERLINK("http://vk.com/wall545734236_572")</f>
      </c>
      <c r="H311" s="14" t="s">
        <v>170</v>
      </c>
      <c r="I311" s="14" t="s">
        <v>171</v>
      </c>
      <c r="J311" s="14" t="s">
        <v>1098</v>
      </c>
      <c r="K311" s="26" t="str">
        <f>HYPERLINK("http://vk.com/id545734236")</f>
      </c>
      <c r="L311" s="14" t="s">
        <v>173</v>
      </c>
      <c r="O311" s="1" t="s">
        <v>186</v>
      </c>
      <c r="P311" s="1" t="n">
        <v>61</v>
      </c>
      <c r="Q311" s="1" t="n">
        <v>36</v>
      </c>
      <c r="R311" s="1" t="n">
        <v>0</v>
      </c>
      <c r="S311" s="1"/>
      <c r="T311" s="1" t="n">
        <v>0</v>
      </c>
      <c r="U311" s="1" t="n">
        <v>0</v>
      </c>
      <c r="V311" s="1" t="n">
        <v>0</v>
      </c>
      <c r="W311" s="1"/>
      <c r="Y311" s="1" t="n">
        <v>62</v>
      </c>
      <c r="Z311" s="0" t="s">
        <v>175</v>
      </c>
      <c r="AA311" s="0" t="s">
        <v>187</v>
      </c>
      <c r="AH311" s="0" t="s">
        <v>180</v>
      </c>
      <c r="AJ311" s="0" t="s">
        <v>437</v>
      </c>
      <c r="AK311" s="0" t="s">
        <v>94</v>
      </c>
      <c r="AO311" s="0" t="s">
        <v>98</v>
      </c>
      <c r="AP311" s="0" t="s">
        <v>99</v>
      </c>
      <c r="AR311" s="0" t="s">
        <v>101</v>
      </c>
      <c r="BA311" s="0" t="s">
        <v>110</v>
      </c>
      <c r="BH311" s="0" t="s">
        <v>117</v>
      </c>
    </row>
    <row r="312">
      <c r="B312" s="0" t="s">
        <v>1096</v>
      </c>
      <c r="C312" s="1" t="n">
        <v>353847</v>
      </c>
      <c r="E312" s="14" t="s">
        <v>1099</v>
      </c>
      <c r="F312" s="14" t="s">
        <v>184</v>
      </c>
      <c r="G312" s="25" t="str">
        <f>HYPERLINK("http://vk.com/wall-153326247_489378?reply=489409")</f>
      </c>
      <c r="H312" s="14" t="s">
        <v>170</v>
      </c>
      <c r="I312" s="14" t="s">
        <v>231</v>
      </c>
      <c r="J312" s="14" t="s">
        <v>1100</v>
      </c>
      <c r="K312" s="26" t="str">
        <f>HYPERLINK("http://vk.com/id650938385")</f>
      </c>
      <c r="L312" s="14" t="s">
        <v>173</v>
      </c>
      <c r="M312" s="14" t="s">
        <v>663</v>
      </c>
      <c r="N312" s="25" t="str">
        <f>HYPERLINK("http://vk.com/club153326247")</f>
      </c>
      <c r="O312" s="1" t="s">
        <v>174</v>
      </c>
      <c r="P312" s="1"/>
      <c r="Q312" s="1" t="n">
        <v>27180</v>
      </c>
      <c r="R312" s="1" t="n">
        <v>0</v>
      </c>
      <c r="S312" s="1"/>
      <c r="T312" s="1" t="n">
        <v>0</v>
      </c>
      <c r="U312" s="1" t="n">
        <v>0</v>
      </c>
      <c r="V312" s="1" t="n">
        <v>0</v>
      </c>
      <c r="W312" s="1"/>
      <c r="Y312" s="1" t="n">
        <v>1</v>
      </c>
      <c r="Z312" s="0" t="s">
        <v>175</v>
      </c>
      <c r="AA312" s="0" t="s">
        <v>187</v>
      </c>
      <c r="AB312" s="0" t="s">
        <v>85</v>
      </c>
      <c r="AC312" s="0" t="s">
        <v>177</v>
      </c>
      <c r="AD312" s="0" t="s">
        <v>293</v>
      </c>
      <c r="AE312" s="0" t="s">
        <v>294</v>
      </c>
      <c r="AH312" s="0" t="s">
        <v>180</v>
      </c>
      <c r="AI312" s="0" t="s">
        <v>92</v>
      </c>
      <c r="AJ312" s="0" t="s">
        <v>437</v>
      </c>
      <c r="AK312" s="0" t="s">
        <v>94</v>
      </c>
      <c r="AL312" s="0" t="s">
        <v>95</v>
      </c>
      <c r="AN312" s="0" t="s">
        <v>97</v>
      </c>
      <c r="AR312" s="0" t="s">
        <v>101</v>
      </c>
      <c r="BB312" s="0" t="s">
        <v>111</v>
      </c>
      <c r="BV312" s="0" t="s">
        <v>131</v>
      </c>
      <c r="CT312" s="0" t="s">
        <v>155</v>
      </c>
    </row>
    <row r="313" ht="24.75">
      <c r="B313" s="0" t="s">
        <v>1101</v>
      </c>
      <c r="C313" s="1" t="n">
        <v>354140</v>
      </c>
      <c r="E313" s="14" t="s">
        <v>1102</v>
      </c>
      <c r="F313" s="14" t="s">
        <v>169</v>
      </c>
      <c r="G313" s="25" t="str">
        <f>HYPERLINK("http://www.ok.ru/profile/583721478458/statuses/155480129151802")</f>
      </c>
      <c r="H313" s="14" t="s">
        <v>170</v>
      </c>
      <c r="I313" s="14" t="s">
        <v>171</v>
      </c>
      <c r="J313" s="14" t="s">
        <v>1103</v>
      </c>
      <c r="K313" s="26" t="str">
        <f>HYPERLINK("http://www.ok.ru/profile/583721478458")</f>
      </c>
      <c r="L313" s="14" t="s">
        <v>173</v>
      </c>
      <c r="O313" s="1" t="s">
        <v>186</v>
      </c>
      <c r="P313" s="1" t="n">
        <v>62</v>
      </c>
      <c r="Q313" s="1" t="n">
        <v>326</v>
      </c>
      <c r="R313" s="1" t="n">
        <v>0</v>
      </c>
      <c r="S313" s="1"/>
      <c r="T313" s="1" t="n">
        <v>0</v>
      </c>
      <c r="U313" s="1" t="n">
        <v>0</v>
      </c>
      <c r="V313" s="1" t="n">
        <v>0</v>
      </c>
      <c r="W313" s="1"/>
      <c r="Y313" s="1" t="n">
        <v>92</v>
      </c>
      <c r="Z313" s="0" t="s">
        <v>175</v>
      </c>
      <c r="AA313" s="0" t="s">
        <v>187</v>
      </c>
      <c r="AC313" s="0" t="s">
        <v>177</v>
      </c>
      <c r="AD313" s="0" t="s">
        <v>1104</v>
      </c>
      <c r="AE313" s="0" t="s">
        <v>1105</v>
      </c>
      <c r="AH313" s="0" t="s">
        <v>180</v>
      </c>
      <c r="AJ313" s="0" t="s">
        <v>181</v>
      </c>
      <c r="AK313" s="0" t="s">
        <v>94</v>
      </c>
      <c r="AM313" s="0" t="s">
        <v>96</v>
      </c>
      <c r="AN313" s="0" t="s">
        <v>97</v>
      </c>
      <c r="AS313" s="0" t="s">
        <v>102</v>
      </c>
      <c r="AU313" s="0" t="s">
        <v>104</v>
      </c>
      <c r="AV313" s="0" t="s">
        <v>105</v>
      </c>
      <c r="AW313" s="0" t="s">
        <v>106</v>
      </c>
      <c r="BE313" s="0" t="s">
        <v>114</v>
      </c>
      <c r="BL313" s="0" t="s">
        <v>121</v>
      </c>
      <c r="BO313" s="0" t="s">
        <v>124</v>
      </c>
    </row>
    <row r="314">
      <c r="B314" s="0" t="s">
        <v>1106</v>
      </c>
      <c r="C314" s="1" t="n">
        <v>353627</v>
      </c>
      <c r="E314" s="14" t="s">
        <v>1107</v>
      </c>
      <c r="F314" s="14" t="s">
        <v>184</v>
      </c>
      <c r="G314" s="25" t="str">
        <f>HYPERLINK("http://vk.com/wall-153326247_489378?reply=489408")</f>
      </c>
      <c r="H314" s="14" t="s">
        <v>170</v>
      </c>
      <c r="I314" s="14" t="s">
        <v>231</v>
      </c>
      <c r="J314" s="14" t="s">
        <v>1108</v>
      </c>
      <c r="K314" s="26" t="str">
        <f>HYPERLINK("http://vk.com/id1488984")</f>
      </c>
      <c r="L314" s="14" t="s">
        <v>173</v>
      </c>
      <c r="M314" s="14" t="s">
        <v>663</v>
      </c>
      <c r="N314" s="25" t="str">
        <f>HYPERLINK("http://vk.com/club153326247")</f>
      </c>
      <c r="O314" s="1" t="s">
        <v>186</v>
      </c>
      <c r="P314" s="1"/>
      <c r="Q314" s="1" t="n">
        <v>27180</v>
      </c>
      <c r="R314" s="1" t="n">
        <v>0</v>
      </c>
      <c r="S314" s="1"/>
      <c r="T314" s="1" t="n">
        <v>0</v>
      </c>
      <c r="U314" s="1" t="n">
        <v>0</v>
      </c>
      <c r="V314" s="1" t="n">
        <v>0</v>
      </c>
      <c r="W314" s="1"/>
      <c r="Y314" s="1" t="n">
        <v>1</v>
      </c>
      <c r="Z314" s="0" t="s">
        <v>463</v>
      </c>
      <c r="AA314" s="0" t="s">
        <v>187</v>
      </c>
      <c r="AC314" s="0" t="s">
        <v>177</v>
      </c>
      <c r="AD314" s="0" t="s">
        <v>293</v>
      </c>
      <c r="AE314" s="0" t="s">
        <v>294</v>
      </c>
      <c r="AH314" s="0" t="s">
        <v>180</v>
      </c>
      <c r="AJ314" s="0" t="s">
        <v>437</v>
      </c>
      <c r="AK314" s="0" t="s">
        <v>94</v>
      </c>
      <c r="AP314" s="0" t="s">
        <v>99</v>
      </c>
      <c r="AR314" s="0" t="s">
        <v>101</v>
      </c>
      <c r="AT314" s="0" t="s">
        <v>103</v>
      </c>
      <c r="CE314" s="0" t="s">
        <v>140</v>
      </c>
      <c r="CQ314" s="0" t="s">
        <v>152</v>
      </c>
    </row>
    <row r="315" ht="1164.75">
      <c r="B315" s="0" t="s">
        <v>1109</v>
      </c>
      <c r="C315" s="1" t="n">
        <v>353636</v>
      </c>
      <c r="E315" s="14" t="s">
        <v>1110</v>
      </c>
      <c r="F315" s="14" t="s">
        <v>184</v>
      </c>
      <c r="G315" s="25" t="str">
        <f>HYPERLINK("http://vk.com/wall440879026_2633")</f>
      </c>
      <c r="H315" s="14" t="s">
        <v>170</v>
      </c>
      <c r="I315" s="14" t="s">
        <v>171</v>
      </c>
      <c r="J315" s="14" t="s">
        <v>1111</v>
      </c>
      <c r="K315" s="26" t="str">
        <f>HYPERLINK("http://vk.com/id440879026")</f>
      </c>
      <c r="L315" s="14" t="s">
        <v>173</v>
      </c>
      <c r="O315" s="1" t="s">
        <v>186</v>
      </c>
      <c r="P315" s="1"/>
      <c r="Q315" s="1" t="n">
        <v>23</v>
      </c>
      <c r="R315" s="1" t="n">
        <v>0</v>
      </c>
      <c r="S315" s="1"/>
      <c r="T315" s="1" t="n">
        <v>0</v>
      </c>
      <c r="U315" s="1" t="n">
        <v>0</v>
      </c>
      <c r="V315" s="1" t="n">
        <v>0</v>
      </c>
      <c r="W315" s="1" t="n">
        <v>1</v>
      </c>
      <c r="Y315" s="1" t="n">
        <v>4</v>
      </c>
      <c r="Z315" s="0" t="s">
        <v>175</v>
      </c>
      <c r="AA315" s="0" t="s">
        <v>187</v>
      </c>
      <c r="AH315" s="0" t="s">
        <v>180</v>
      </c>
      <c r="AJ315" s="0" t="s">
        <v>437</v>
      </c>
      <c r="AK315" s="0" t="s">
        <v>94</v>
      </c>
      <c r="AL315" s="0" t="s">
        <v>95</v>
      </c>
      <c r="AM315" s="0" t="s">
        <v>96</v>
      </c>
      <c r="AX315" s="0" t="s">
        <v>107</v>
      </c>
    </row>
    <row r="316" ht="24.75">
      <c r="B316" s="0" t="s">
        <v>1109</v>
      </c>
      <c r="C316" s="1" t="n">
        <v>353634</v>
      </c>
      <c r="E316" s="14" t="s">
        <v>296</v>
      </c>
      <c r="F316" s="14" t="s">
        <v>184</v>
      </c>
      <c r="G316" s="25" t="str">
        <f>HYPERLINK("http://vk.com/wall-183323551_2302")</f>
      </c>
      <c r="H316" s="14" t="s">
        <v>170</v>
      </c>
      <c r="I316" s="14" t="s">
        <v>171</v>
      </c>
      <c r="J316" s="14" t="s">
        <v>1112</v>
      </c>
      <c r="K316" s="26" t="str">
        <f>HYPERLINK("http://vk.com/club183323551")</f>
      </c>
      <c r="L316" s="14" t="s">
        <v>274</v>
      </c>
      <c r="O316" s="1"/>
      <c r="P316" s="1"/>
      <c r="Q316" s="1"/>
      <c r="R316" s="1" t="n">
        <v>0</v>
      </c>
      <c r="S316" s="1"/>
      <c r="T316" s="1" t="n">
        <v>0</v>
      </c>
      <c r="U316" s="1" t="n">
        <v>0</v>
      </c>
      <c r="V316" s="1" t="n">
        <v>0</v>
      </c>
      <c r="W316" s="1"/>
      <c r="Y316" s="1" t="n">
        <v>92</v>
      </c>
      <c r="Z316" s="0" t="s">
        <v>175</v>
      </c>
      <c r="AA316" s="0" t="s">
        <v>187</v>
      </c>
      <c r="AH316" s="0" t="s">
        <v>180</v>
      </c>
      <c r="AJ316" s="0" t="s">
        <v>437</v>
      </c>
      <c r="AK316" s="0" t="s">
        <v>94</v>
      </c>
      <c r="AM316" s="0" t="s">
        <v>96</v>
      </c>
      <c r="AP316" s="0" t="s">
        <v>99</v>
      </c>
      <c r="AU316" s="0" t="s">
        <v>104</v>
      </c>
      <c r="AV316" s="0" t="s">
        <v>105</v>
      </c>
    </row>
    <row r="317" ht="1164.75">
      <c r="B317" s="0" t="s">
        <v>1109</v>
      </c>
      <c r="C317" s="1" t="n">
        <v>353628</v>
      </c>
      <c r="E317" s="14" t="s">
        <v>269</v>
      </c>
      <c r="F317" s="14" t="s">
        <v>184</v>
      </c>
      <c r="G317" s="25" t="str">
        <f>HYPERLINK("http://vk.com/wall211185389_1454")</f>
      </c>
      <c r="H317" s="14" t="s">
        <v>170</v>
      </c>
      <c r="I317" s="14" t="s">
        <v>171</v>
      </c>
      <c r="J317" s="14" t="s">
        <v>1113</v>
      </c>
      <c r="K317" s="26" t="str">
        <f>HYPERLINK("http://vk.com/id211185389")</f>
      </c>
      <c r="L317" s="14" t="s">
        <v>173</v>
      </c>
      <c r="O317" s="1" t="s">
        <v>186</v>
      </c>
      <c r="P317" s="1" t="n">
        <v>67</v>
      </c>
      <c r="Q317" s="1" t="n">
        <v>100</v>
      </c>
      <c r="R317" s="1" t="n">
        <v>0</v>
      </c>
      <c r="S317" s="1"/>
      <c r="T317" s="1" t="n">
        <v>0</v>
      </c>
      <c r="U317" s="1" t="n">
        <v>0</v>
      </c>
      <c r="V317" s="1" t="n">
        <v>0</v>
      </c>
      <c r="W317" s="1"/>
      <c r="Y317" s="1" t="n">
        <v>24</v>
      </c>
      <c r="Z317" s="0" t="s">
        <v>175</v>
      </c>
      <c r="AA317" s="0" t="s">
        <v>187</v>
      </c>
      <c r="AC317" s="0" t="s">
        <v>177</v>
      </c>
      <c r="AD317" s="0" t="s">
        <v>484</v>
      </c>
      <c r="AE317" s="0" t="s">
        <v>1114</v>
      </c>
      <c r="AH317" s="0" t="s">
        <v>180</v>
      </c>
      <c r="AJ317" s="0" t="s">
        <v>437</v>
      </c>
      <c r="AK317" s="0" t="s">
        <v>94</v>
      </c>
      <c r="AL317" s="0" t="s">
        <v>95</v>
      </c>
      <c r="AM317" s="0" t="s">
        <v>96</v>
      </c>
      <c r="AP317" s="0" t="s">
        <v>99</v>
      </c>
      <c r="AX317" s="0" t="s">
        <v>107</v>
      </c>
    </row>
    <row r="318" ht="24.75">
      <c r="B318" s="0" t="s">
        <v>1115</v>
      </c>
      <c r="C318" s="1" t="n">
        <v>353633</v>
      </c>
      <c r="E318" s="14" t="s">
        <v>183</v>
      </c>
      <c r="F318" s="14" t="s">
        <v>184</v>
      </c>
      <c r="G318" s="25" t="str">
        <f>HYPERLINK("http://vk.com/wall652794211_6220")</f>
      </c>
      <c r="H318" s="14" t="s">
        <v>170</v>
      </c>
      <c r="I318" s="14" t="s">
        <v>171</v>
      </c>
      <c r="J318" s="14" t="s">
        <v>1116</v>
      </c>
      <c r="K318" s="26" t="str">
        <f>HYPERLINK("http://vk.com/id652794211")</f>
      </c>
      <c r="L318" s="14" t="s">
        <v>173</v>
      </c>
      <c r="O318" s="1" t="s">
        <v>186</v>
      </c>
      <c r="P318" s="1" t="n">
        <v>71</v>
      </c>
      <c r="Q318" s="1" t="n">
        <v>242</v>
      </c>
      <c r="R318" s="1" t="n">
        <v>0</v>
      </c>
      <c r="S318" s="1"/>
      <c r="T318" s="1" t="n">
        <v>0</v>
      </c>
      <c r="U318" s="1" t="n">
        <v>0</v>
      </c>
      <c r="V318" s="1" t="n">
        <v>0</v>
      </c>
      <c r="W318" s="1" t="n">
        <v>2</v>
      </c>
      <c r="Y318" s="1" t="n">
        <v>62</v>
      </c>
      <c r="Z318" s="0" t="s">
        <v>175</v>
      </c>
      <c r="AA318" s="0" t="s">
        <v>187</v>
      </c>
      <c r="AC318" s="0" t="s">
        <v>177</v>
      </c>
      <c r="AH318" s="0" t="s">
        <v>180</v>
      </c>
      <c r="AJ318" s="0" t="s">
        <v>437</v>
      </c>
      <c r="AK318" s="0" t="s">
        <v>94</v>
      </c>
      <c r="AO318" s="0" t="s">
        <v>98</v>
      </c>
      <c r="AP318" s="0" t="s">
        <v>99</v>
      </c>
      <c r="AR318" s="0" t="s">
        <v>101</v>
      </c>
      <c r="BA318" s="0" t="s">
        <v>110</v>
      </c>
      <c r="BH318" s="0" t="s">
        <v>117</v>
      </c>
    </row>
    <row r="319" ht="36.75">
      <c r="B319" s="0" t="s">
        <v>1117</v>
      </c>
      <c r="C319" s="1" t="n">
        <v>353624</v>
      </c>
      <c r="E319" s="14" t="s">
        <v>202</v>
      </c>
      <c r="F319" s="14" t="s">
        <v>184</v>
      </c>
      <c r="G319" s="25" t="str">
        <f>HYPERLINK("http://vk.com/wall175709540_2043")</f>
      </c>
      <c r="H319" s="14" t="s">
        <v>170</v>
      </c>
      <c r="I319" s="14" t="s">
        <v>171</v>
      </c>
      <c r="J319" s="14" t="s">
        <v>1118</v>
      </c>
      <c r="K319" s="26" t="str">
        <f>HYPERLINK("http://vk.com/id175709540")</f>
      </c>
      <c r="L319" s="14" t="s">
        <v>173</v>
      </c>
      <c r="O319" s="1" t="s">
        <v>186</v>
      </c>
      <c r="P319" s="1"/>
      <c r="Q319" s="1" t="n">
        <v>198</v>
      </c>
      <c r="R319" s="1" t="n">
        <v>0</v>
      </c>
      <c r="S319" s="1"/>
      <c r="T319" s="1" t="n">
        <v>0</v>
      </c>
      <c r="U319" s="1" t="n">
        <v>0</v>
      </c>
      <c r="V319" s="1" t="n">
        <v>0</v>
      </c>
      <c r="W319" s="1" t="n">
        <v>1</v>
      </c>
      <c r="Y319" s="1" t="n">
        <v>60</v>
      </c>
      <c r="Z319" s="0" t="s">
        <v>175</v>
      </c>
      <c r="AA319" s="0" t="s">
        <v>176</v>
      </c>
      <c r="AC319" s="0" t="s">
        <v>177</v>
      </c>
      <c r="AH319" s="0" t="s">
        <v>180</v>
      </c>
      <c r="AJ319" s="0" t="s">
        <v>437</v>
      </c>
      <c r="AK319" s="0" t="s">
        <v>94</v>
      </c>
      <c r="AL319" s="0" t="s">
        <v>95</v>
      </c>
      <c r="AM319" s="0" t="s">
        <v>96</v>
      </c>
      <c r="AO319" s="0" t="s">
        <v>98</v>
      </c>
      <c r="AQ319" s="0" t="s">
        <v>100</v>
      </c>
    </row>
    <row r="320" ht="24.75">
      <c r="B320" s="0" t="s">
        <v>1117</v>
      </c>
      <c r="C320" s="1" t="n">
        <v>353635</v>
      </c>
      <c r="E320" s="14" t="s">
        <v>183</v>
      </c>
      <c r="F320" s="14" t="s">
        <v>184</v>
      </c>
      <c r="G320" s="25" t="str">
        <f>HYPERLINK("http://vk.com/wall267054429_1908")</f>
      </c>
      <c r="H320" s="14" t="s">
        <v>170</v>
      </c>
      <c r="I320" s="14" t="s">
        <v>171</v>
      </c>
      <c r="J320" s="14" t="s">
        <v>1119</v>
      </c>
      <c r="K320" s="26" t="str">
        <f>HYPERLINK("http://vk.com/id267054429")</f>
      </c>
      <c r="L320" s="14" t="s">
        <v>173</v>
      </c>
      <c r="O320" s="1" t="s">
        <v>186</v>
      </c>
      <c r="P320" s="1" t="n">
        <v>62</v>
      </c>
      <c r="Q320" s="1" t="n">
        <v>34</v>
      </c>
      <c r="R320" s="1" t="n">
        <v>0</v>
      </c>
      <c r="S320" s="1"/>
      <c r="T320" s="1" t="n">
        <v>0</v>
      </c>
      <c r="U320" s="1" t="n">
        <v>0</v>
      </c>
      <c r="V320" s="1" t="n">
        <v>0</v>
      </c>
      <c r="W320" s="1" t="n">
        <v>3</v>
      </c>
      <c r="Y320" s="1" t="n">
        <v>62</v>
      </c>
      <c r="Z320" s="0" t="s">
        <v>175</v>
      </c>
      <c r="AA320" s="0" t="s">
        <v>187</v>
      </c>
      <c r="AH320" s="0" t="s">
        <v>180</v>
      </c>
      <c r="AJ320" s="0" t="s">
        <v>437</v>
      </c>
      <c r="AK320" s="0" t="s">
        <v>94</v>
      </c>
      <c r="AO320" s="0" t="s">
        <v>98</v>
      </c>
      <c r="AP320" s="0" t="s">
        <v>99</v>
      </c>
      <c r="AR320" s="0" t="s">
        <v>101</v>
      </c>
      <c r="BA320" s="0" t="s">
        <v>110</v>
      </c>
      <c r="BH320" s="0" t="s">
        <v>117</v>
      </c>
    </row>
    <row r="321" ht="36.75">
      <c r="B321" s="0" t="s">
        <v>1120</v>
      </c>
      <c r="C321" s="1" t="n">
        <v>353632</v>
      </c>
      <c r="E321" s="14" t="s">
        <v>202</v>
      </c>
      <c r="F321" s="14" t="s">
        <v>184</v>
      </c>
      <c r="G321" s="25" t="str">
        <f>HYPERLINK("http://vk.com/wall572527805_5866")</f>
      </c>
      <c r="H321" s="14" t="s">
        <v>170</v>
      </c>
      <c r="I321" s="14" t="s">
        <v>171</v>
      </c>
      <c r="J321" s="14" t="s">
        <v>1121</v>
      </c>
      <c r="K321" s="26" t="str">
        <f>HYPERLINK("http://vk.com/id572527805")</f>
      </c>
      <c r="L321" s="14" t="s">
        <v>173</v>
      </c>
      <c r="O321" s="1" t="s">
        <v>186</v>
      </c>
      <c r="P321" s="1" t="n">
        <v>50</v>
      </c>
      <c r="Q321" s="1" t="n">
        <v>334</v>
      </c>
      <c r="R321" s="1" t="n">
        <v>0</v>
      </c>
      <c r="S321" s="1"/>
      <c r="T321" s="1" t="n">
        <v>0</v>
      </c>
      <c r="U321" s="1" t="n">
        <v>0</v>
      </c>
      <c r="V321" s="1" t="n">
        <v>0</v>
      </c>
      <c r="W321" s="1" t="n">
        <v>3</v>
      </c>
      <c r="Y321" s="1" t="n">
        <v>60</v>
      </c>
      <c r="Z321" s="0" t="s">
        <v>175</v>
      </c>
      <c r="AA321" s="0" t="s">
        <v>176</v>
      </c>
      <c r="AH321" s="0" t="s">
        <v>180</v>
      </c>
      <c r="AJ321" s="0" t="s">
        <v>437</v>
      </c>
      <c r="AK321" s="0" t="s">
        <v>94</v>
      </c>
      <c r="AL321" s="0" t="s">
        <v>95</v>
      </c>
      <c r="AM321" s="0" t="s">
        <v>96</v>
      </c>
      <c r="AO321" s="0" t="s">
        <v>98</v>
      </c>
      <c r="AQ321" s="0" t="s">
        <v>100</v>
      </c>
    </row>
    <row r="322" ht="1632.75">
      <c r="B322" s="0" t="s">
        <v>1122</v>
      </c>
      <c r="C322" s="1" t="n">
        <v>353626</v>
      </c>
      <c r="E322" s="14" t="s">
        <v>320</v>
      </c>
      <c r="F322" s="14" t="s">
        <v>184</v>
      </c>
      <c r="G322" s="25" t="str">
        <f>HYPERLINK("http://vk.com/wall175676633_8806")</f>
      </c>
      <c r="H322" s="14" t="s">
        <v>170</v>
      </c>
      <c r="I322" s="14" t="s">
        <v>171</v>
      </c>
      <c r="J322" s="14" t="s">
        <v>1123</v>
      </c>
      <c r="K322" s="26" t="str">
        <f>HYPERLINK("http://vk.com/id175676633")</f>
      </c>
      <c r="L322" s="14" t="s">
        <v>173</v>
      </c>
      <c r="O322" s="1" t="s">
        <v>186</v>
      </c>
      <c r="P322" s="1" t="n">
        <v>55</v>
      </c>
      <c r="Q322" s="1" t="n">
        <v>164</v>
      </c>
      <c r="R322" s="1" t="n">
        <v>0</v>
      </c>
      <c r="S322" s="1"/>
      <c r="T322" s="1" t="n">
        <v>0</v>
      </c>
      <c r="U322" s="1" t="n">
        <v>0</v>
      </c>
      <c r="V322" s="1" t="n">
        <v>0</v>
      </c>
      <c r="W322" s="1"/>
      <c r="Y322" s="1" t="n">
        <v>12</v>
      </c>
      <c r="Z322" s="0" t="s">
        <v>175</v>
      </c>
      <c r="AA322" s="0" t="s">
        <v>187</v>
      </c>
      <c r="AC322" s="0" t="s">
        <v>177</v>
      </c>
      <c r="AD322" s="0" t="s">
        <v>240</v>
      </c>
      <c r="AE322" s="0" t="s">
        <v>240</v>
      </c>
      <c r="AH322" s="0" t="s">
        <v>180</v>
      </c>
      <c r="AJ322" s="0" t="s">
        <v>437</v>
      </c>
      <c r="AK322" s="0" t="s">
        <v>94</v>
      </c>
      <c r="AL322" s="0" t="s">
        <v>95</v>
      </c>
      <c r="AM322" s="0" t="s">
        <v>96</v>
      </c>
      <c r="AP322" s="0" t="s">
        <v>99</v>
      </c>
      <c r="AX322" s="0" t="s">
        <v>107</v>
      </c>
    </row>
    <row r="323" ht="24.75">
      <c r="B323" s="0" t="s">
        <v>1122</v>
      </c>
      <c r="C323" s="1" t="n">
        <v>353715</v>
      </c>
      <c r="E323" s="14" t="s">
        <v>554</v>
      </c>
      <c r="F323" s="14" t="s">
        <v>169</v>
      </c>
      <c r="G323" s="25" t="str">
        <f>HYPERLINK("http://www.ok.ru/profile/568011806606/statuses/156074693249934")</f>
      </c>
      <c r="H323" s="14" t="s">
        <v>170</v>
      </c>
      <c r="I323" s="14" t="s">
        <v>171</v>
      </c>
      <c r="J323" s="14" t="s">
        <v>1124</v>
      </c>
      <c r="K323" s="26" t="str">
        <f>HYPERLINK("http://www.ok.ru/profile/568011806606")</f>
      </c>
      <c r="L323" s="14" t="s">
        <v>173</v>
      </c>
      <c r="O323" s="1" t="s">
        <v>186</v>
      </c>
      <c r="P323" s="1" t="n">
        <v>65</v>
      </c>
      <c r="Q323" s="1" t="n">
        <v>203</v>
      </c>
      <c r="R323" s="1" t="n">
        <v>0</v>
      </c>
      <c r="S323" s="1"/>
      <c r="T323" s="1" t="n">
        <v>0</v>
      </c>
      <c r="U323" s="1" t="n">
        <v>2</v>
      </c>
      <c r="V323" s="1" t="n">
        <v>2</v>
      </c>
      <c r="W323" s="1"/>
      <c r="Y323" s="1" t="n">
        <v>59</v>
      </c>
      <c r="Z323" s="0" t="s">
        <v>175</v>
      </c>
      <c r="AA323" s="0" t="s">
        <v>176</v>
      </c>
      <c r="AC323" s="0" t="s">
        <v>177</v>
      </c>
      <c r="AD323" s="0" t="s">
        <v>240</v>
      </c>
      <c r="AE323" s="0" t="s">
        <v>240</v>
      </c>
      <c r="AH323" s="0" t="s">
        <v>180</v>
      </c>
      <c r="AJ323" s="0" t="s">
        <v>437</v>
      </c>
      <c r="AK323" s="0" t="s">
        <v>94</v>
      </c>
      <c r="AL323" s="0" t="s">
        <v>95</v>
      </c>
      <c r="AM323" s="0" t="s">
        <v>96</v>
      </c>
      <c r="AO323" s="0" t="s">
        <v>98</v>
      </c>
      <c r="AQ323" s="0" t="s">
        <v>100</v>
      </c>
    </row>
    <row r="324">
      <c r="B324" s="0" t="s">
        <v>1122</v>
      </c>
      <c r="C324" s="1" t="n">
        <v>353836</v>
      </c>
      <c r="E324" s="14" t="s">
        <v>1125</v>
      </c>
      <c r="F324" s="14" t="s">
        <v>184</v>
      </c>
      <c r="G324" s="25" t="str">
        <f>HYPERLINK("http://vk.com/wall-178402016_167400?reply=167447&amp;thread=167402")</f>
      </c>
      <c r="H324" s="14" t="s">
        <v>170</v>
      </c>
      <c r="I324" s="14" t="s">
        <v>231</v>
      </c>
      <c r="J324" s="14" t="s">
        <v>1126</v>
      </c>
      <c r="K324" s="26" t="str">
        <f>HYPERLINK("http://vk.com/id793503511")</f>
      </c>
      <c r="L324" s="14" t="s">
        <v>173</v>
      </c>
      <c r="M324" s="14" t="s">
        <v>1127</v>
      </c>
      <c r="N324" s="25" t="str">
        <f>HYPERLINK("http://vk.com/club178402016")</f>
      </c>
      <c r="O324" s="1" t="s">
        <v>186</v>
      </c>
      <c r="P324" s="1" t="n">
        <v>24</v>
      </c>
      <c r="Q324" s="1" t="n">
        <v>28489</v>
      </c>
      <c r="R324" s="1" t="n">
        <v>0</v>
      </c>
      <c r="S324" s="1"/>
      <c r="T324" s="1" t="n">
        <v>0</v>
      </c>
      <c r="U324" s="1" t="n">
        <v>0</v>
      </c>
      <c r="V324" s="1" t="n">
        <v>0</v>
      </c>
      <c r="W324" s="1"/>
      <c r="Y324" s="1" t="n">
        <v>1</v>
      </c>
      <c r="Z324" s="0" t="s">
        <v>319</v>
      </c>
      <c r="AA324" s="0" t="s">
        <v>292</v>
      </c>
      <c r="AH324" s="0" t="s">
        <v>180</v>
      </c>
      <c r="AI324" s="0" t="s">
        <v>92</v>
      </c>
      <c r="AJ324" s="0" t="s">
        <v>437</v>
      </c>
      <c r="AK324" s="0" t="s">
        <v>94</v>
      </c>
      <c r="AN324" s="0" t="s">
        <v>97</v>
      </c>
      <c r="AY324" s="0" t="s">
        <v>108</v>
      </c>
      <c r="BF324" s="0" t="s">
        <v>115</v>
      </c>
      <c r="BS324" s="0" t="s">
        <v>128</v>
      </c>
    </row>
    <row r="325" ht="36.75">
      <c r="B325" s="0" t="s">
        <v>1128</v>
      </c>
      <c r="C325" s="1" t="n">
        <v>353701</v>
      </c>
      <c r="D325" s="0" t="s">
        <v>1093</v>
      </c>
      <c r="E325" s="14" t="s">
        <v>1129</v>
      </c>
      <c r="F325" s="14" t="s">
        <v>1130</v>
      </c>
      <c r="G325" s="25" t="str">
        <f>HYPERLINK("https://omskgazzeta.ru/all-news/v-omskih-aptekah-snizilis-ceny-na-zhiznenno-vazhnye-preparaty/")</f>
      </c>
      <c r="H325" s="14" t="s">
        <v>208</v>
      </c>
      <c r="I325" s="14" t="s">
        <v>194</v>
      </c>
      <c r="J325" s="14"/>
      <c r="L325" s="14"/>
      <c r="O325" s="1"/>
      <c r="P325" s="1"/>
      <c r="Q325" s="1"/>
      <c r="R325" s="1" t="n">
        <v>0</v>
      </c>
      <c r="S325" s="1" t="n">
        <v>4163</v>
      </c>
      <c r="T325" s="1" t="n">
        <v>0</v>
      </c>
      <c r="U325" s="1" t="n">
        <v>0</v>
      </c>
      <c r="V325" s="1" t="n">
        <v>0</v>
      </c>
      <c r="W325" s="1"/>
      <c r="Y325" s="1" t="n">
        <v>1</v>
      </c>
      <c r="Z325" s="0" t="s">
        <v>175</v>
      </c>
      <c r="AA325" s="0" t="s">
        <v>176</v>
      </c>
      <c r="AH325" s="0" t="s">
        <v>180</v>
      </c>
      <c r="AJ325" s="0" t="s">
        <v>437</v>
      </c>
      <c r="AK325" s="0" t="s">
        <v>94</v>
      </c>
      <c r="AL325" s="0" t="s">
        <v>95</v>
      </c>
      <c r="BD325" s="0" t="s">
        <v>113</v>
      </c>
      <c r="BJ325" s="0" t="s">
        <v>119</v>
      </c>
      <c r="BK325" s="0" t="s">
        <v>120</v>
      </c>
    </row>
    <row r="326">
      <c r="B326" s="0" t="s">
        <v>1128</v>
      </c>
      <c r="C326" s="1" t="n">
        <v>353713</v>
      </c>
      <c r="D326" s="0" t="s">
        <v>1131</v>
      </c>
      <c r="E326" s="14" t="s">
        <v>1132</v>
      </c>
      <c r="F326" s="14" t="s">
        <v>870</v>
      </c>
      <c r="G326" s="25" t="str">
        <f>HYPERLINK("https://dzen.ru/news/story/Vomskikh_aptekakh_snizilis_ceny_nazhiznenno_vazhnye_preparaty--8056e0f918a37defad903a7ad0de5ebd")</f>
      </c>
      <c r="H326" s="14" t="s">
        <v>208</v>
      </c>
      <c r="I326" s="14" t="s">
        <v>194</v>
      </c>
      <c r="J326" s="14"/>
      <c r="L326" s="14"/>
      <c r="O326" s="1"/>
      <c r="P326" s="1"/>
      <c r="Q326" s="1"/>
      <c r="R326" s="1" t="n">
        <v>0</v>
      </c>
      <c r="S326" s="1" t="n">
        <v>137128</v>
      </c>
      <c r="T326" s="1" t="n">
        <v>0</v>
      </c>
      <c r="U326" s="1" t="n">
        <v>0</v>
      </c>
      <c r="V326" s="1" t="n">
        <v>0</v>
      </c>
      <c r="W326" s="1"/>
      <c r="Y326" s="1" t="n">
        <v>1</v>
      </c>
      <c r="Z326" s="0" t="s">
        <v>175</v>
      </c>
      <c r="AA326" s="0" t="s">
        <v>223</v>
      </c>
      <c r="AH326" s="0" t="s">
        <v>180</v>
      </c>
      <c r="AJ326" s="0" t="s">
        <v>437</v>
      </c>
      <c r="AL326" s="0" t="s">
        <v>95</v>
      </c>
      <c r="BD326" s="0" t="s">
        <v>113</v>
      </c>
      <c r="BK326" s="0" t="s">
        <v>120</v>
      </c>
    </row>
    <row r="327">
      <c r="B327" s="0" t="s">
        <v>1133</v>
      </c>
      <c r="C327" s="1" t="n">
        <v>353843</v>
      </c>
      <c r="E327" s="14" t="s">
        <v>1134</v>
      </c>
      <c r="F327" s="14" t="s">
        <v>184</v>
      </c>
      <c r="G327" s="25" t="str">
        <f>HYPERLINK("http://vk.com/wall-84895952_1623723?reply=1623753&amp;thread=1623725")</f>
      </c>
      <c r="H327" s="14" t="s">
        <v>170</v>
      </c>
      <c r="I327" s="14" t="s">
        <v>231</v>
      </c>
      <c r="J327" s="14" t="s">
        <v>1135</v>
      </c>
      <c r="K327" s="26" t="str">
        <f>HYPERLINK("http://vk.com/id228169329")</f>
      </c>
      <c r="L327" s="14" t="s">
        <v>173</v>
      </c>
      <c r="M327" s="14" t="s">
        <v>1136</v>
      </c>
      <c r="N327" s="25" t="str">
        <f>HYPERLINK("http://vk.com/club84895952")</f>
      </c>
      <c r="O327" s="1" t="s">
        <v>186</v>
      </c>
      <c r="P327" s="1" t="n">
        <v>23</v>
      </c>
      <c r="Q327" s="1" t="n">
        <v>28076</v>
      </c>
      <c r="R327" s="1" t="n">
        <v>0</v>
      </c>
      <c r="S327" s="1"/>
      <c r="T327" s="1" t="n">
        <v>0</v>
      </c>
      <c r="U327" s="1" t="n">
        <v>0</v>
      </c>
      <c r="V327" s="1" t="n">
        <v>0</v>
      </c>
      <c r="W327" s="1"/>
      <c r="Y327" s="1" t="n">
        <v>1</v>
      </c>
      <c r="Z327" s="0" t="s">
        <v>463</v>
      </c>
      <c r="AA327" s="0" t="s">
        <v>292</v>
      </c>
      <c r="AC327" s="0" t="s">
        <v>177</v>
      </c>
      <c r="AD327" s="0" t="s">
        <v>1058</v>
      </c>
      <c r="AE327" s="0" t="s">
        <v>1059</v>
      </c>
      <c r="AH327" s="0" t="s">
        <v>180</v>
      </c>
      <c r="AI327" s="0" t="s">
        <v>92</v>
      </c>
      <c r="AJ327" s="0" t="s">
        <v>437</v>
      </c>
      <c r="AK327" s="0" t="s">
        <v>94</v>
      </c>
      <c r="AL327" s="0" t="s">
        <v>95</v>
      </c>
      <c r="AN327" s="0" t="s">
        <v>97</v>
      </c>
      <c r="AO327" s="0" t="s">
        <v>98</v>
      </c>
      <c r="AR327" s="0" t="s">
        <v>101</v>
      </c>
      <c r="CK327" s="0" t="s">
        <v>146</v>
      </c>
    </row>
    <row r="328" ht="24.75">
      <c r="B328" s="0" t="s">
        <v>1133</v>
      </c>
      <c r="C328" s="1" t="n">
        <v>353620</v>
      </c>
      <c r="E328" s="14" t="s">
        <v>296</v>
      </c>
      <c r="F328" s="14" t="s">
        <v>184</v>
      </c>
      <c r="G328" s="25" t="str">
        <f>HYPERLINK("http://vk.com/wall573382094_1155")</f>
      </c>
      <c r="H328" s="14" t="s">
        <v>170</v>
      </c>
      <c r="I328" s="14" t="s">
        <v>171</v>
      </c>
      <c r="J328" s="14" t="s">
        <v>1047</v>
      </c>
      <c r="K328" s="26" t="str">
        <f>HYPERLINK("http://vk.com/id573382094")</f>
      </c>
      <c r="L328" s="14" t="s">
        <v>173</v>
      </c>
      <c r="O328" s="1" t="s">
        <v>186</v>
      </c>
      <c r="P328" s="1" t="n">
        <v>66</v>
      </c>
      <c r="Q328" s="1" t="n">
        <v>1</v>
      </c>
      <c r="R328" s="1" t="n">
        <v>0</v>
      </c>
      <c r="S328" s="1"/>
      <c r="T328" s="1" t="n">
        <v>0</v>
      </c>
      <c r="U328" s="1" t="n">
        <v>0</v>
      </c>
      <c r="V328" s="1" t="n">
        <v>0</v>
      </c>
      <c r="W328" s="1"/>
      <c r="Y328" s="1" t="n">
        <v>92</v>
      </c>
      <c r="Z328" s="0" t="s">
        <v>175</v>
      </c>
      <c r="AA328" s="0" t="s">
        <v>187</v>
      </c>
      <c r="AC328" s="0" t="s">
        <v>177</v>
      </c>
      <c r="AD328" s="0" t="s">
        <v>392</v>
      </c>
      <c r="AE328" s="0" t="s">
        <v>1048</v>
      </c>
      <c r="AH328" s="0" t="s">
        <v>180</v>
      </c>
      <c r="AJ328" s="0" t="s">
        <v>437</v>
      </c>
      <c r="AK328" s="0" t="s">
        <v>94</v>
      </c>
      <c r="AM328" s="0" t="s">
        <v>96</v>
      </c>
      <c r="AP328" s="0" t="s">
        <v>99</v>
      </c>
      <c r="AU328" s="0" t="s">
        <v>104</v>
      </c>
      <c r="AV328" s="0" t="s">
        <v>105</v>
      </c>
    </row>
    <row r="329" ht="36.75">
      <c r="B329" s="0" t="s">
        <v>1133</v>
      </c>
      <c r="C329" s="1" t="n">
        <v>353616</v>
      </c>
      <c r="E329" s="14" t="s">
        <v>202</v>
      </c>
      <c r="F329" s="14" t="s">
        <v>184</v>
      </c>
      <c r="G329" s="25" t="str">
        <f>HYPERLINK("http://vk.com/wall451858981_1441")</f>
      </c>
      <c r="H329" s="14" t="s">
        <v>170</v>
      </c>
      <c r="I329" s="14" t="s">
        <v>171</v>
      </c>
      <c r="J329" s="14" t="s">
        <v>1137</v>
      </c>
      <c r="K329" s="26" t="str">
        <f>HYPERLINK("http://vk.com/id451858981")</f>
      </c>
      <c r="L329" s="14" t="s">
        <v>173</v>
      </c>
      <c r="O329" s="1" t="s">
        <v>186</v>
      </c>
      <c r="P329" s="1" t="n">
        <v>68</v>
      </c>
      <c r="Q329" s="1" t="n">
        <v>90</v>
      </c>
      <c r="R329" s="1" t="n">
        <v>0</v>
      </c>
      <c r="S329" s="1"/>
      <c r="T329" s="1" t="n">
        <v>0</v>
      </c>
      <c r="U329" s="1" t="n">
        <v>0</v>
      </c>
      <c r="V329" s="1" t="n">
        <v>0</v>
      </c>
      <c r="W329" s="1"/>
      <c r="Y329" s="1" t="n">
        <v>60</v>
      </c>
      <c r="Z329" s="0" t="s">
        <v>175</v>
      </c>
      <c r="AA329" s="0" t="s">
        <v>176</v>
      </c>
      <c r="AC329" s="0" t="s">
        <v>177</v>
      </c>
      <c r="AD329" s="0" t="s">
        <v>454</v>
      </c>
      <c r="AE329" s="0" t="s">
        <v>1138</v>
      </c>
      <c r="AH329" s="0" t="s">
        <v>180</v>
      </c>
      <c r="AJ329" s="0" t="s">
        <v>437</v>
      </c>
      <c r="AK329" s="0" t="s">
        <v>94</v>
      </c>
      <c r="AL329" s="0" t="s">
        <v>95</v>
      </c>
      <c r="AM329" s="0" t="s">
        <v>96</v>
      </c>
      <c r="AO329" s="0" t="s">
        <v>98</v>
      </c>
      <c r="AQ329" s="0" t="s">
        <v>100</v>
      </c>
    </row>
    <row r="330">
      <c r="B330" s="0" t="s">
        <v>1133</v>
      </c>
      <c r="C330" s="1" t="n">
        <v>353619</v>
      </c>
      <c r="E330" s="14" t="s">
        <v>1139</v>
      </c>
      <c r="F330" s="14" t="s">
        <v>184</v>
      </c>
      <c r="G330" s="25" t="str">
        <f>HYPERLINK("http://vk.com/wall-153326247_489378?reply=489397")</f>
      </c>
      <c r="H330" s="14" t="s">
        <v>170</v>
      </c>
      <c r="I330" s="14" t="s">
        <v>231</v>
      </c>
      <c r="J330" s="14" t="s">
        <v>1140</v>
      </c>
      <c r="K330" s="26" t="str">
        <f>HYPERLINK("http://vk.com/id19383621")</f>
      </c>
      <c r="L330" s="14" t="s">
        <v>173</v>
      </c>
      <c r="M330" s="14" t="s">
        <v>663</v>
      </c>
      <c r="N330" s="25" t="str">
        <f>HYPERLINK("http://vk.com/club153326247")</f>
      </c>
      <c r="O330" s="1" t="s">
        <v>186</v>
      </c>
      <c r="P330" s="1" t="n">
        <v>39</v>
      </c>
      <c r="Q330" s="1" t="n">
        <v>27180</v>
      </c>
      <c r="R330" s="1" t="n">
        <v>0</v>
      </c>
      <c r="S330" s="1"/>
      <c r="T330" s="1" t="n">
        <v>0</v>
      </c>
      <c r="U330" s="1" t="n">
        <v>0</v>
      </c>
      <c r="V330" s="1" t="n">
        <v>0</v>
      </c>
      <c r="W330" s="1"/>
      <c r="Y330" s="1" t="n">
        <v>1</v>
      </c>
      <c r="Z330" s="0" t="s">
        <v>175</v>
      </c>
      <c r="AA330" s="0" t="s">
        <v>187</v>
      </c>
      <c r="AC330" s="0" t="s">
        <v>177</v>
      </c>
      <c r="AD330" s="0" t="s">
        <v>293</v>
      </c>
      <c r="AE330" s="0" t="s">
        <v>294</v>
      </c>
      <c r="AH330" s="0" t="s">
        <v>180</v>
      </c>
      <c r="AI330" s="0" t="s">
        <v>92</v>
      </c>
      <c r="AJ330" s="0" t="s">
        <v>437</v>
      </c>
      <c r="AK330" s="0" t="s">
        <v>94</v>
      </c>
      <c r="AN330" s="0" t="s">
        <v>97</v>
      </c>
      <c r="AP330" s="0" t="s">
        <v>99</v>
      </c>
      <c r="AR330" s="0" t="s">
        <v>101</v>
      </c>
      <c r="AT330" s="0" t="s">
        <v>103</v>
      </c>
      <c r="BB330" s="0" t="s">
        <v>111</v>
      </c>
      <c r="CE330" s="0" t="s">
        <v>140</v>
      </c>
    </row>
    <row r="331">
      <c r="B331" s="0" t="s">
        <v>1141</v>
      </c>
      <c r="C331" s="1" t="n">
        <v>353856</v>
      </c>
      <c r="E331" s="14" t="s">
        <v>1142</v>
      </c>
      <c r="F331" s="14" t="s">
        <v>184</v>
      </c>
      <c r="G331" s="25" t="str">
        <f>HYPERLINK("http://vk.com/wall-188861514_47789?reply=47830&amp;thread=47801")</f>
      </c>
      <c r="H331" s="14" t="s">
        <v>170</v>
      </c>
      <c r="I331" s="14" t="s">
        <v>231</v>
      </c>
      <c r="J331" s="14" t="s">
        <v>1126</v>
      </c>
      <c r="K331" s="26" t="str">
        <f>HYPERLINK("http://vk.com/id793503511")</f>
      </c>
      <c r="L331" s="14" t="s">
        <v>173</v>
      </c>
      <c r="M331" s="14" t="s">
        <v>1143</v>
      </c>
      <c r="N331" s="25" t="str">
        <f>HYPERLINK("http://vk.com/club188861514")</f>
      </c>
      <c r="O331" s="1" t="s">
        <v>186</v>
      </c>
      <c r="P331" s="1" t="n">
        <v>24</v>
      </c>
      <c r="Q331" s="1" t="n">
        <v>18429</v>
      </c>
      <c r="R331" s="1" t="n">
        <v>0</v>
      </c>
      <c r="S331" s="1"/>
      <c r="T331" s="1" t="n">
        <v>0</v>
      </c>
      <c r="U331" s="1" t="n">
        <v>0</v>
      </c>
      <c r="V331" s="1" t="n">
        <v>0</v>
      </c>
      <c r="W331" s="1"/>
      <c r="Y331" s="1" t="n">
        <v>1</v>
      </c>
      <c r="Z331" s="0" t="s">
        <v>319</v>
      </c>
      <c r="AA331" s="0" t="s">
        <v>292</v>
      </c>
      <c r="AH331" s="0" t="s">
        <v>180</v>
      </c>
      <c r="AI331" s="0" t="s">
        <v>92</v>
      </c>
      <c r="AJ331" s="0" t="s">
        <v>437</v>
      </c>
      <c r="AK331" s="0" t="s">
        <v>94</v>
      </c>
      <c r="AY331" s="0" t="s">
        <v>108</v>
      </c>
      <c r="BG331" s="0" t="s">
        <v>116</v>
      </c>
      <c r="BS331" s="0" t="s">
        <v>128</v>
      </c>
      <c r="CA331" s="0" t="s">
        <v>136</v>
      </c>
      <c r="CO331" s="0" t="s">
        <v>150</v>
      </c>
    </row>
    <row r="332" ht="24.75">
      <c r="B332" s="0" t="s">
        <v>1141</v>
      </c>
      <c r="C332" s="1" t="n">
        <v>353947</v>
      </c>
      <c r="E332" s="14" t="s">
        <v>440</v>
      </c>
      <c r="F332" s="14" t="s">
        <v>169</v>
      </c>
      <c r="G332" s="25" t="str">
        <f>HYPERLINK("http://www.ok.ru/profile/554959820666/statuses/155173222524282")</f>
      </c>
      <c r="H332" s="14" t="s">
        <v>170</v>
      </c>
      <c r="I332" s="14" t="s">
        <v>171</v>
      </c>
      <c r="J332" s="14" t="s">
        <v>1144</v>
      </c>
      <c r="K332" s="26" t="str">
        <f>HYPERLINK("http://www.ok.ru/profile/554959820666")</f>
      </c>
      <c r="L332" s="14" t="s">
        <v>173</v>
      </c>
      <c r="O332" s="1" t="s">
        <v>174</v>
      </c>
      <c r="P332" s="1" t="n">
        <v>71</v>
      </c>
      <c r="Q332" s="1" t="n">
        <v>1065</v>
      </c>
      <c r="R332" s="1" t="n">
        <v>0</v>
      </c>
      <c r="S332" s="1"/>
      <c r="T332" s="1" t="n">
        <v>0</v>
      </c>
      <c r="U332" s="1" t="n">
        <v>1</v>
      </c>
      <c r="V332" s="1" t="n">
        <v>1</v>
      </c>
      <c r="W332" s="1"/>
      <c r="Y332" s="1" t="n">
        <v>17</v>
      </c>
      <c r="Z332" s="0" t="s">
        <v>175</v>
      </c>
      <c r="AA332" s="0" t="s">
        <v>176</v>
      </c>
      <c r="AC332" s="0" t="s">
        <v>177</v>
      </c>
      <c r="AH332" s="0" t="s">
        <v>180</v>
      </c>
      <c r="AJ332" s="0" t="s">
        <v>437</v>
      </c>
      <c r="AK332" s="0" t="s">
        <v>94</v>
      </c>
      <c r="AL332" s="0" t="s">
        <v>95</v>
      </c>
      <c r="AM332" s="0" t="s">
        <v>96</v>
      </c>
      <c r="AO332" s="0" t="s">
        <v>98</v>
      </c>
      <c r="AQ332" s="0" t="s">
        <v>100</v>
      </c>
    </row>
    <row r="333" ht="168.75">
      <c r="B333" s="0" t="s">
        <v>1141</v>
      </c>
      <c r="C333" s="1" t="n">
        <v>353829</v>
      </c>
      <c r="D333" s="0" t="s">
        <v>1145</v>
      </c>
      <c r="E333" s="14" t="s">
        <v>1146</v>
      </c>
      <c r="F333" s="14" t="s">
        <v>1147</v>
      </c>
      <c r="G333" s="25" t="str">
        <f>HYPERLINK("https://kursk.bezformata.com/listnews/tceni-tarifi-i-indeksi-potrebitelskih/116241146/")</f>
      </c>
      <c r="H333" s="14" t="s">
        <v>208</v>
      </c>
      <c r="I333" s="14" t="s">
        <v>194</v>
      </c>
      <c r="J333" s="14"/>
      <c r="L333" s="14"/>
      <c r="O333" s="1"/>
      <c r="P333" s="1"/>
      <c r="Q333" s="1"/>
      <c r="R333" s="1" t="n">
        <v>0</v>
      </c>
      <c r="S333" s="1" t="n">
        <v>26</v>
      </c>
      <c r="T333" s="1" t="n">
        <v>0</v>
      </c>
      <c r="U333" s="1" t="n">
        <v>0</v>
      </c>
      <c r="V333" s="1" t="n">
        <v>0</v>
      </c>
      <c r="W333" s="1"/>
      <c r="Y333" s="1" t="n">
        <v>1</v>
      </c>
      <c r="Z333" s="0" t="s">
        <v>175</v>
      </c>
      <c r="AA333" s="0" t="s">
        <v>176</v>
      </c>
      <c r="AH333" s="0" t="s">
        <v>180</v>
      </c>
      <c r="AJ333" s="0" t="s">
        <v>437</v>
      </c>
      <c r="AM333" s="0" t="s">
        <v>96</v>
      </c>
      <c r="AP333" s="0" t="s">
        <v>99</v>
      </c>
      <c r="BD333" s="0" t="s">
        <v>113</v>
      </c>
      <c r="BP333" s="0" t="s">
        <v>125</v>
      </c>
    </row>
    <row r="334">
      <c r="B334" s="0" t="s">
        <v>1148</v>
      </c>
      <c r="C334" s="1" t="n">
        <v>353638</v>
      </c>
      <c r="E334" s="14" t="s">
        <v>1149</v>
      </c>
      <c r="F334" s="14" t="s">
        <v>184</v>
      </c>
      <c r="G334" s="25" t="str">
        <f>HYPERLINK("http://vk.com/wall414388649_2284")</f>
      </c>
      <c r="H334" s="14" t="s">
        <v>170</v>
      </c>
      <c r="I334" s="14" t="s">
        <v>171</v>
      </c>
      <c r="J334" s="14" t="s">
        <v>1150</v>
      </c>
      <c r="K334" s="26" t="str">
        <f>HYPERLINK("http://vk.com/id414388649")</f>
      </c>
      <c r="L334" s="14" t="s">
        <v>173</v>
      </c>
      <c r="O334" s="1" t="s">
        <v>186</v>
      </c>
      <c r="P334" s="1" t="n">
        <v>42</v>
      </c>
      <c r="Q334" s="1" t="n">
        <v>233</v>
      </c>
      <c r="R334" s="1" t="n">
        <v>0</v>
      </c>
      <c r="S334" s="1"/>
      <c r="T334" s="1" t="n">
        <v>0</v>
      </c>
      <c r="U334" s="1" t="n">
        <v>0</v>
      </c>
      <c r="V334" s="1" t="n">
        <v>0</v>
      </c>
      <c r="W334" s="1"/>
      <c r="Y334" s="1" t="n">
        <v>1</v>
      </c>
      <c r="Z334" s="0" t="s">
        <v>175</v>
      </c>
      <c r="AA334" s="0" t="s">
        <v>187</v>
      </c>
      <c r="AH334" s="0" t="s">
        <v>180</v>
      </c>
      <c r="AJ334" s="0" t="s">
        <v>437</v>
      </c>
      <c r="AK334" s="0" t="s">
        <v>94</v>
      </c>
      <c r="AL334" s="0" t="s">
        <v>95</v>
      </c>
      <c r="AM334" s="0" t="s">
        <v>96</v>
      </c>
      <c r="AP334" s="0" t="s">
        <v>99</v>
      </c>
      <c r="AX334" s="0" t="s">
        <v>107</v>
      </c>
    </row>
    <row r="335">
      <c r="B335" s="0" t="s">
        <v>1151</v>
      </c>
      <c r="C335" s="1" t="n">
        <v>353849</v>
      </c>
      <c r="E335" s="14" t="s">
        <v>1152</v>
      </c>
      <c r="F335" s="14" t="s">
        <v>184</v>
      </c>
      <c r="G335" s="25" t="str">
        <f>HYPERLINK("http://vk.com/wall-48142326_2090753?reply=2090887&amp;thread=2090875")</f>
      </c>
      <c r="H335" s="14" t="s">
        <v>170</v>
      </c>
      <c r="I335" s="14" t="s">
        <v>231</v>
      </c>
      <c r="J335" s="14" t="s">
        <v>1126</v>
      </c>
      <c r="K335" s="26" t="str">
        <f>HYPERLINK("http://vk.com/id793503511")</f>
      </c>
      <c r="L335" s="14" t="s">
        <v>173</v>
      </c>
      <c r="M335" s="14" t="s">
        <v>1153</v>
      </c>
      <c r="N335" s="25" t="str">
        <f>HYPERLINK("http://vk.com/club48142326")</f>
      </c>
      <c r="O335" s="1" t="s">
        <v>186</v>
      </c>
      <c r="P335" s="1" t="n">
        <v>24</v>
      </c>
      <c r="Q335" s="1" t="n">
        <v>37821</v>
      </c>
      <c r="R335" s="1" t="n">
        <v>0</v>
      </c>
      <c r="S335" s="1"/>
      <c r="T335" s="1" t="n">
        <v>0</v>
      </c>
      <c r="U335" s="1" t="n">
        <v>0</v>
      </c>
      <c r="V335" s="1" t="n">
        <v>0</v>
      </c>
      <c r="W335" s="1"/>
      <c r="Y335" s="1" t="n">
        <v>1</v>
      </c>
      <c r="Z335" s="0" t="s">
        <v>319</v>
      </c>
      <c r="AA335" s="0" t="s">
        <v>292</v>
      </c>
      <c r="AH335" s="0" t="s">
        <v>180</v>
      </c>
      <c r="AI335" s="0" t="s">
        <v>92</v>
      </c>
      <c r="AJ335" s="0" t="s">
        <v>437</v>
      </c>
      <c r="AN335" s="0" t="s">
        <v>97</v>
      </c>
      <c r="AS335" s="0" t="s">
        <v>102</v>
      </c>
      <c r="AY335" s="0" t="s">
        <v>108</v>
      </c>
      <c r="BB335" s="0" t="s">
        <v>111</v>
      </c>
      <c r="BS335" s="0" t="s">
        <v>128</v>
      </c>
      <c r="CA335" s="0" t="s">
        <v>136</v>
      </c>
    </row>
    <row r="336">
      <c r="B336" s="0" t="s">
        <v>1151</v>
      </c>
      <c r="C336" s="1" t="n">
        <v>353738</v>
      </c>
      <c r="D336" s="0" t="s">
        <v>1154</v>
      </c>
      <c r="E336" s="14" t="s">
        <v>1155</v>
      </c>
      <c r="F336" s="14" t="s">
        <v>263</v>
      </c>
      <c r="G336" s="25" t="str">
        <f>HYPERLINK("https://www.baby.ru/blogs/post/2611557830-407026791/")</f>
      </c>
      <c r="H336" s="14" t="s">
        <v>264</v>
      </c>
      <c r="I336" s="14" t="s">
        <v>231</v>
      </c>
      <c r="J336" s="14" t="s">
        <v>1156</v>
      </c>
      <c r="K336" s="26" t="str">
        <f>HYPERLINK("https://www.baby.ru/u/usr2935939/")</f>
      </c>
      <c r="L336" s="14"/>
      <c r="M336" s="14" t="s">
        <v>1157</v>
      </c>
      <c r="N336" s="25" t="str">
        <f>HYPERLINK("https://www.baby.ru/u/usr2000311/")</f>
      </c>
      <c r="O336" s="1"/>
      <c r="P336" s="1"/>
      <c r="Q336" s="1"/>
      <c r="R336" s="1" t="n">
        <v>0</v>
      </c>
      <c r="S336" s="1"/>
      <c r="T336" s="1" t="n">
        <v>0</v>
      </c>
      <c r="U336" s="1" t="n">
        <v>0</v>
      </c>
      <c r="V336" s="1" t="n">
        <v>0</v>
      </c>
      <c r="W336" s="1"/>
      <c r="Y336" s="1" t="n">
        <v>1</v>
      </c>
      <c r="Z336" s="0" t="s">
        <v>175</v>
      </c>
      <c r="AA336" s="0" t="s">
        <v>187</v>
      </c>
      <c r="AH336" s="0" t="s">
        <v>180</v>
      </c>
      <c r="AJ336" s="0" t="s">
        <v>437</v>
      </c>
      <c r="AK336" s="0" t="s">
        <v>94</v>
      </c>
      <c r="AL336" s="0" t="s">
        <v>95</v>
      </c>
      <c r="AN336" s="0" t="s">
        <v>97</v>
      </c>
      <c r="AR336" s="0" t="s">
        <v>101</v>
      </c>
      <c r="AS336" s="0" t="s">
        <v>102</v>
      </c>
      <c r="BB336" s="0" t="s">
        <v>111</v>
      </c>
      <c r="BQ336" s="0" t="s">
        <v>126</v>
      </c>
      <c r="BV336" s="0" t="s">
        <v>131</v>
      </c>
    </row>
    <row r="337">
      <c r="B337" s="0" t="s">
        <v>1158</v>
      </c>
      <c r="C337" s="1" t="n">
        <v>353844</v>
      </c>
      <c r="E337" s="14" t="s">
        <v>1159</v>
      </c>
      <c r="F337" s="14" t="s">
        <v>184</v>
      </c>
      <c r="G337" s="25" t="str">
        <f>HYPERLINK("http://vk.com/wall-26296001_86094?reply=86156&amp;thread=86112")</f>
      </c>
      <c r="H337" s="14" t="s">
        <v>170</v>
      </c>
      <c r="I337" s="14" t="s">
        <v>231</v>
      </c>
      <c r="J337" s="14" t="s">
        <v>1126</v>
      </c>
      <c r="K337" s="26" t="str">
        <f>HYPERLINK("http://vk.com/id793503511")</f>
      </c>
      <c r="L337" s="14" t="s">
        <v>173</v>
      </c>
      <c r="M337" s="14" t="s">
        <v>1160</v>
      </c>
      <c r="N337" s="25" t="str">
        <f>HYPERLINK("http://vk.com/club26296001")</f>
      </c>
      <c r="O337" s="1" t="s">
        <v>186</v>
      </c>
      <c r="P337" s="1" t="n">
        <v>24</v>
      </c>
      <c r="Q337" s="1" t="n">
        <v>8897</v>
      </c>
      <c r="R337" s="1" t="n">
        <v>0</v>
      </c>
      <c r="S337" s="1"/>
      <c r="T337" s="1" t="n">
        <v>0</v>
      </c>
      <c r="U337" s="1" t="n">
        <v>0</v>
      </c>
      <c r="V337" s="1" t="n">
        <v>0</v>
      </c>
      <c r="W337" s="1"/>
      <c r="Y337" s="1" t="n">
        <v>1</v>
      </c>
      <c r="Z337" s="0" t="s">
        <v>319</v>
      </c>
      <c r="AA337" s="0" t="s">
        <v>292</v>
      </c>
      <c r="AH337" s="0" t="s">
        <v>180</v>
      </c>
      <c r="AI337" s="0" t="s">
        <v>92</v>
      </c>
      <c r="AJ337" s="0" t="s">
        <v>437</v>
      </c>
      <c r="AN337" s="0" t="s">
        <v>97</v>
      </c>
      <c r="AS337" s="0" t="s">
        <v>102</v>
      </c>
      <c r="AY337" s="0" t="s">
        <v>108</v>
      </c>
      <c r="BB337" s="0" t="s">
        <v>111</v>
      </c>
      <c r="BG337" s="0" t="s">
        <v>116</v>
      </c>
      <c r="BS337" s="0" t="s">
        <v>128</v>
      </c>
      <c r="CA337" s="0" t="s">
        <v>136</v>
      </c>
    </row>
    <row r="338" ht="24.75">
      <c r="B338" s="0" t="s">
        <v>1161</v>
      </c>
      <c r="C338" s="1" t="n">
        <v>353607</v>
      </c>
      <c r="E338" s="14" t="s">
        <v>1162</v>
      </c>
      <c r="F338" s="14" t="s">
        <v>184</v>
      </c>
      <c r="G338" s="25" t="str">
        <f>HYPERLINK("http://vk.com/wall179118757_14399")</f>
      </c>
      <c r="H338" s="14" t="s">
        <v>170</v>
      </c>
      <c r="I338" s="14" t="s">
        <v>171</v>
      </c>
      <c r="J338" s="14" t="s">
        <v>1163</v>
      </c>
      <c r="K338" s="26" t="str">
        <f>HYPERLINK("http://vk.com/id179118757")</f>
      </c>
      <c r="L338" s="14" t="s">
        <v>173</v>
      </c>
      <c r="O338" s="1" t="s">
        <v>186</v>
      </c>
      <c r="P338" s="1" t="n">
        <v>66</v>
      </c>
      <c r="Q338" s="1" t="n">
        <v>183</v>
      </c>
      <c r="R338" s="1" t="n">
        <v>0</v>
      </c>
      <c r="S338" s="1"/>
      <c r="T338" s="1" t="n">
        <v>0</v>
      </c>
      <c r="U338" s="1" t="n">
        <v>0</v>
      </c>
      <c r="V338" s="1" t="n">
        <v>0</v>
      </c>
      <c r="W338" s="1" t="n">
        <v>1</v>
      </c>
      <c r="Y338" s="1" t="n">
        <v>4</v>
      </c>
      <c r="Z338" s="0" t="s">
        <v>175</v>
      </c>
      <c r="AA338" s="0" t="s">
        <v>187</v>
      </c>
      <c r="AC338" s="0" t="s">
        <v>177</v>
      </c>
      <c r="AD338" s="0" t="s">
        <v>767</v>
      </c>
      <c r="AE338" s="0" t="s">
        <v>1164</v>
      </c>
      <c r="AH338" s="0" t="s">
        <v>180</v>
      </c>
      <c r="AJ338" s="0" t="s">
        <v>437</v>
      </c>
      <c r="AK338" s="0" t="s">
        <v>94</v>
      </c>
      <c r="AM338" s="0" t="s">
        <v>96</v>
      </c>
      <c r="AP338" s="0" t="s">
        <v>99</v>
      </c>
      <c r="BC338" s="0" t="s">
        <v>112</v>
      </c>
      <c r="BN338" s="0" t="s">
        <v>123</v>
      </c>
    </row>
    <row r="339" ht="1632.75">
      <c r="B339" s="0" t="s">
        <v>1165</v>
      </c>
      <c r="C339" s="1" t="n">
        <v>353597</v>
      </c>
      <c r="E339" s="14" t="s">
        <v>320</v>
      </c>
      <c r="F339" s="14" t="s">
        <v>184</v>
      </c>
      <c r="G339" s="25" t="str">
        <f>HYPERLINK("http://vk.com/wall695161381_40")</f>
      </c>
      <c r="H339" s="14" t="s">
        <v>170</v>
      </c>
      <c r="I339" s="14" t="s">
        <v>171</v>
      </c>
      <c r="J339" s="14" t="s">
        <v>1166</v>
      </c>
      <c r="K339" s="26" t="str">
        <f>HYPERLINK("http://vk.com/id695161381")</f>
      </c>
      <c r="L339" s="14" t="s">
        <v>173</v>
      </c>
      <c r="O339" s="1" t="s">
        <v>186</v>
      </c>
      <c r="P339" s="1" t="n">
        <v>59</v>
      </c>
      <c r="Q339" s="1" t="n">
        <v>35</v>
      </c>
      <c r="R339" s="1" t="n">
        <v>0</v>
      </c>
      <c r="S339" s="1"/>
      <c r="T339" s="1" t="n">
        <v>0</v>
      </c>
      <c r="U339" s="1" t="n">
        <v>0</v>
      </c>
      <c r="V339" s="1" t="n">
        <v>0</v>
      </c>
      <c r="W339" s="1"/>
      <c r="Y339" s="1" t="n">
        <v>12</v>
      </c>
      <c r="Z339" s="0" t="s">
        <v>175</v>
      </c>
      <c r="AA339" s="0" t="s">
        <v>187</v>
      </c>
      <c r="AC339" s="0" t="s">
        <v>177</v>
      </c>
      <c r="AD339" s="0" t="s">
        <v>1104</v>
      </c>
      <c r="AE339" s="0" t="s">
        <v>1167</v>
      </c>
      <c r="AH339" s="0" t="s">
        <v>180</v>
      </c>
      <c r="AJ339" s="0" t="s">
        <v>437</v>
      </c>
      <c r="AK339" s="0" t="s">
        <v>94</v>
      </c>
      <c r="AL339" s="0" t="s">
        <v>95</v>
      </c>
      <c r="AM339" s="0" t="s">
        <v>96</v>
      </c>
      <c r="AP339" s="0" t="s">
        <v>99</v>
      </c>
      <c r="AX339" s="0" t="s">
        <v>107</v>
      </c>
    </row>
    <row r="340">
      <c r="B340" s="0" t="s">
        <v>1165</v>
      </c>
      <c r="C340" s="1" t="n">
        <v>353706</v>
      </c>
      <c r="D340" s="0" t="s">
        <v>1154</v>
      </c>
      <c r="E340" s="14" t="s">
        <v>1168</v>
      </c>
      <c r="F340" s="14" t="s">
        <v>263</v>
      </c>
      <c r="G340" s="25" t="str">
        <f>HYPERLINK("https://www.baby.ru/blogs/post/2611557830-407026791/")</f>
      </c>
      <c r="H340" s="14" t="s">
        <v>264</v>
      </c>
      <c r="I340" s="14" t="s">
        <v>194</v>
      </c>
      <c r="J340" s="14" t="s">
        <v>1157</v>
      </c>
      <c r="K340" s="26" t="str">
        <f>HYPERLINK("https://www.baby.ru/u/usr2000311/")</f>
      </c>
      <c r="L340" s="14"/>
      <c r="O340" s="1"/>
      <c r="P340" s="1"/>
      <c r="Q340" s="1"/>
      <c r="R340" s="1" t="n">
        <v>0</v>
      </c>
      <c r="S340" s="1"/>
      <c r="T340" s="1" t="n">
        <v>0</v>
      </c>
      <c r="U340" s="1" t="n">
        <v>0</v>
      </c>
      <c r="V340" s="1" t="n">
        <v>0</v>
      </c>
      <c r="W340" s="1"/>
      <c r="Y340" s="1" t="n">
        <v>1</v>
      </c>
      <c r="Z340" s="0" t="s">
        <v>175</v>
      </c>
      <c r="AA340" s="0" t="s">
        <v>187</v>
      </c>
      <c r="AC340" s="0" t="s">
        <v>177</v>
      </c>
      <c r="AD340" s="0" t="s">
        <v>1169</v>
      </c>
      <c r="AE340" s="0" t="s">
        <v>1170</v>
      </c>
      <c r="AH340" s="0" t="s">
        <v>180</v>
      </c>
      <c r="AJ340" s="0" t="s">
        <v>437</v>
      </c>
      <c r="AK340" s="0" t="s">
        <v>94</v>
      </c>
      <c r="AL340" s="0" t="s">
        <v>95</v>
      </c>
      <c r="AN340" s="0" t="s">
        <v>97</v>
      </c>
      <c r="AR340" s="0" t="s">
        <v>101</v>
      </c>
      <c r="BB340" s="0" t="s">
        <v>111</v>
      </c>
      <c r="BQ340" s="0" t="s">
        <v>126</v>
      </c>
      <c r="DA340" s="0" t="s">
        <v>162</v>
      </c>
    </row>
    <row r="341" ht="36.75">
      <c r="B341" s="0" t="s">
        <v>1171</v>
      </c>
      <c r="C341" s="1" t="n">
        <v>353599</v>
      </c>
      <c r="E341" s="14" t="s">
        <v>202</v>
      </c>
      <c r="F341" s="14" t="s">
        <v>184</v>
      </c>
      <c r="G341" s="25" t="str">
        <f>HYPERLINK("http://vk.com/wall94365953_14878")</f>
      </c>
      <c r="H341" s="14" t="s">
        <v>170</v>
      </c>
      <c r="I341" s="14" t="s">
        <v>171</v>
      </c>
      <c r="J341" s="14" t="s">
        <v>1172</v>
      </c>
      <c r="K341" s="26" t="str">
        <f>HYPERLINK("http://vk.com/id94365953")</f>
      </c>
      <c r="L341" s="14" t="s">
        <v>173</v>
      </c>
      <c r="O341" s="1" t="s">
        <v>174</v>
      </c>
      <c r="P341" s="1" t="n">
        <v>50</v>
      </c>
      <c r="Q341" s="1" t="n">
        <v>303</v>
      </c>
      <c r="R341" s="1" t="n">
        <v>0</v>
      </c>
      <c r="S341" s="1"/>
      <c r="T341" s="1" t="n">
        <v>0</v>
      </c>
      <c r="U341" s="1" t="n">
        <v>0</v>
      </c>
      <c r="V341" s="1" t="n">
        <v>0</v>
      </c>
      <c r="W341" s="1" t="n">
        <v>1</v>
      </c>
      <c r="Y341" s="1" t="n">
        <v>60</v>
      </c>
      <c r="Z341" s="0" t="s">
        <v>175</v>
      </c>
      <c r="AA341" s="0" t="s">
        <v>176</v>
      </c>
      <c r="AC341" s="0" t="s">
        <v>177</v>
      </c>
      <c r="AD341" s="0" t="s">
        <v>240</v>
      </c>
      <c r="AE341" s="0" t="s">
        <v>240</v>
      </c>
      <c r="AH341" s="0" t="s">
        <v>180</v>
      </c>
      <c r="AJ341" s="0" t="s">
        <v>437</v>
      </c>
      <c r="AK341" s="0" t="s">
        <v>94</v>
      </c>
      <c r="AL341" s="0" t="s">
        <v>95</v>
      </c>
      <c r="AM341" s="0" t="s">
        <v>96</v>
      </c>
      <c r="AO341" s="0" t="s">
        <v>98</v>
      </c>
      <c r="AQ341" s="0" t="s">
        <v>100</v>
      </c>
    </row>
    <row r="342" ht="36.75">
      <c r="B342" s="0" t="s">
        <v>1173</v>
      </c>
      <c r="C342" s="1" t="n">
        <v>353617</v>
      </c>
      <c r="E342" s="14" t="s">
        <v>202</v>
      </c>
      <c r="F342" s="14" t="s">
        <v>184</v>
      </c>
      <c r="G342" s="25" t="str">
        <f>HYPERLINK("http://vk.com/wall691293962_350")</f>
      </c>
      <c r="H342" s="14" t="s">
        <v>170</v>
      </c>
      <c r="I342" s="14" t="s">
        <v>171</v>
      </c>
      <c r="J342" s="14" t="s">
        <v>1174</v>
      </c>
      <c r="K342" s="26" t="str">
        <f>HYPERLINK("http://vk.com/id691293962")</f>
      </c>
      <c r="L342" s="14" t="s">
        <v>173</v>
      </c>
      <c r="O342" s="1" t="s">
        <v>186</v>
      </c>
      <c r="P342" s="1" t="n">
        <v>30</v>
      </c>
      <c r="Q342" s="1" t="n">
        <v>1</v>
      </c>
      <c r="R342" s="1" t="n">
        <v>0</v>
      </c>
      <c r="S342" s="1"/>
      <c r="T342" s="1" t="n">
        <v>0</v>
      </c>
      <c r="U342" s="1" t="n">
        <v>0</v>
      </c>
      <c r="V342" s="1" t="n">
        <v>0</v>
      </c>
      <c r="W342" s="1"/>
      <c r="Y342" s="1" t="n">
        <v>60</v>
      </c>
      <c r="Z342" s="0" t="s">
        <v>175</v>
      </c>
      <c r="AA342" s="0" t="s">
        <v>176</v>
      </c>
      <c r="AH342" s="0" t="s">
        <v>180</v>
      </c>
      <c r="AJ342" s="0" t="s">
        <v>437</v>
      </c>
      <c r="AK342" s="0" t="s">
        <v>94</v>
      </c>
      <c r="AL342" s="0" t="s">
        <v>95</v>
      </c>
      <c r="AM342" s="0" t="s">
        <v>96</v>
      </c>
      <c r="AO342" s="0" t="s">
        <v>98</v>
      </c>
      <c r="AQ342" s="0" t="s">
        <v>100</v>
      </c>
    </row>
    <row r="343" ht="24.75">
      <c r="B343" s="0" t="s">
        <v>1173</v>
      </c>
      <c r="C343" s="1" t="n">
        <v>353604</v>
      </c>
      <c r="E343" s="14" t="s">
        <v>183</v>
      </c>
      <c r="F343" s="14" t="s">
        <v>184</v>
      </c>
      <c r="G343" s="25" t="str">
        <f>HYPERLINK("http://vk.com/wall89026383_4959")</f>
      </c>
      <c r="H343" s="14" t="s">
        <v>170</v>
      </c>
      <c r="I343" s="14" t="s">
        <v>171</v>
      </c>
      <c r="J343" s="14" t="s">
        <v>1175</v>
      </c>
      <c r="K343" s="26" t="str">
        <f>HYPERLINK("http://vk.com/id89026383")</f>
      </c>
      <c r="L343" s="14" t="s">
        <v>173</v>
      </c>
      <c r="O343" s="1" t="s">
        <v>186</v>
      </c>
      <c r="P343" s="1" t="n">
        <v>59</v>
      </c>
      <c r="Q343" s="1" t="n">
        <v>312</v>
      </c>
      <c r="R343" s="1" t="n">
        <v>0</v>
      </c>
      <c r="S343" s="1"/>
      <c r="T343" s="1" t="n">
        <v>1</v>
      </c>
      <c r="U343" s="1" t="n">
        <v>0</v>
      </c>
      <c r="V343" s="1" t="n">
        <v>1</v>
      </c>
      <c r="W343" s="1" t="n">
        <v>3</v>
      </c>
      <c r="Y343" s="1" t="n">
        <v>62</v>
      </c>
      <c r="Z343" s="0" t="s">
        <v>175</v>
      </c>
      <c r="AA343" s="0" t="s">
        <v>187</v>
      </c>
      <c r="AC343" s="0" t="s">
        <v>177</v>
      </c>
      <c r="AD343" s="0" t="s">
        <v>1058</v>
      </c>
      <c r="AE343" s="0" t="s">
        <v>1059</v>
      </c>
      <c r="AH343" s="0" t="s">
        <v>180</v>
      </c>
      <c r="AJ343" s="0" t="s">
        <v>437</v>
      </c>
      <c r="AK343" s="0" t="s">
        <v>94</v>
      </c>
      <c r="AO343" s="0" t="s">
        <v>98</v>
      </c>
      <c r="AP343" s="0" t="s">
        <v>99</v>
      </c>
      <c r="AR343" s="0" t="s">
        <v>101</v>
      </c>
      <c r="BA343" s="0" t="s">
        <v>110</v>
      </c>
      <c r="BH343" s="0" t="s">
        <v>117</v>
      </c>
    </row>
    <row r="344">
      <c r="B344" s="0" t="s">
        <v>1176</v>
      </c>
      <c r="C344" s="1" t="n">
        <v>353733</v>
      </c>
      <c r="D344" s="0" t="s">
        <v>1177</v>
      </c>
      <c r="E344" s="14" t="s">
        <v>1178</v>
      </c>
      <c r="F344" s="14" t="s">
        <v>263</v>
      </c>
      <c r="G344" s="25" t="str">
        <f>HYPERLINK("https://www.baby.ru/blogs/post/2611452164-2278440064/")</f>
      </c>
      <c r="H344" s="14" t="s">
        <v>264</v>
      </c>
      <c r="I344" s="14" t="s">
        <v>231</v>
      </c>
      <c r="J344" s="14" t="s">
        <v>1179</v>
      </c>
      <c r="K344" s="26" t="str">
        <f>HYPERLINK("https://www.baby.ru/u/usr2920513/")</f>
      </c>
      <c r="L344" s="14"/>
      <c r="M344" s="14" t="s">
        <v>1180</v>
      </c>
      <c r="N344" s="25" t="str">
        <f>HYPERLINK("https://www.baby.ru/u/usr2113670/")</f>
      </c>
      <c r="O344" s="1"/>
      <c r="P344" s="1"/>
      <c r="Q344" s="1"/>
      <c r="R344" s="1" t="n">
        <v>0</v>
      </c>
      <c r="S344" s="1"/>
      <c r="T344" s="1" t="n">
        <v>0</v>
      </c>
      <c r="U344" s="1" t="n">
        <v>0</v>
      </c>
      <c r="V344" s="1" t="n">
        <v>0</v>
      </c>
      <c r="W344" s="1"/>
      <c r="Y344" s="1" t="n">
        <v>1</v>
      </c>
      <c r="Z344" s="0" t="s">
        <v>319</v>
      </c>
      <c r="AA344" s="0" t="s">
        <v>187</v>
      </c>
      <c r="AH344" s="0" t="s">
        <v>180</v>
      </c>
      <c r="AI344" s="0" t="s">
        <v>92</v>
      </c>
      <c r="AJ344" s="0" t="s">
        <v>437</v>
      </c>
      <c r="AK344" s="0" t="s">
        <v>94</v>
      </c>
      <c r="AL344" s="0" t="s">
        <v>95</v>
      </c>
      <c r="AN344" s="0" t="s">
        <v>97</v>
      </c>
      <c r="AS344" s="0" t="s">
        <v>102</v>
      </c>
      <c r="AV344" s="0" t="s">
        <v>105</v>
      </c>
      <c r="BG344" s="0" t="s">
        <v>116</v>
      </c>
      <c r="BU344" s="0" t="s">
        <v>130</v>
      </c>
    </row>
    <row r="345" ht="36.75">
      <c r="B345" s="0" t="s">
        <v>1176</v>
      </c>
      <c r="C345" s="1" t="n">
        <v>353603</v>
      </c>
      <c r="E345" s="14" t="s">
        <v>202</v>
      </c>
      <c r="F345" s="14" t="s">
        <v>184</v>
      </c>
      <c r="G345" s="25" t="str">
        <f>HYPERLINK("http://vk.com/wall170883098_2706")</f>
      </c>
      <c r="H345" s="14" t="s">
        <v>170</v>
      </c>
      <c r="I345" s="14" t="s">
        <v>171</v>
      </c>
      <c r="J345" s="14" t="s">
        <v>1181</v>
      </c>
      <c r="K345" s="26" t="str">
        <f>HYPERLINK("http://vk.com/id170883098")</f>
      </c>
      <c r="L345" s="14" t="s">
        <v>173</v>
      </c>
      <c r="O345" s="1" t="s">
        <v>186</v>
      </c>
      <c r="P345" s="1"/>
      <c r="Q345" s="1" t="n">
        <v>290</v>
      </c>
      <c r="R345" s="1" t="n">
        <v>0</v>
      </c>
      <c r="S345" s="1"/>
      <c r="T345" s="1" t="n">
        <v>0</v>
      </c>
      <c r="U345" s="1" t="n">
        <v>0</v>
      </c>
      <c r="V345" s="1" t="n">
        <v>0</v>
      </c>
      <c r="W345" s="1" t="n">
        <v>1</v>
      </c>
      <c r="Y345" s="1" t="n">
        <v>60</v>
      </c>
      <c r="Z345" s="0" t="s">
        <v>175</v>
      </c>
      <c r="AA345" s="0" t="s">
        <v>176</v>
      </c>
      <c r="AC345" s="0" t="s">
        <v>177</v>
      </c>
      <c r="AD345" s="0" t="s">
        <v>293</v>
      </c>
      <c r="AE345" s="0" t="s">
        <v>294</v>
      </c>
      <c r="AH345" s="0" t="s">
        <v>180</v>
      </c>
      <c r="AJ345" s="0" t="s">
        <v>437</v>
      </c>
      <c r="AK345" s="0" t="s">
        <v>94</v>
      </c>
      <c r="AL345" s="0" t="s">
        <v>95</v>
      </c>
      <c r="AM345" s="0" t="s">
        <v>96</v>
      </c>
      <c r="AO345" s="0" t="s">
        <v>98</v>
      </c>
      <c r="AQ345" s="0" t="s">
        <v>100</v>
      </c>
    </row>
    <row r="346" ht="36.75">
      <c r="B346" s="0" t="s">
        <v>1176</v>
      </c>
      <c r="C346" s="1" t="n">
        <v>353601</v>
      </c>
      <c r="E346" s="14" t="s">
        <v>202</v>
      </c>
      <c r="F346" s="14" t="s">
        <v>184</v>
      </c>
      <c r="G346" s="25" t="str">
        <f>HYPERLINK("http://vk.com/wall506429540_2374")</f>
      </c>
      <c r="H346" s="14" t="s">
        <v>170</v>
      </c>
      <c r="I346" s="14" t="s">
        <v>171</v>
      </c>
      <c r="J346" s="14" t="s">
        <v>1182</v>
      </c>
      <c r="K346" s="26" t="str">
        <f>HYPERLINK("http://vk.com/id506429540")</f>
      </c>
      <c r="L346" s="14" t="s">
        <v>173</v>
      </c>
      <c r="O346" s="1" t="s">
        <v>186</v>
      </c>
      <c r="P346" s="1" t="n">
        <v>19</v>
      </c>
      <c r="Q346" s="1" t="n">
        <v>10</v>
      </c>
      <c r="R346" s="1" t="n">
        <v>0</v>
      </c>
      <c r="S346" s="1"/>
      <c r="T346" s="1" t="n">
        <v>0</v>
      </c>
      <c r="U346" s="1" t="n">
        <v>0</v>
      </c>
      <c r="V346" s="1" t="n">
        <v>0</v>
      </c>
      <c r="W346" s="1"/>
      <c r="Y346" s="1" t="n">
        <v>60</v>
      </c>
      <c r="Z346" s="0" t="s">
        <v>175</v>
      </c>
      <c r="AA346" s="0" t="s">
        <v>176</v>
      </c>
      <c r="AH346" s="0" t="s">
        <v>180</v>
      </c>
      <c r="AJ346" s="0" t="s">
        <v>437</v>
      </c>
      <c r="AK346" s="0" t="s">
        <v>94</v>
      </c>
      <c r="AL346" s="0" t="s">
        <v>95</v>
      </c>
      <c r="AM346" s="0" t="s">
        <v>96</v>
      </c>
      <c r="AO346" s="0" t="s">
        <v>98</v>
      </c>
      <c r="AQ346" s="0" t="s">
        <v>100</v>
      </c>
    </row>
    <row r="347">
      <c r="B347" s="0" t="s">
        <v>1183</v>
      </c>
      <c r="C347" s="1" t="n">
        <v>353813</v>
      </c>
      <c r="E347" s="14" t="s">
        <v>1184</v>
      </c>
      <c r="F347" s="14" t="s">
        <v>184</v>
      </c>
      <c r="G347" s="25" t="str">
        <f>HYPERLINK("http://vk.com/wall-119249179_1024603?reply=1024896&amp;thread=1024813")</f>
      </c>
      <c r="H347" s="14" t="s">
        <v>170</v>
      </c>
      <c r="I347" s="14" t="s">
        <v>231</v>
      </c>
      <c r="J347" s="14" t="s">
        <v>1126</v>
      </c>
      <c r="K347" s="26" t="str">
        <f>HYPERLINK("http://vk.com/id793503511")</f>
      </c>
      <c r="L347" s="14" t="s">
        <v>173</v>
      </c>
      <c r="M347" s="14" t="s">
        <v>1083</v>
      </c>
      <c r="N347" s="25" t="str">
        <f>HYPERLINK("http://vk.com/club119249179")</f>
      </c>
      <c r="O347" s="1" t="s">
        <v>186</v>
      </c>
      <c r="P347" s="1" t="n">
        <v>24</v>
      </c>
      <c r="Q347" s="1" t="n">
        <v>18920</v>
      </c>
      <c r="R347" s="1" t="n">
        <v>0</v>
      </c>
      <c r="S347" s="1"/>
      <c r="T347" s="1" t="n">
        <v>0</v>
      </c>
      <c r="U347" s="1" t="n">
        <v>0</v>
      </c>
      <c r="V347" s="1" t="n">
        <v>0</v>
      </c>
      <c r="W347" s="1"/>
      <c r="Y347" s="1" t="n">
        <v>1</v>
      </c>
      <c r="Z347" s="0" t="s">
        <v>319</v>
      </c>
      <c r="AA347" s="0" t="s">
        <v>223</v>
      </c>
      <c r="AH347" s="0" t="s">
        <v>180</v>
      </c>
      <c r="AI347" s="0" t="s">
        <v>92</v>
      </c>
      <c r="AJ347" s="0" t="s">
        <v>437</v>
      </c>
      <c r="AN347" s="0" t="s">
        <v>97</v>
      </c>
      <c r="AS347" s="0" t="s">
        <v>102</v>
      </c>
      <c r="AY347" s="0" t="s">
        <v>108</v>
      </c>
      <c r="BB347" s="0" t="s">
        <v>111</v>
      </c>
      <c r="BG347" s="0" t="s">
        <v>116</v>
      </c>
      <c r="BM347" s="0" t="s">
        <v>122</v>
      </c>
      <c r="BS347" s="0" t="s">
        <v>128</v>
      </c>
      <c r="CA347" s="0" t="s">
        <v>136</v>
      </c>
    </row>
    <row r="348" ht="564.75">
      <c r="B348" s="0" t="s">
        <v>1183</v>
      </c>
      <c r="C348" s="1" t="n">
        <v>353810</v>
      </c>
      <c r="D348" s="0" t="s">
        <v>1185</v>
      </c>
      <c r="E348" s="14" t="s">
        <v>1186</v>
      </c>
      <c r="F348" s="14" t="s">
        <v>1187</v>
      </c>
      <c r="G348" s="25" t="str">
        <f>HYPERLINK("http://www.kremlinrus.ru/article/181/166225/")</f>
      </c>
      <c r="H348" s="14" t="s">
        <v>208</v>
      </c>
      <c r="I348" s="14" t="s">
        <v>194</v>
      </c>
      <c r="J348" s="14"/>
      <c r="L348" s="14"/>
      <c r="O348" s="1"/>
      <c r="P348" s="1"/>
      <c r="Q348" s="1"/>
      <c r="R348" s="1" t="n">
        <v>0</v>
      </c>
      <c r="S348" s="1" t="n">
        <v>1668</v>
      </c>
      <c r="T348" s="1" t="n">
        <v>0</v>
      </c>
      <c r="U348" s="1" t="n">
        <v>0</v>
      </c>
      <c r="V348" s="1" t="n">
        <v>0</v>
      </c>
      <c r="W348" s="1"/>
      <c r="Y348" s="1" t="n">
        <v>2</v>
      </c>
      <c r="Z348" s="0" t="s">
        <v>175</v>
      </c>
      <c r="AA348" s="0" t="s">
        <v>223</v>
      </c>
      <c r="AH348" s="0" t="s">
        <v>180</v>
      </c>
      <c r="AJ348" s="0" t="s">
        <v>437</v>
      </c>
      <c r="AK348" s="0" t="s">
        <v>94</v>
      </c>
      <c r="AM348" s="0" t="s">
        <v>96</v>
      </c>
      <c r="AO348" s="0" t="s">
        <v>98</v>
      </c>
      <c r="AP348" s="0" t="s">
        <v>99</v>
      </c>
      <c r="AR348" s="0" t="s">
        <v>101</v>
      </c>
      <c r="AV348" s="0" t="s">
        <v>105</v>
      </c>
      <c r="BC348" s="0" t="s">
        <v>112</v>
      </c>
      <c r="BF348" s="0" t="s">
        <v>115</v>
      </c>
      <c r="BI348" s="0" t="s">
        <v>118</v>
      </c>
      <c r="BJ348" s="0" t="s">
        <v>119</v>
      </c>
      <c r="BW348" s="0" t="s">
        <v>132</v>
      </c>
    </row>
    <row r="349" ht="36.75">
      <c r="B349" s="0" t="s">
        <v>1188</v>
      </c>
      <c r="C349" s="1" t="n">
        <v>353983</v>
      </c>
      <c r="E349" s="14" t="s">
        <v>1189</v>
      </c>
      <c r="F349" s="14" t="s">
        <v>169</v>
      </c>
      <c r="G349" s="25" t="str">
        <f>HYPERLINK("http://www.ok.ru/profile/584537664780/statuses/155453047967756")</f>
      </c>
      <c r="H349" s="14" t="s">
        <v>170</v>
      </c>
      <c r="I349" s="14" t="s">
        <v>171</v>
      </c>
      <c r="J349" s="14" t="s">
        <v>1190</v>
      </c>
      <c r="K349" s="26" t="str">
        <f>HYPERLINK("http://www.ok.ru/profile/584537664780")</f>
      </c>
      <c r="L349" s="14" t="s">
        <v>173</v>
      </c>
      <c r="O349" s="1" t="s">
        <v>186</v>
      </c>
      <c r="P349" s="1" t="n">
        <v>69</v>
      </c>
      <c r="Q349" s="1" t="n">
        <v>240</v>
      </c>
      <c r="R349" s="1" t="n">
        <v>0</v>
      </c>
      <c r="S349" s="1"/>
      <c r="T349" s="1" t="n">
        <v>0</v>
      </c>
      <c r="U349" s="1" t="n">
        <v>0</v>
      </c>
      <c r="V349" s="1" t="n">
        <v>0</v>
      </c>
      <c r="W349" s="1"/>
      <c r="Y349" s="1" t="n">
        <v>46</v>
      </c>
      <c r="Z349" s="0" t="s">
        <v>175</v>
      </c>
      <c r="AA349" s="0" t="s">
        <v>187</v>
      </c>
      <c r="AC349" s="0" t="s">
        <v>177</v>
      </c>
      <c r="AD349" s="0" t="s">
        <v>1002</v>
      </c>
      <c r="AE349" s="0" t="s">
        <v>1002</v>
      </c>
      <c r="AH349" s="0" t="s">
        <v>180</v>
      </c>
      <c r="AJ349" s="0" t="s">
        <v>437</v>
      </c>
      <c r="AK349" s="0" t="s">
        <v>94</v>
      </c>
      <c r="AM349" s="0" t="s">
        <v>96</v>
      </c>
      <c r="AP349" s="0" t="s">
        <v>99</v>
      </c>
      <c r="AQ349" s="0" t="s">
        <v>100</v>
      </c>
    </row>
    <row r="350" ht="24.75">
      <c r="B350" s="0" t="s">
        <v>1188</v>
      </c>
      <c r="C350" s="1" t="n">
        <v>353605</v>
      </c>
      <c r="E350" s="14" t="s">
        <v>183</v>
      </c>
      <c r="F350" s="14" t="s">
        <v>184</v>
      </c>
      <c r="G350" s="25" t="str">
        <f>HYPERLINK("http://vk.com/wall428544023_297")</f>
      </c>
      <c r="H350" s="14" t="s">
        <v>170</v>
      </c>
      <c r="I350" s="14" t="s">
        <v>171</v>
      </c>
      <c r="J350" s="14" t="s">
        <v>1191</v>
      </c>
      <c r="K350" s="26" t="str">
        <f>HYPERLINK("http://vk.com/id428544023")</f>
      </c>
      <c r="L350" s="14" t="s">
        <v>173</v>
      </c>
      <c r="O350" s="1" t="s">
        <v>186</v>
      </c>
      <c r="P350" s="1"/>
      <c r="Q350" s="1" t="n">
        <v>26</v>
      </c>
      <c r="R350" s="1" t="n">
        <v>0</v>
      </c>
      <c r="S350" s="1"/>
      <c r="T350" s="1" t="n">
        <v>0</v>
      </c>
      <c r="U350" s="1" t="n">
        <v>0</v>
      </c>
      <c r="V350" s="1" t="n">
        <v>0</v>
      </c>
      <c r="W350" s="1"/>
      <c r="Y350" s="1" t="n">
        <v>62</v>
      </c>
      <c r="Z350" s="0" t="s">
        <v>175</v>
      </c>
      <c r="AA350" s="0" t="s">
        <v>187</v>
      </c>
      <c r="AH350" s="0" t="s">
        <v>180</v>
      </c>
      <c r="AJ350" s="0" t="s">
        <v>437</v>
      </c>
      <c r="AK350" s="0" t="s">
        <v>94</v>
      </c>
      <c r="AO350" s="0" t="s">
        <v>98</v>
      </c>
      <c r="AP350" s="0" t="s">
        <v>99</v>
      </c>
      <c r="AR350" s="0" t="s">
        <v>101</v>
      </c>
      <c r="BA350" s="0" t="s">
        <v>110</v>
      </c>
      <c r="BH350" s="0" t="s">
        <v>117</v>
      </c>
    </row>
    <row r="351" ht="24.75">
      <c r="B351" s="0" t="s">
        <v>1192</v>
      </c>
      <c r="C351" s="1" t="n">
        <v>353992</v>
      </c>
      <c r="E351" s="14" t="s">
        <v>1102</v>
      </c>
      <c r="F351" s="14" t="s">
        <v>169</v>
      </c>
      <c r="G351" s="25" t="str">
        <f>HYPERLINK("http://www.ok.ru/profile/571378118638/statuses/156611715038190")</f>
      </c>
      <c r="H351" s="14" t="s">
        <v>170</v>
      </c>
      <c r="I351" s="14" t="s">
        <v>171</v>
      </c>
      <c r="J351" s="14" t="s">
        <v>1193</v>
      </c>
      <c r="K351" s="26" t="str">
        <f>HYPERLINK("http://www.ok.ru/profile/571378118638")</f>
      </c>
      <c r="L351" s="14" t="s">
        <v>173</v>
      </c>
      <c r="O351" s="1" t="s">
        <v>186</v>
      </c>
      <c r="P351" s="1" t="n">
        <v>55</v>
      </c>
      <c r="Q351" s="1" t="n">
        <v>481</v>
      </c>
      <c r="R351" s="1" t="n">
        <v>0</v>
      </c>
      <c r="S351" s="1"/>
      <c r="T351" s="1" t="n">
        <v>0</v>
      </c>
      <c r="U351" s="1" t="n">
        <v>0</v>
      </c>
      <c r="V351" s="1" t="n">
        <v>0</v>
      </c>
      <c r="W351" s="1"/>
      <c r="Y351" s="1" t="n">
        <v>92</v>
      </c>
      <c r="Z351" s="0" t="s">
        <v>175</v>
      </c>
      <c r="AA351" s="0" t="s">
        <v>187</v>
      </c>
      <c r="AC351" s="0" t="s">
        <v>177</v>
      </c>
      <c r="AD351" s="0" t="s">
        <v>454</v>
      </c>
      <c r="AE351" s="0" t="s">
        <v>1194</v>
      </c>
      <c r="AH351" s="0" t="s">
        <v>180</v>
      </c>
      <c r="AJ351" s="0" t="s">
        <v>437</v>
      </c>
      <c r="AK351" s="0" t="s">
        <v>94</v>
      </c>
      <c r="AL351" s="0" t="s">
        <v>95</v>
      </c>
      <c r="AM351" s="0" t="s">
        <v>96</v>
      </c>
      <c r="AU351" s="0" t="s">
        <v>104</v>
      </c>
      <c r="AV351" s="0" t="s">
        <v>105</v>
      </c>
    </row>
    <row r="352">
      <c r="B352" s="0" t="s">
        <v>1195</v>
      </c>
      <c r="C352" s="1" t="n">
        <v>353823</v>
      </c>
      <c r="E352" s="14" t="s">
        <v>1196</v>
      </c>
      <c r="F352" s="14" t="s">
        <v>184</v>
      </c>
      <c r="G352" s="25" t="str">
        <f>HYPERLINK("http://vk.com/wall-187579258_47517?reply=47772&amp;thread=47528")</f>
      </c>
      <c r="H352" s="14" t="s">
        <v>170</v>
      </c>
      <c r="I352" s="14" t="s">
        <v>231</v>
      </c>
      <c r="J352" s="14" t="s">
        <v>1126</v>
      </c>
      <c r="K352" s="26" t="str">
        <f>HYPERLINK("http://vk.com/id793503511")</f>
      </c>
      <c r="L352" s="14" t="s">
        <v>173</v>
      </c>
      <c r="M352" s="14" t="s">
        <v>642</v>
      </c>
      <c r="N352" s="25" t="str">
        <f>HYPERLINK("http://vk.com/club187579258")</f>
      </c>
      <c r="O352" s="1" t="s">
        <v>186</v>
      </c>
      <c r="P352" s="1" t="n">
        <v>24</v>
      </c>
      <c r="Q352" s="1" t="n">
        <v>10346</v>
      </c>
      <c r="R352" s="1" t="n">
        <v>0</v>
      </c>
      <c r="S352" s="1"/>
      <c r="T352" s="1" t="n">
        <v>0</v>
      </c>
      <c r="U352" s="1" t="n">
        <v>0</v>
      </c>
      <c r="V352" s="1" t="n">
        <v>0</v>
      </c>
      <c r="W352" s="1"/>
      <c r="Y352" s="1" t="n">
        <v>1</v>
      </c>
      <c r="Z352" s="0" t="s">
        <v>319</v>
      </c>
      <c r="AA352" s="0" t="s">
        <v>292</v>
      </c>
      <c r="AH352" s="0" t="s">
        <v>180</v>
      </c>
      <c r="AI352" s="0" t="s">
        <v>92</v>
      </c>
      <c r="AJ352" s="0" t="s">
        <v>437</v>
      </c>
      <c r="AK352" s="0" t="s">
        <v>94</v>
      </c>
      <c r="AN352" s="0" t="s">
        <v>97</v>
      </c>
      <c r="AS352" s="0" t="s">
        <v>102</v>
      </c>
      <c r="AY352" s="0" t="s">
        <v>108</v>
      </c>
      <c r="BR352" s="0" t="s">
        <v>127</v>
      </c>
      <c r="BS352" s="0" t="s">
        <v>128</v>
      </c>
    </row>
    <row r="353" ht="36.75">
      <c r="B353" s="0" t="s">
        <v>1197</v>
      </c>
      <c r="C353" s="1" t="n">
        <v>353596</v>
      </c>
      <c r="E353" s="14" t="s">
        <v>202</v>
      </c>
      <c r="F353" s="14" t="s">
        <v>184</v>
      </c>
      <c r="G353" s="25" t="str">
        <f>HYPERLINK("http://vk.com/wall419287591_127766")</f>
      </c>
      <c r="H353" s="14" t="s">
        <v>170</v>
      </c>
      <c r="I353" s="14" t="s">
        <v>171</v>
      </c>
      <c r="J353" s="14" t="s">
        <v>1198</v>
      </c>
      <c r="K353" s="26" t="str">
        <f>HYPERLINK("http://vk.com/id419287591")</f>
      </c>
      <c r="L353" s="14" t="s">
        <v>173</v>
      </c>
      <c r="O353" s="1" t="s">
        <v>186</v>
      </c>
      <c r="P353" s="1" t="n">
        <v>64</v>
      </c>
      <c r="Q353" s="1" t="n">
        <v>672</v>
      </c>
      <c r="R353" s="1" t="n">
        <v>0</v>
      </c>
      <c r="S353" s="1"/>
      <c r="T353" s="1" t="n">
        <v>0</v>
      </c>
      <c r="U353" s="1" t="n">
        <v>0</v>
      </c>
      <c r="V353" s="1" t="n">
        <v>0</v>
      </c>
      <c r="W353" s="1" t="n">
        <v>1</v>
      </c>
      <c r="Y353" s="1" t="n">
        <v>60</v>
      </c>
      <c r="Z353" s="0" t="s">
        <v>175</v>
      </c>
      <c r="AA353" s="0" t="s">
        <v>176</v>
      </c>
      <c r="AH353" s="0" t="s">
        <v>180</v>
      </c>
      <c r="AJ353" s="0" t="s">
        <v>437</v>
      </c>
      <c r="AK353" s="0" t="s">
        <v>94</v>
      </c>
      <c r="AL353" s="0" t="s">
        <v>95</v>
      </c>
      <c r="AM353" s="0" t="s">
        <v>96</v>
      </c>
      <c r="AO353" s="0" t="s">
        <v>98</v>
      </c>
      <c r="AQ353" s="0" t="s">
        <v>100</v>
      </c>
    </row>
    <row r="354" ht="36.75">
      <c r="B354" s="0" t="s">
        <v>1197</v>
      </c>
      <c r="C354" s="1" t="n">
        <v>353593</v>
      </c>
      <c r="E354" s="14" t="s">
        <v>1199</v>
      </c>
      <c r="F354" s="14" t="s">
        <v>184</v>
      </c>
      <c r="G354" s="25" t="str">
        <f>HYPERLINK("http://vk.com/wall-106768795_4226")</f>
      </c>
      <c r="H354" s="14" t="s">
        <v>170</v>
      </c>
      <c r="I354" s="14" t="s">
        <v>194</v>
      </c>
      <c r="J354" s="14" t="s">
        <v>1200</v>
      </c>
      <c r="K354" s="26" t="str">
        <f>HYPERLINK("http://vk.com/club106768795")</f>
      </c>
      <c r="L354" s="14" t="s">
        <v>274</v>
      </c>
      <c r="O354" s="1"/>
      <c r="P354" s="1"/>
      <c r="Q354" s="1" t="n">
        <v>806</v>
      </c>
      <c r="R354" s="1" t="n">
        <v>0</v>
      </c>
      <c r="S354" s="1"/>
      <c r="T354" s="1" t="n">
        <v>0</v>
      </c>
      <c r="U354" s="1" t="n">
        <v>0</v>
      </c>
      <c r="V354" s="1" t="n">
        <v>0</v>
      </c>
      <c r="W354" s="1" t="n">
        <v>8</v>
      </c>
      <c r="Y354" s="1" t="n">
        <v>1</v>
      </c>
      <c r="Z354" s="0" t="s">
        <v>175</v>
      </c>
      <c r="AA354" s="0" t="s">
        <v>292</v>
      </c>
      <c r="AC354" s="0" t="s">
        <v>177</v>
      </c>
      <c r="AD354" s="0" t="s">
        <v>561</v>
      </c>
      <c r="AE354" s="0" t="s">
        <v>562</v>
      </c>
      <c r="AH354" s="0" t="s">
        <v>180</v>
      </c>
      <c r="AJ354" s="0" t="s">
        <v>437</v>
      </c>
      <c r="AM354" s="0" t="s">
        <v>96</v>
      </c>
      <c r="AP354" s="0" t="s">
        <v>99</v>
      </c>
      <c r="BD354" s="0" t="s">
        <v>113</v>
      </c>
    </row>
    <row r="355" ht="36.75">
      <c r="B355" s="0" t="s">
        <v>1197</v>
      </c>
      <c r="C355" s="1" t="n">
        <v>353595</v>
      </c>
      <c r="E355" s="14" t="s">
        <v>1201</v>
      </c>
      <c r="F355" s="14" t="s">
        <v>184</v>
      </c>
      <c r="G355" s="25" t="str">
        <f>HYPERLINK("http://vk.com/wall248287731_13936")</f>
      </c>
      <c r="H355" s="14" t="s">
        <v>170</v>
      </c>
      <c r="I355" s="14" t="s">
        <v>290</v>
      </c>
      <c r="J355" s="14" t="s">
        <v>1202</v>
      </c>
      <c r="K355" s="26" t="str">
        <f>HYPERLINK("http://vk.com/id248287731")</f>
      </c>
      <c r="L355" s="14" t="s">
        <v>173</v>
      </c>
      <c r="O355" s="1" t="s">
        <v>186</v>
      </c>
      <c r="P355" s="1"/>
      <c r="Q355" s="1" t="n">
        <v>6679</v>
      </c>
      <c r="R355" s="1" t="n">
        <v>0</v>
      </c>
      <c r="S355" s="1"/>
      <c r="T355" s="1" t="n">
        <v>0</v>
      </c>
      <c r="U355" s="1" t="n">
        <v>2</v>
      </c>
      <c r="V355" s="1" t="n">
        <v>2</v>
      </c>
      <c r="W355" s="1" t="n">
        <v>8</v>
      </c>
      <c r="Y355" s="1" t="n">
        <v>1</v>
      </c>
      <c r="Z355" s="0" t="s">
        <v>175</v>
      </c>
      <c r="AA355" s="0" t="s">
        <v>292</v>
      </c>
      <c r="AC355" s="0" t="s">
        <v>177</v>
      </c>
      <c r="AD355" s="0" t="s">
        <v>240</v>
      </c>
      <c r="AE355" s="0" t="s">
        <v>240</v>
      </c>
      <c r="AH355" s="0" t="s">
        <v>180</v>
      </c>
      <c r="AJ355" s="0" t="s">
        <v>437</v>
      </c>
      <c r="AK355" s="0" t="s">
        <v>94</v>
      </c>
      <c r="AP355" s="0" t="s">
        <v>99</v>
      </c>
      <c r="AR355" s="0" t="s">
        <v>101</v>
      </c>
      <c r="BA355" s="0" t="s">
        <v>110</v>
      </c>
      <c r="BF355" s="0" t="s">
        <v>115</v>
      </c>
    </row>
    <row r="356">
      <c r="B356" s="0" t="s">
        <v>1203</v>
      </c>
      <c r="C356" s="1" t="n">
        <v>353830</v>
      </c>
      <c r="E356" s="14" t="s">
        <v>1204</v>
      </c>
      <c r="F356" s="14" t="s">
        <v>184</v>
      </c>
      <c r="G356" s="25" t="str">
        <f>HYPERLINK("http://vk.com/wall-136637198_109495?reply=109893&amp;thread=109566")</f>
      </c>
      <c r="H356" s="14" t="s">
        <v>170</v>
      </c>
      <c r="I356" s="14" t="s">
        <v>231</v>
      </c>
      <c r="J356" s="14" t="s">
        <v>1126</v>
      </c>
      <c r="K356" s="26" t="str">
        <f>HYPERLINK("http://vk.com/id793503511")</f>
      </c>
      <c r="L356" s="14" t="s">
        <v>173</v>
      </c>
      <c r="M356" s="14" t="s">
        <v>423</v>
      </c>
      <c r="N356" s="25" t="str">
        <f>HYPERLINK("http://vk.com/club136637198")</f>
      </c>
      <c r="O356" s="1" t="s">
        <v>186</v>
      </c>
      <c r="P356" s="1" t="n">
        <v>24</v>
      </c>
      <c r="Q356" s="1" t="n">
        <v>80553</v>
      </c>
      <c r="R356" s="1" t="n">
        <v>0</v>
      </c>
      <c r="S356" s="1"/>
      <c r="T356" s="1" t="n">
        <v>0</v>
      </c>
      <c r="U356" s="1" t="n">
        <v>0</v>
      </c>
      <c r="V356" s="1" t="n">
        <v>0</v>
      </c>
      <c r="W356" s="1"/>
      <c r="Y356" s="1" t="n">
        <v>1</v>
      </c>
      <c r="Z356" s="0" t="s">
        <v>319</v>
      </c>
      <c r="AA356" s="0" t="s">
        <v>292</v>
      </c>
      <c r="AH356" s="0" t="s">
        <v>180</v>
      </c>
      <c r="AI356" s="0" t="s">
        <v>92</v>
      </c>
      <c r="AJ356" s="0" t="s">
        <v>437</v>
      </c>
      <c r="AK356" s="0" t="s">
        <v>94</v>
      </c>
      <c r="AN356" s="0" t="s">
        <v>97</v>
      </c>
      <c r="AY356" s="0" t="s">
        <v>108</v>
      </c>
      <c r="BF356" s="0" t="s">
        <v>115</v>
      </c>
      <c r="BG356" s="0" t="s">
        <v>116</v>
      </c>
      <c r="BS356" s="0" t="s">
        <v>128</v>
      </c>
    </row>
    <row r="357" ht="360.75">
      <c r="B357" s="0" t="s">
        <v>1203</v>
      </c>
      <c r="C357" s="1" t="n">
        <v>353587</v>
      </c>
      <c r="E357" s="14" t="s">
        <v>1205</v>
      </c>
      <c r="F357" s="14" t="s">
        <v>184</v>
      </c>
      <c r="G357" s="25" t="str">
        <f>HYPERLINK("http://vk.com/wall221337354_2349")</f>
      </c>
      <c r="H357" s="14" t="s">
        <v>170</v>
      </c>
      <c r="I357" s="14" t="s">
        <v>171</v>
      </c>
      <c r="J357" s="14" t="s">
        <v>1206</v>
      </c>
      <c r="K357" s="26" t="str">
        <f>HYPERLINK("http://vk.com/id221337354")</f>
      </c>
      <c r="L357" s="14" t="s">
        <v>173</v>
      </c>
      <c r="O357" s="1" t="s">
        <v>186</v>
      </c>
      <c r="P357" s="1" t="n">
        <v>23</v>
      </c>
      <c r="Q357" s="1" t="n">
        <v>270</v>
      </c>
      <c r="R357" s="1" t="n">
        <v>0</v>
      </c>
      <c r="S357" s="1"/>
      <c r="T357" s="1" t="n">
        <v>0</v>
      </c>
      <c r="U357" s="1" t="n">
        <v>0</v>
      </c>
      <c r="V357" s="1" t="n">
        <v>0</v>
      </c>
      <c r="W357" s="1" t="n">
        <v>1</v>
      </c>
      <c r="Y357" s="1" t="n">
        <v>1</v>
      </c>
      <c r="Z357" s="0" t="s">
        <v>175</v>
      </c>
      <c r="AA357" s="0" t="s">
        <v>176</v>
      </c>
      <c r="AC357" s="0" t="s">
        <v>177</v>
      </c>
      <c r="AD357" s="0" t="s">
        <v>246</v>
      </c>
      <c r="AE357" s="0" t="s">
        <v>504</v>
      </c>
      <c r="AH357" s="0" t="s">
        <v>180</v>
      </c>
      <c r="AJ357" s="0" t="s">
        <v>437</v>
      </c>
      <c r="AO357" s="0" t="s">
        <v>98</v>
      </c>
      <c r="AP357" s="0" t="s">
        <v>99</v>
      </c>
      <c r="BA357" s="0" t="s">
        <v>110</v>
      </c>
    </row>
    <row r="358">
      <c r="B358" s="0" t="s">
        <v>1203</v>
      </c>
      <c r="C358" s="1" t="n">
        <v>353860</v>
      </c>
      <c r="D358" s="0" t="s">
        <v>1207</v>
      </c>
      <c r="E358" s="14" t="s">
        <v>1208</v>
      </c>
      <c r="F358" s="14" t="s">
        <v>263</v>
      </c>
      <c r="G358" s="25" t="str">
        <f>HYPERLINK("https://www.baby.ru/blogs/post/2611478834-2598052940/")</f>
      </c>
      <c r="H358" s="14" t="s">
        <v>264</v>
      </c>
      <c r="I358" s="14" t="s">
        <v>231</v>
      </c>
      <c r="J358" s="14" t="s">
        <v>1209</v>
      </c>
      <c r="K358" s="26" t="str">
        <f>HYPERLINK("https://www.baby.ru/u/usr1776305/")</f>
      </c>
      <c r="L358" s="14"/>
      <c r="M358" s="14" t="s">
        <v>1210</v>
      </c>
      <c r="N358" s="25" t="str">
        <f>HYPERLINK("https://www.baby.ru/u/usr2977470/")</f>
      </c>
      <c r="O358" s="1"/>
      <c r="P358" s="1"/>
      <c r="Q358" s="1"/>
      <c r="R358" s="1" t="n">
        <v>0</v>
      </c>
      <c r="S358" s="1"/>
      <c r="T358" s="1" t="n">
        <v>0</v>
      </c>
      <c r="U358" s="1" t="n">
        <v>0</v>
      </c>
      <c r="V358" s="1" t="n">
        <v>0</v>
      </c>
      <c r="W358" s="1"/>
      <c r="Y358" s="1" t="n">
        <v>1</v>
      </c>
      <c r="Z358" s="0" t="s">
        <v>175</v>
      </c>
      <c r="AA358" s="0" t="s">
        <v>187</v>
      </c>
      <c r="AC358" s="0" t="s">
        <v>177</v>
      </c>
      <c r="AD358" s="0" t="s">
        <v>392</v>
      </c>
      <c r="AE358" s="0" t="s">
        <v>459</v>
      </c>
      <c r="AH358" s="0" t="s">
        <v>180</v>
      </c>
      <c r="AJ358" s="0" t="s">
        <v>437</v>
      </c>
      <c r="AK358" s="0" t="s">
        <v>94</v>
      </c>
      <c r="AL358" s="0" t="s">
        <v>95</v>
      </c>
      <c r="AN358" s="0" t="s">
        <v>97</v>
      </c>
      <c r="AW358" s="0" t="s">
        <v>106</v>
      </c>
      <c r="BB358" s="0" t="s">
        <v>111</v>
      </c>
      <c r="BE358" s="0" t="s">
        <v>114</v>
      </c>
      <c r="BH358" s="0" t="s">
        <v>117</v>
      </c>
      <c r="BO358" s="0" t="s">
        <v>124</v>
      </c>
      <c r="BQ358" s="0" t="s">
        <v>126</v>
      </c>
    </row>
    <row r="359" ht="108.75">
      <c r="B359" s="0" t="s">
        <v>1211</v>
      </c>
      <c r="C359" s="1" t="n">
        <v>353590</v>
      </c>
      <c r="E359" s="14" t="s">
        <v>1212</v>
      </c>
      <c r="F359" s="14" t="s">
        <v>184</v>
      </c>
      <c r="G359" s="25" t="str">
        <f>HYPERLINK("http://vk.com/wall-21671583_256044")</f>
      </c>
      <c r="H359" s="14" t="s">
        <v>170</v>
      </c>
      <c r="I359" s="14" t="s">
        <v>194</v>
      </c>
      <c r="J359" s="14" t="s">
        <v>1213</v>
      </c>
      <c r="K359" s="26" t="str">
        <f>HYPERLINK("http://vk.com/club21671583")</f>
      </c>
      <c r="L359" s="14" t="s">
        <v>274</v>
      </c>
      <c r="O359" s="1"/>
      <c r="P359" s="1"/>
      <c r="Q359" s="1" t="n">
        <v>72492</v>
      </c>
      <c r="R359" s="1" t="n">
        <v>0</v>
      </c>
      <c r="S359" s="1"/>
      <c r="T359" s="1" t="n">
        <v>0</v>
      </c>
      <c r="U359" s="1" t="n">
        <v>5</v>
      </c>
      <c r="V359" s="1" t="n">
        <v>5</v>
      </c>
      <c r="W359" s="1" t="n">
        <v>1170</v>
      </c>
      <c r="Y359" s="1" t="n">
        <v>1</v>
      </c>
      <c r="Z359" s="0" t="s">
        <v>175</v>
      </c>
      <c r="AA359" s="0" t="s">
        <v>223</v>
      </c>
      <c r="AC359" s="0" t="s">
        <v>177</v>
      </c>
      <c r="AD359" s="0" t="s">
        <v>484</v>
      </c>
      <c r="AE359" s="0" t="s">
        <v>485</v>
      </c>
      <c r="AH359" s="0" t="s">
        <v>180</v>
      </c>
      <c r="AJ359" s="0" t="s">
        <v>437</v>
      </c>
      <c r="AM359" s="0" t="s">
        <v>96</v>
      </c>
      <c r="AP359" s="0" t="s">
        <v>99</v>
      </c>
      <c r="BD359" s="0" t="s">
        <v>113</v>
      </c>
    </row>
    <row r="360" ht="60.75">
      <c r="B360" s="0" t="s">
        <v>1211</v>
      </c>
      <c r="C360" s="1" t="n">
        <v>353682</v>
      </c>
      <c r="D360" s="0" t="s">
        <v>1214</v>
      </c>
      <c r="E360" s="14" t="s">
        <v>1215</v>
      </c>
      <c r="F360" s="14" t="s">
        <v>1216</v>
      </c>
      <c r="G360" s="25" t="str">
        <f>HYPERLINK("https://siktivkar.bezformata.com/listnews/nedelyu-v-komi-podorozhali-kapusta/116236060/")</f>
      </c>
      <c r="H360" s="14" t="s">
        <v>208</v>
      </c>
      <c r="I360" s="14" t="s">
        <v>194</v>
      </c>
      <c r="J360" s="14"/>
      <c r="L360" s="14"/>
      <c r="O360" s="1"/>
      <c r="P360" s="1"/>
      <c r="Q360" s="1"/>
      <c r="R360" s="1" t="n">
        <v>0</v>
      </c>
      <c r="S360" s="1" t="n">
        <v>29</v>
      </c>
      <c r="T360" s="1" t="n">
        <v>0</v>
      </c>
      <c r="U360" s="1" t="n">
        <v>0</v>
      </c>
      <c r="V360" s="1" t="n">
        <v>0</v>
      </c>
      <c r="W360" s="1"/>
      <c r="Y360" s="1" t="n">
        <v>1</v>
      </c>
      <c r="Z360" s="0" t="s">
        <v>175</v>
      </c>
      <c r="AA360" s="0" t="s">
        <v>176</v>
      </c>
      <c r="AH360" s="0" t="s">
        <v>180</v>
      </c>
      <c r="AJ360" s="0" t="s">
        <v>437</v>
      </c>
      <c r="AM360" s="0" t="s">
        <v>96</v>
      </c>
      <c r="AP360" s="0" t="s">
        <v>99</v>
      </c>
      <c r="BD360" s="0" t="s">
        <v>113</v>
      </c>
    </row>
    <row r="361" ht="36.75">
      <c r="B361" s="0" t="s">
        <v>1217</v>
      </c>
      <c r="C361" s="1" t="n">
        <v>353588</v>
      </c>
      <c r="E361" s="14" t="s">
        <v>1218</v>
      </c>
      <c r="F361" s="14" t="s">
        <v>184</v>
      </c>
      <c r="G361" s="25" t="str">
        <f>HYPERLINK("http://vk.com/wall430614272_238")</f>
      </c>
      <c r="H361" s="14" t="s">
        <v>170</v>
      </c>
      <c r="I361" s="14" t="s">
        <v>171</v>
      </c>
      <c r="J361" s="14" t="s">
        <v>1219</v>
      </c>
      <c r="K361" s="26" t="str">
        <f>HYPERLINK("http://vk.com/id430614272")</f>
      </c>
      <c r="L361" s="14" t="s">
        <v>173</v>
      </c>
      <c r="O361" s="1" t="s">
        <v>186</v>
      </c>
      <c r="P361" s="1" t="n">
        <v>59</v>
      </c>
      <c r="Q361" s="1" t="n">
        <v>6</v>
      </c>
      <c r="R361" s="1" t="n">
        <v>0</v>
      </c>
      <c r="S361" s="1"/>
      <c r="T361" s="1" t="n">
        <v>0</v>
      </c>
      <c r="U361" s="1" t="n">
        <v>0</v>
      </c>
      <c r="V361" s="1" t="n">
        <v>0</v>
      </c>
      <c r="W361" s="1"/>
      <c r="Y361" s="1" t="n">
        <v>9</v>
      </c>
      <c r="Z361" s="0" t="s">
        <v>175</v>
      </c>
      <c r="AA361" s="0" t="s">
        <v>187</v>
      </c>
      <c r="AH361" s="0" t="s">
        <v>180</v>
      </c>
      <c r="AJ361" s="0" t="s">
        <v>437</v>
      </c>
      <c r="AK361" s="0" t="s">
        <v>94</v>
      </c>
      <c r="AM361" s="0" t="s">
        <v>96</v>
      </c>
      <c r="AP361" s="0" t="s">
        <v>99</v>
      </c>
      <c r="BC361" s="0" t="s">
        <v>112</v>
      </c>
      <c r="BN361" s="0" t="s">
        <v>123</v>
      </c>
    </row>
    <row r="362">
      <c r="B362" s="0" t="s">
        <v>1217</v>
      </c>
      <c r="C362" s="1" t="n">
        <v>353811</v>
      </c>
      <c r="E362" s="14" t="s">
        <v>1220</v>
      </c>
      <c r="F362" s="14" t="s">
        <v>184</v>
      </c>
      <c r="G362" s="25" t="str">
        <f>HYPERLINK("http://vk.com/wall-153326278_404946?reply=405206&amp;thread=404955")</f>
      </c>
      <c r="H362" s="14" t="s">
        <v>170</v>
      </c>
      <c r="I362" s="14" t="s">
        <v>231</v>
      </c>
      <c r="J362" s="14" t="s">
        <v>1126</v>
      </c>
      <c r="K362" s="26" t="str">
        <f>HYPERLINK("http://vk.com/id793503511")</f>
      </c>
      <c r="L362" s="14" t="s">
        <v>173</v>
      </c>
      <c r="M362" s="14" t="s">
        <v>1221</v>
      </c>
      <c r="N362" s="25" t="str">
        <f>HYPERLINK("http://vk.com/club153326278")</f>
      </c>
      <c r="O362" s="1" t="s">
        <v>186</v>
      </c>
      <c r="P362" s="1" t="n">
        <v>24</v>
      </c>
      <c r="Q362" s="1" t="n">
        <v>24685</v>
      </c>
      <c r="R362" s="1" t="n">
        <v>0</v>
      </c>
      <c r="S362" s="1"/>
      <c r="T362" s="1" t="n">
        <v>0</v>
      </c>
      <c r="U362" s="1" t="n">
        <v>0</v>
      </c>
      <c r="V362" s="1" t="n">
        <v>0</v>
      </c>
      <c r="W362" s="1"/>
      <c r="Y362" s="1" t="n">
        <v>1</v>
      </c>
      <c r="Z362" s="0" t="s">
        <v>319</v>
      </c>
      <c r="AA362" s="0" t="s">
        <v>292</v>
      </c>
      <c r="AH362" s="0" t="s">
        <v>180</v>
      </c>
      <c r="AI362" s="0" t="s">
        <v>92</v>
      </c>
      <c r="AJ362" s="0" t="s">
        <v>437</v>
      </c>
      <c r="AK362" s="0" t="s">
        <v>94</v>
      </c>
      <c r="AN362" s="0" t="s">
        <v>97</v>
      </c>
      <c r="AY362" s="0" t="s">
        <v>108</v>
      </c>
      <c r="BF362" s="0" t="s">
        <v>115</v>
      </c>
      <c r="BS362" s="0" t="s">
        <v>128</v>
      </c>
    </row>
    <row r="363" ht="24.75">
      <c r="B363" s="0" t="s">
        <v>1217</v>
      </c>
      <c r="C363" s="1" t="n">
        <v>353586</v>
      </c>
      <c r="E363" s="14" t="s">
        <v>1222</v>
      </c>
      <c r="F363" s="14" t="s">
        <v>184</v>
      </c>
      <c r="G363" s="25" t="str">
        <f>HYPERLINK("http://vk.com/wall-153326247_489378")</f>
      </c>
      <c r="H363" s="14" t="s">
        <v>170</v>
      </c>
      <c r="I363" s="14" t="s">
        <v>194</v>
      </c>
      <c r="J363" s="14" t="s">
        <v>663</v>
      </c>
      <c r="K363" s="26" t="str">
        <f>HYPERLINK("http://vk.com/club153326247")</f>
      </c>
      <c r="L363" s="14" t="s">
        <v>274</v>
      </c>
      <c r="O363" s="1"/>
      <c r="P363" s="1"/>
      <c r="Q363" s="1" t="n">
        <v>27180</v>
      </c>
      <c r="R363" s="1" t="n">
        <v>26</v>
      </c>
      <c r="S363" s="1"/>
      <c r="T363" s="1" t="n">
        <v>1</v>
      </c>
      <c r="U363" s="1" t="n">
        <v>1</v>
      </c>
      <c r="V363" s="1" t="n">
        <v>28</v>
      </c>
      <c r="W363" s="1" t="n">
        <v>1274</v>
      </c>
      <c r="Y363" s="1" t="n">
        <v>1</v>
      </c>
      <c r="Z363" s="0" t="s">
        <v>175</v>
      </c>
      <c r="AA363" s="0" t="s">
        <v>187</v>
      </c>
      <c r="AB363" s="0" t="s">
        <v>85</v>
      </c>
      <c r="AC363" s="0" t="s">
        <v>177</v>
      </c>
      <c r="AD363" s="0" t="s">
        <v>293</v>
      </c>
      <c r="AE363" s="0" t="s">
        <v>294</v>
      </c>
      <c r="AH363" s="0" t="s">
        <v>180</v>
      </c>
      <c r="AI363" s="0" t="s">
        <v>92</v>
      </c>
      <c r="AJ363" s="0" t="s">
        <v>437</v>
      </c>
      <c r="AK363" s="0" t="s">
        <v>94</v>
      </c>
      <c r="AN363" s="0" t="s">
        <v>97</v>
      </c>
      <c r="AP363" s="0" t="s">
        <v>99</v>
      </c>
      <c r="AR363" s="0" t="s">
        <v>101</v>
      </c>
      <c r="AT363" s="0" t="s">
        <v>103</v>
      </c>
      <c r="BB363" s="0" t="s">
        <v>111</v>
      </c>
      <c r="BV363" s="0" t="s">
        <v>131</v>
      </c>
      <c r="CB363" s="0" t="s">
        <v>137</v>
      </c>
    </row>
    <row r="364">
      <c r="B364" s="0" t="s">
        <v>1223</v>
      </c>
      <c r="C364" s="1" t="n">
        <v>353812</v>
      </c>
      <c r="E364" s="14" t="s">
        <v>1224</v>
      </c>
      <c r="F364" s="14" t="s">
        <v>184</v>
      </c>
      <c r="G364" s="25" t="str">
        <f>HYPERLINK("http://vk.com/wall-110697272_513435?reply=513741&amp;thread=513440")</f>
      </c>
      <c r="H364" s="14" t="s">
        <v>170</v>
      </c>
      <c r="I364" s="14" t="s">
        <v>231</v>
      </c>
      <c r="J364" s="14" t="s">
        <v>1126</v>
      </c>
      <c r="K364" s="26" t="str">
        <f>HYPERLINK("http://vk.com/id793503511")</f>
      </c>
      <c r="L364" s="14" t="s">
        <v>173</v>
      </c>
      <c r="M364" s="14" t="s">
        <v>1225</v>
      </c>
      <c r="N364" s="25" t="str">
        <f>HYPERLINK("http://vk.com/club110697272")</f>
      </c>
      <c r="O364" s="1" t="s">
        <v>186</v>
      </c>
      <c r="P364" s="1" t="n">
        <v>24</v>
      </c>
      <c r="Q364" s="1" t="n">
        <v>31333</v>
      </c>
      <c r="R364" s="1" t="n">
        <v>0</v>
      </c>
      <c r="S364" s="1"/>
      <c r="T364" s="1" t="n">
        <v>0</v>
      </c>
      <c r="U364" s="1" t="n">
        <v>0</v>
      </c>
      <c r="V364" s="1" t="n">
        <v>0</v>
      </c>
      <c r="W364" s="1"/>
      <c r="Y364" s="1" t="n">
        <v>1</v>
      </c>
      <c r="Z364" s="0" t="s">
        <v>319</v>
      </c>
      <c r="AA364" s="0" t="s">
        <v>292</v>
      </c>
      <c r="AH364" s="0" t="s">
        <v>180</v>
      </c>
      <c r="AI364" s="0" t="s">
        <v>92</v>
      </c>
      <c r="AJ364" s="0" t="s">
        <v>437</v>
      </c>
      <c r="AY364" s="0" t="s">
        <v>108</v>
      </c>
      <c r="BB364" s="0" t="s">
        <v>111</v>
      </c>
      <c r="BG364" s="0" t="s">
        <v>116</v>
      </c>
      <c r="BS364" s="0" t="s">
        <v>128</v>
      </c>
      <c r="CA364" s="0" t="s">
        <v>136</v>
      </c>
    </row>
    <row r="365">
      <c r="B365" s="0" t="s">
        <v>1226</v>
      </c>
      <c r="C365" s="1" t="n">
        <v>354018</v>
      </c>
      <c r="D365" s="0" t="s">
        <v>1227</v>
      </c>
      <c r="E365" s="14" t="s">
        <v>1228</v>
      </c>
      <c r="F365" s="14" t="s">
        <v>263</v>
      </c>
      <c r="G365" s="25" t="str">
        <f>HYPERLINK("https://www.baby.ru/blogs/post/2611532555-622677534/")</f>
      </c>
      <c r="H365" s="14" t="s">
        <v>264</v>
      </c>
      <c r="I365" s="14" t="s">
        <v>231</v>
      </c>
      <c r="J365" s="14" t="s">
        <v>1209</v>
      </c>
      <c r="K365" s="26" t="str">
        <f>HYPERLINK("https://www.baby.ru/u/usr1776305/")</f>
      </c>
      <c r="L365" s="14"/>
      <c r="M365" s="14" t="s">
        <v>1229</v>
      </c>
      <c r="N365" s="25" t="str">
        <f>HYPERLINK("https://www.baby.ru/u/usr1788801/")</f>
      </c>
      <c r="O365" s="1"/>
      <c r="P365" s="1"/>
      <c r="Q365" s="1"/>
      <c r="R365" s="1" t="n">
        <v>0</v>
      </c>
      <c r="S365" s="1"/>
      <c r="T365" s="1" t="n">
        <v>0</v>
      </c>
      <c r="U365" s="1" t="n">
        <v>0</v>
      </c>
      <c r="V365" s="1" t="n">
        <v>0</v>
      </c>
      <c r="W365" s="1"/>
      <c r="Y365" s="1" t="n">
        <v>1</v>
      </c>
      <c r="Z365" s="0" t="s">
        <v>175</v>
      </c>
      <c r="AA365" s="0" t="s">
        <v>187</v>
      </c>
      <c r="AC365" s="0" t="s">
        <v>177</v>
      </c>
      <c r="AD365" s="0" t="s">
        <v>392</v>
      </c>
      <c r="AE365" s="0" t="s">
        <v>459</v>
      </c>
      <c r="AH365" s="0" t="s">
        <v>180</v>
      </c>
      <c r="AJ365" s="0" t="s">
        <v>437</v>
      </c>
      <c r="AK365" s="0" t="s">
        <v>94</v>
      </c>
      <c r="AL365" s="0" t="s">
        <v>95</v>
      </c>
      <c r="AN365" s="0" t="s">
        <v>97</v>
      </c>
      <c r="AS365" s="0" t="s">
        <v>102</v>
      </c>
      <c r="AW365" s="0" t="s">
        <v>106</v>
      </c>
      <c r="BE365" s="0" t="s">
        <v>114</v>
      </c>
      <c r="BG365" s="0" t="s">
        <v>116</v>
      </c>
      <c r="BH365" s="0" t="s">
        <v>117</v>
      </c>
      <c r="BL365" s="0" t="s">
        <v>121</v>
      </c>
      <c r="BM365" s="0" t="s">
        <v>122</v>
      </c>
      <c r="BO365" s="0" t="s">
        <v>124</v>
      </c>
    </row>
    <row r="366" ht="24.75">
      <c r="B366" s="0" t="s">
        <v>1230</v>
      </c>
      <c r="C366" s="1" t="n">
        <v>353579</v>
      </c>
      <c r="E366" s="14" t="s">
        <v>183</v>
      </c>
      <c r="F366" s="14" t="s">
        <v>184</v>
      </c>
      <c r="G366" s="25" t="str">
        <f>HYPERLINK("http://vk.com/wall568917062_310")</f>
      </c>
      <c r="H366" s="14" t="s">
        <v>170</v>
      </c>
      <c r="I366" s="14" t="s">
        <v>171</v>
      </c>
      <c r="J366" s="14" t="s">
        <v>1231</v>
      </c>
      <c r="K366" s="26" t="str">
        <f>HYPERLINK("http://vk.com/id568917062")</f>
      </c>
      <c r="L366" s="14" t="s">
        <v>173</v>
      </c>
      <c r="O366" s="1" t="s">
        <v>186</v>
      </c>
      <c r="P366" s="1" t="n">
        <v>56</v>
      </c>
      <c r="Q366" s="1" t="n">
        <v>33</v>
      </c>
      <c r="R366" s="1" t="n">
        <v>0</v>
      </c>
      <c r="S366" s="1"/>
      <c r="T366" s="1" t="n">
        <v>0</v>
      </c>
      <c r="U366" s="1" t="n">
        <v>0</v>
      </c>
      <c r="V366" s="1" t="n">
        <v>0</v>
      </c>
      <c r="W366" s="1"/>
      <c r="Y366" s="1" t="n">
        <v>62</v>
      </c>
      <c r="Z366" s="0" t="s">
        <v>175</v>
      </c>
      <c r="AA366" s="0" t="s">
        <v>187</v>
      </c>
      <c r="AH366" s="0" t="s">
        <v>180</v>
      </c>
      <c r="AJ366" s="0" t="s">
        <v>437</v>
      </c>
      <c r="AK366" s="0" t="s">
        <v>94</v>
      </c>
      <c r="AO366" s="0" t="s">
        <v>98</v>
      </c>
      <c r="AP366" s="0" t="s">
        <v>99</v>
      </c>
      <c r="AR366" s="0" t="s">
        <v>101</v>
      </c>
      <c r="BA366" s="0" t="s">
        <v>110</v>
      </c>
      <c r="BH366" s="0" t="s">
        <v>117</v>
      </c>
    </row>
    <row r="367">
      <c r="B367" s="0" t="s">
        <v>1232</v>
      </c>
      <c r="C367" s="1" t="n">
        <v>353853</v>
      </c>
      <c r="D367" s="0" t="s">
        <v>1233</v>
      </c>
      <c r="E367" s="14" t="s">
        <v>1234</v>
      </c>
      <c r="F367" s="14" t="s">
        <v>263</v>
      </c>
      <c r="G367" s="25" t="str">
        <f>HYPERLINK("https://www.baby.ru/blogs/post/2611440906-597440755/")</f>
      </c>
      <c r="H367" s="14" t="s">
        <v>264</v>
      </c>
      <c r="I367" s="14" t="s">
        <v>231</v>
      </c>
      <c r="J367" s="14" t="s">
        <v>1235</v>
      </c>
      <c r="K367" s="26" t="str">
        <f>HYPERLINK("https://www.baby.ru/u/usr2781259/")</f>
      </c>
      <c r="L367" s="14"/>
      <c r="M367" s="14" t="s">
        <v>1236</v>
      </c>
      <c r="N367" s="25" t="str">
        <f>HYPERLINK("https://www.baby.ru/u/usr1354704/")</f>
      </c>
      <c r="O367" s="1"/>
      <c r="P367" s="1"/>
      <c r="Q367" s="1"/>
      <c r="R367" s="1" t="n">
        <v>0</v>
      </c>
      <c r="S367" s="1"/>
      <c r="T367" s="1" t="n">
        <v>0</v>
      </c>
      <c r="U367" s="1" t="n">
        <v>0</v>
      </c>
      <c r="V367" s="1" t="n">
        <v>0</v>
      </c>
      <c r="W367" s="1"/>
      <c r="Y367" s="1" t="n">
        <v>1</v>
      </c>
      <c r="Z367" s="0" t="s">
        <v>175</v>
      </c>
      <c r="AA367" s="0" t="s">
        <v>187</v>
      </c>
      <c r="AH367" s="0" t="s">
        <v>180</v>
      </c>
      <c r="AJ367" s="0" t="s">
        <v>437</v>
      </c>
      <c r="AK367" s="0" t="s">
        <v>94</v>
      </c>
      <c r="AL367" s="0" t="s">
        <v>95</v>
      </c>
      <c r="AN367" s="0" t="s">
        <v>97</v>
      </c>
      <c r="AV367" s="0" t="s">
        <v>105</v>
      </c>
      <c r="AW367" s="0" t="s">
        <v>106</v>
      </c>
      <c r="BB367" s="0" t="s">
        <v>111</v>
      </c>
    </row>
    <row r="368">
      <c r="B368" s="0" t="s">
        <v>1232</v>
      </c>
      <c r="C368" s="1" t="n">
        <v>353840</v>
      </c>
      <c r="D368" s="0" t="s">
        <v>1237</v>
      </c>
      <c r="E368" s="14" t="s">
        <v>1238</v>
      </c>
      <c r="F368" s="14" t="s">
        <v>263</v>
      </c>
      <c r="G368" s="25" t="str">
        <f>HYPERLINK("https://www.baby.ru/blogs/post/2611525289-67027063/")</f>
      </c>
      <c r="H368" s="14" t="s">
        <v>264</v>
      </c>
      <c r="I368" s="14" t="s">
        <v>231</v>
      </c>
      <c r="J368" s="14" t="s">
        <v>1209</v>
      </c>
      <c r="K368" s="26" t="str">
        <f>HYPERLINK("https://www.baby.ru/u/usr1776305/")</f>
      </c>
      <c r="L368" s="14"/>
      <c r="M368" s="14" t="s">
        <v>1239</v>
      </c>
      <c r="N368" s="25" t="str">
        <f>HYPERLINK("https://www.baby.ru/u/usr486296/")</f>
      </c>
      <c r="O368" s="1"/>
      <c r="P368" s="1"/>
      <c r="Q368" s="1"/>
      <c r="R368" s="1" t="n">
        <v>0</v>
      </c>
      <c r="S368" s="1"/>
      <c r="T368" s="1" t="n">
        <v>0</v>
      </c>
      <c r="U368" s="1" t="n">
        <v>0</v>
      </c>
      <c r="V368" s="1" t="n">
        <v>0</v>
      </c>
      <c r="W368" s="1"/>
      <c r="Y368" s="1" t="n">
        <v>1</v>
      </c>
      <c r="Z368" s="0" t="s">
        <v>319</v>
      </c>
      <c r="AA368" s="0" t="s">
        <v>187</v>
      </c>
      <c r="AC368" s="0" t="s">
        <v>177</v>
      </c>
      <c r="AD368" s="0" t="s">
        <v>392</v>
      </c>
      <c r="AE368" s="0" t="s">
        <v>459</v>
      </c>
      <c r="AH368" s="0" t="s">
        <v>180</v>
      </c>
      <c r="AI368" s="0" t="s">
        <v>92</v>
      </c>
      <c r="AJ368" s="0" t="s">
        <v>437</v>
      </c>
      <c r="AK368" s="0" t="s">
        <v>94</v>
      </c>
      <c r="AL368" s="0" t="s">
        <v>95</v>
      </c>
      <c r="AN368" s="0" t="s">
        <v>97</v>
      </c>
      <c r="AS368" s="0" t="s">
        <v>102</v>
      </c>
      <c r="BE368" s="0" t="s">
        <v>114</v>
      </c>
      <c r="BG368" s="0" t="s">
        <v>116</v>
      </c>
      <c r="BH368" s="0" t="s">
        <v>117</v>
      </c>
      <c r="BO368" s="0" t="s">
        <v>124</v>
      </c>
    </row>
    <row r="369" ht="24.75">
      <c r="B369" s="0" t="s">
        <v>1240</v>
      </c>
      <c r="C369" s="1" t="n">
        <v>353580</v>
      </c>
      <c r="E369" s="14" t="s">
        <v>693</v>
      </c>
      <c r="F369" s="14" t="s">
        <v>184</v>
      </c>
      <c r="G369" s="25" t="str">
        <f>HYPERLINK("http://vk.com/wall770557996_86")</f>
      </c>
      <c r="H369" s="14" t="s">
        <v>170</v>
      </c>
      <c r="I369" s="14" t="s">
        <v>171</v>
      </c>
      <c r="J369" s="14" t="s">
        <v>1241</v>
      </c>
      <c r="K369" s="26" t="str">
        <f>HYPERLINK("http://vk.com/id770557996")</f>
      </c>
      <c r="L369" s="14" t="s">
        <v>173</v>
      </c>
      <c r="O369" s="1" t="s">
        <v>186</v>
      </c>
      <c r="P369" s="1" t="n">
        <v>55</v>
      </c>
      <c r="Q369" s="1" t="n">
        <v>49</v>
      </c>
      <c r="R369" s="1" t="n">
        <v>0</v>
      </c>
      <c r="S369" s="1"/>
      <c r="T369" s="1" t="n">
        <v>0</v>
      </c>
      <c r="U369" s="1" t="n">
        <v>0</v>
      </c>
      <c r="V369" s="1" t="n">
        <v>0</v>
      </c>
      <c r="W369" s="1"/>
      <c r="Y369" s="1" t="n">
        <v>5</v>
      </c>
      <c r="Z369" s="0" t="s">
        <v>175</v>
      </c>
      <c r="AA369" s="0" t="s">
        <v>187</v>
      </c>
      <c r="AC369" s="0" t="s">
        <v>177</v>
      </c>
      <c r="AD369" s="0" t="s">
        <v>392</v>
      </c>
      <c r="AE369" s="0" t="s">
        <v>1242</v>
      </c>
      <c r="AH369" s="0" t="s">
        <v>180</v>
      </c>
      <c r="AJ369" s="0" t="s">
        <v>437</v>
      </c>
      <c r="AK369" s="0" t="s">
        <v>94</v>
      </c>
      <c r="AL369" s="0" t="s">
        <v>95</v>
      </c>
      <c r="AM369" s="0" t="s">
        <v>96</v>
      </c>
      <c r="AX369" s="0" t="s">
        <v>107</v>
      </c>
    </row>
    <row r="370" ht="36.75">
      <c r="B370" s="0" t="s">
        <v>1240</v>
      </c>
      <c r="C370" s="1" t="n">
        <v>353583</v>
      </c>
      <c r="E370" s="14" t="s">
        <v>202</v>
      </c>
      <c r="F370" s="14" t="s">
        <v>184</v>
      </c>
      <c r="G370" s="25" t="str">
        <f>HYPERLINK("http://vk.com/wall502364298_1840")</f>
      </c>
      <c r="H370" s="14" t="s">
        <v>170</v>
      </c>
      <c r="I370" s="14" t="s">
        <v>171</v>
      </c>
      <c r="J370" s="14" t="s">
        <v>1243</v>
      </c>
      <c r="K370" s="26" t="str">
        <f>HYPERLINK("http://vk.com/id502364298")</f>
      </c>
      <c r="L370" s="14" t="s">
        <v>173</v>
      </c>
      <c r="O370" s="1" t="s">
        <v>186</v>
      </c>
      <c r="P370" s="1" t="n">
        <v>62</v>
      </c>
      <c r="Q370" s="1" t="n">
        <v>26</v>
      </c>
      <c r="R370" s="1" t="n">
        <v>0</v>
      </c>
      <c r="S370" s="1"/>
      <c r="T370" s="1" t="n">
        <v>0</v>
      </c>
      <c r="U370" s="1" t="n">
        <v>0</v>
      </c>
      <c r="V370" s="1" t="n">
        <v>0</v>
      </c>
      <c r="W370" s="1"/>
      <c r="Y370" s="1" t="n">
        <v>60</v>
      </c>
      <c r="Z370" s="0" t="s">
        <v>175</v>
      </c>
      <c r="AA370" s="0" t="s">
        <v>176</v>
      </c>
      <c r="AC370" s="0" t="s">
        <v>177</v>
      </c>
      <c r="AD370" s="0" t="s">
        <v>1244</v>
      </c>
      <c r="AE370" s="0" t="s">
        <v>1245</v>
      </c>
      <c r="AH370" s="0" t="s">
        <v>180</v>
      </c>
      <c r="AJ370" s="0" t="s">
        <v>437</v>
      </c>
      <c r="AK370" s="0" t="s">
        <v>94</v>
      </c>
      <c r="AL370" s="0" t="s">
        <v>95</v>
      </c>
      <c r="AM370" s="0" t="s">
        <v>96</v>
      </c>
      <c r="AO370" s="0" t="s">
        <v>98</v>
      </c>
      <c r="AQ370" s="0" t="s">
        <v>100</v>
      </c>
    </row>
    <row r="371" ht="72.75">
      <c r="B371" s="0" t="s">
        <v>1240</v>
      </c>
      <c r="C371" s="1" t="n">
        <v>353582</v>
      </c>
      <c r="E371" s="14" t="s">
        <v>1246</v>
      </c>
      <c r="F371" s="14" t="s">
        <v>184</v>
      </c>
      <c r="G371" s="25" t="str">
        <f>HYPERLINK("http://vk.com/wall509409524_156")</f>
      </c>
      <c r="H371" s="14" t="s">
        <v>170</v>
      </c>
      <c r="I371" s="14" t="s">
        <v>171</v>
      </c>
      <c r="J371" s="14" t="s">
        <v>1247</v>
      </c>
      <c r="K371" s="26" t="str">
        <f>HYPERLINK("http://vk.com/id509409524")</f>
      </c>
      <c r="L371" s="14" t="s">
        <v>173</v>
      </c>
      <c r="O371" s="1" t="s">
        <v>186</v>
      </c>
      <c r="P371" s="1" t="n">
        <v>65</v>
      </c>
      <c r="Q371" s="1" t="n">
        <v>62</v>
      </c>
      <c r="R371" s="1" t="n">
        <v>0</v>
      </c>
      <c r="S371" s="1"/>
      <c r="T371" s="1" t="n">
        <v>0</v>
      </c>
      <c r="U371" s="1" t="n">
        <v>0</v>
      </c>
      <c r="V371" s="1" t="n">
        <v>0</v>
      </c>
      <c r="W371" s="1" t="n">
        <v>1</v>
      </c>
      <c r="Y371" s="1" t="n">
        <v>1</v>
      </c>
      <c r="Z371" s="0" t="s">
        <v>175</v>
      </c>
      <c r="AA371" s="0" t="s">
        <v>176</v>
      </c>
      <c r="AH371" s="0" t="s">
        <v>180</v>
      </c>
      <c r="AJ371" s="0" t="s">
        <v>437</v>
      </c>
      <c r="AL371" s="0" t="s">
        <v>95</v>
      </c>
      <c r="AM371" s="0" t="s">
        <v>96</v>
      </c>
      <c r="AO371" s="0" t="s">
        <v>98</v>
      </c>
    </row>
    <row r="372">
      <c r="B372" s="0" t="s">
        <v>1248</v>
      </c>
      <c r="C372" s="1" t="n">
        <v>353807</v>
      </c>
      <c r="E372" s="14" t="s">
        <v>1249</v>
      </c>
      <c r="F372" s="14" t="s">
        <v>184</v>
      </c>
      <c r="G372" s="25" t="str">
        <f>HYPERLINK("http://vk.com/wall-146175495_828867?reply=830222&amp;thread=829839")</f>
      </c>
      <c r="H372" s="14" t="s">
        <v>170</v>
      </c>
      <c r="I372" s="14" t="s">
        <v>231</v>
      </c>
      <c r="J372" s="14" t="s">
        <v>1126</v>
      </c>
      <c r="K372" s="26" t="str">
        <f>HYPERLINK("http://vk.com/id793503511")</f>
      </c>
      <c r="L372" s="14" t="s">
        <v>173</v>
      </c>
      <c r="M372" s="14" t="s">
        <v>401</v>
      </c>
      <c r="N372" s="25" t="str">
        <f>HYPERLINK("http://vk.com/club146175495")</f>
      </c>
      <c r="O372" s="1" t="s">
        <v>186</v>
      </c>
      <c r="P372" s="1" t="n">
        <v>24</v>
      </c>
      <c r="Q372" s="1" t="n">
        <v>26839</v>
      </c>
      <c r="R372" s="1" t="n">
        <v>0</v>
      </c>
      <c r="S372" s="1"/>
      <c r="T372" s="1" t="n">
        <v>0</v>
      </c>
      <c r="U372" s="1" t="n">
        <v>0</v>
      </c>
      <c r="V372" s="1" t="n">
        <v>0</v>
      </c>
      <c r="W372" s="1"/>
      <c r="Y372" s="1" t="n">
        <v>1</v>
      </c>
      <c r="Z372" s="0" t="s">
        <v>319</v>
      </c>
      <c r="AA372" s="0" t="s">
        <v>292</v>
      </c>
      <c r="AH372" s="0" t="s">
        <v>180</v>
      </c>
      <c r="AI372" s="0" t="s">
        <v>92</v>
      </c>
      <c r="AJ372" s="0" t="s">
        <v>437</v>
      </c>
      <c r="AK372" s="0" t="s">
        <v>94</v>
      </c>
      <c r="AN372" s="0" t="s">
        <v>97</v>
      </c>
      <c r="AY372" s="0" t="s">
        <v>108</v>
      </c>
      <c r="BF372" s="0" t="s">
        <v>115</v>
      </c>
      <c r="BG372" s="0" t="s">
        <v>116</v>
      </c>
      <c r="BS372" s="0" t="s">
        <v>128</v>
      </c>
    </row>
    <row r="373">
      <c r="B373" s="0" t="s">
        <v>1248</v>
      </c>
      <c r="C373" s="1" t="n">
        <v>353585</v>
      </c>
      <c r="E373" s="14" t="s">
        <v>1250</v>
      </c>
      <c r="F373" s="14" t="s">
        <v>184</v>
      </c>
      <c r="G373" s="25" t="str">
        <f>HYPERLINK("http://vk.com/wall-55087184_55957?reply=56170")</f>
      </c>
      <c r="H373" s="14" t="s">
        <v>170</v>
      </c>
      <c r="I373" s="14" t="s">
        <v>231</v>
      </c>
      <c r="J373" s="14" t="s">
        <v>1251</v>
      </c>
      <c r="K373" s="26" t="str">
        <f>HYPERLINK("http://vk.com/id190589420")</f>
      </c>
      <c r="L373" s="14" t="s">
        <v>173</v>
      </c>
      <c r="M373" s="14" t="s">
        <v>1252</v>
      </c>
      <c r="N373" s="25" t="str">
        <f>HYPERLINK("http://vk.com/club55087184")</f>
      </c>
      <c r="O373" s="1" t="s">
        <v>186</v>
      </c>
      <c r="P373" s="1" t="n">
        <v>37</v>
      </c>
      <c r="Q373" s="1" t="n">
        <v>13923</v>
      </c>
      <c r="R373" s="1" t="n">
        <v>0</v>
      </c>
      <c r="S373" s="1"/>
      <c r="T373" s="1" t="n">
        <v>0</v>
      </c>
      <c r="U373" s="1" t="n">
        <v>0</v>
      </c>
      <c r="V373" s="1" t="n">
        <v>0</v>
      </c>
      <c r="W373" s="1"/>
      <c r="Y373" s="1" t="n">
        <v>1</v>
      </c>
      <c r="Z373" s="0" t="s">
        <v>319</v>
      </c>
      <c r="AA373" s="0" t="s">
        <v>187</v>
      </c>
      <c r="AC373" s="0" t="s">
        <v>177</v>
      </c>
      <c r="AH373" s="0" t="s">
        <v>180</v>
      </c>
      <c r="AI373" s="0" t="s">
        <v>92</v>
      </c>
      <c r="AJ373" s="0" t="s">
        <v>437</v>
      </c>
      <c r="AK373" s="0" t="s">
        <v>94</v>
      </c>
      <c r="AN373" s="0" t="s">
        <v>97</v>
      </c>
      <c r="AP373" s="0" t="s">
        <v>99</v>
      </c>
      <c r="AV373" s="0" t="s">
        <v>105</v>
      </c>
      <c r="BB373" s="0" t="s">
        <v>111</v>
      </c>
    </row>
    <row r="374" ht="1248.75">
      <c r="B374" s="0" t="s">
        <v>1248</v>
      </c>
      <c r="C374" s="1" t="n">
        <v>353892</v>
      </c>
      <c r="E374" s="14" t="s">
        <v>1253</v>
      </c>
      <c r="F374" s="14" t="s">
        <v>169</v>
      </c>
      <c r="G374" s="25" t="str">
        <f>HYPERLINK("http://www.ok.ru/profile/564670085565/statuses/155269141348541")</f>
      </c>
      <c r="H374" s="14" t="s">
        <v>170</v>
      </c>
      <c r="I374" s="14" t="s">
        <v>171</v>
      </c>
      <c r="J374" s="14" t="s">
        <v>1254</v>
      </c>
      <c r="K374" s="26" t="str">
        <f>HYPERLINK("http://www.ok.ru/profile/564670085565")</f>
      </c>
      <c r="L374" s="14" t="s">
        <v>173</v>
      </c>
      <c r="O374" s="1" t="s">
        <v>174</v>
      </c>
      <c r="P374" s="1"/>
      <c r="Q374" s="1" t="n">
        <v>155</v>
      </c>
      <c r="R374" s="1" t="n">
        <v>0</v>
      </c>
      <c r="S374" s="1"/>
      <c r="T374" s="1" t="n">
        <v>0</v>
      </c>
      <c r="U374" s="1" t="n">
        <v>0</v>
      </c>
      <c r="V374" s="1" t="n">
        <v>0</v>
      </c>
      <c r="W374" s="1"/>
      <c r="Y374" s="1" t="n">
        <v>5</v>
      </c>
      <c r="Z374" s="0" t="s">
        <v>175</v>
      </c>
      <c r="AA374" s="0" t="s">
        <v>187</v>
      </c>
      <c r="AC374" s="0" t="s">
        <v>177</v>
      </c>
      <c r="AD374" s="0" t="s">
        <v>384</v>
      </c>
      <c r="AE374" s="0" t="s">
        <v>1255</v>
      </c>
      <c r="AH374" s="0" t="s">
        <v>180</v>
      </c>
      <c r="AJ374" s="0" t="s">
        <v>437</v>
      </c>
      <c r="AK374" s="0" t="s">
        <v>94</v>
      </c>
      <c r="AM374" s="0" t="s">
        <v>96</v>
      </c>
      <c r="AP374" s="0" t="s">
        <v>99</v>
      </c>
      <c r="AX374" s="0" t="s">
        <v>107</v>
      </c>
    </row>
    <row r="375" ht="84.75">
      <c r="B375" s="0" t="s">
        <v>1248</v>
      </c>
      <c r="C375" s="1" t="n">
        <v>353574</v>
      </c>
      <c r="E375" s="14" t="s">
        <v>1256</v>
      </c>
      <c r="F375" s="14" t="s">
        <v>184</v>
      </c>
      <c r="G375" s="25" t="str">
        <f>HYPERLINK("http://vk.com/wall-89459809_144848")</f>
      </c>
      <c r="H375" s="14" t="s">
        <v>170</v>
      </c>
      <c r="I375" s="14" t="s">
        <v>194</v>
      </c>
      <c r="J375" s="14" t="s">
        <v>1257</v>
      </c>
      <c r="K375" s="26" t="str">
        <f>HYPERLINK("http://vk.com/club89459809")</f>
      </c>
      <c r="L375" s="14" t="s">
        <v>274</v>
      </c>
      <c r="O375" s="1"/>
      <c r="P375" s="1"/>
      <c r="Q375" s="1" t="n">
        <v>46798</v>
      </c>
      <c r="R375" s="1" t="n">
        <v>0</v>
      </c>
      <c r="S375" s="1"/>
      <c r="T375" s="1" t="n">
        <v>0</v>
      </c>
      <c r="U375" s="1" t="n">
        <v>0</v>
      </c>
      <c r="V375" s="1" t="n">
        <v>0</v>
      </c>
      <c r="W375" s="1" t="n">
        <v>451</v>
      </c>
      <c r="Y375" s="1" t="n">
        <v>1</v>
      </c>
      <c r="Z375" s="0" t="s">
        <v>175</v>
      </c>
      <c r="AA375" s="0" t="s">
        <v>176</v>
      </c>
      <c r="AC375" s="0" t="s">
        <v>177</v>
      </c>
      <c r="AD375" s="0" t="s">
        <v>1058</v>
      </c>
      <c r="AE375" s="0" t="s">
        <v>1059</v>
      </c>
      <c r="AH375" s="0" t="s">
        <v>180</v>
      </c>
      <c r="AJ375" s="0" t="s">
        <v>437</v>
      </c>
      <c r="AM375" s="0" t="s">
        <v>96</v>
      </c>
      <c r="AP375" s="0" t="s">
        <v>99</v>
      </c>
      <c r="BD375" s="0" t="s">
        <v>113</v>
      </c>
    </row>
    <row r="376" ht="1632.75">
      <c r="B376" s="0" t="s">
        <v>1258</v>
      </c>
      <c r="C376" s="1" t="n">
        <v>353576</v>
      </c>
      <c r="E376" s="14" t="s">
        <v>320</v>
      </c>
      <c r="F376" s="14" t="s">
        <v>184</v>
      </c>
      <c r="G376" s="25" t="str">
        <f>HYPERLINK("http://vk.com/wall646416958_1437")</f>
      </c>
      <c r="H376" s="14" t="s">
        <v>170</v>
      </c>
      <c r="I376" s="14" t="s">
        <v>171</v>
      </c>
      <c r="J376" s="14" t="s">
        <v>1259</v>
      </c>
      <c r="K376" s="26" t="str">
        <f>HYPERLINK("http://vk.com/id646416958")</f>
      </c>
      <c r="L376" s="14" t="s">
        <v>173</v>
      </c>
      <c r="O376" s="1" t="s">
        <v>186</v>
      </c>
      <c r="P376" s="1" t="n">
        <v>52</v>
      </c>
      <c r="Q376" s="1" t="n">
        <v>74</v>
      </c>
      <c r="R376" s="1" t="n">
        <v>0</v>
      </c>
      <c r="S376" s="1"/>
      <c r="T376" s="1" t="n">
        <v>0</v>
      </c>
      <c r="U376" s="1" t="n">
        <v>0</v>
      </c>
      <c r="V376" s="1" t="n">
        <v>0</v>
      </c>
      <c r="W376" s="1"/>
      <c r="Y376" s="1" t="n">
        <v>12</v>
      </c>
      <c r="Z376" s="0" t="s">
        <v>175</v>
      </c>
      <c r="AA376" s="0" t="s">
        <v>187</v>
      </c>
      <c r="AH376" s="0" t="s">
        <v>180</v>
      </c>
      <c r="AJ376" s="0" t="s">
        <v>437</v>
      </c>
      <c r="AK376" s="0" t="s">
        <v>94</v>
      </c>
      <c r="AL376" s="0" t="s">
        <v>95</v>
      </c>
      <c r="AM376" s="0" t="s">
        <v>96</v>
      </c>
      <c r="AP376" s="0" t="s">
        <v>99</v>
      </c>
      <c r="AX376" s="0" t="s">
        <v>107</v>
      </c>
    </row>
    <row r="377">
      <c r="B377" s="0" t="s">
        <v>1260</v>
      </c>
      <c r="C377" s="1" t="n">
        <v>353827</v>
      </c>
      <c r="E377" s="14" t="s">
        <v>1261</v>
      </c>
      <c r="F377" s="14" t="s">
        <v>184</v>
      </c>
      <c r="G377" s="25" t="str">
        <f>HYPERLINK("http://vk.com/wall-65288136_5878695?reply=5879334&amp;thread=5878820")</f>
      </c>
      <c r="H377" s="14" t="s">
        <v>170</v>
      </c>
      <c r="I377" s="14" t="s">
        <v>231</v>
      </c>
      <c r="J377" s="14" t="s">
        <v>1126</v>
      </c>
      <c r="K377" s="26" t="str">
        <f>HYPERLINK("http://vk.com/id793503511")</f>
      </c>
      <c r="L377" s="14" t="s">
        <v>173</v>
      </c>
      <c r="M377" s="14" t="s">
        <v>1262</v>
      </c>
      <c r="N377" s="25" t="str">
        <f>HYPERLINK("http://vk.com/club65288136")</f>
      </c>
      <c r="O377" s="1" t="s">
        <v>186</v>
      </c>
      <c r="P377" s="1" t="n">
        <v>24</v>
      </c>
      <c r="Q377" s="1" t="n">
        <v>38860</v>
      </c>
      <c r="R377" s="1" t="n">
        <v>0</v>
      </c>
      <c r="S377" s="1"/>
      <c r="T377" s="1" t="n">
        <v>0</v>
      </c>
      <c r="U377" s="1" t="n">
        <v>0</v>
      </c>
      <c r="V377" s="1" t="n">
        <v>0</v>
      </c>
      <c r="W377" s="1"/>
      <c r="Y377" s="1" t="n">
        <v>1</v>
      </c>
      <c r="Z377" s="0" t="s">
        <v>319</v>
      </c>
      <c r="AA377" s="0" t="s">
        <v>223</v>
      </c>
      <c r="AH377" s="0" t="s">
        <v>180</v>
      </c>
      <c r="AI377" s="0" t="s">
        <v>92</v>
      </c>
      <c r="AJ377" s="0" t="s">
        <v>437</v>
      </c>
      <c r="AN377" s="0" t="s">
        <v>97</v>
      </c>
      <c r="AS377" s="0" t="s">
        <v>102</v>
      </c>
      <c r="AY377" s="0" t="s">
        <v>108</v>
      </c>
      <c r="BS377" s="0" t="s">
        <v>128</v>
      </c>
      <c r="CA377" s="0" t="s">
        <v>136</v>
      </c>
    </row>
    <row r="378">
      <c r="B378" s="0" t="s">
        <v>1260</v>
      </c>
      <c r="C378" s="1" t="n">
        <v>353786</v>
      </c>
      <c r="E378" s="14" t="s">
        <v>1263</v>
      </c>
      <c r="F378" s="14" t="s">
        <v>184</v>
      </c>
      <c r="G378" s="25" t="str">
        <f>HYPERLINK("http://vk.com/wall-168460699_384837?reply=385393")</f>
      </c>
      <c r="H378" s="14" t="s">
        <v>170</v>
      </c>
      <c r="I378" s="14" t="s">
        <v>231</v>
      </c>
      <c r="J378" s="14" t="s">
        <v>1264</v>
      </c>
      <c r="K378" s="26" t="str">
        <f>HYPERLINK("http://vk.com/id139963867")</f>
      </c>
      <c r="L378" s="14" t="s">
        <v>173</v>
      </c>
      <c r="M378" s="14" t="s">
        <v>1265</v>
      </c>
      <c r="N378" s="25" t="str">
        <f>HYPERLINK("http://vk.com/club168460699")</f>
      </c>
      <c r="O378" s="1" t="s">
        <v>186</v>
      </c>
      <c r="P378" s="1" t="n">
        <v>36</v>
      </c>
      <c r="Q378" s="1" t="n">
        <v>8624</v>
      </c>
      <c r="R378" s="1" t="n">
        <v>0</v>
      </c>
      <c r="S378" s="1"/>
      <c r="T378" s="1" t="n">
        <v>0</v>
      </c>
      <c r="U378" s="1" t="n">
        <v>0</v>
      </c>
      <c r="V378" s="1" t="n">
        <v>0</v>
      </c>
      <c r="W378" s="1"/>
      <c r="Y378" s="1" t="n">
        <v>1</v>
      </c>
      <c r="Z378" s="0" t="s">
        <v>319</v>
      </c>
      <c r="AA378" s="0" t="s">
        <v>187</v>
      </c>
      <c r="AC378" s="0" t="s">
        <v>177</v>
      </c>
      <c r="AH378" s="0" t="s">
        <v>180</v>
      </c>
      <c r="AI378" s="0" t="s">
        <v>92</v>
      </c>
      <c r="AJ378" s="0" t="s">
        <v>437</v>
      </c>
      <c r="AK378" s="0" t="s">
        <v>94</v>
      </c>
      <c r="AL378" s="0" t="s">
        <v>95</v>
      </c>
      <c r="AN378" s="0" t="s">
        <v>97</v>
      </c>
      <c r="AS378" s="0" t="s">
        <v>102</v>
      </c>
      <c r="AV378" s="0" t="s">
        <v>105</v>
      </c>
      <c r="BG378" s="0" t="s">
        <v>116</v>
      </c>
      <c r="BO378" s="0" t="s">
        <v>124</v>
      </c>
      <c r="BQ378" s="0" t="s">
        <v>126</v>
      </c>
    </row>
    <row r="379">
      <c r="B379" s="0" t="s">
        <v>1266</v>
      </c>
      <c r="C379" s="1" t="n">
        <v>353554</v>
      </c>
      <c r="E379" s="14" t="s">
        <v>1267</v>
      </c>
      <c r="F379" s="14" t="s">
        <v>192</v>
      </c>
      <c r="G379" s="25" t="str">
        <f>HYPERLINK("https://telegram.me/bukharamedic/35788")</f>
      </c>
      <c r="H379" s="14" t="s">
        <v>193</v>
      </c>
      <c r="I379" s="14" t="s">
        <v>194</v>
      </c>
      <c r="J379" s="14" t="s">
        <v>1268</v>
      </c>
      <c r="K379" s="26" t="str">
        <f>HYPERLINK("https://telegram.me/")</f>
      </c>
      <c r="L379" s="14" t="s">
        <v>173</v>
      </c>
      <c r="M379" s="14" t="s">
        <v>1269</v>
      </c>
      <c r="N379" s="25" t="str">
        <f>HYPERLINK("https://telegram.me/bukharamedic")</f>
      </c>
      <c r="O379" s="1"/>
      <c r="P379" s="1"/>
      <c r="Q379" s="1" t="n">
        <v>907</v>
      </c>
      <c r="R379" s="1" t="n">
        <v>0</v>
      </c>
      <c r="S379" s="1"/>
      <c r="T379" s="1" t="n">
        <v>0</v>
      </c>
      <c r="U379" s="1" t="n">
        <v>0</v>
      </c>
      <c r="V379" s="1" t="n">
        <v>0</v>
      </c>
      <c r="W379" s="1"/>
      <c r="Y379" s="1" t="n">
        <v>1</v>
      </c>
      <c r="Z379" s="0" t="s">
        <v>175</v>
      </c>
      <c r="AA379" s="0" t="s">
        <v>292</v>
      </c>
      <c r="AH379" s="0" t="s">
        <v>180</v>
      </c>
      <c r="AJ379" s="0" t="s">
        <v>437</v>
      </c>
      <c r="AO379" s="0" t="s">
        <v>98</v>
      </c>
      <c r="AP379" s="0" t="s">
        <v>99</v>
      </c>
      <c r="CW379" s="0" t="s">
        <v>158</v>
      </c>
    </row>
    <row r="380">
      <c r="B380" s="0" t="s">
        <v>1266</v>
      </c>
      <c r="C380" s="1" t="n">
        <v>353563</v>
      </c>
      <c r="E380" s="14" t="s">
        <v>1270</v>
      </c>
      <c r="F380" s="14" t="s">
        <v>184</v>
      </c>
      <c r="G380" s="25" t="str">
        <f>HYPERLINK("http://vk.com/wall-33277814_729930?reply=730840")</f>
      </c>
      <c r="H380" s="14" t="s">
        <v>170</v>
      </c>
      <c r="I380" s="14" t="s">
        <v>231</v>
      </c>
      <c r="J380" s="14" t="s">
        <v>1271</v>
      </c>
      <c r="K380" s="26" t="str">
        <f>HYPERLINK("http://vk.com/id332893591")</f>
      </c>
      <c r="L380" s="14" t="s">
        <v>173</v>
      </c>
      <c r="M380" s="14" t="s">
        <v>1272</v>
      </c>
      <c r="N380" s="25" t="str">
        <f>HYPERLINK("http://vk.com/club33277814")</f>
      </c>
      <c r="O380" s="1" t="s">
        <v>186</v>
      </c>
      <c r="P380" s="1" t="n">
        <v>40</v>
      </c>
      <c r="Q380" s="1" t="n">
        <v>37830</v>
      </c>
      <c r="R380" s="1" t="n">
        <v>0</v>
      </c>
      <c r="S380" s="1"/>
      <c r="T380" s="1" t="n">
        <v>0</v>
      </c>
      <c r="U380" s="1" t="n">
        <v>0</v>
      </c>
      <c r="V380" s="1" t="n">
        <v>0</v>
      </c>
      <c r="W380" s="1"/>
      <c r="Y380" s="1" t="n">
        <v>1</v>
      </c>
      <c r="Z380" s="0" t="s">
        <v>319</v>
      </c>
      <c r="AA380" s="0" t="s">
        <v>187</v>
      </c>
      <c r="AC380" s="0" t="s">
        <v>177</v>
      </c>
      <c r="AH380" s="0" t="s">
        <v>180</v>
      </c>
      <c r="AJ380" s="0" t="s">
        <v>437</v>
      </c>
      <c r="AK380" s="0" t="s">
        <v>94</v>
      </c>
      <c r="AN380" s="0" t="s">
        <v>97</v>
      </c>
      <c r="AP380" s="0" t="s">
        <v>99</v>
      </c>
      <c r="AV380" s="0" t="s">
        <v>105</v>
      </c>
      <c r="BB380" s="0" t="s">
        <v>111</v>
      </c>
      <c r="BM380" s="0" t="s">
        <v>122</v>
      </c>
    </row>
    <row r="381">
      <c r="B381" s="0" t="s">
        <v>1273</v>
      </c>
      <c r="C381" s="1" t="n">
        <v>353798</v>
      </c>
      <c r="E381" s="14" t="s">
        <v>1274</v>
      </c>
      <c r="F381" s="14" t="s">
        <v>375</v>
      </c>
      <c r="G381" s="25" t="str">
        <f>HYPERLINK("https://www.babyblog.ru/community/living/post/3308647")</f>
      </c>
      <c r="H381" s="14" t="s">
        <v>376</v>
      </c>
      <c r="I381" s="14" t="s">
        <v>231</v>
      </c>
      <c r="J381" s="14" t="s">
        <v>1275</v>
      </c>
      <c r="L381" s="14"/>
      <c r="M381" s="14" t="s">
        <v>378</v>
      </c>
      <c r="O381" s="1"/>
      <c r="P381" s="1"/>
      <c r="Q381" s="1"/>
      <c r="R381" s="1" t="n">
        <v>0</v>
      </c>
      <c r="S381" s="1"/>
      <c r="T381" s="1" t="n">
        <v>0</v>
      </c>
      <c r="U381" s="1" t="n">
        <v>0</v>
      </c>
      <c r="V381" s="1" t="n">
        <v>0</v>
      </c>
      <c r="W381" s="1"/>
      <c r="Y381" s="1" t="n">
        <v>1</v>
      </c>
      <c r="Z381" s="0" t="s">
        <v>175</v>
      </c>
      <c r="AA381" s="0" t="s">
        <v>187</v>
      </c>
      <c r="AH381" s="0" t="s">
        <v>180</v>
      </c>
      <c r="AI381" s="0" t="s">
        <v>92</v>
      </c>
      <c r="AJ381" s="0" t="s">
        <v>437</v>
      </c>
      <c r="AK381" s="0" t="s">
        <v>94</v>
      </c>
      <c r="AL381" s="0" t="s">
        <v>95</v>
      </c>
      <c r="AN381" s="0" t="s">
        <v>97</v>
      </c>
      <c r="AS381" s="0" t="s">
        <v>102</v>
      </c>
      <c r="BB381" s="0" t="s">
        <v>111</v>
      </c>
      <c r="BI381" s="0" t="s">
        <v>118</v>
      </c>
      <c r="BZ381" s="0" t="s">
        <v>135</v>
      </c>
    </row>
    <row r="382">
      <c r="B382" s="0" t="s">
        <v>1273</v>
      </c>
      <c r="C382" s="1" t="n">
        <v>353808</v>
      </c>
      <c r="E382" s="14" t="s">
        <v>1276</v>
      </c>
      <c r="F382" s="14" t="s">
        <v>184</v>
      </c>
      <c r="G382" s="25" t="str">
        <f>HYPERLINK("http://vk.com/wall-110697163_959750?reply=960186")</f>
      </c>
      <c r="H382" s="14" t="s">
        <v>170</v>
      </c>
      <c r="I382" s="14" t="s">
        <v>231</v>
      </c>
      <c r="J382" s="14" t="s">
        <v>1277</v>
      </c>
      <c r="K382" s="26" t="str">
        <f>HYPERLINK("http://vk.com/id154041057")</f>
      </c>
      <c r="L382" s="14" t="s">
        <v>173</v>
      </c>
      <c r="M382" s="14" t="s">
        <v>1278</v>
      </c>
      <c r="N382" s="25" t="str">
        <f>HYPERLINK("http://vk.com/club110697163")</f>
      </c>
      <c r="O382" s="1" t="s">
        <v>186</v>
      </c>
      <c r="P382" s="1"/>
      <c r="Q382" s="1" t="n">
        <v>45796</v>
      </c>
      <c r="R382" s="1" t="n">
        <v>0</v>
      </c>
      <c r="S382" s="1"/>
      <c r="T382" s="1" t="n">
        <v>0</v>
      </c>
      <c r="U382" s="1" t="n">
        <v>0</v>
      </c>
      <c r="V382" s="1" t="n">
        <v>0</v>
      </c>
      <c r="W382" s="1"/>
      <c r="Y382" s="1" t="n">
        <v>1</v>
      </c>
      <c r="Z382" s="0" t="s">
        <v>175</v>
      </c>
      <c r="AA382" s="0" t="s">
        <v>187</v>
      </c>
      <c r="AC382" s="0" t="s">
        <v>177</v>
      </c>
      <c r="AH382" s="0" t="s">
        <v>180</v>
      </c>
      <c r="AJ382" s="0" t="s">
        <v>437</v>
      </c>
      <c r="AK382" s="0" t="s">
        <v>94</v>
      </c>
      <c r="AL382" s="0" t="s">
        <v>95</v>
      </c>
      <c r="AN382" s="0" t="s">
        <v>97</v>
      </c>
      <c r="AV382" s="0" t="s">
        <v>105</v>
      </c>
      <c r="BB382" s="0" t="s">
        <v>111</v>
      </c>
    </row>
    <row r="383">
      <c r="B383" s="0" t="s">
        <v>1273</v>
      </c>
      <c r="C383" s="1" t="n">
        <v>353826</v>
      </c>
      <c r="D383" s="0" t="s">
        <v>1279</v>
      </c>
      <c r="E383" s="14" t="s">
        <v>1280</v>
      </c>
      <c r="F383" s="14" t="s">
        <v>263</v>
      </c>
      <c r="G383" s="25" t="str">
        <f>HYPERLINK("https://www.baby.ru/blogs/post/2611526904-2588972979/")</f>
      </c>
      <c r="H383" s="14" t="s">
        <v>264</v>
      </c>
      <c r="I383" s="14" t="s">
        <v>231</v>
      </c>
      <c r="J383" s="14" t="s">
        <v>1209</v>
      </c>
      <c r="K383" s="26" t="str">
        <f>HYPERLINK("https://www.baby.ru/u/usr1776305/")</f>
      </c>
      <c r="L383" s="14"/>
      <c r="M383" s="14" t="s">
        <v>1281</v>
      </c>
      <c r="N383" s="25" t="str">
        <f>HYPERLINK("https://www.baby.ru/u/usr2745608/")</f>
      </c>
      <c r="O383" s="1"/>
      <c r="P383" s="1"/>
      <c r="Q383" s="1"/>
      <c r="R383" s="1" t="n">
        <v>0</v>
      </c>
      <c r="S383" s="1"/>
      <c r="T383" s="1" t="n">
        <v>0</v>
      </c>
      <c r="U383" s="1" t="n">
        <v>0</v>
      </c>
      <c r="V383" s="1" t="n">
        <v>0</v>
      </c>
      <c r="W383" s="1"/>
      <c r="Y383" s="1" t="n">
        <v>1</v>
      </c>
      <c r="Z383" s="0" t="s">
        <v>175</v>
      </c>
      <c r="AA383" s="0" t="s">
        <v>187</v>
      </c>
      <c r="AC383" s="0" t="s">
        <v>177</v>
      </c>
      <c r="AD383" s="0" t="s">
        <v>392</v>
      </c>
      <c r="AE383" s="0" t="s">
        <v>459</v>
      </c>
      <c r="AH383" s="0" t="s">
        <v>180</v>
      </c>
      <c r="AI383" s="0" t="s">
        <v>92</v>
      </c>
      <c r="AJ383" s="0" t="s">
        <v>437</v>
      </c>
      <c r="AK383" s="0" t="s">
        <v>94</v>
      </c>
      <c r="AL383" s="0" t="s">
        <v>95</v>
      </c>
      <c r="AN383" s="0" t="s">
        <v>97</v>
      </c>
      <c r="AW383" s="0" t="s">
        <v>106</v>
      </c>
      <c r="BB383" s="0" t="s">
        <v>111</v>
      </c>
      <c r="BE383" s="0" t="s">
        <v>114</v>
      </c>
      <c r="BH383" s="0" t="s">
        <v>117</v>
      </c>
      <c r="BM383" s="0" t="s">
        <v>122</v>
      </c>
      <c r="BO383" s="0" t="s">
        <v>124</v>
      </c>
      <c r="BQ383" s="0" t="s">
        <v>126</v>
      </c>
    </row>
    <row r="384" ht="1212.75">
      <c r="B384" s="0" t="s">
        <v>1282</v>
      </c>
      <c r="C384" s="1" t="n">
        <v>353959</v>
      </c>
      <c r="E384" s="14" t="s">
        <v>1283</v>
      </c>
      <c r="F384" s="14" t="s">
        <v>169</v>
      </c>
      <c r="G384" s="25" t="str">
        <f>HYPERLINK("http://www.ok.ru/profile/581859480380/statuses/155007951781948")</f>
      </c>
      <c r="H384" s="14" t="s">
        <v>170</v>
      </c>
      <c r="I384" s="14" t="s">
        <v>171</v>
      </c>
      <c r="J384" s="14" t="s">
        <v>1284</v>
      </c>
      <c r="K384" s="26" t="str">
        <f>HYPERLINK("http://www.ok.ru/profile/581859480380")</f>
      </c>
      <c r="L384" s="14" t="s">
        <v>173</v>
      </c>
      <c r="O384" s="1" t="s">
        <v>186</v>
      </c>
      <c r="P384" s="1" t="n">
        <v>64</v>
      </c>
      <c r="Q384" s="1" t="n">
        <v>198</v>
      </c>
      <c r="R384" s="1" t="n">
        <v>0</v>
      </c>
      <c r="S384" s="1"/>
      <c r="T384" s="1" t="n">
        <v>0</v>
      </c>
      <c r="U384" s="1" t="n">
        <v>0</v>
      </c>
      <c r="V384" s="1" t="n">
        <v>0</v>
      </c>
      <c r="W384" s="1"/>
      <c r="Y384" s="1" t="n">
        <v>3</v>
      </c>
      <c r="Z384" s="0" t="s">
        <v>175</v>
      </c>
      <c r="AA384" s="0" t="s">
        <v>187</v>
      </c>
      <c r="AC384" s="0" t="s">
        <v>177</v>
      </c>
      <c r="AD384" s="0" t="s">
        <v>1051</v>
      </c>
      <c r="AE384" s="0" t="s">
        <v>1285</v>
      </c>
      <c r="AH384" s="0" t="s">
        <v>180</v>
      </c>
      <c r="AJ384" s="0" t="s">
        <v>437</v>
      </c>
      <c r="AK384" s="0" t="s">
        <v>94</v>
      </c>
      <c r="AM384" s="0" t="s">
        <v>96</v>
      </c>
      <c r="AP384" s="0" t="s">
        <v>99</v>
      </c>
      <c r="AX384" s="0" t="s">
        <v>107</v>
      </c>
    </row>
    <row r="385" ht="24.75">
      <c r="B385" s="0" t="s">
        <v>1286</v>
      </c>
      <c r="C385" s="1" t="n">
        <v>353637</v>
      </c>
      <c r="E385" s="14" t="s">
        <v>1102</v>
      </c>
      <c r="F385" s="14" t="s">
        <v>169</v>
      </c>
      <c r="G385" s="25" t="str">
        <f>HYPERLINK("http://www.ok.ru/profile/340533751996/statuses/155063366727100")</f>
      </c>
      <c r="H385" s="14" t="s">
        <v>170</v>
      </c>
      <c r="I385" s="14" t="s">
        <v>171</v>
      </c>
      <c r="J385" s="14" t="s">
        <v>1287</v>
      </c>
      <c r="K385" s="26" t="str">
        <f>HYPERLINK("http://www.ok.ru/profile/340533751996")</f>
      </c>
      <c r="L385" s="14" t="s">
        <v>173</v>
      </c>
      <c r="O385" s="1" t="s">
        <v>186</v>
      </c>
      <c r="P385" s="1"/>
      <c r="Q385" s="1" t="n">
        <v>440</v>
      </c>
      <c r="R385" s="1" t="n">
        <v>0</v>
      </c>
      <c r="S385" s="1"/>
      <c r="T385" s="1" t="n">
        <v>0</v>
      </c>
      <c r="U385" s="1" t="n">
        <v>3</v>
      </c>
      <c r="V385" s="1" t="n">
        <v>3</v>
      </c>
      <c r="W385" s="1"/>
      <c r="Y385" s="1" t="n">
        <v>92</v>
      </c>
      <c r="Z385" s="0" t="s">
        <v>175</v>
      </c>
      <c r="AA385" s="0" t="s">
        <v>187</v>
      </c>
      <c r="AC385" s="0" t="s">
        <v>177</v>
      </c>
      <c r="AD385" s="0" t="s">
        <v>513</v>
      </c>
      <c r="AE385" s="0" t="s">
        <v>1288</v>
      </c>
      <c r="AH385" s="0" t="s">
        <v>180</v>
      </c>
      <c r="AJ385" s="0" t="s">
        <v>437</v>
      </c>
      <c r="AK385" s="0" t="s">
        <v>94</v>
      </c>
      <c r="AM385" s="0" t="s">
        <v>96</v>
      </c>
      <c r="AP385" s="0" t="s">
        <v>99</v>
      </c>
      <c r="AU385" s="0" t="s">
        <v>104</v>
      </c>
      <c r="AV385" s="0" t="s">
        <v>105</v>
      </c>
    </row>
    <row r="386">
      <c r="B386" s="0" t="s">
        <v>1286</v>
      </c>
      <c r="C386" s="1" t="n">
        <v>353792</v>
      </c>
      <c r="E386" s="14" t="s">
        <v>1289</v>
      </c>
      <c r="F386" s="14" t="s">
        <v>184</v>
      </c>
      <c r="G386" s="25" t="str">
        <f>HYPERLINK("http://vk.com/wall-50606574_862566?reply=862692")</f>
      </c>
      <c r="H386" s="14" t="s">
        <v>170</v>
      </c>
      <c r="I386" s="14" t="s">
        <v>231</v>
      </c>
      <c r="J386" s="14" t="s">
        <v>1126</v>
      </c>
      <c r="K386" s="26" t="str">
        <f>HYPERLINK("http://vk.com/id793503511")</f>
      </c>
      <c r="L386" s="14" t="s">
        <v>173</v>
      </c>
      <c r="M386" s="14" t="s">
        <v>1290</v>
      </c>
      <c r="N386" s="25" t="str">
        <f>HYPERLINK("http://vk.com/club50606574")</f>
      </c>
      <c r="O386" s="1" t="s">
        <v>186</v>
      </c>
      <c r="P386" s="1" t="n">
        <v>24</v>
      </c>
      <c r="Q386" s="1" t="n">
        <v>76135</v>
      </c>
      <c r="R386" s="1" t="n">
        <v>0</v>
      </c>
      <c r="S386" s="1"/>
      <c r="T386" s="1" t="n">
        <v>0</v>
      </c>
      <c r="U386" s="1" t="n">
        <v>0</v>
      </c>
      <c r="V386" s="1" t="n">
        <v>0</v>
      </c>
      <c r="W386" s="1"/>
      <c r="Y386" s="1" t="n">
        <v>1</v>
      </c>
      <c r="Z386" s="0" t="s">
        <v>319</v>
      </c>
      <c r="AA386" s="0" t="s">
        <v>187</v>
      </c>
      <c r="AH386" s="0" t="s">
        <v>180</v>
      </c>
      <c r="AI386" s="0" t="s">
        <v>92</v>
      </c>
      <c r="AJ386" s="0" t="s">
        <v>437</v>
      </c>
      <c r="AN386" s="0" t="s">
        <v>97</v>
      </c>
      <c r="AS386" s="0" t="s">
        <v>102</v>
      </c>
      <c r="AY386" s="0" t="s">
        <v>108</v>
      </c>
      <c r="BG386" s="0" t="s">
        <v>116</v>
      </c>
      <c r="CA386" s="0" t="s">
        <v>136</v>
      </c>
    </row>
    <row r="387" ht="24.75">
      <c r="B387" s="0" t="s">
        <v>1291</v>
      </c>
      <c r="C387" s="1" t="n">
        <v>353558</v>
      </c>
      <c r="E387" s="14" t="s">
        <v>183</v>
      </c>
      <c r="F387" s="14" t="s">
        <v>184</v>
      </c>
      <c r="G387" s="25" t="str">
        <f>HYPERLINK("http://vk.com/wall388619288_7845")</f>
      </c>
      <c r="H387" s="14" t="s">
        <v>170</v>
      </c>
      <c r="I387" s="14" t="s">
        <v>171</v>
      </c>
      <c r="J387" s="14" t="s">
        <v>1292</v>
      </c>
      <c r="K387" s="26" t="str">
        <f>HYPERLINK("http://vk.com/id388619288")</f>
      </c>
      <c r="L387" s="14" t="s">
        <v>173</v>
      </c>
      <c r="O387" s="1" t="s">
        <v>186</v>
      </c>
      <c r="P387" s="1" t="n">
        <v>63</v>
      </c>
      <c r="Q387" s="1" t="n">
        <v>70</v>
      </c>
      <c r="R387" s="1" t="n">
        <v>0</v>
      </c>
      <c r="S387" s="1"/>
      <c r="T387" s="1" t="n">
        <v>0</v>
      </c>
      <c r="U387" s="1" t="n">
        <v>0</v>
      </c>
      <c r="V387" s="1" t="n">
        <v>0</v>
      </c>
      <c r="W387" s="1"/>
      <c r="Y387" s="1" t="n">
        <v>62</v>
      </c>
      <c r="Z387" s="0" t="s">
        <v>175</v>
      </c>
      <c r="AA387" s="0" t="s">
        <v>187</v>
      </c>
      <c r="AH387" s="0" t="s">
        <v>180</v>
      </c>
      <c r="AJ387" s="0" t="s">
        <v>437</v>
      </c>
      <c r="AK387" s="0" t="s">
        <v>94</v>
      </c>
      <c r="AP387" s="0" t="s">
        <v>99</v>
      </c>
      <c r="AR387" s="0" t="s">
        <v>101</v>
      </c>
      <c r="BA387" s="0" t="s">
        <v>110</v>
      </c>
    </row>
    <row r="388" ht="24.75">
      <c r="B388" s="0" t="s">
        <v>1291</v>
      </c>
      <c r="C388" s="1" t="n">
        <v>353541</v>
      </c>
      <c r="E388" s="14" t="s">
        <v>1293</v>
      </c>
      <c r="F388" s="14" t="s">
        <v>192</v>
      </c>
      <c r="G388" s="25" t="str">
        <f>HYPERLINK("https://telegram.me/covidgoodbye/255093")</f>
      </c>
      <c r="H388" s="14" t="s">
        <v>193</v>
      </c>
      <c r="I388" s="14" t="s">
        <v>194</v>
      </c>
      <c r="J388" s="14" t="s">
        <v>1294</v>
      </c>
      <c r="K388" s="26" t="str">
        <f>HYPERLINK("https://telegram.me/Vistrus")</f>
      </c>
      <c r="L388" s="14" t="s">
        <v>173</v>
      </c>
      <c r="M388" s="14" t="s">
        <v>1295</v>
      </c>
      <c r="N388" s="25" t="str">
        <f>HYPERLINK("https://telegram.me/covidgoodbye")</f>
      </c>
      <c r="O388" s="1"/>
      <c r="P388" s="1"/>
      <c r="Q388" s="1" t="n">
        <v>250</v>
      </c>
      <c r="R388" s="1" t="n">
        <v>0</v>
      </c>
      <c r="S388" s="1"/>
      <c r="T388" s="1" t="n">
        <v>0</v>
      </c>
      <c r="U388" s="1" t="n">
        <v>0</v>
      </c>
      <c r="V388" s="1" t="n">
        <v>0</v>
      </c>
      <c r="W388" s="1"/>
      <c r="Y388" s="1" t="n">
        <v>1</v>
      </c>
      <c r="Z388" s="0" t="s">
        <v>175</v>
      </c>
      <c r="AA388" s="0" t="s">
        <v>187</v>
      </c>
      <c r="AH388" s="0" t="s">
        <v>180</v>
      </c>
      <c r="AJ388" s="0" t="s">
        <v>437</v>
      </c>
      <c r="AK388" s="0" t="s">
        <v>94</v>
      </c>
      <c r="AN388" s="0" t="s">
        <v>97</v>
      </c>
      <c r="AP388" s="0" t="s">
        <v>99</v>
      </c>
      <c r="AT388" s="0" t="s">
        <v>103</v>
      </c>
      <c r="BJ388" s="0" t="s">
        <v>119</v>
      </c>
    </row>
    <row r="389">
      <c r="B389" s="0" t="s">
        <v>1291</v>
      </c>
      <c r="C389" s="1" t="n">
        <v>353787</v>
      </c>
      <c r="E389" s="14" t="s">
        <v>1296</v>
      </c>
      <c r="F389" s="14" t="s">
        <v>184</v>
      </c>
      <c r="G389" s="25" t="str">
        <f>HYPERLINK("http://vk.com/wall-143027530_228896?reply=229368&amp;thread=229224")</f>
      </c>
      <c r="H389" s="14" t="s">
        <v>170</v>
      </c>
      <c r="I389" s="14" t="s">
        <v>231</v>
      </c>
      <c r="J389" s="14" t="s">
        <v>1126</v>
      </c>
      <c r="K389" s="26" t="str">
        <f>HYPERLINK("http://vk.com/id793503511")</f>
      </c>
      <c r="L389" s="14" t="s">
        <v>173</v>
      </c>
      <c r="M389" s="14" t="s">
        <v>489</v>
      </c>
      <c r="N389" s="25" t="str">
        <f>HYPERLINK("http://vk.com/club143027530")</f>
      </c>
      <c r="O389" s="1" t="s">
        <v>186</v>
      </c>
      <c r="P389" s="1" t="n">
        <v>24</v>
      </c>
      <c r="Q389" s="1" t="n">
        <v>24856</v>
      </c>
      <c r="R389" s="1" t="n">
        <v>0</v>
      </c>
      <c r="S389" s="1"/>
      <c r="T389" s="1" t="n">
        <v>0</v>
      </c>
      <c r="U389" s="1" t="n">
        <v>0</v>
      </c>
      <c r="V389" s="1" t="n">
        <v>0</v>
      </c>
      <c r="W389" s="1"/>
      <c r="Y389" s="1" t="n">
        <v>1</v>
      </c>
      <c r="Z389" s="0" t="s">
        <v>319</v>
      </c>
      <c r="AA389" s="0" t="s">
        <v>292</v>
      </c>
      <c r="AH389" s="0" t="s">
        <v>180</v>
      </c>
      <c r="AI389" s="0" t="s">
        <v>92</v>
      </c>
      <c r="AJ389" s="0" t="s">
        <v>437</v>
      </c>
      <c r="AN389" s="0" t="s">
        <v>97</v>
      </c>
      <c r="AS389" s="0" t="s">
        <v>102</v>
      </c>
      <c r="AY389" s="0" t="s">
        <v>108</v>
      </c>
      <c r="BG389" s="0" t="s">
        <v>116</v>
      </c>
      <c r="BS389" s="0" t="s">
        <v>128</v>
      </c>
    </row>
    <row r="390">
      <c r="B390" s="0" t="s">
        <v>1297</v>
      </c>
      <c r="C390" s="1" t="n">
        <v>353564</v>
      </c>
      <c r="E390" s="14" t="s">
        <v>1298</v>
      </c>
      <c r="F390" s="14" t="s">
        <v>184</v>
      </c>
      <c r="G390" s="25" t="str">
        <f>HYPERLINK("http://vk.com/wall-203023242_19133?reply=19276&amp;thread=19143")</f>
      </c>
      <c r="H390" s="14" t="s">
        <v>170</v>
      </c>
      <c r="I390" s="14" t="s">
        <v>231</v>
      </c>
      <c r="J390" s="14" t="s">
        <v>1126</v>
      </c>
      <c r="K390" s="26" t="str">
        <f>HYPERLINK("http://vk.com/id793503511")</f>
      </c>
      <c r="L390" s="14" t="s">
        <v>173</v>
      </c>
      <c r="M390" s="14" t="s">
        <v>553</v>
      </c>
      <c r="N390" s="25" t="str">
        <f>HYPERLINK("http://vk.com/club203023242")</f>
      </c>
      <c r="O390" s="1" t="s">
        <v>186</v>
      </c>
      <c r="P390" s="1" t="n">
        <v>24</v>
      </c>
      <c r="Q390" s="1" t="n">
        <v>5404</v>
      </c>
      <c r="R390" s="1" t="n">
        <v>0</v>
      </c>
      <c r="S390" s="1"/>
      <c r="T390" s="1" t="n">
        <v>0</v>
      </c>
      <c r="U390" s="1" t="n">
        <v>0</v>
      </c>
      <c r="V390" s="1" t="n">
        <v>0</v>
      </c>
      <c r="W390" s="1"/>
      <c r="Y390" s="1" t="n">
        <v>1</v>
      </c>
      <c r="Z390" s="0" t="s">
        <v>319</v>
      </c>
      <c r="AA390" s="0" t="s">
        <v>292</v>
      </c>
      <c r="AH390" s="0" t="s">
        <v>180</v>
      </c>
      <c r="AI390" s="0" t="s">
        <v>92</v>
      </c>
      <c r="AJ390" s="0" t="s">
        <v>437</v>
      </c>
      <c r="AK390" s="0" t="s">
        <v>94</v>
      </c>
      <c r="AY390" s="0" t="s">
        <v>108</v>
      </c>
      <c r="BF390" s="0" t="s">
        <v>115</v>
      </c>
      <c r="BS390" s="0" t="s">
        <v>128</v>
      </c>
      <c r="BT390" s="0" t="s">
        <v>129</v>
      </c>
    </row>
    <row r="391" ht="36.75">
      <c r="B391" s="0" t="s">
        <v>1297</v>
      </c>
      <c r="C391" s="1" t="n">
        <v>353548</v>
      </c>
      <c r="E391" s="14" t="s">
        <v>202</v>
      </c>
      <c r="F391" s="14" t="s">
        <v>184</v>
      </c>
      <c r="G391" s="25" t="str">
        <f>HYPERLINK("http://vk.com/wall371040278_7824")</f>
      </c>
      <c r="H391" s="14" t="s">
        <v>170</v>
      </c>
      <c r="I391" s="14" t="s">
        <v>171</v>
      </c>
      <c r="J391" s="14" t="s">
        <v>1299</v>
      </c>
      <c r="K391" s="26" t="str">
        <f>HYPERLINK("http://vk.com/id371040278")</f>
      </c>
      <c r="L391" s="14" t="s">
        <v>173</v>
      </c>
      <c r="O391" s="1" t="s">
        <v>186</v>
      </c>
      <c r="P391" s="1"/>
      <c r="Q391" s="1" t="n">
        <v>90</v>
      </c>
      <c r="R391" s="1" t="n">
        <v>0</v>
      </c>
      <c r="S391" s="1"/>
      <c r="T391" s="1" t="n">
        <v>0</v>
      </c>
      <c r="U391" s="1" t="n">
        <v>1</v>
      </c>
      <c r="V391" s="1" t="n">
        <v>1</v>
      </c>
      <c r="W391" s="1" t="n">
        <v>3</v>
      </c>
      <c r="Y391" s="1" t="n">
        <v>60</v>
      </c>
      <c r="Z391" s="0" t="s">
        <v>175</v>
      </c>
      <c r="AA391" s="0" t="s">
        <v>176</v>
      </c>
      <c r="AH391" s="0" t="s">
        <v>180</v>
      </c>
      <c r="AJ391" s="0" t="s">
        <v>437</v>
      </c>
      <c r="AK391" s="0" t="s">
        <v>94</v>
      </c>
      <c r="AM391" s="0" t="s">
        <v>96</v>
      </c>
      <c r="AO391" s="0" t="s">
        <v>98</v>
      </c>
      <c r="AP391" s="0" t="s">
        <v>99</v>
      </c>
      <c r="AQ391" s="0" t="s">
        <v>100</v>
      </c>
    </row>
    <row r="392" ht="24.75">
      <c r="B392" s="0" t="s">
        <v>1300</v>
      </c>
      <c r="C392" s="1" t="n">
        <v>353799</v>
      </c>
      <c r="E392" s="14" t="s">
        <v>554</v>
      </c>
      <c r="F392" s="14" t="s">
        <v>169</v>
      </c>
      <c r="G392" s="25" t="str">
        <f>HYPERLINK("http://www.ok.ru/profile/575611891077/statuses/154868459881349")</f>
      </c>
      <c r="H392" s="14" t="s">
        <v>170</v>
      </c>
      <c r="I392" s="14" t="s">
        <v>171</v>
      </c>
      <c r="J392" s="14" t="s">
        <v>1301</v>
      </c>
      <c r="K392" s="26" t="str">
        <f>HYPERLINK("http://www.ok.ru/profile/575611891077")</f>
      </c>
      <c r="L392" s="14" t="s">
        <v>173</v>
      </c>
      <c r="O392" s="1" t="s">
        <v>186</v>
      </c>
      <c r="P392" s="1" t="n">
        <v>37</v>
      </c>
      <c r="Q392" s="1" t="n">
        <v>1119</v>
      </c>
      <c r="R392" s="1" t="n">
        <v>0</v>
      </c>
      <c r="S392" s="1"/>
      <c r="T392" s="1" t="n">
        <v>0</v>
      </c>
      <c r="U392" s="1" t="n">
        <v>2</v>
      </c>
      <c r="V392" s="1" t="n">
        <v>2</v>
      </c>
      <c r="W392" s="1"/>
      <c r="Y392" s="1" t="n">
        <v>59</v>
      </c>
      <c r="Z392" s="0" t="s">
        <v>175</v>
      </c>
      <c r="AA392" s="0" t="s">
        <v>176</v>
      </c>
      <c r="AC392" s="0" t="s">
        <v>177</v>
      </c>
      <c r="AH392" s="0" t="s">
        <v>180</v>
      </c>
      <c r="AJ392" s="0" t="s">
        <v>437</v>
      </c>
      <c r="AK392" s="0" t="s">
        <v>94</v>
      </c>
      <c r="AL392" s="0" t="s">
        <v>95</v>
      </c>
      <c r="AM392" s="0" t="s">
        <v>96</v>
      </c>
      <c r="AO392" s="0" t="s">
        <v>98</v>
      </c>
      <c r="AQ392" s="0" t="s">
        <v>100</v>
      </c>
    </row>
    <row r="393">
      <c r="B393" s="0" t="s">
        <v>1300</v>
      </c>
      <c r="C393" s="1" t="n">
        <v>353950</v>
      </c>
      <c r="E393" s="14" t="s">
        <v>813</v>
      </c>
      <c r="F393" s="14" t="s">
        <v>169</v>
      </c>
      <c r="G393" s="25" t="str">
        <f>HYPERLINK("http://www.ok.ru/profile/593762734099/statuses/156299927390995")</f>
      </c>
      <c r="H393" s="14" t="s">
        <v>170</v>
      </c>
      <c r="I393" s="14" t="s">
        <v>194</v>
      </c>
      <c r="J393" s="14" t="s">
        <v>1302</v>
      </c>
      <c r="K393" s="26" t="str">
        <f>HYPERLINK("http://www.ok.ru/profile/593762734099")</f>
      </c>
      <c r="L393" s="14" t="s">
        <v>173</v>
      </c>
      <c r="O393" s="1" t="s">
        <v>186</v>
      </c>
      <c r="P393" s="1" t="n">
        <v>63</v>
      </c>
      <c r="Q393" s="1" t="n">
        <v>1726</v>
      </c>
      <c r="R393" s="1" t="n">
        <v>0</v>
      </c>
      <c r="S393" s="1"/>
      <c r="T393" s="1" t="n">
        <v>0</v>
      </c>
      <c r="U393" s="1" t="n">
        <v>1</v>
      </c>
      <c r="V393" s="1" t="n">
        <v>1</v>
      </c>
      <c r="W393" s="1"/>
      <c r="Y393" s="1" t="n">
        <v>4</v>
      </c>
      <c r="Z393" s="0" t="s">
        <v>175</v>
      </c>
      <c r="AA393" s="0" t="s">
        <v>187</v>
      </c>
      <c r="AC393" s="0" t="s">
        <v>177</v>
      </c>
      <c r="AH393" s="0" t="s">
        <v>180</v>
      </c>
      <c r="AJ393" s="0" t="s">
        <v>437</v>
      </c>
      <c r="AK393" s="0" t="s">
        <v>94</v>
      </c>
      <c r="AM393" s="0" t="s">
        <v>96</v>
      </c>
      <c r="AP393" s="0" t="s">
        <v>99</v>
      </c>
      <c r="BC393" s="0" t="s">
        <v>112</v>
      </c>
      <c r="BN393" s="0" t="s">
        <v>123</v>
      </c>
    </row>
    <row r="394" ht="36.75">
      <c r="B394" s="0" t="s">
        <v>1303</v>
      </c>
      <c r="C394" s="1" t="n">
        <v>353555</v>
      </c>
      <c r="E394" s="14" t="s">
        <v>202</v>
      </c>
      <c r="F394" s="14" t="s">
        <v>184</v>
      </c>
      <c r="G394" s="25" t="str">
        <f>HYPERLINK("http://vk.com/wall670741896_14212")</f>
      </c>
      <c r="H394" s="14" t="s">
        <v>170</v>
      </c>
      <c r="I394" s="14" t="s">
        <v>171</v>
      </c>
      <c r="J394" s="14" t="s">
        <v>1304</v>
      </c>
      <c r="K394" s="26" t="str">
        <f>HYPERLINK("http://vk.com/id670741896")</f>
      </c>
      <c r="L394" s="14" t="s">
        <v>173</v>
      </c>
      <c r="O394" s="1" t="s">
        <v>186</v>
      </c>
      <c r="P394" s="1" t="n">
        <v>52</v>
      </c>
      <c r="Q394" s="1" t="n">
        <v>28</v>
      </c>
      <c r="R394" s="1" t="n">
        <v>0</v>
      </c>
      <c r="S394" s="1"/>
      <c r="T394" s="1" t="n">
        <v>0</v>
      </c>
      <c r="U394" s="1" t="n">
        <v>0</v>
      </c>
      <c r="V394" s="1" t="n">
        <v>0</v>
      </c>
      <c r="W394" s="1"/>
      <c r="Y394" s="1" t="n">
        <v>60</v>
      </c>
      <c r="Z394" s="0" t="s">
        <v>175</v>
      </c>
      <c r="AA394" s="0" t="s">
        <v>176</v>
      </c>
      <c r="AC394" s="0" t="s">
        <v>177</v>
      </c>
      <c r="AD394" s="0" t="s">
        <v>1058</v>
      </c>
      <c r="AE394" s="0" t="s">
        <v>1305</v>
      </c>
      <c r="AH394" s="0" t="s">
        <v>180</v>
      </c>
      <c r="AJ394" s="0" t="s">
        <v>437</v>
      </c>
      <c r="AK394" s="0" t="s">
        <v>94</v>
      </c>
      <c r="AM394" s="0" t="s">
        <v>96</v>
      </c>
      <c r="AO394" s="0" t="s">
        <v>98</v>
      </c>
      <c r="AP394" s="0" t="s">
        <v>99</v>
      </c>
      <c r="AQ394" s="0" t="s">
        <v>100</v>
      </c>
    </row>
    <row r="395" ht="24.75">
      <c r="B395" s="0" t="s">
        <v>1306</v>
      </c>
      <c r="C395" s="1" t="n">
        <v>353543</v>
      </c>
      <c r="E395" s="14" t="s">
        <v>1307</v>
      </c>
      <c r="F395" s="14" t="s">
        <v>184</v>
      </c>
      <c r="G395" s="25" t="str">
        <f>HYPERLINK("http://vk.com/wall270249130_54694")</f>
      </c>
      <c r="H395" s="14" t="s">
        <v>170</v>
      </c>
      <c r="I395" s="14" t="s">
        <v>171</v>
      </c>
      <c r="J395" s="14" t="s">
        <v>1308</v>
      </c>
      <c r="K395" s="26" t="str">
        <f>HYPERLINK("http://vk.com/id270249130")</f>
      </c>
      <c r="L395" s="14" t="s">
        <v>173</v>
      </c>
      <c r="O395" s="1" t="s">
        <v>186</v>
      </c>
      <c r="P395" s="1"/>
      <c r="Q395" s="1" t="n">
        <v>1293</v>
      </c>
      <c r="R395" s="1" t="n">
        <v>0</v>
      </c>
      <c r="S395" s="1"/>
      <c r="T395" s="1" t="n">
        <v>0</v>
      </c>
      <c r="U395" s="1" t="n">
        <v>0</v>
      </c>
      <c r="V395" s="1" t="n">
        <v>0</v>
      </c>
      <c r="W395" s="1" t="n">
        <v>2</v>
      </c>
      <c r="Y395" s="1" t="n">
        <v>6</v>
      </c>
      <c r="Z395" s="0" t="s">
        <v>175</v>
      </c>
      <c r="AA395" s="0" t="s">
        <v>187</v>
      </c>
      <c r="AC395" s="0" t="s">
        <v>177</v>
      </c>
      <c r="AD395" s="0" t="s">
        <v>881</v>
      </c>
      <c r="AE395" s="0" t="s">
        <v>1309</v>
      </c>
      <c r="AH395" s="0" t="s">
        <v>180</v>
      </c>
      <c r="AJ395" s="0" t="s">
        <v>437</v>
      </c>
      <c r="AK395" s="0" t="s">
        <v>94</v>
      </c>
      <c r="AM395" s="0" t="s">
        <v>96</v>
      </c>
      <c r="AP395" s="0" t="s">
        <v>99</v>
      </c>
      <c r="AQ395" s="0" t="s">
        <v>100</v>
      </c>
    </row>
    <row r="396" ht="180.75">
      <c r="B396" s="0" t="s">
        <v>1306</v>
      </c>
      <c r="C396" s="1" t="n">
        <v>353542</v>
      </c>
      <c r="E396" s="14" t="s">
        <v>1310</v>
      </c>
      <c r="F396" s="14" t="s">
        <v>184</v>
      </c>
      <c r="G396" s="25" t="str">
        <f>HYPERLINK("http://vk.com/wall-28815494_387621")</f>
      </c>
      <c r="H396" s="14" t="s">
        <v>170</v>
      </c>
      <c r="I396" s="14" t="s">
        <v>194</v>
      </c>
      <c r="J396" s="14" t="s">
        <v>1311</v>
      </c>
      <c r="K396" s="26" t="str">
        <f>HYPERLINK("http://vk.com/club28815494")</f>
      </c>
      <c r="L396" s="14" t="s">
        <v>1312</v>
      </c>
      <c r="O396" s="1"/>
      <c r="P396" s="1"/>
      <c r="Q396" s="1" t="n">
        <v>77396</v>
      </c>
      <c r="R396" s="1" t="n">
        <v>3</v>
      </c>
      <c r="S396" s="1"/>
      <c r="T396" s="1" t="n">
        <v>1</v>
      </c>
      <c r="U396" s="1" t="n">
        <v>2</v>
      </c>
      <c r="V396" s="1" t="n">
        <v>6</v>
      </c>
      <c r="W396" s="1" t="n">
        <v>1729</v>
      </c>
      <c r="Y396" s="1" t="n">
        <v>1</v>
      </c>
      <c r="Z396" s="0" t="s">
        <v>175</v>
      </c>
      <c r="AA396" s="0" t="s">
        <v>187</v>
      </c>
      <c r="AC396" s="0" t="s">
        <v>177</v>
      </c>
      <c r="AD396" s="0" t="s">
        <v>561</v>
      </c>
      <c r="AE396" s="0" t="s">
        <v>562</v>
      </c>
      <c r="AH396" s="0" t="s">
        <v>180</v>
      </c>
      <c r="AJ396" s="0" t="s">
        <v>437</v>
      </c>
      <c r="AK396" s="0" t="s">
        <v>94</v>
      </c>
      <c r="AM396" s="0" t="s">
        <v>96</v>
      </c>
      <c r="AP396" s="0" t="s">
        <v>99</v>
      </c>
      <c r="BJ396" s="0" t="s">
        <v>119</v>
      </c>
    </row>
    <row r="397">
      <c r="B397" s="0" t="s">
        <v>1313</v>
      </c>
      <c r="C397" s="1" t="n">
        <v>353758</v>
      </c>
      <c r="E397" s="14" t="s">
        <v>1314</v>
      </c>
      <c r="F397" s="14" t="s">
        <v>184</v>
      </c>
      <c r="G397" s="25" t="str">
        <f>HYPERLINK("http://vk.com/wall-36857673_1765562?reply=1766013")</f>
      </c>
      <c r="H397" s="14" t="s">
        <v>170</v>
      </c>
      <c r="I397" s="14" t="s">
        <v>231</v>
      </c>
      <c r="J397" s="14" t="s">
        <v>1315</v>
      </c>
      <c r="K397" s="26" t="str">
        <f>HYPERLINK("http://vk.com/id622818232")</f>
      </c>
      <c r="L397" s="14" t="s">
        <v>173</v>
      </c>
      <c r="M397" s="14" t="s">
        <v>1316</v>
      </c>
      <c r="N397" s="25" t="str">
        <f>HYPERLINK("http://vk.com/club36857673")</f>
      </c>
      <c r="O397" s="1" t="s">
        <v>186</v>
      </c>
      <c r="P397" s="1" t="n">
        <v>40</v>
      </c>
      <c r="Q397" s="1" t="n">
        <v>106312</v>
      </c>
      <c r="R397" s="1" t="n">
        <v>0</v>
      </c>
      <c r="S397" s="1"/>
      <c r="T397" s="1" t="n">
        <v>0</v>
      </c>
      <c r="U397" s="1" t="n">
        <v>0</v>
      </c>
      <c r="V397" s="1" t="n">
        <v>0</v>
      </c>
      <c r="W397" s="1"/>
      <c r="Y397" s="1" t="n">
        <v>1</v>
      </c>
      <c r="Z397" s="0" t="s">
        <v>175</v>
      </c>
      <c r="AA397" s="0" t="s">
        <v>187</v>
      </c>
      <c r="AH397" s="0" t="s">
        <v>180</v>
      </c>
      <c r="AJ397" s="0" t="s">
        <v>437</v>
      </c>
      <c r="AK397" s="0" t="s">
        <v>94</v>
      </c>
      <c r="AL397" s="0" t="s">
        <v>95</v>
      </c>
      <c r="AN397" s="0" t="s">
        <v>97</v>
      </c>
      <c r="AW397" s="0" t="s">
        <v>106</v>
      </c>
      <c r="BB397" s="0" t="s">
        <v>111</v>
      </c>
      <c r="BI397" s="0" t="s">
        <v>118</v>
      </c>
      <c r="BQ397" s="0" t="s">
        <v>126</v>
      </c>
    </row>
    <row r="398">
      <c r="B398" s="0" t="s">
        <v>1313</v>
      </c>
      <c r="C398" s="1" t="n">
        <v>353762</v>
      </c>
      <c r="E398" s="14" t="s">
        <v>1317</v>
      </c>
      <c r="F398" s="14" t="s">
        <v>184</v>
      </c>
      <c r="G398" s="25" t="str">
        <f>HYPERLINK("http://vk.com/wall-155403177_56807?reply=57239&amp;thread=56853")</f>
      </c>
      <c r="H398" s="14" t="s">
        <v>170</v>
      </c>
      <c r="I398" s="14" t="s">
        <v>231</v>
      </c>
      <c r="J398" s="14" t="s">
        <v>1126</v>
      </c>
      <c r="K398" s="26" t="str">
        <f>HYPERLINK("http://vk.com/id793503511")</f>
      </c>
      <c r="L398" s="14" t="s">
        <v>173</v>
      </c>
      <c r="M398" s="14" t="s">
        <v>740</v>
      </c>
      <c r="N398" s="25" t="str">
        <f>HYPERLINK("http://vk.com/club155403177")</f>
      </c>
      <c r="O398" s="1" t="s">
        <v>186</v>
      </c>
      <c r="P398" s="1" t="n">
        <v>24</v>
      </c>
      <c r="Q398" s="1" t="n">
        <v>95387</v>
      </c>
      <c r="R398" s="1" t="n">
        <v>0</v>
      </c>
      <c r="S398" s="1"/>
      <c r="T398" s="1" t="n">
        <v>0</v>
      </c>
      <c r="U398" s="1" t="n">
        <v>0</v>
      </c>
      <c r="V398" s="1" t="n">
        <v>0</v>
      </c>
      <c r="W398" s="1"/>
      <c r="Y398" s="1" t="n">
        <v>1</v>
      </c>
      <c r="Z398" s="0" t="s">
        <v>319</v>
      </c>
      <c r="AA398" s="0" t="s">
        <v>292</v>
      </c>
      <c r="AH398" s="0" t="s">
        <v>180</v>
      </c>
      <c r="AI398" s="0" t="s">
        <v>92</v>
      </c>
      <c r="AJ398" s="0" t="s">
        <v>437</v>
      </c>
      <c r="AY398" s="0" t="s">
        <v>108</v>
      </c>
      <c r="BS398" s="0" t="s">
        <v>128</v>
      </c>
    </row>
    <row r="399" ht="36.75">
      <c r="B399" s="0" t="s">
        <v>1318</v>
      </c>
      <c r="C399" s="1" t="n">
        <v>353680</v>
      </c>
      <c r="D399" s="0" t="s">
        <v>1319</v>
      </c>
      <c r="E399" s="14" t="s">
        <v>1320</v>
      </c>
      <c r="F399" s="14" t="s">
        <v>1095</v>
      </c>
      <c r="G399" s="25" t="str">
        <f>HYPERLINK("https://news.myseldon.com/ru/news/index/282046885")</f>
      </c>
      <c r="H399" s="14" t="s">
        <v>208</v>
      </c>
      <c r="I399" s="14" t="s">
        <v>194</v>
      </c>
      <c r="J399" s="14"/>
      <c r="L399" s="14"/>
      <c r="O399" s="1"/>
      <c r="P399" s="1"/>
      <c r="Q399" s="1"/>
      <c r="R399" s="1" t="n">
        <v>0</v>
      </c>
      <c r="S399" s="1" t="n">
        <v>3034</v>
      </c>
      <c r="T399" s="1" t="n">
        <v>0</v>
      </c>
      <c r="U399" s="1" t="n">
        <v>0</v>
      </c>
      <c r="V399" s="1" t="n">
        <v>0</v>
      </c>
      <c r="W399" s="1"/>
      <c r="Y399" s="1" t="n">
        <v>1</v>
      </c>
      <c r="Z399" s="0" t="s">
        <v>175</v>
      </c>
      <c r="AA399" s="0" t="s">
        <v>223</v>
      </c>
      <c r="AH399" s="0" t="s">
        <v>180</v>
      </c>
      <c r="AJ399" s="0" t="s">
        <v>437</v>
      </c>
      <c r="AK399" s="0" t="s">
        <v>94</v>
      </c>
      <c r="AM399" s="0" t="s">
        <v>96</v>
      </c>
      <c r="AP399" s="0" t="s">
        <v>99</v>
      </c>
      <c r="BD399" s="0" t="s">
        <v>113</v>
      </c>
      <c r="BJ399" s="0" t="s">
        <v>119</v>
      </c>
    </row>
    <row r="400">
      <c r="B400" s="0" t="s">
        <v>1318</v>
      </c>
      <c r="C400" s="1" t="n">
        <v>353766</v>
      </c>
      <c r="D400" s="0" t="s">
        <v>1321</v>
      </c>
      <c r="E400" s="14" t="s">
        <v>1322</v>
      </c>
      <c r="F400" s="14" t="s">
        <v>263</v>
      </c>
      <c r="G400" s="25" t="str">
        <f>HYPERLINK("https://www.baby.ru/blogs/post/2611538869-1441733754/")</f>
      </c>
      <c r="H400" s="14" t="s">
        <v>264</v>
      </c>
      <c r="I400" s="14" t="s">
        <v>231</v>
      </c>
      <c r="J400" s="14" t="s">
        <v>1209</v>
      </c>
      <c r="K400" s="26" t="str">
        <f>HYPERLINK("https://www.baby.ru/u/usr1776305/")</f>
      </c>
      <c r="L400" s="14"/>
      <c r="M400" s="14" t="s">
        <v>1323</v>
      </c>
      <c r="N400" s="25" t="str">
        <f>HYPERLINK("https://www.baby.ru/u/usr2705359/")</f>
      </c>
      <c r="O400" s="1"/>
      <c r="P400" s="1"/>
      <c r="Q400" s="1"/>
      <c r="R400" s="1" t="n">
        <v>0</v>
      </c>
      <c r="S400" s="1"/>
      <c r="T400" s="1" t="n">
        <v>0</v>
      </c>
      <c r="U400" s="1" t="n">
        <v>0</v>
      </c>
      <c r="V400" s="1" t="n">
        <v>0</v>
      </c>
      <c r="W400" s="1"/>
      <c r="Y400" s="1" t="n">
        <v>1</v>
      </c>
      <c r="Z400" s="0" t="s">
        <v>175</v>
      </c>
      <c r="AA400" s="0" t="s">
        <v>187</v>
      </c>
      <c r="AC400" s="0" t="s">
        <v>177</v>
      </c>
      <c r="AD400" s="0" t="s">
        <v>392</v>
      </c>
      <c r="AE400" s="0" t="s">
        <v>459</v>
      </c>
      <c r="AH400" s="0" t="s">
        <v>180</v>
      </c>
      <c r="AI400" s="0" t="s">
        <v>92</v>
      </c>
      <c r="AJ400" s="0" t="s">
        <v>437</v>
      </c>
      <c r="AK400" s="0" t="s">
        <v>94</v>
      </c>
      <c r="AL400" s="0" t="s">
        <v>95</v>
      </c>
      <c r="AN400" s="0" t="s">
        <v>97</v>
      </c>
      <c r="BB400" s="0" t="s">
        <v>111</v>
      </c>
      <c r="BE400" s="0" t="s">
        <v>114</v>
      </c>
      <c r="BH400" s="0" t="s">
        <v>117</v>
      </c>
      <c r="BO400" s="0" t="s">
        <v>124</v>
      </c>
    </row>
    <row r="401">
      <c r="B401" s="0" t="s">
        <v>1318</v>
      </c>
      <c r="C401" s="1" t="n">
        <v>353537</v>
      </c>
      <c r="E401" s="14" t="s">
        <v>1149</v>
      </c>
      <c r="F401" s="14" t="s">
        <v>184</v>
      </c>
      <c r="G401" s="25" t="str">
        <f>HYPERLINK("http://vk.com/wall-177698471_633040")</f>
      </c>
      <c r="H401" s="14" t="s">
        <v>170</v>
      </c>
      <c r="I401" s="14" t="s">
        <v>194</v>
      </c>
      <c r="J401" s="14" t="s">
        <v>1324</v>
      </c>
      <c r="K401" s="26" t="str">
        <f>HYPERLINK("http://vk.com/club177698471")</f>
      </c>
      <c r="L401" s="14" t="s">
        <v>274</v>
      </c>
      <c r="O401" s="1"/>
      <c r="P401" s="1"/>
      <c r="Q401" s="1" t="n">
        <v>235332</v>
      </c>
      <c r="R401" s="1" t="n">
        <v>0</v>
      </c>
      <c r="S401" s="1"/>
      <c r="T401" s="1" t="n">
        <v>4</v>
      </c>
      <c r="U401" s="1" t="n">
        <v>6</v>
      </c>
      <c r="V401" s="1" t="n">
        <v>10</v>
      </c>
      <c r="W401" s="1" t="n">
        <v>781</v>
      </c>
      <c r="Y401" s="1" t="n">
        <v>1</v>
      </c>
      <c r="Z401" s="0" t="s">
        <v>175</v>
      </c>
      <c r="AA401" s="0" t="s">
        <v>187</v>
      </c>
      <c r="AH401" s="0" t="s">
        <v>180</v>
      </c>
      <c r="AJ401" s="0" t="s">
        <v>437</v>
      </c>
      <c r="AK401" s="0" t="s">
        <v>94</v>
      </c>
      <c r="AM401" s="0" t="s">
        <v>96</v>
      </c>
      <c r="AP401" s="0" t="s">
        <v>99</v>
      </c>
      <c r="AX401" s="0" t="s">
        <v>107</v>
      </c>
    </row>
    <row r="402" ht="120.75">
      <c r="B402" s="0" t="s">
        <v>1325</v>
      </c>
      <c r="C402" s="1" t="n">
        <v>354020</v>
      </c>
      <c r="E402" s="14" t="s">
        <v>1326</v>
      </c>
      <c r="F402" s="14" t="s">
        <v>169</v>
      </c>
      <c r="G402" s="25" t="str">
        <f>HYPERLINK("http://www.ok.ru/group/55921101635792/topic/156200749001680")</f>
      </c>
      <c r="H402" s="14" t="s">
        <v>170</v>
      </c>
      <c r="I402" s="14" t="s">
        <v>194</v>
      </c>
      <c r="J402" s="14" t="s">
        <v>1327</v>
      </c>
      <c r="K402" s="26" t="str">
        <f>HYPERLINK("http://www.ok.ru/group/55921101635792")</f>
      </c>
      <c r="L402" s="14" t="s">
        <v>274</v>
      </c>
      <c r="O402" s="1"/>
      <c r="P402" s="1"/>
      <c r="Q402" s="1" t="n">
        <v>73150</v>
      </c>
      <c r="R402" s="1" t="n">
        <v>0</v>
      </c>
      <c r="S402" s="1"/>
      <c r="T402" s="1" t="n">
        <v>1</v>
      </c>
      <c r="U402" s="1" t="n">
        <v>2</v>
      </c>
      <c r="V402" s="1" t="n">
        <v>3</v>
      </c>
      <c r="W402" s="1"/>
      <c r="Y402" s="1" t="n">
        <v>2</v>
      </c>
      <c r="Z402" s="0" t="s">
        <v>175</v>
      </c>
      <c r="AA402" s="0" t="s">
        <v>187</v>
      </c>
      <c r="AH402" s="0" t="s">
        <v>180</v>
      </c>
      <c r="AJ402" s="0" t="s">
        <v>437</v>
      </c>
      <c r="AK402" s="0" t="s">
        <v>94</v>
      </c>
      <c r="AL402" s="0" t="s">
        <v>95</v>
      </c>
      <c r="AU402" s="0" t="s">
        <v>104</v>
      </c>
      <c r="BA402" s="0" t="s">
        <v>110</v>
      </c>
      <c r="BJ402" s="0" t="s">
        <v>119</v>
      </c>
    </row>
    <row r="403" ht="1356.75">
      <c r="B403" s="0" t="s">
        <v>1328</v>
      </c>
      <c r="C403" s="1" t="n">
        <v>353534</v>
      </c>
      <c r="E403" s="14" t="s">
        <v>840</v>
      </c>
      <c r="F403" s="14" t="s">
        <v>184</v>
      </c>
      <c r="G403" s="25" t="str">
        <f>HYPERLINK("http://vk.com/wall695949383_397")</f>
      </c>
      <c r="H403" s="14" t="s">
        <v>170</v>
      </c>
      <c r="I403" s="14" t="s">
        <v>171</v>
      </c>
      <c r="J403" s="14" t="s">
        <v>1329</v>
      </c>
      <c r="K403" s="26" t="str">
        <f>HYPERLINK("http://vk.com/id695949383")</f>
      </c>
      <c r="L403" s="14" t="s">
        <v>173</v>
      </c>
      <c r="O403" s="1" t="s">
        <v>174</v>
      </c>
      <c r="P403" s="1" t="n">
        <v>15</v>
      </c>
      <c r="Q403" s="1" t="n">
        <v>12</v>
      </c>
      <c r="R403" s="1" t="n">
        <v>0</v>
      </c>
      <c r="S403" s="1"/>
      <c r="T403" s="1" t="n">
        <v>0</v>
      </c>
      <c r="U403" s="1" t="n">
        <v>0</v>
      </c>
      <c r="V403" s="1" t="n">
        <v>0</v>
      </c>
      <c r="W403" s="1" t="n">
        <v>2</v>
      </c>
      <c r="Y403" s="1" t="n">
        <v>5</v>
      </c>
      <c r="Z403" s="0" t="s">
        <v>175</v>
      </c>
      <c r="AA403" s="0" t="s">
        <v>176</v>
      </c>
      <c r="AH403" s="0" t="s">
        <v>180</v>
      </c>
      <c r="AJ403" s="0" t="s">
        <v>437</v>
      </c>
      <c r="AK403" s="0" t="s">
        <v>94</v>
      </c>
      <c r="AM403" s="0" t="s">
        <v>96</v>
      </c>
      <c r="AO403" s="0" t="s">
        <v>98</v>
      </c>
      <c r="AP403" s="0" t="s">
        <v>99</v>
      </c>
      <c r="AQ403" s="0" t="s">
        <v>100</v>
      </c>
    </row>
    <row r="404">
      <c r="B404" s="0" t="s">
        <v>1328</v>
      </c>
      <c r="C404" s="1" t="n">
        <v>353524</v>
      </c>
      <c r="E404" s="14" t="s">
        <v>1330</v>
      </c>
      <c r="F404" s="14" t="s">
        <v>184</v>
      </c>
      <c r="G404" s="25" t="str">
        <f>HYPERLINK("http://vk.com/wall299149753_3907")</f>
      </c>
      <c r="H404" s="14" t="s">
        <v>170</v>
      </c>
      <c r="I404" s="14" t="s">
        <v>171</v>
      </c>
      <c r="J404" s="14" t="s">
        <v>1331</v>
      </c>
      <c r="K404" s="26" t="str">
        <f>HYPERLINK("http://vk.com/id299149753")</f>
      </c>
      <c r="L404" s="14" t="s">
        <v>173</v>
      </c>
      <c r="O404" s="1" t="s">
        <v>186</v>
      </c>
      <c r="P404" s="1"/>
      <c r="Q404" s="1" t="n">
        <v>76</v>
      </c>
      <c r="R404" s="1" t="n">
        <v>0</v>
      </c>
      <c r="S404" s="1"/>
      <c r="T404" s="1" t="n">
        <v>0</v>
      </c>
      <c r="U404" s="1" t="n">
        <v>0</v>
      </c>
      <c r="V404" s="1" t="n">
        <v>0</v>
      </c>
      <c r="W404" s="1"/>
      <c r="Y404" s="1" t="n">
        <v>2</v>
      </c>
      <c r="Z404" s="0" t="s">
        <v>175</v>
      </c>
      <c r="AA404" s="0" t="s">
        <v>223</v>
      </c>
      <c r="AH404" s="0" t="s">
        <v>180</v>
      </c>
      <c r="AJ404" s="0" t="s">
        <v>437</v>
      </c>
      <c r="AN404" s="0" t="s">
        <v>97</v>
      </c>
      <c r="AP404" s="0" t="s">
        <v>99</v>
      </c>
      <c r="AW404" s="0" t="s">
        <v>106</v>
      </c>
      <c r="AY404" s="0" t="s">
        <v>108</v>
      </c>
      <c r="BB404" s="0" t="s">
        <v>111</v>
      </c>
      <c r="BD404" s="0" t="s">
        <v>113</v>
      </c>
      <c r="BE404" s="0" t="s">
        <v>114</v>
      </c>
      <c r="BL404" s="0" t="s">
        <v>121</v>
      </c>
      <c r="BV404" s="0" t="s">
        <v>131</v>
      </c>
    </row>
    <row r="405" ht="36.75">
      <c r="B405" s="0" t="s">
        <v>1328</v>
      </c>
      <c r="C405" s="1" t="n">
        <v>353529</v>
      </c>
      <c r="E405" s="14" t="s">
        <v>574</v>
      </c>
      <c r="F405" s="14" t="s">
        <v>184</v>
      </c>
      <c r="G405" s="25" t="str">
        <f>HYPERLINK("http://vk.com/wall-176718025_2551")</f>
      </c>
      <c r="H405" s="14" t="s">
        <v>170</v>
      </c>
      <c r="I405" s="14" t="s">
        <v>171</v>
      </c>
      <c r="J405" s="14" t="s">
        <v>1332</v>
      </c>
      <c r="K405" s="26" t="str">
        <f>HYPERLINK("http://vk.com/club176718025")</f>
      </c>
      <c r="L405" s="14" t="s">
        <v>274</v>
      </c>
      <c r="O405" s="1"/>
      <c r="P405" s="1"/>
      <c r="Q405" s="1" t="n">
        <v>17</v>
      </c>
      <c r="R405" s="1" t="n">
        <v>0</v>
      </c>
      <c r="S405" s="1"/>
      <c r="T405" s="1" t="n">
        <v>0</v>
      </c>
      <c r="U405" s="1" t="n">
        <v>0</v>
      </c>
      <c r="V405" s="1" t="n">
        <v>0</v>
      </c>
      <c r="W405" s="1"/>
      <c r="Y405" s="1" t="n">
        <v>5</v>
      </c>
      <c r="Z405" s="0" t="s">
        <v>175</v>
      </c>
      <c r="AA405" s="0" t="s">
        <v>292</v>
      </c>
      <c r="AC405" s="0" t="s">
        <v>177</v>
      </c>
      <c r="AD405" s="0" t="s">
        <v>246</v>
      </c>
      <c r="AE405" s="0" t="s">
        <v>1333</v>
      </c>
      <c r="AH405" s="0" t="s">
        <v>180</v>
      </c>
      <c r="AJ405" s="0" t="s">
        <v>437</v>
      </c>
      <c r="AK405" s="0" t="s">
        <v>94</v>
      </c>
      <c r="AP405" s="0" t="s">
        <v>99</v>
      </c>
      <c r="AR405" s="0" t="s">
        <v>101</v>
      </c>
      <c r="BA405" s="0" t="s">
        <v>110</v>
      </c>
      <c r="BF405" s="0" t="s">
        <v>115</v>
      </c>
    </row>
    <row r="406" ht="24.75">
      <c r="B406" s="0" t="s">
        <v>1334</v>
      </c>
      <c r="C406" s="1" t="n">
        <v>353519</v>
      </c>
      <c r="E406" s="14" t="s">
        <v>183</v>
      </c>
      <c r="F406" s="14" t="s">
        <v>184</v>
      </c>
      <c r="G406" s="25" t="str">
        <f>HYPERLINK("http://vk.com/wall149287437_1820")</f>
      </c>
      <c r="H406" s="14" t="s">
        <v>170</v>
      </c>
      <c r="I406" s="14" t="s">
        <v>171</v>
      </c>
      <c r="J406" s="14" t="s">
        <v>1335</v>
      </c>
      <c r="K406" s="26" t="str">
        <f>HYPERLINK("http://vk.com/id149287437")</f>
      </c>
      <c r="L406" s="14" t="s">
        <v>173</v>
      </c>
      <c r="O406" s="1" t="s">
        <v>186</v>
      </c>
      <c r="P406" s="1"/>
      <c r="Q406" s="1" t="n">
        <v>74</v>
      </c>
      <c r="R406" s="1" t="n">
        <v>0</v>
      </c>
      <c r="S406" s="1"/>
      <c r="T406" s="1" t="n">
        <v>0</v>
      </c>
      <c r="U406" s="1" t="n">
        <v>0</v>
      </c>
      <c r="V406" s="1" t="n">
        <v>0</v>
      </c>
      <c r="W406" s="1"/>
      <c r="Y406" s="1" t="n">
        <v>62</v>
      </c>
      <c r="Z406" s="0" t="s">
        <v>175</v>
      </c>
      <c r="AA406" s="0" t="s">
        <v>187</v>
      </c>
      <c r="AC406" s="0" t="s">
        <v>177</v>
      </c>
      <c r="AD406" s="0" t="s">
        <v>384</v>
      </c>
      <c r="AE406" s="0" t="s">
        <v>478</v>
      </c>
      <c r="AH406" s="0" t="s">
        <v>180</v>
      </c>
      <c r="AJ406" s="0" t="s">
        <v>437</v>
      </c>
      <c r="AK406" s="0" t="s">
        <v>94</v>
      </c>
      <c r="AP406" s="0" t="s">
        <v>99</v>
      </c>
      <c r="AR406" s="0" t="s">
        <v>101</v>
      </c>
      <c r="BA406" s="0" t="s">
        <v>110</v>
      </c>
    </row>
    <row r="407" ht="36.75">
      <c r="B407" s="0" t="s">
        <v>1336</v>
      </c>
      <c r="C407" s="1" t="n">
        <v>353521</v>
      </c>
      <c r="E407" s="14" t="s">
        <v>202</v>
      </c>
      <c r="F407" s="14" t="s">
        <v>184</v>
      </c>
      <c r="G407" s="25" t="str">
        <f>HYPERLINK("http://vk.com/wall488680573_1976")</f>
      </c>
      <c r="H407" s="14" t="s">
        <v>170</v>
      </c>
      <c r="I407" s="14" t="s">
        <v>171</v>
      </c>
      <c r="J407" s="14" t="s">
        <v>1337</v>
      </c>
      <c r="K407" s="26" t="str">
        <f>HYPERLINK("http://vk.com/id488680573")</f>
      </c>
      <c r="L407" s="14" t="s">
        <v>173</v>
      </c>
      <c r="O407" s="1" t="s">
        <v>186</v>
      </c>
      <c r="P407" s="1" t="n">
        <v>63</v>
      </c>
      <c r="Q407" s="1" t="n">
        <v>97</v>
      </c>
      <c r="R407" s="1" t="n">
        <v>0</v>
      </c>
      <c r="S407" s="1"/>
      <c r="T407" s="1" t="n">
        <v>0</v>
      </c>
      <c r="U407" s="1" t="n">
        <v>0</v>
      </c>
      <c r="V407" s="1" t="n">
        <v>0</v>
      </c>
      <c r="W407" s="1"/>
      <c r="Y407" s="1" t="n">
        <v>60</v>
      </c>
      <c r="Z407" s="0" t="s">
        <v>175</v>
      </c>
      <c r="AA407" s="0" t="s">
        <v>176</v>
      </c>
      <c r="AH407" s="0" t="s">
        <v>180</v>
      </c>
      <c r="AJ407" s="0" t="s">
        <v>437</v>
      </c>
      <c r="AK407" s="0" t="s">
        <v>94</v>
      </c>
      <c r="AM407" s="0" t="s">
        <v>96</v>
      </c>
      <c r="AO407" s="0" t="s">
        <v>98</v>
      </c>
      <c r="AP407" s="0" t="s">
        <v>99</v>
      </c>
      <c r="AQ407" s="0" t="s">
        <v>100</v>
      </c>
    </row>
    <row r="408" ht="144.75">
      <c r="B408" s="0" t="s">
        <v>1338</v>
      </c>
      <c r="C408" s="1" t="n">
        <v>353695</v>
      </c>
      <c r="D408" s="0" t="s">
        <v>1319</v>
      </c>
      <c r="E408" s="14" t="s">
        <v>1339</v>
      </c>
      <c r="F408" s="14" t="s">
        <v>1340</v>
      </c>
      <c r="G408" s="25" t="str">
        <f>HYPERLINK("https://omsk-news.net/society/2023/04/14/476682.html")</f>
      </c>
      <c r="H408" s="14" t="s">
        <v>208</v>
      </c>
      <c r="I408" s="14" t="s">
        <v>194</v>
      </c>
      <c r="J408" s="14"/>
      <c r="L408" s="14"/>
      <c r="O408" s="1"/>
      <c r="P408" s="1"/>
      <c r="Q408" s="1"/>
      <c r="R408" s="1" t="n">
        <v>0</v>
      </c>
      <c r="S408" s="1" t="n">
        <v>8610</v>
      </c>
      <c r="T408" s="1" t="n">
        <v>0</v>
      </c>
      <c r="U408" s="1" t="n">
        <v>0</v>
      </c>
      <c r="V408" s="1" t="n">
        <v>0</v>
      </c>
      <c r="W408" s="1"/>
      <c r="Y408" s="1" t="n">
        <v>1</v>
      </c>
      <c r="Z408" s="0" t="s">
        <v>175</v>
      </c>
      <c r="AA408" s="0" t="s">
        <v>223</v>
      </c>
      <c r="AH408" s="0" t="s">
        <v>180</v>
      </c>
      <c r="AJ408" s="0" t="s">
        <v>437</v>
      </c>
      <c r="AK408" s="0" t="s">
        <v>94</v>
      </c>
      <c r="AL408" s="0" t="s">
        <v>95</v>
      </c>
      <c r="BD408" s="0" t="s">
        <v>113</v>
      </c>
      <c r="BJ408" s="0" t="s">
        <v>119</v>
      </c>
      <c r="BK408" s="0" t="s">
        <v>120</v>
      </c>
    </row>
    <row r="409" ht="36.75">
      <c r="B409" s="0" t="s">
        <v>1338</v>
      </c>
      <c r="C409" s="1" t="n">
        <v>353515</v>
      </c>
      <c r="E409" s="14" t="s">
        <v>967</v>
      </c>
      <c r="F409" s="14" t="s">
        <v>184</v>
      </c>
      <c r="G409" s="25" t="str">
        <f>HYPERLINK("http://vk.com/wall209887758_555")</f>
      </c>
      <c r="H409" s="14" t="s">
        <v>170</v>
      </c>
      <c r="I409" s="14" t="s">
        <v>171</v>
      </c>
      <c r="J409" s="14" t="s">
        <v>1341</v>
      </c>
      <c r="K409" s="26" t="str">
        <f>HYPERLINK("http://vk.com/id209887758")</f>
      </c>
      <c r="L409" s="14" t="s">
        <v>173</v>
      </c>
      <c r="O409" s="1" t="s">
        <v>186</v>
      </c>
      <c r="P409" s="1"/>
      <c r="Q409" s="1" t="n">
        <v>97</v>
      </c>
      <c r="R409" s="1" t="n">
        <v>0</v>
      </c>
      <c r="S409" s="1"/>
      <c r="T409" s="1" t="n">
        <v>0</v>
      </c>
      <c r="U409" s="1" t="n">
        <v>0</v>
      </c>
      <c r="V409" s="1" t="n">
        <v>0</v>
      </c>
      <c r="W409" s="1"/>
      <c r="Y409" s="1" t="n">
        <v>3</v>
      </c>
      <c r="Z409" s="0" t="s">
        <v>175</v>
      </c>
      <c r="AA409" s="0" t="s">
        <v>176</v>
      </c>
      <c r="AC409" s="0" t="s">
        <v>177</v>
      </c>
      <c r="AD409" s="0" t="s">
        <v>188</v>
      </c>
      <c r="AE409" s="0" t="s">
        <v>1342</v>
      </c>
      <c r="AH409" s="0" t="s">
        <v>180</v>
      </c>
      <c r="AJ409" s="0" t="s">
        <v>437</v>
      </c>
      <c r="AK409" s="0" t="s">
        <v>94</v>
      </c>
      <c r="AP409" s="0" t="s">
        <v>99</v>
      </c>
      <c r="AR409" s="0" t="s">
        <v>101</v>
      </c>
      <c r="BA409" s="0" t="s">
        <v>110</v>
      </c>
      <c r="BF409" s="0" t="s">
        <v>115</v>
      </c>
    </row>
    <row r="410" ht="24.75">
      <c r="B410" s="0" t="s">
        <v>1338</v>
      </c>
      <c r="C410" s="1" t="n">
        <v>354112</v>
      </c>
      <c r="E410" s="14" t="s">
        <v>554</v>
      </c>
      <c r="F410" s="14" t="s">
        <v>169</v>
      </c>
      <c r="G410" s="25" t="str">
        <f>HYPERLINK("http://www.ok.ru/profile/569733820517/statuses/155184716995941")</f>
      </c>
      <c r="H410" s="14" t="s">
        <v>170</v>
      </c>
      <c r="I410" s="14" t="s">
        <v>171</v>
      </c>
      <c r="J410" s="14" t="s">
        <v>1343</v>
      </c>
      <c r="K410" s="26" t="str">
        <f>HYPERLINK("http://www.ok.ru/profile/569733820517")</f>
      </c>
      <c r="L410" s="14" t="s">
        <v>173</v>
      </c>
      <c r="O410" s="1" t="s">
        <v>186</v>
      </c>
      <c r="P410" s="1" t="n">
        <v>64</v>
      </c>
      <c r="Q410" s="1" t="n">
        <v>856</v>
      </c>
      <c r="R410" s="1" t="n">
        <v>0</v>
      </c>
      <c r="S410" s="1"/>
      <c r="T410" s="1" t="n">
        <v>0</v>
      </c>
      <c r="U410" s="1" t="n">
        <v>0</v>
      </c>
      <c r="V410" s="1" t="n">
        <v>0</v>
      </c>
      <c r="W410" s="1"/>
      <c r="Y410" s="1" t="n">
        <v>59</v>
      </c>
      <c r="Z410" s="0" t="s">
        <v>175</v>
      </c>
      <c r="AA410" s="0" t="s">
        <v>176</v>
      </c>
      <c r="AC410" s="0" t="s">
        <v>177</v>
      </c>
      <c r="AH410" s="0" t="s">
        <v>180</v>
      </c>
      <c r="AJ410" s="0" t="s">
        <v>181</v>
      </c>
      <c r="AK410" s="0" t="s">
        <v>94</v>
      </c>
      <c r="AM410" s="0" t="s">
        <v>96</v>
      </c>
      <c r="AN410" s="0" t="s">
        <v>97</v>
      </c>
      <c r="AO410" s="0" t="s">
        <v>98</v>
      </c>
      <c r="AQ410" s="0" t="s">
        <v>100</v>
      </c>
      <c r="AS410" s="0" t="s">
        <v>102</v>
      </c>
      <c r="AW410" s="0" t="s">
        <v>106</v>
      </c>
      <c r="BB410" s="0" t="s">
        <v>111</v>
      </c>
      <c r="BG410" s="0" t="s">
        <v>116</v>
      </c>
      <c r="BL410" s="0" t="s">
        <v>121</v>
      </c>
      <c r="BM410" s="0" t="s">
        <v>122</v>
      </c>
      <c r="BQ410" s="0" t="s">
        <v>126</v>
      </c>
    </row>
    <row r="411">
      <c r="B411" s="0" t="s">
        <v>1344</v>
      </c>
      <c r="C411" s="1" t="n">
        <v>353716</v>
      </c>
      <c r="E411" s="14" t="s">
        <v>1345</v>
      </c>
      <c r="F411" s="14" t="s">
        <v>184</v>
      </c>
      <c r="G411" s="25" t="str">
        <f>HYPERLINK("http://vk.com/wall-199899651_29917?reply=29934")</f>
      </c>
      <c r="H411" s="14" t="s">
        <v>170</v>
      </c>
      <c r="I411" s="14" t="s">
        <v>231</v>
      </c>
      <c r="J411" s="14" t="s">
        <v>1346</v>
      </c>
      <c r="K411" s="26" t="str">
        <f>HYPERLINK("http://vk.com/id613838198")</f>
      </c>
      <c r="L411" s="14" t="s">
        <v>173</v>
      </c>
      <c r="M411" s="14" t="s">
        <v>1347</v>
      </c>
      <c r="N411" s="25" t="str">
        <f>HYPERLINK("http://vk.com/club199899651")</f>
      </c>
      <c r="O411" s="1" t="s">
        <v>186</v>
      </c>
      <c r="P411" s="1" t="n">
        <v>34</v>
      </c>
      <c r="Q411" s="1" t="n">
        <v>9060</v>
      </c>
      <c r="R411" s="1" t="n">
        <v>0</v>
      </c>
      <c r="S411" s="1"/>
      <c r="T411" s="1" t="n">
        <v>0</v>
      </c>
      <c r="U411" s="1" t="n">
        <v>0</v>
      </c>
      <c r="V411" s="1" t="n">
        <v>0</v>
      </c>
      <c r="W411" s="1"/>
      <c r="Y411" s="1" t="n">
        <v>1</v>
      </c>
      <c r="Z411" s="0" t="s">
        <v>175</v>
      </c>
      <c r="AA411" s="0" t="s">
        <v>187</v>
      </c>
      <c r="AC411" s="0" t="s">
        <v>177</v>
      </c>
      <c r="AD411" s="0" t="s">
        <v>881</v>
      </c>
      <c r="AE411" s="0" t="s">
        <v>1348</v>
      </c>
      <c r="AH411" s="0" t="s">
        <v>180</v>
      </c>
      <c r="AI411" s="0" t="s">
        <v>92</v>
      </c>
      <c r="AJ411" s="0" t="s">
        <v>437</v>
      </c>
      <c r="AK411" s="0" t="s">
        <v>94</v>
      </c>
      <c r="AL411" s="0" t="s">
        <v>95</v>
      </c>
      <c r="AN411" s="0" t="s">
        <v>97</v>
      </c>
      <c r="AU411" s="0" t="s">
        <v>104</v>
      </c>
      <c r="AW411" s="0" t="s">
        <v>106</v>
      </c>
      <c r="BB411" s="0" t="s">
        <v>111</v>
      </c>
      <c r="BE411" s="0" t="s">
        <v>114</v>
      </c>
    </row>
    <row r="412">
      <c r="B412" s="0" t="s">
        <v>1344</v>
      </c>
      <c r="C412" s="1" t="n">
        <v>353698</v>
      </c>
      <c r="E412" s="14" t="s">
        <v>1349</v>
      </c>
      <c r="F412" s="14" t="s">
        <v>169</v>
      </c>
      <c r="G412" s="25" t="str">
        <f>HYPERLINK("http://www.ok.ru/profile/563488377238/statuses/155736269035670")</f>
      </c>
      <c r="H412" s="14" t="s">
        <v>170</v>
      </c>
      <c r="I412" s="14" t="s">
        <v>194</v>
      </c>
      <c r="J412" s="14" t="s">
        <v>1350</v>
      </c>
      <c r="K412" s="26" t="str">
        <f>HYPERLINK("http://www.ok.ru/profile/563488377238")</f>
      </c>
      <c r="L412" s="14" t="s">
        <v>173</v>
      </c>
      <c r="O412" s="1" t="s">
        <v>186</v>
      </c>
      <c r="P412" s="1" t="n">
        <v>57</v>
      </c>
      <c r="Q412" s="1" t="n">
        <v>2129</v>
      </c>
      <c r="R412" s="1" t="n">
        <v>0</v>
      </c>
      <c r="S412" s="1"/>
      <c r="T412" s="1" t="n">
        <v>0</v>
      </c>
      <c r="U412" s="1" t="n">
        <v>2</v>
      </c>
      <c r="V412" s="1" t="n">
        <v>2</v>
      </c>
      <c r="W412" s="1"/>
      <c r="Y412" s="1" t="n">
        <v>15</v>
      </c>
      <c r="Z412" s="0" t="s">
        <v>175</v>
      </c>
      <c r="AA412" s="0" t="s">
        <v>187</v>
      </c>
      <c r="AC412" s="0" t="s">
        <v>177</v>
      </c>
      <c r="AD412" s="0" t="s">
        <v>513</v>
      </c>
      <c r="AE412" s="0" t="s">
        <v>1351</v>
      </c>
      <c r="AH412" s="0" t="s">
        <v>180</v>
      </c>
      <c r="AJ412" s="0" t="s">
        <v>437</v>
      </c>
      <c r="AK412" s="0" t="s">
        <v>94</v>
      </c>
      <c r="AL412" s="0" t="s">
        <v>95</v>
      </c>
      <c r="AM412" s="0" t="s">
        <v>96</v>
      </c>
      <c r="AX412" s="0" t="s">
        <v>107</v>
      </c>
      <c r="BF412" s="0" t="s">
        <v>115</v>
      </c>
      <c r="BR412" s="0" t="s">
        <v>127</v>
      </c>
    </row>
    <row r="413" ht="108.75">
      <c r="B413" s="0" t="s">
        <v>1352</v>
      </c>
      <c r="C413" s="1" t="n">
        <v>353518</v>
      </c>
      <c r="E413" s="14" t="s">
        <v>529</v>
      </c>
      <c r="F413" s="14" t="s">
        <v>184</v>
      </c>
      <c r="G413" s="25" t="str">
        <f>HYPERLINK("http://vk.com/wall553516526_375")</f>
      </c>
      <c r="H413" s="14" t="s">
        <v>170</v>
      </c>
      <c r="I413" s="14" t="s">
        <v>194</v>
      </c>
      <c r="J413" s="14" t="s">
        <v>1353</v>
      </c>
      <c r="K413" s="26" t="str">
        <f>HYPERLINK("http://vk.com/id553516526")</f>
      </c>
      <c r="L413" s="14" t="s">
        <v>173</v>
      </c>
      <c r="O413" s="1" t="s">
        <v>186</v>
      </c>
      <c r="P413" s="1" t="n">
        <v>79</v>
      </c>
      <c r="Q413" s="1" t="n">
        <v>23</v>
      </c>
      <c r="R413" s="1" t="n">
        <v>0</v>
      </c>
      <c r="S413" s="1"/>
      <c r="T413" s="1" t="n">
        <v>0</v>
      </c>
      <c r="U413" s="1" t="n">
        <v>0</v>
      </c>
      <c r="V413" s="1" t="n">
        <v>0</v>
      </c>
      <c r="W413" s="1" t="n">
        <v>1</v>
      </c>
      <c r="Y413" s="1" t="n">
        <v>9</v>
      </c>
      <c r="Z413" s="0" t="s">
        <v>175</v>
      </c>
      <c r="AA413" s="0" t="s">
        <v>292</v>
      </c>
      <c r="AC413" s="0" t="s">
        <v>177</v>
      </c>
      <c r="AD413" s="0" t="s">
        <v>1004</v>
      </c>
      <c r="AE413" s="0" t="s">
        <v>1354</v>
      </c>
      <c r="AH413" s="0" t="s">
        <v>180</v>
      </c>
      <c r="AJ413" s="0" t="s">
        <v>437</v>
      </c>
      <c r="AK413" s="0" t="s">
        <v>94</v>
      </c>
      <c r="AL413" s="0" t="s">
        <v>95</v>
      </c>
      <c r="AR413" s="0" t="s">
        <v>101</v>
      </c>
      <c r="BA413" s="0" t="s">
        <v>110</v>
      </c>
      <c r="BF413" s="0" t="s">
        <v>115</v>
      </c>
    </row>
    <row r="414" ht="24.75">
      <c r="B414" s="0" t="s">
        <v>1355</v>
      </c>
      <c r="C414" s="1" t="n">
        <v>353691</v>
      </c>
      <c r="E414" s="14" t="s">
        <v>1356</v>
      </c>
      <c r="F414" s="14" t="s">
        <v>169</v>
      </c>
      <c r="G414" s="25" t="str">
        <f>HYPERLINK("http://www.ok.ru/profile/567830669710/statuses/156074540288910")</f>
      </c>
      <c r="H414" s="14" t="s">
        <v>170</v>
      </c>
      <c r="I414" s="14" t="s">
        <v>171</v>
      </c>
      <c r="J414" s="14" t="s">
        <v>1357</v>
      </c>
      <c r="K414" s="26" t="str">
        <f>HYPERLINK("http://www.ok.ru/profile/567830669710")</f>
      </c>
      <c r="L414" s="14" t="s">
        <v>173</v>
      </c>
      <c r="O414" s="1" t="s">
        <v>186</v>
      </c>
      <c r="P414" s="1" t="n">
        <v>60</v>
      </c>
      <c r="Q414" s="1" t="n">
        <v>144</v>
      </c>
      <c r="R414" s="1" t="n">
        <v>0</v>
      </c>
      <c r="S414" s="1"/>
      <c r="T414" s="1" t="n">
        <v>0</v>
      </c>
      <c r="U414" s="1" t="n">
        <v>0</v>
      </c>
      <c r="V414" s="1" t="n">
        <v>0</v>
      </c>
      <c r="W414" s="1"/>
      <c r="Y414" s="1" t="n">
        <v>92</v>
      </c>
      <c r="Z414" s="0" t="s">
        <v>175</v>
      </c>
      <c r="AA414" s="0" t="s">
        <v>187</v>
      </c>
      <c r="AC414" s="0" t="s">
        <v>177</v>
      </c>
      <c r="AD414" s="0" t="s">
        <v>349</v>
      </c>
      <c r="AE414" s="0" t="s">
        <v>1358</v>
      </c>
      <c r="AH414" s="0" t="s">
        <v>180</v>
      </c>
      <c r="AJ414" s="0" t="s">
        <v>437</v>
      </c>
      <c r="AK414" s="0" t="s">
        <v>94</v>
      </c>
      <c r="AL414" s="0" t="s">
        <v>95</v>
      </c>
      <c r="AM414" s="0" t="s">
        <v>96</v>
      </c>
      <c r="AU414" s="0" t="s">
        <v>104</v>
      </c>
      <c r="AV414" s="0" t="s">
        <v>105</v>
      </c>
    </row>
    <row r="415" ht="24.75">
      <c r="B415" s="0" t="s">
        <v>1359</v>
      </c>
      <c r="C415" s="1" t="n">
        <v>353516</v>
      </c>
      <c r="E415" s="14" t="s">
        <v>183</v>
      </c>
      <c r="F415" s="14" t="s">
        <v>184</v>
      </c>
      <c r="G415" s="25" t="str">
        <f>HYPERLINK("http://vk.com/wall231692237_710")</f>
      </c>
      <c r="H415" s="14" t="s">
        <v>170</v>
      </c>
      <c r="I415" s="14" t="s">
        <v>171</v>
      </c>
      <c r="J415" s="14" t="s">
        <v>364</v>
      </c>
      <c r="K415" s="26" t="str">
        <f>HYPERLINK("http://vk.com/id231692237")</f>
      </c>
      <c r="L415" s="14" t="s">
        <v>173</v>
      </c>
      <c r="O415" s="1" t="s">
        <v>174</v>
      </c>
      <c r="P415" s="1"/>
      <c r="Q415" s="1" t="n">
        <v>377</v>
      </c>
      <c r="R415" s="1" t="n">
        <v>0</v>
      </c>
      <c r="S415" s="1"/>
      <c r="T415" s="1" t="n">
        <v>0</v>
      </c>
      <c r="U415" s="1" t="n">
        <v>0</v>
      </c>
      <c r="V415" s="1" t="n">
        <v>0</v>
      </c>
      <c r="W415" s="1" t="n">
        <v>2</v>
      </c>
      <c r="Y415" s="1" t="n">
        <v>62</v>
      </c>
      <c r="Z415" s="0" t="s">
        <v>175</v>
      </c>
      <c r="AA415" s="0" t="s">
        <v>187</v>
      </c>
      <c r="AH415" s="0" t="s">
        <v>180</v>
      </c>
      <c r="AJ415" s="0" t="s">
        <v>437</v>
      </c>
      <c r="AK415" s="0" t="s">
        <v>94</v>
      </c>
      <c r="AP415" s="0" t="s">
        <v>99</v>
      </c>
      <c r="AR415" s="0" t="s">
        <v>101</v>
      </c>
      <c r="BA415" s="0" t="s">
        <v>110</v>
      </c>
    </row>
    <row r="416">
      <c r="B416" s="0" t="s">
        <v>1360</v>
      </c>
      <c r="C416" s="1" t="n">
        <v>353683</v>
      </c>
      <c r="E416" s="14" t="s">
        <v>1361</v>
      </c>
      <c r="F416" s="14" t="s">
        <v>192</v>
      </c>
      <c r="G416" s="25" t="str">
        <f>HYPERLINK("https://telegram.me/drleeyana/1551?comment=7574")</f>
      </c>
      <c r="H416" s="14" t="s">
        <v>193</v>
      </c>
      <c r="I416" s="14" t="s">
        <v>231</v>
      </c>
      <c r="J416" s="14" t="s">
        <v>1362</v>
      </c>
      <c r="K416" s="26" t="str">
        <f>HYPERLINK("https://telegram.me/drleeyanasakh")</f>
      </c>
      <c r="L416" s="14" t="s">
        <v>274</v>
      </c>
      <c r="M416" s="14" t="s">
        <v>1363</v>
      </c>
      <c r="N416" s="25" t="str">
        <f>HYPERLINK("https://telegram.me/drleeyana")</f>
      </c>
      <c r="O416" s="1"/>
      <c r="P416" s="1"/>
      <c r="Q416" s="1" t="n">
        <v>2609</v>
      </c>
      <c r="R416" s="1" t="n">
        <v>0</v>
      </c>
      <c r="S416" s="1"/>
      <c r="T416" s="1" t="n">
        <v>0</v>
      </c>
      <c r="U416" s="1" t="n">
        <v>0</v>
      </c>
      <c r="V416" s="1" t="n">
        <v>0</v>
      </c>
      <c r="W416" s="1"/>
      <c r="Y416" s="1" t="n">
        <v>1</v>
      </c>
      <c r="Z416" s="0" t="s">
        <v>175</v>
      </c>
      <c r="AA416" s="0" t="s">
        <v>187</v>
      </c>
      <c r="AH416" s="0" t="s">
        <v>180</v>
      </c>
      <c r="AI416" s="0" t="s">
        <v>92</v>
      </c>
      <c r="AJ416" s="0" t="s">
        <v>437</v>
      </c>
      <c r="AK416" s="0" t="s">
        <v>94</v>
      </c>
      <c r="AL416" s="0" t="s">
        <v>95</v>
      </c>
      <c r="AN416" s="0" t="s">
        <v>97</v>
      </c>
      <c r="AT416" s="0" t="s">
        <v>103</v>
      </c>
      <c r="AU416" s="0" t="s">
        <v>104</v>
      </c>
      <c r="BE416" s="0" t="s">
        <v>114</v>
      </c>
    </row>
    <row r="417" ht="24.75">
      <c r="B417" s="0" t="s">
        <v>1360</v>
      </c>
      <c r="C417" s="1" t="n">
        <v>353506</v>
      </c>
      <c r="E417" s="14" t="s">
        <v>183</v>
      </c>
      <c r="F417" s="14" t="s">
        <v>184</v>
      </c>
      <c r="G417" s="25" t="str">
        <f>HYPERLINK("http://vk.com/wall-214450246_108353")</f>
      </c>
      <c r="H417" s="14" t="s">
        <v>170</v>
      </c>
      <c r="I417" s="14" t="s">
        <v>194</v>
      </c>
      <c r="J417" s="14" t="s">
        <v>1080</v>
      </c>
      <c r="K417" s="26" t="str">
        <f>HYPERLINK("http://vk.com/club214450246")</f>
      </c>
      <c r="L417" s="14" t="s">
        <v>274</v>
      </c>
      <c r="O417" s="1"/>
      <c r="P417" s="1"/>
      <c r="Q417" s="1" t="n">
        <v>130975</v>
      </c>
      <c r="R417" s="1" t="n">
        <v>4</v>
      </c>
      <c r="S417" s="1"/>
      <c r="T417" s="1" t="n">
        <v>7</v>
      </c>
      <c r="U417" s="1" t="n">
        <v>2</v>
      </c>
      <c r="V417" s="1" t="n">
        <v>13</v>
      </c>
      <c r="W417" s="1" t="n">
        <v>840</v>
      </c>
      <c r="Y417" s="1" t="n">
        <v>62</v>
      </c>
      <c r="Z417" s="0" t="s">
        <v>175</v>
      </c>
      <c r="AA417" s="0" t="s">
        <v>187</v>
      </c>
      <c r="AH417" s="0" t="s">
        <v>180</v>
      </c>
      <c r="AJ417" s="0" t="s">
        <v>437</v>
      </c>
      <c r="AK417" s="0" t="s">
        <v>94</v>
      </c>
      <c r="AP417" s="0" t="s">
        <v>99</v>
      </c>
      <c r="AR417" s="0" t="s">
        <v>101</v>
      </c>
      <c r="BA417" s="0" t="s">
        <v>110</v>
      </c>
    </row>
    <row r="418">
      <c r="B418" s="0" t="s">
        <v>1364</v>
      </c>
      <c r="C418" s="1" t="n">
        <v>353686</v>
      </c>
      <c r="E418" s="14" t="s">
        <v>1365</v>
      </c>
      <c r="F418" s="14" t="s">
        <v>192</v>
      </c>
      <c r="G418" s="25" t="str">
        <f>HYPERLINK("https://telegram.me/drleeyana/1551?comment=7571")</f>
      </c>
      <c r="H418" s="14" t="s">
        <v>193</v>
      </c>
      <c r="I418" s="14" t="s">
        <v>231</v>
      </c>
      <c r="J418" s="14" t="s">
        <v>1366</v>
      </c>
      <c r="K418" s="26" t="str">
        <f>HYPERLINK("https://telegram.me/")</f>
      </c>
      <c r="L418" s="14" t="s">
        <v>173</v>
      </c>
      <c r="M418" s="14" t="s">
        <v>1363</v>
      </c>
      <c r="N418" s="25" t="str">
        <f>HYPERLINK("https://telegram.me/drleeyana")</f>
      </c>
      <c r="O418" s="1" t="s">
        <v>186</v>
      </c>
      <c r="P418" s="1"/>
      <c r="Q418" s="1" t="n">
        <v>2609</v>
      </c>
      <c r="R418" s="1" t="n">
        <v>0</v>
      </c>
      <c r="S418" s="1"/>
      <c r="T418" s="1" t="n">
        <v>0</v>
      </c>
      <c r="U418" s="1" t="n">
        <v>0</v>
      </c>
      <c r="V418" s="1" t="n">
        <v>0</v>
      </c>
      <c r="W418" s="1"/>
      <c r="Y418" s="1" t="n">
        <v>1</v>
      </c>
      <c r="Z418" s="0" t="s">
        <v>175</v>
      </c>
      <c r="AA418" s="0" t="s">
        <v>187</v>
      </c>
      <c r="AH418" s="0" t="s">
        <v>180</v>
      </c>
      <c r="AI418" s="0" t="s">
        <v>92</v>
      </c>
      <c r="AJ418" s="0" t="s">
        <v>437</v>
      </c>
      <c r="AK418" s="0" t="s">
        <v>94</v>
      </c>
      <c r="AL418" s="0" t="s">
        <v>95</v>
      </c>
      <c r="AN418" s="0" t="s">
        <v>97</v>
      </c>
      <c r="AT418" s="0" t="s">
        <v>103</v>
      </c>
      <c r="AU418" s="0" t="s">
        <v>104</v>
      </c>
      <c r="AW418" s="0" t="s">
        <v>106</v>
      </c>
      <c r="BB418" s="0" t="s">
        <v>111</v>
      </c>
      <c r="BE418" s="0" t="s">
        <v>114</v>
      </c>
      <c r="BV418" s="0" t="s">
        <v>131</v>
      </c>
    </row>
    <row r="419" ht="24.75">
      <c r="B419" s="0" t="s">
        <v>1367</v>
      </c>
      <c r="C419" s="1" t="n">
        <v>354149</v>
      </c>
      <c r="E419" s="14" t="s">
        <v>679</v>
      </c>
      <c r="F419" s="14" t="s">
        <v>169</v>
      </c>
      <c r="G419" s="25" t="str">
        <f>HYPERLINK("http://www.ok.ru/group/70000001263514/topic/155534065226650")</f>
      </c>
      <c r="H419" s="14" t="s">
        <v>170</v>
      </c>
      <c r="I419" s="14" t="s">
        <v>194</v>
      </c>
      <c r="J419" s="14" t="s">
        <v>1368</v>
      </c>
      <c r="K419" s="26" t="str">
        <f>HYPERLINK("http://www.ok.ru/group/70000001263514")</f>
      </c>
      <c r="L419" s="14" t="s">
        <v>274</v>
      </c>
      <c r="O419" s="1"/>
      <c r="P419" s="1"/>
      <c r="Q419" s="1" t="n">
        <v>2275</v>
      </c>
      <c r="R419" s="1" t="n">
        <v>0</v>
      </c>
      <c r="S419" s="1"/>
      <c r="T419" s="1" t="n">
        <v>0</v>
      </c>
      <c r="U419" s="1" t="n">
        <v>0</v>
      </c>
      <c r="V419" s="1" t="n">
        <v>0</v>
      </c>
      <c r="W419" s="1"/>
      <c r="Y419" s="1" t="n">
        <v>2</v>
      </c>
      <c r="Z419" s="0" t="s">
        <v>175</v>
      </c>
      <c r="AA419" s="0" t="s">
        <v>176</v>
      </c>
      <c r="AH419" s="0" t="s">
        <v>180</v>
      </c>
      <c r="AJ419" s="0" t="s">
        <v>181</v>
      </c>
      <c r="AK419" s="0" t="s">
        <v>94</v>
      </c>
      <c r="AM419" s="0" t="s">
        <v>96</v>
      </c>
      <c r="AN419" s="0" t="s">
        <v>97</v>
      </c>
      <c r="AO419" s="0" t="s">
        <v>98</v>
      </c>
      <c r="AQ419" s="0" t="s">
        <v>100</v>
      </c>
      <c r="AS419" s="0" t="s">
        <v>102</v>
      </c>
      <c r="AW419" s="0" t="s">
        <v>106</v>
      </c>
      <c r="BB419" s="0" t="s">
        <v>111</v>
      </c>
      <c r="BG419" s="0" t="s">
        <v>116</v>
      </c>
      <c r="BL419" s="0" t="s">
        <v>121</v>
      </c>
      <c r="BM419" s="0" t="s">
        <v>122</v>
      </c>
      <c r="BQ419" s="0" t="s">
        <v>126</v>
      </c>
    </row>
    <row r="420">
      <c r="B420" s="0" t="s">
        <v>1367</v>
      </c>
      <c r="C420" s="1" t="n">
        <v>353841</v>
      </c>
      <c r="D420" s="0" t="s">
        <v>1369</v>
      </c>
      <c r="E420" s="14" t="s">
        <v>1370</v>
      </c>
      <c r="F420" s="14" t="s">
        <v>263</v>
      </c>
      <c r="G420" s="25" t="str">
        <f>HYPERLINK("https://www.baby.ru/blogs/post/2611340423-1845663622/")</f>
      </c>
      <c r="H420" s="14" t="s">
        <v>264</v>
      </c>
      <c r="I420" s="14" t="s">
        <v>231</v>
      </c>
      <c r="J420" s="14" t="s">
        <v>1371</v>
      </c>
      <c r="K420" s="26" t="str">
        <f>HYPERLINK("https://www.baby.ru/u/usr2661582/")</f>
      </c>
      <c r="L420" s="14"/>
      <c r="M420" s="14" t="s">
        <v>1372</v>
      </c>
      <c r="N420" s="25" t="str">
        <f>HYPERLINK("https://www.baby.ru/u/usr2220377/")</f>
      </c>
      <c r="O420" s="1"/>
      <c r="P420" s="1"/>
      <c r="Q420" s="1"/>
      <c r="R420" s="1" t="n">
        <v>0</v>
      </c>
      <c r="S420" s="1"/>
      <c r="T420" s="1" t="n">
        <v>0</v>
      </c>
      <c r="U420" s="1" t="n">
        <v>0</v>
      </c>
      <c r="V420" s="1" t="n">
        <v>0</v>
      </c>
      <c r="W420" s="1"/>
      <c r="Y420" s="1" t="n">
        <v>1</v>
      </c>
      <c r="Z420" s="0" t="s">
        <v>175</v>
      </c>
      <c r="AA420" s="0" t="s">
        <v>187</v>
      </c>
      <c r="AH420" s="0" t="s">
        <v>180</v>
      </c>
      <c r="AJ420" s="0" t="s">
        <v>437</v>
      </c>
      <c r="AK420" s="0" t="s">
        <v>94</v>
      </c>
      <c r="AL420" s="0" t="s">
        <v>95</v>
      </c>
      <c r="AN420" s="0" t="s">
        <v>97</v>
      </c>
      <c r="AV420" s="0" t="s">
        <v>105</v>
      </c>
      <c r="BB420" s="0" t="s">
        <v>111</v>
      </c>
      <c r="BU420" s="0" t="s">
        <v>130</v>
      </c>
    </row>
    <row r="421">
      <c r="B421" s="0" t="s">
        <v>1373</v>
      </c>
      <c r="C421" s="1" t="n">
        <v>353702</v>
      </c>
      <c r="E421" s="14" t="s">
        <v>1349</v>
      </c>
      <c r="F421" s="14" t="s">
        <v>169</v>
      </c>
      <c r="G421" s="25" t="str">
        <f>HYPERLINK("http://www.ok.ru/profile/354158731895/statuses/155775973647735")</f>
      </c>
      <c r="H421" s="14" t="s">
        <v>170</v>
      </c>
      <c r="I421" s="14" t="s">
        <v>194</v>
      </c>
      <c r="J421" s="14" t="s">
        <v>1374</v>
      </c>
      <c r="K421" s="26" t="str">
        <f>HYPERLINK("http://www.ok.ru/profile/354158731895")</f>
      </c>
      <c r="L421" s="14" t="s">
        <v>173</v>
      </c>
      <c r="O421" s="1" t="s">
        <v>174</v>
      </c>
      <c r="P421" s="1" t="n">
        <v>64</v>
      </c>
      <c r="Q421" s="1" t="n">
        <v>1155</v>
      </c>
      <c r="R421" s="1" t="n">
        <v>0</v>
      </c>
      <c r="S421" s="1"/>
      <c r="T421" s="1" t="n">
        <v>0</v>
      </c>
      <c r="U421" s="1" t="n">
        <v>4</v>
      </c>
      <c r="V421" s="1" t="n">
        <v>4</v>
      </c>
      <c r="W421" s="1"/>
      <c r="Y421" s="1" t="n">
        <v>15</v>
      </c>
      <c r="Z421" s="0" t="s">
        <v>175</v>
      </c>
      <c r="AA421" s="0" t="s">
        <v>187</v>
      </c>
      <c r="AC421" s="0" t="s">
        <v>177</v>
      </c>
      <c r="AD421" s="0" t="s">
        <v>1375</v>
      </c>
      <c r="AE421" s="0" t="s">
        <v>1376</v>
      </c>
      <c r="AH421" s="0" t="s">
        <v>180</v>
      </c>
      <c r="AJ421" s="0" t="s">
        <v>437</v>
      </c>
      <c r="AK421" s="0" t="s">
        <v>94</v>
      </c>
      <c r="AL421" s="0" t="s">
        <v>95</v>
      </c>
      <c r="AM421" s="0" t="s">
        <v>96</v>
      </c>
      <c r="AX421" s="0" t="s">
        <v>107</v>
      </c>
      <c r="BF421" s="0" t="s">
        <v>115</v>
      </c>
      <c r="BR421" s="0" t="s">
        <v>127</v>
      </c>
    </row>
    <row r="422" ht="36.75">
      <c r="B422" s="0" t="s">
        <v>1373</v>
      </c>
      <c r="C422" s="1" t="n">
        <v>353502</v>
      </c>
      <c r="E422" s="14" t="s">
        <v>574</v>
      </c>
      <c r="F422" s="14" t="s">
        <v>184</v>
      </c>
      <c r="G422" s="25" t="str">
        <f>HYPERLINK("http://vk.com/wall257851812_33220")</f>
      </c>
      <c r="H422" s="14" t="s">
        <v>170</v>
      </c>
      <c r="I422" s="14" t="s">
        <v>171</v>
      </c>
      <c r="J422" s="14" t="s">
        <v>1377</v>
      </c>
      <c r="K422" s="26" t="str">
        <f>HYPERLINK("http://vk.com/id257851812")</f>
      </c>
      <c r="L422" s="14" t="s">
        <v>173</v>
      </c>
      <c r="O422" s="1" t="s">
        <v>174</v>
      </c>
      <c r="P422" s="1"/>
      <c r="Q422" s="1" t="n">
        <v>1701</v>
      </c>
      <c r="R422" s="1" t="n">
        <v>0</v>
      </c>
      <c r="S422" s="1"/>
      <c r="T422" s="1" t="n">
        <v>1</v>
      </c>
      <c r="U422" s="1" t="n">
        <v>0</v>
      </c>
      <c r="V422" s="1" t="n">
        <v>1</v>
      </c>
      <c r="W422" s="1" t="n">
        <v>6</v>
      </c>
      <c r="Y422" s="1" t="n">
        <v>5</v>
      </c>
      <c r="Z422" s="0" t="s">
        <v>175</v>
      </c>
      <c r="AA422" s="0" t="s">
        <v>292</v>
      </c>
      <c r="AH422" s="0" t="s">
        <v>180</v>
      </c>
      <c r="AJ422" s="0" t="s">
        <v>437</v>
      </c>
      <c r="AK422" s="0" t="s">
        <v>94</v>
      </c>
      <c r="AL422" s="0" t="s">
        <v>95</v>
      </c>
      <c r="AR422" s="0" t="s">
        <v>101</v>
      </c>
      <c r="BA422" s="0" t="s">
        <v>110</v>
      </c>
      <c r="BF422" s="0" t="s">
        <v>115</v>
      </c>
    </row>
    <row r="423" ht="924.75">
      <c r="B423" s="0" t="s">
        <v>1378</v>
      </c>
      <c r="C423" s="1" t="n">
        <v>353492</v>
      </c>
      <c r="E423" s="14" t="s">
        <v>780</v>
      </c>
      <c r="F423" s="14" t="s">
        <v>184</v>
      </c>
      <c r="G423" s="25" t="str">
        <f>HYPERLINK("http://vk.com/wall227482249_479")</f>
      </c>
      <c r="H423" s="14" t="s">
        <v>170</v>
      </c>
      <c r="I423" s="14" t="s">
        <v>171</v>
      </c>
      <c r="J423" s="14" t="s">
        <v>1379</v>
      </c>
      <c r="K423" s="26" t="str">
        <f>HYPERLINK("http://vk.com/id227482249")</f>
      </c>
      <c r="L423" s="14" t="s">
        <v>173</v>
      </c>
      <c r="O423" s="1" t="s">
        <v>186</v>
      </c>
      <c r="P423" s="1" t="n">
        <v>64</v>
      </c>
      <c r="Q423" s="1" t="n">
        <v>77</v>
      </c>
      <c r="R423" s="1" t="n">
        <v>0</v>
      </c>
      <c r="S423" s="1"/>
      <c r="T423" s="1" t="n">
        <v>0</v>
      </c>
      <c r="U423" s="1" t="n">
        <v>0</v>
      </c>
      <c r="V423" s="1" t="n">
        <v>0</v>
      </c>
      <c r="W423" s="1" t="n">
        <v>1</v>
      </c>
      <c r="Y423" s="1" t="n">
        <v>5</v>
      </c>
      <c r="Z423" s="0" t="s">
        <v>175</v>
      </c>
      <c r="AA423" s="0" t="s">
        <v>187</v>
      </c>
      <c r="AC423" s="0" t="s">
        <v>177</v>
      </c>
      <c r="AD423" s="0" t="s">
        <v>454</v>
      </c>
      <c r="AE423" s="0" t="s">
        <v>1380</v>
      </c>
      <c r="AH423" s="0" t="s">
        <v>180</v>
      </c>
      <c r="AJ423" s="0" t="s">
        <v>437</v>
      </c>
      <c r="AK423" s="0" t="s">
        <v>94</v>
      </c>
      <c r="AM423" s="0" t="s">
        <v>96</v>
      </c>
      <c r="AP423" s="0" t="s">
        <v>99</v>
      </c>
      <c r="AQ423" s="0" t="s">
        <v>100</v>
      </c>
    </row>
    <row r="424" ht="36.75">
      <c r="B424" s="0" t="s">
        <v>1378</v>
      </c>
      <c r="C424" s="1" t="n">
        <v>354040</v>
      </c>
      <c r="E424" s="14" t="s">
        <v>1189</v>
      </c>
      <c r="F424" s="14" t="s">
        <v>169</v>
      </c>
      <c r="G424" s="25" t="str">
        <f>HYPERLINK("http://www.ok.ru/profile/571168152431/statuses/157362360643695")</f>
      </c>
      <c r="H424" s="14" t="s">
        <v>170</v>
      </c>
      <c r="I424" s="14" t="s">
        <v>171</v>
      </c>
      <c r="J424" s="14" t="s">
        <v>1381</v>
      </c>
      <c r="K424" s="26" t="str">
        <f>HYPERLINK("http://www.ok.ru/profile/571168152431")</f>
      </c>
      <c r="L424" s="14" t="s">
        <v>173</v>
      </c>
      <c r="O424" s="1" t="s">
        <v>186</v>
      </c>
      <c r="P424" s="1" t="n">
        <v>52</v>
      </c>
      <c r="Q424" s="1" t="n">
        <v>126</v>
      </c>
      <c r="R424" s="1" t="n">
        <v>0</v>
      </c>
      <c r="S424" s="1"/>
      <c r="T424" s="1" t="n">
        <v>0</v>
      </c>
      <c r="U424" s="1" t="n">
        <v>1</v>
      </c>
      <c r="V424" s="1" t="n">
        <v>1</v>
      </c>
      <c r="W424" s="1"/>
      <c r="Y424" s="1" t="n">
        <v>46</v>
      </c>
      <c r="Z424" s="0" t="s">
        <v>175</v>
      </c>
      <c r="AA424" s="0" t="s">
        <v>187</v>
      </c>
      <c r="AC424" s="0" t="s">
        <v>177</v>
      </c>
      <c r="AD424" s="0" t="s">
        <v>1382</v>
      </c>
      <c r="AE424" s="0" t="s">
        <v>1383</v>
      </c>
      <c r="AH424" s="0" t="s">
        <v>180</v>
      </c>
      <c r="AJ424" s="0" t="s">
        <v>437</v>
      </c>
      <c r="AK424" s="0" t="s">
        <v>94</v>
      </c>
      <c r="AM424" s="0" t="s">
        <v>96</v>
      </c>
      <c r="AP424" s="0" t="s">
        <v>99</v>
      </c>
      <c r="AQ424" s="0" t="s">
        <v>100</v>
      </c>
    </row>
    <row r="425" ht="1356.75">
      <c r="B425" s="0" t="s">
        <v>1378</v>
      </c>
      <c r="C425" s="1" t="n">
        <v>353498</v>
      </c>
      <c r="E425" s="14" t="s">
        <v>840</v>
      </c>
      <c r="F425" s="14" t="s">
        <v>184</v>
      </c>
      <c r="G425" s="25" t="str">
        <f>HYPERLINK("http://vk.com/wall-213714758_4415")</f>
      </c>
      <c r="H425" s="14" t="s">
        <v>170</v>
      </c>
      <c r="I425" s="14" t="s">
        <v>194</v>
      </c>
      <c r="J425" s="14" t="s">
        <v>1384</v>
      </c>
      <c r="K425" s="26" t="str">
        <f>HYPERLINK("http://vk.com/club213714758")</f>
      </c>
      <c r="L425" s="14" t="s">
        <v>274</v>
      </c>
      <c r="O425" s="1"/>
      <c r="P425" s="1"/>
      <c r="Q425" s="1" t="n">
        <v>13051</v>
      </c>
      <c r="R425" s="1" t="n">
        <v>1</v>
      </c>
      <c r="S425" s="1"/>
      <c r="T425" s="1" t="n">
        <v>16</v>
      </c>
      <c r="U425" s="1" t="n">
        <v>6</v>
      </c>
      <c r="V425" s="1" t="n">
        <v>23</v>
      </c>
      <c r="W425" s="1" t="n">
        <v>455</v>
      </c>
      <c r="Y425" s="1" t="n">
        <v>5</v>
      </c>
      <c r="Z425" s="0" t="s">
        <v>175</v>
      </c>
      <c r="AA425" s="0" t="s">
        <v>176</v>
      </c>
      <c r="AC425" s="0" t="s">
        <v>177</v>
      </c>
      <c r="AD425" s="0" t="s">
        <v>1385</v>
      </c>
      <c r="AE425" s="0" t="s">
        <v>1386</v>
      </c>
      <c r="AH425" s="0" t="s">
        <v>180</v>
      </c>
      <c r="AJ425" s="0" t="s">
        <v>437</v>
      </c>
      <c r="AK425" s="0" t="s">
        <v>94</v>
      </c>
      <c r="AL425" s="0" t="s">
        <v>95</v>
      </c>
      <c r="AM425" s="0" t="s">
        <v>96</v>
      </c>
      <c r="AO425" s="0" t="s">
        <v>98</v>
      </c>
      <c r="AQ425" s="0" t="s">
        <v>100</v>
      </c>
    </row>
    <row r="426" ht="24.75">
      <c r="B426" s="0" t="s">
        <v>1387</v>
      </c>
      <c r="C426" s="1" t="n">
        <v>353494</v>
      </c>
      <c r="E426" s="14" t="s">
        <v>183</v>
      </c>
      <c r="F426" s="14" t="s">
        <v>184</v>
      </c>
      <c r="G426" s="25" t="str">
        <f>HYPERLINK("http://vk.com/wall661282221_287")</f>
      </c>
      <c r="H426" s="14" t="s">
        <v>170</v>
      </c>
      <c r="I426" s="14" t="s">
        <v>171</v>
      </c>
      <c r="J426" s="14" t="s">
        <v>1388</v>
      </c>
      <c r="K426" s="26" t="str">
        <f>HYPERLINK("http://vk.com/id661282221")</f>
      </c>
      <c r="L426" s="14" t="s">
        <v>173</v>
      </c>
      <c r="O426" s="1" t="s">
        <v>186</v>
      </c>
      <c r="P426" s="1" t="n">
        <v>76</v>
      </c>
      <c r="Q426" s="1" t="n">
        <v>63</v>
      </c>
      <c r="R426" s="1" t="n">
        <v>0</v>
      </c>
      <c r="S426" s="1"/>
      <c r="T426" s="1" t="n">
        <v>0</v>
      </c>
      <c r="U426" s="1" t="n">
        <v>0</v>
      </c>
      <c r="V426" s="1" t="n">
        <v>0</v>
      </c>
      <c r="W426" s="1" t="n">
        <v>2</v>
      </c>
      <c r="Y426" s="1" t="n">
        <v>62</v>
      </c>
      <c r="Z426" s="0" t="s">
        <v>175</v>
      </c>
      <c r="AA426" s="0" t="s">
        <v>187</v>
      </c>
      <c r="AH426" s="0" t="s">
        <v>180</v>
      </c>
      <c r="AJ426" s="0" t="s">
        <v>437</v>
      </c>
      <c r="AK426" s="0" t="s">
        <v>94</v>
      </c>
      <c r="AP426" s="0" t="s">
        <v>99</v>
      </c>
      <c r="AR426" s="0" t="s">
        <v>101</v>
      </c>
      <c r="BA426" s="0" t="s">
        <v>110</v>
      </c>
    </row>
    <row r="427" ht="1632.75">
      <c r="B427" s="0" t="s">
        <v>1387</v>
      </c>
      <c r="C427" s="1" t="n">
        <v>353488</v>
      </c>
      <c r="E427" s="14" t="s">
        <v>320</v>
      </c>
      <c r="F427" s="14" t="s">
        <v>184</v>
      </c>
      <c r="G427" s="25" t="str">
        <f>HYPERLINK("http://vk.com/wall647892858_31")</f>
      </c>
      <c r="H427" s="14" t="s">
        <v>170</v>
      </c>
      <c r="I427" s="14" t="s">
        <v>171</v>
      </c>
      <c r="J427" s="14" t="s">
        <v>1389</v>
      </c>
      <c r="K427" s="26" t="str">
        <f>HYPERLINK("http://vk.com/id647892858")</f>
      </c>
      <c r="L427" s="14" t="s">
        <v>173</v>
      </c>
      <c r="O427" s="1" t="s">
        <v>186</v>
      </c>
      <c r="P427" s="1" t="n">
        <v>54</v>
      </c>
      <c r="Q427" s="1" t="n">
        <v>183</v>
      </c>
      <c r="R427" s="1" t="n">
        <v>0</v>
      </c>
      <c r="S427" s="1"/>
      <c r="T427" s="1" t="n">
        <v>0</v>
      </c>
      <c r="U427" s="1" t="n">
        <v>0</v>
      </c>
      <c r="V427" s="1" t="n">
        <v>0</v>
      </c>
      <c r="W427" s="1"/>
      <c r="Y427" s="1" t="n">
        <v>12</v>
      </c>
      <c r="Z427" s="0" t="s">
        <v>175</v>
      </c>
      <c r="AA427" s="0" t="s">
        <v>187</v>
      </c>
      <c r="AH427" s="0" t="s">
        <v>180</v>
      </c>
      <c r="AJ427" s="0" t="s">
        <v>437</v>
      </c>
      <c r="AK427" s="0" t="s">
        <v>94</v>
      </c>
      <c r="AL427" s="0" t="s">
        <v>95</v>
      </c>
      <c r="AM427" s="0" t="s">
        <v>96</v>
      </c>
      <c r="AX427" s="0" t="s">
        <v>107</v>
      </c>
    </row>
    <row r="428" ht="120.75">
      <c r="B428" s="0" t="s">
        <v>1387</v>
      </c>
      <c r="C428" s="1" t="n">
        <v>353471</v>
      </c>
      <c r="E428" s="14" t="s">
        <v>1326</v>
      </c>
      <c r="F428" s="14" t="s">
        <v>184</v>
      </c>
      <c r="G428" s="25" t="str">
        <f>HYPERLINK("http://vk.com/wall-47179959_140661")</f>
      </c>
      <c r="H428" s="14" t="s">
        <v>170</v>
      </c>
      <c r="I428" s="14" t="s">
        <v>194</v>
      </c>
      <c r="J428" s="14" t="s">
        <v>1327</v>
      </c>
      <c r="K428" s="26" t="str">
        <f>HYPERLINK("http://vk.com/club47179959")</f>
      </c>
      <c r="L428" s="14" t="s">
        <v>274</v>
      </c>
      <c r="O428" s="1"/>
      <c r="P428" s="1"/>
      <c r="Q428" s="1" t="n">
        <v>159306</v>
      </c>
      <c r="R428" s="1" t="n">
        <v>0</v>
      </c>
      <c r="S428" s="1"/>
      <c r="T428" s="1" t="n">
        <v>2</v>
      </c>
      <c r="U428" s="1" t="n">
        <v>1</v>
      </c>
      <c r="V428" s="1" t="n">
        <v>3</v>
      </c>
      <c r="W428" s="1" t="n">
        <v>874</v>
      </c>
      <c r="Y428" s="1" t="n">
        <v>2</v>
      </c>
      <c r="Z428" s="0" t="s">
        <v>175</v>
      </c>
      <c r="AA428" s="0" t="s">
        <v>187</v>
      </c>
      <c r="AH428" s="0" t="s">
        <v>180</v>
      </c>
      <c r="AJ428" s="0" t="s">
        <v>437</v>
      </c>
      <c r="AK428" s="0" t="s">
        <v>94</v>
      </c>
      <c r="AP428" s="0" t="s">
        <v>99</v>
      </c>
      <c r="AU428" s="0" t="s">
        <v>104</v>
      </c>
      <c r="BA428" s="0" t="s">
        <v>110</v>
      </c>
      <c r="BJ428" s="0" t="s">
        <v>119</v>
      </c>
    </row>
    <row r="429">
      <c r="B429" s="0" t="s">
        <v>1387</v>
      </c>
      <c r="C429" s="1" t="n">
        <v>353898</v>
      </c>
      <c r="D429" s="0" t="s">
        <v>1390</v>
      </c>
      <c r="E429" s="14" t="s">
        <v>1391</v>
      </c>
      <c r="F429" s="14" t="s">
        <v>263</v>
      </c>
      <c r="G429" s="25" t="str">
        <f>HYPERLINK("https://www.baby.ru/blogs/post/2611409992-475871213/")</f>
      </c>
      <c r="H429" s="14" t="s">
        <v>264</v>
      </c>
      <c r="I429" s="14" t="s">
        <v>231</v>
      </c>
      <c r="J429" s="14" t="s">
        <v>1392</v>
      </c>
      <c r="K429" s="26" t="str">
        <f>HYPERLINK("https://www.baby.ru/u/usr2431988/")</f>
      </c>
      <c r="L429" s="14"/>
      <c r="M429" s="14" t="s">
        <v>1393</v>
      </c>
      <c r="N429" s="25" t="str">
        <f>HYPERLINK("https://www.baby.ru/u/usr1392797/")</f>
      </c>
      <c r="O429" s="1"/>
      <c r="P429" s="1"/>
      <c r="Q429" s="1"/>
      <c r="R429" s="1" t="n">
        <v>0</v>
      </c>
      <c r="S429" s="1"/>
      <c r="T429" s="1" t="n">
        <v>0</v>
      </c>
      <c r="U429" s="1" t="n">
        <v>0</v>
      </c>
      <c r="V429" s="1" t="n">
        <v>0</v>
      </c>
      <c r="W429" s="1"/>
      <c r="Y429" s="1" t="n">
        <v>1</v>
      </c>
      <c r="Z429" s="0" t="s">
        <v>319</v>
      </c>
      <c r="AA429" s="0" t="s">
        <v>187</v>
      </c>
      <c r="AB429" s="0" t="s">
        <v>85</v>
      </c>
      <c r="AH429" s="0" t="s">
        <v>180</v>
      </c>
      <c r="AI429" s="0" t="s">
        <v>92</v>
      </c>
      <c r="AJ429" s="0" t="s">
        <v>437</v>
      </c>
      <c r="AK429" s="0" t="s">
        <v>94</v>
      </c>
      <c r="AL429" s="0" t="s">
        <v>95</v>
      </c>
      <c r="AN429" s="0" t="s">
        <v>97</v>
      </c>
      <c r="AS429" s="0" t="s">
        <v>102</v>
      </c>
      <c r="AV429" s="0" t="s">
        <v>105</v>
      </c>
      <c r="BB429" s="0" t="s">
        <v>111</v>
      </c>
      <c r="BG429" s="0" t="s">
        <v>116</v>
      </c>
      <c r="BM429" s="0" t="s">
        <v>122</v>
      </c>
    </row>
    <row r="430" ht="72.75">
      <c r="B430" s="0" t="s">
        <v>1394</v>
      </c>
      <c r="C430" s="1" t="n">
        <v>353453</v>
      </c>
      <c r="D430" s="0" t="s">
        <v>1395</v>
      </c>
      <c r="E430" s="14" t="s">
        <v>1396</v>
      </c>
      <c r="F430" s="14" t="s">
        <v>984</v>
      </c>
      <c r="G430" s="25" t="str">
        <f>HYPERLINK("https://12-kanal.ru/news/167049/")</f>
      </c>
      <c r="H430" s="14" t="s">
        <v>208</v>
      </c>
      <c r="I430" s="14" t="s">
        <v>194</v>
      </c>
      <c r="J430" s="14"/>
      <c r="L430" s="14"/>
      <c r="O430" s="1"/>
      <c r="P430" s="1"/>
      <c r="Q430" s="1"/>
      <c r="R430" s="1" t="n">
        <v>0</v>
      </c>
      <c r="S430" s="1" t="n">
        <v>6059</v>
      </c>
      <c r="T430" s="1" t="n">
        <v>0</v>
      </c>
      <c r="U430" s="1" t="n">
        <v>0</v>
      </c>
      <c r="V430" s="1" t="n">
        <v>0</v>
      </c>
      <c r="W430" s="1"/>
      <c r="Y430" s="1" t="n">
        <v>1</v>
      </c>
      <c r="Z430" s="0" t="s">
        <v>175</v>
      </c>
      <c r="AA430" s="0" t="s">
        <v>223</v>
      </c>
      <c r="AH430" s="0" t="s">
        <v>180</v>
      </c>
      <c r="AJ430" s="0" t="s">
        <v>437</v>
      </c>
      <c r="AK430" s="0" t="s">
        <v>94</v>
      </c>
      <c r="AL430" s="0" t="s">
        <v>95</v>
      </c>
      <c r="BD430" s="0" t="s">
        <v>113</v>
      </c>
      <c r="BJ430" s="0" t="s">
        <v>119</v>
      </c>
      <c r="BK430" s="0" t="s">
        <v>120</v>
      </c>
    </row>
    <row r="431" ht="900.75">
      <c r="B431" s="0" t="s">
        <v>1397</v>
      </c>
      <c r="C431" s="1" t="n">
        <v>353469</v>
      </c>
      <c r="E431" s="14" t="s">
        <v>1398</v>
      </c>
      <c r="F431" s="14" t="s">
        <v>184</v>
      </c>
      <c r="G431" s="25" t="str">
        <f>HYPERLINK("http://vk.com/wall169389452_8214")</f>
      </c>
      <c r="H431" s="14" t="s">
        <v>170</v>
      </c>
      <c r="I431" s="14" t="s">
        <v>290</v>
      </c>
      <c r="J431" s="14" t="s">
        <v>1399</v>
      </c>
      <c r="K431" s="26" t="str">
        <f>HYPERLINK("http://vk.com/id169389452")</f>
      </c>
      <c r="L431" s="14" t="s">
        <v>173</v>
      </c>
      <c r="O431" s="1" t="s">
        <v>186</v>
      </c>
      <c r="P431" s="1" t="n">
        <v>51</v>
      </c>
      <c r="Q431" s="1" t="n">
        <v>1005</v>
      </c>
      <c r="R431" s="1" t="n">
        <v>0</v>
      </c>
      <c r="S431" s="1"/>
      <c r="T431" s="1" t="n">
        <v>0</v>
      </c>
      <c r="U431" s="1" t="n">
        <v>0</v>
      </c>
      <c r="V431" s="1" t="n">
        <v>0</v>
      </c>
      <c r="W431" s="1" t="n">
        <v>6</v>
      </c>
      <c r="Y431" s="1" t="n">
        <v>1</v>
      </c>
      <c r="Z431" s="0" t="s">
        <v>175</v>
      </c>
      <c r="AA431" s="0" t="s">
        <v>176</v>
      </c>
      <c r="AC431" s="0" t="s">
        <v>177</v>
      </c>
      <c r="AD431" s="0" t="s">
        <v>1400</v>
      </c>
      <c r="AE431" s="0" t="s">
        <v>1401</v>
      </c>
      <c r="AH431" s="0" t="s">
        <v>180</v>
      </c>
      <c r="AJ431" s="0" t="s">
        <v>437</v>
      </c>
      <c r="AK431" s="0" t="s">
        <v>94</v>
      </c>
      <c r="AL431" s="0" t="s">
        <v>95</v>
      </c>
      <c r="AR431" s="0" t="s">
        <v>101</v>
      </c>
      <c r="BA431" s="0" t="s">
        <v>110</v>
      </c>
      <c r="BF431" s="0" t="s">
        <v>115</v>
      </c>
    </row>
    <row r="432">
      <c r="B432" s="0" t="s">
        <v>1397</v>
      </c>
      <c r="C432" s="1" t="n">
        <v>353460</v>
      </c>
      <c r="E432" s="14" t="s">
        <v>1402</v>
      </c>
      <c r="F432" s="14" t="s">
        <v>184</v>
      </c>
      <c r="G432" s="25" t="str">
        <f>HYPERLINK("http://vk.com/wall-165495813_955937?reply=956013")</f>
      </c>
      <c r="H432" s="14" t="s">
        <v>170</v>
      </c>
      <c r="I432" s="14" t="s">
        <v>231</v>
      </c>
      <c r="J432" s="14" t="s">
        <v>1403</v>
      </c>
      <c r="K432" s="26" t="str">
        <f>HYPERLINK("http://vk.com/id507733686")</f>
      </c>
      <c r="L432" s="14" t="s">
        <v>173</v>
      </c>
      <c r="M432" s="14" t="s">
        <v>357</v>
      </c>
      <c r="N432" s="25" t="str">
        <f>HYPERLINK("http://vk.com/club165495813")</f>
      </c>
      <c r="O432" s="1" t="s">
        <v>174</v>
      </c>
      <c r="P432" s="1" t="n">
        <v>46</v>
      </c>
      <c r="Q432" s="1" t="n">
        <v>310333</v>
      </c>
      <c r="R432" s="1" t="n">
        <v>0</v>
      </c>
      <c r="S432" s="1"/>
      <c r="T432" s="1" t="n">
        <v>0</v>
      </c>
      <c r="U432" s="1" t="n">
        <v>0</v>
      </c>
      <c r="V432" s="1" t="n">
        <v>0</v>
      </c>
      <c r="W432" s="1"/>
      <c r="Y432" s="1" t="n">
        <v>1</v>
      </c>
      <c r="Z432" s="0" t="s">
        <v>463</v>
      </c>
      <c r="AA432" s="0" t="s">
        <v>187</v>
      </c>
      <c r="AC432" s="0" t="s">
        <v>177</v>
      </c>
      <c r="AD432" s="0" t="s">
        <v>1375</v>
      </c>
      <c r="AE432" s="0" t="s">
        <v>1376</v>
      </c>
      <c r="AH432" s="0" t="s">
        <v>180</v>
      </c>
      <c r="AI432" s="0" t="s">
        <v>92</v>
      </c>
      <c r="AJ432" s="0" t="s">
        <v>437</v>
      </c>
      <c r="AK432" s="0" t="s">
        <v>94</v>
      </c>
      <c r="AN432" s="0" t="s">
        <v>97</v>
      </c>
      <c r="AP432" s="0" t="s">
        <v>99</v>
      </c>
      <c r="AR432" s="0" t="s">
        <v>101</v>
      </c>
      <c r="AT432" s="0" t="s">
        <v>103</v>
      </c>
      <c r="CJ432" s="0" t="s">
        <v>145</v>
      </c>
    </row>
    <row r="433">
      <c r="B433" s="0" t="s">
        <v>1404</v>
      </c>
      <c r="C433" s="1" t="n">
        <v>353456</v>
      </c>
      <c r="E433" s="14" t="s">
        <v>1405</v>
      </c>
      <c r="F433" s="14" t="s">
        <v>184</v>
      </c>
      <c r="G433" s="25" t="str">
        <f>HYPERLINK("http://vk.com/wall-110697191_622099?reply=622772")</f>
      </c>
      <c r="H433" s="14" t="s">
        <v>170</v>
      </c>
      <c r="I433" s="14" t="s">
        <v>231</v>
      </c>
      <c r="J433" s="14" t="s">
        <v>1406</v>
      </c>
      <c r="K433" s="26" t="str">
        <f>HYPERLINK("http://vk.com/id289688804")</f>
      </c>
      <c r="L433" s="14" t="s">
        <v>173</v>
      </c>
      <c r="M433" s="14" t="s">
        <v>626</v>
      </c>
      <c r="N433" s="25" t="str">
        <f>HYPERLINK("http://vk.com/club110697191")</f>
      </c>
      <c r="O433" s="1" t="s">
        <v>186</v>
      </c>
      <c r="P433" s="1"/>
      <c r="Q433" s="1" t="n">
        <v>33088</v>
      </c>
      <c r="R433" s="1" t="n">
        <v>0</v>
      </c>
      <c r="S433" s="1"/>
      <c r="T433" s="1" t="n">
        <v>0</v>
      </c>
      <c r="U433" s="1" t="n">
        <v>0</v>
      </c>
      <c r="V433" s="1" t="n">
        <v>0</v>
      </c>
      <c r="W433" s="1"/>
      <c r="Y433" s="1" t="n">
        <v>1</v>
      </c>
      <c r="Z433" s="0" t="s">
        <v>319</v>
      </c>
      <c r="AA433" s="0" t="s">
        <v>187</v>
      </c>
      <c r="AC433" s="0" t="s">
        <v>177</v>
      </c>
      <c r="AH433" s="0" t="s">
        <v>180</v>
      </c>
      <c r="AI433" s="0" t="s">
        <v>92</v>
      </c>
      <c r="AJ433" s="0" t="s">
        <v>437</v>
      </c>
      <c r="AK433" s="0" t="s">
        <v>94</v>
      </c>
      <c r="AN433" s="0" t="s">
        <v>97</v>
      </c>
      <c r="AP433" s="0" t="s">
        <v>99</v>
      </c>
      <c r="AS433" s="0" t="s">
        <v>102</v>
      </c>
      <c r="AV433" s="0" t="s">
        <v>105</v>
      </c>
    </row>
    <row r="434">
      <c r="B434" s="0" t="s">
        <v>1404</v>
      </c>
      <c r="C434" s="1" t="n">
        <v>353473</v>
      </c>
      <c r="E434" s="14" t="s">
        <v>1407</v>
      </c>
      <c r="F434" s="14" t="s">
        <v>184</v>
      </c>
      <c r="G434" s="25" t="str">
        <f>HYPERLINK("http://vk.com/wall-142477702_726009?reply=726447")</f>
      </c>
      <c r="H434" s="14" t="s">
        <v>170</v>
      </c>
      <c r="I434" s="14" t="s">
        <v>231</v>
      </c>
      <c r="J434" s="14" t="s">
        <v>1408</v>
      </c>
      <c r="K434" s="26" t="str">
        <f>HYPERLINK("http://vk.com/id353627035")</f>
      </c>
      <c r="L434" s="14" t="s">
        <v>173</v>
      </c>
      <c r="M434" s="14" t="s">
        <v>1409</v>
      </c>
      <c r="N434" s="25" t="str">
        <f>HYPERLINK("http://vk.com/club142477702")</f>
      </c>
      <c r="O434" s="1" t="s">
        <v>186</v>
      </c>
      <c r="P434" s="1"/>
      <c r="Q434" s="1" t="n">
        <v>48420</v>
      </c>
      <c r="R434" s="1" t="n">
        <v>0</v>
      </c>
      <c r="S434" s="1"/>
      <c r="T434" s="1" t="n">
        <v>0</v>
      </c>
      <c r="U434" s="1" t="n">
        <v>0</v>
      </c>
      <c r="V434" s="1" t="n">
        <v>0</v>
      </c>
      <c r="W434" s="1"/>
      <c r="Y434" s="1" t="n">
        <v>1</v>
      </c>
      <c r="Z434" s="0" t="s">
        <v>319</v>
      </c>
      <c r="AA434" s="0" t="s">
        <v>187</v>
      </c>
      <c r="AC434" s="0" t="s">
        <v>177</v>
      </c>
      <c r="AD434" s="0" t="s">
        <v>240</v>
      </c>
      <c r="AE434" s="0" t="s">
        <v>240</v>
      </c>
      <c r="AH434" s="0" t="s">
        <v>180</v>
      </c>
      <c r="AJ434" s="0" t="s">
        <v>437</v>
      </c>
      <c r="AK434" s="0" t="s">
        <v>94</v>
      </c>
      <c r="AN434" s="0" t="s">
        <v>97</v>
      </c>
      <c r="AP434" s="0" t="s">
        <v>99</v>
      </c>
      <c r="AV434" s="0" t="s">
        <v>105</v>
      </c>
      <c r="BB434" s="0" t="s">
        <v>111</v>
      </c>
      <c r="BM434" s="0" t="s">
        <v>122</v>
      </c>
    </row>
    <row r="435" ht="24.75">
      <c r="B435" s="0" t="s">
        <v>1410</v>
      </c>
      <c r="C435" s="1" t="n">
        <v>353458</v>
      </c>
      <c r="E435" s="14" t="s">
        <v>183</v>
      </c>
      <c r="F435" s="14" t="s">
        <v>184</v>
      </c>
      <c r="G435" s="25" t="str">
        <f>HYPERLINK("http://vk.com/wall88127633_3357")</f>
      </c>
      <c r="H435" s="14" t="s">
        <v>170</v>
      </c>
      <c r="I435" s="14" t="s">
        <v>171</v>
      </c>
      <c r="J435" s="14" t="s">
        <v>1411</v>
      </c>
      <c r="K435" s="26" t="str">
        <f>HYPERLINK("http://vk.com/id88127633")</f>
      </c>
      <c r="L435" s="14" t="s">
        <v>173</v>
      </c>
      <c r="O435" s="1" t="s">
        <v>186</v>
      </c>
      <c r="P435" s="1"/>
      <c r="Q435" s="1" t="n">
        <v>143</v>
      </c>
      <c r="R435" s="1" t="n">
        <v>0</v>
      </c>
      <c r="S435" s="1"/>
      <c r="T435" s="1" t="n">
        <v>0</v>
      </c>
      <c r="U435" s="1" t="n">
        <v>0</v>
      </c>
      <c r="V435" s="1" t="n">
        <v>0</v>
      </c>
      <c r="W435" s="1"/>
      <c r="Y435" s="1" t="n">
        <v>62</v>
      </c>
      <c r="Z435" s="0" t="s">
        <v>175</v>
      </c>
      <c r="AA435" s="0" t="s">
        <v>187</v>
      </c>
      <c r="AC435" s="0" t="s">
        <v>177</v>
      </c>
      <c r="AD435" s="0" t="s">
        <v>1023</v>
      </c>
      <c r="AE435" s="0" t="s">
        <v>1412</v>
      </c>
      <c r="AH435" s="0" t="s">
        <v>180</v>
      </c>
      <c r="AJ435" s="0" t="s">
        <v>437</v>
      </c>
      <c r="AK435" s="0" t="s">
        <v>94</v>
      </c>
      <c r="AP435" s="0" t="s">
        <v>99</v>
      </c>
      <c r="AR435" s="0" t="s">
        <v>101</v>
      </c>
      <c r="BA435" s="0" t="s">
        <v>110</v>
      </c>
    </row>
    <row r="436">
      <c r="B436" s="0" t="s">
        <v>1410</v>
      </c>
      <c r="C436" s="1" t="n">
        <v>353761</v>
      </c>
      <c r="E436" s="14" t="s">
        <v>1413</v>
      </c>
      <c r="F436" s="14" t="s">
        <v>1414</v>
      </c>
      <c r="G436" s="25" t="str">
        <f>HYPERLINK("http://instagram.com/p/Cq_dduVIhmC/c/17965505465371014/")</f>
      </c>
      <c r="H436" s="14" t="s">
        <v>170</v>
      </c>
      <c r="I436" s="14" t="s">
        <v>231</v>
      </c>
      <c r="J436" s="14" t="s">
        <v>1415</v>
      </c>
      <c r="K436" s="26" t="str">
        <f>HYPERLINK("http://instagram.com/albatrossmakesgood")</f>
      </c>
      <c r="L436" s="14" t="s">
        <v>173</v>
      </c>
      <c r="M436" s="14" t="s">
        <v>1416</v>
      </c>
      <c r="N436" s="25" t="str">
        <f>HYPERLINK("http://instagram.com/anestesiolog.md")</f>
      </c>
      <c r="O436" s="1"/>
      <c r="P436" s="1"/>
      <c r="Q436" s="1" t="n">
        <v>2082</v>
      </c>
      <c r="R436" s="1" t="n">
        <v>0</v>
      </c>
      <c r="S436" s="1"/>
      <c r="T436" s="1" t="n">
        <v>0</v>
      </c>
      <c r="U436" s="1" t="n">
        <v>0</v>
      </c>
      <c r="V436" s="1" t="n">
        <v>0</v>
      </c>
      <c r="W436" s="1"/>
      <c r="Y436" s="1" t="n">
        <v>1</v>
      </c>
      <c r="Z436" s="0" t="s">
        <v>175</v>
      </c>
      <c r="AA436" s="0" t="s">
        <v>187</v>
      </c>
      <c r="AH436" s="0" t="s">
        <v>180</v>
      </c>
      <c r="AI436" s="0" t="s">
        <v>92</v>
      </c>
      <c r="AJ436" s="0" t="s">
        <v>437</v>
      </c>
      <c r="AK436" s="0" t="s">
        <v>94</v>
      </c>
      <c r="AL436" s="0" t="s">
        <v>95</v>
      </c>
      <c r="AN436" s="0" t="s">
        <v>97</v>
      </c>
      <c r="AR436" s="0" t="s">
        <v>101</v>
      </c>
      <c r="AS436" s="0" t="s">
        <v>102</v>
      </c>
      <c r="AW436" s="0" t="s">
        <v>106</v>
      </c>
      <c r="BU436" s="0" t="s">
        <v>130</v>
      </c>
    </row>
    <row r="437">
      <c r="B437" s="0" t="s">
        <v>1410</v>
      </c>
      <c r="C437" s="1" t="n">
        <v>353464</v>
      </c>
      <c r="E437" s="14" t="s">
        <v>1417</v>
      </c>
      <c r="F437" s="14" t="s">
        <v>184</v>
      </c>
      <c r="G437" s="25" t="str">
        <f>HYPERLINK("http://vk.com/wall-117981766_921038?reply=923093")</f>
      </c>
      <c r="H437" s="14" t="s">
        <v>170</v>
      </c>
      <c r="I437" s="14" t="s">
        <v>231</v>
      </c>
      <c r="J437" s="14" t="s">
        <v>1418</v>
      </c>
      <c r="K437" s="26" t="str">
        <f>HYPERLINK("http://vk.com/id31262266")</f>
      </c>
      <c r="L437" s="14" t="s">
        <v>173</v>
      </c>
      <c r="M437" s="14" t="s">
        <v>1419</v>
      </c>
      <c r="N437" s="25" t="str">
        <f>HYPERLINK("http://vk.com/club117981766")</f>
      </c>
      <c r="O437" s="1" t="s">
        <v>186</v>
      </c>
      <c r="P437" s="1"/>
      <c r="Q437" s="1" t="n">
        <v>18861</v>
      </c>
      <c r="R437" s="1" t="n">
        <v>0</v>
      </c>
      <c r="S437" s="1"/>
      <c r="T437" s="1" t="n">
        <v>0</v>
      </c>
      <c r="U437" s="1" t="n">
        <v>0</v>
      </c>
      <c r="V437" s="1" t="n">
        <v>0</v>
      </c>
      <c r="W437" s="1"/>
      <c r="Y437" s="1" t="n">
        <v>1</v>
      </c>
      <c r="Z437" s="0" t="s">
        <v>319</v>
      </c>
      <c r="AA437" s="0" t="s">
        <v>187</v>
      </c>
      <c r="AC437" s="0" t="s">
        <v>177</v>
      </c>
      <c r="AH437" s="0" t="s">
        <v>180</v>
      </c>
      <c r="AI437" s="0" t="s">
        <v>92</v>
      </c>
      <c r="AJ437" s="0" t="s">
        <v>437</v>
      </c>
      <c r="AK437" s="0" t="s">
        <v>94</v>
      </c>
      <c r="AN437" s="0" t="s">
        <v>97</v>
      </c>
      <c r="AP437" s="0" t="s">
        <v>99</v>
      </c>
      <c r="AV437" s="0" t="s">
        <v>105</v>
      </c>
      <c r="BG437" s="0" t="s">
        <v>116</v>
      </c>
      <c r="BU437" s="0" t="s">
        <v>130</v>
      </c>
    </row>
    <row r="438" ht="1632.75">
      <c r="B438" s="0" t="s">
        <v>1420</v>
      </c>
      <c r="C438" s="1" t="n">
        <v>353474</v>
      </c>
      <c r="E438" s="14" t="s">
        <v>320</v>
      </c>
      <c r="F438" s="14" t="s">
        <v>184</v>
      </c>
      <c r="G438" s="25" t="str">
        <f>HYPERLINK("http://vk.com/wall484592697_1417")</f>
      </c>
      <c r="H438" s="14" t="s">
        <v>170</v>
      </c>
      <c r="I438" s="14" t="s">
        <v>171</v>
      </c>
      <c r="J438" s="14" t="s">
        <v>1421</v>
      </c>
      <c r="K438" s="26" t="str">
        <f>HYPERLINK("http://vk.com/id484592697")</f>
      </c>
      <c r="L438" s="14" t="s">
        <v>173</v>
      </c>
      <c r="O438" s="1" t="s">
        <v>186</v>
      </c>
      <c r="P438" s="1" t="n">
        <v>57</v>
      </c>
      <c r="Q438" s="1" t="n">
        <v>200</v>
      </c>
      <c r="R438" s="1" t="n">
        <v>0</v>
      </c>
      <c r="S438" s="1"/>
      <c r="T438" s="1" t="n">
        <v>0</v>
      </c>
      <c r="U438" s="1" t="n">
        <v>0</v>
      </c>
      <c r="V438" s="1" t="n">
        <v>0</v>
      </c>
      <c r="W438" s="1" t="n">
        <v>3</v>
      </c>
      <c r="Y438" s="1" t="n">
        <v>12</v>
      </c>
      <c r="Z438" s="0" t="s">
        <v>175</v>
      </c>
      <c r="AA438" s="0" t="s">
        <v>187</v>
      </c>
      <c r="AH438" s="0" t="s">
        <v>180</v>
      </c>
      <c r="AJ438" s="0" t="s">
        <v>437</v>
      </c>
      <c r="AK438" s="0" t="s">
        <v>94</v>
      </c>
      <c r="AL438" s="0" t="s">
        <v>95</v>
      </c>
      <c r="AM438" s="0" t="s">
        <v>96</v>
      </c>
      <c r="AX438" s="0" t="s">
        <v>107</v>
      </c>
    </row>
    <row r="439">
      <c r="B439" s="0" t="s">
        <v>1422</v>
      </c>
      <c r="C439" s="1" t="n">
        <v>353610</v>
      </c>
      <c r="E439" s="14" t="s">
        <v>1349</v>
      </c>
      <c r="F439" s="14" t="s">
        <v>169</v>
      </c>
      <c r="G439" s="25" t="str">
        <f>HYPERLINK("http://www.ok.ru/profile/219430628490/statuses/155733889290378")</f>
      </c>
      <c r="H439" s="14" t="s">
        <v>170</v>
      </c>
      <c r="I439" s="14" t="s">
        <v>194</v>
      </c>
      <c r="J439" s="14" t="s">
        <v>1423</v>
      </c>
      <c r="K439" s="26" t="str">
        <f>HYPERLINK("http://www.ok.ru/profile/219430628490")</f>
      </c>
      <c r="L439" s="14" t="s">
        <v>173</v>
      </c>
      <c r="O439" s="1" t="s">
        <v>186</v>
      </c>
      <c r="P439" s="1" t="n">
        <v>56</v>
      </c>
      <c r="Q439" s="1" t="n">
        <v>383</v>
      </c>
      <c r="R439" s="1" t="n">
        <v>0</v>
      </c>
      <c r="S439" s="1"/>
      <c r="T439" s="1" t="n">
        <v>0</v>
      </c>
      <c r="U439" s="1" t="n">
        <v>1</v>
      </c>
      <c r="V439" s="1" t="n">
        <v>1</v>
      </c>
      <c r="W439" s="1"/>
      <c r="Y439" s="1" t="n">
        <v>15</v>
      </c>
      <c r="Z439" s="0" t="s">
        <v>175</v>
      </c>
      <c r="AA439" s="0" t="s">
        <v>187</v>
      </c>
      <c r="AC439" s="0" t="s">
        <v>177</v>
      </c>
      <c r="AD439" s="0" t="s">
        <v>454</v>
      </c>
      <c r="AE439" s="0" t="s">
        <v>1138</v>
      </c>
      <c r="AH439" s="0" t="s">
        <v>180</v>
      </c>
      <c r="AJ439" s="0" t="s">
        <v>437</v>
      </c>
      <c r="AK439" s="0" t="s">
        <v>94</v>
      </c>
      <c r="AL439" s="0" t="s">
        <v>95</v>
      </c>
      <c r="AM439" s="0" t="s">
        <v>96</v>
      </c>
      <c r="AX439" s="0" t="s">
        <v>107</v>
      </c>
      <c r="BF439" s="0" t="s">
        <v>115</v>
      </c>
      <c r="BR439" s="0" t="s">
        <v>127</v>
      </c>
    </row>
    <row r="440" ht="48.75">
      <c r="B440" s="0" t="s">
        <v>1424</v>
      </c>
      <c r="C440" s="1" t="n">
        <v>353446</v>
      </c>
      <c r="E440" s="14" t="s">
        <v>1425</v>
      </c>
      <c r="F440" s="14" t="s">
        <v>184</v>
      </c>
      <c r="G440" s="25" t="str">
        <f>HYPERLINK("http://vk.com/wall-178765450_69240")</f>
      </c>
      <c r="H440" s="14" t="s">
        <v>170</v>
      </c>
      <c r="I440" s="14" t="s">
        <v>194</v>
      </c>
      <c r="J440" s="14" t="s">
        <v>1426</v>
      </c>
      <c r="K440" s="26" t="str">
        <f>HYPERLINK("http://vk.com/club178765450")</f>
      </c>
      <c r="L440" s="14" t="s">
        <v>274</v>
      </c>
      <c r="O440" s="1"/>
      <c r="P440" s="1"/>
      <c r="Q440" s="1" t="n">
        <v>14</v>
      </c>
      <c r="R440" s="1" t="n">
        <v>0</v>
      </c>
      <c r="S440" s="1"/>
      <c r="T440" s="1" t="n">
        <v>0</v>
      </c>
      <c r="U440" s="1" t="n">
        <v>0</v>
      </c>
      <c r="V440" s="1" t="n">
        <v>0</v>
      </c>
      <c r="W440" s="1" t="n">
        <v>1</v>
      </c>
      <c r="Y440" s="1" t="n">
        <v>1</v>
      </c>
      <c r="Z440" s="0" t="s">
        <v>175</v>
      </c>
      <c r="AA440" s="0" t="s">
        <v>292</v>
      </c>
      <c r="AH440" s="0" t="s">
        <v>180</v>
      </c>
      <c r="AJ440" s="0" t="s">
        <v>437</v>
      </c>
      <c r="AK440" s="0" t="s">
        <v>94</v>
      </c>
      <c r="AN440" s="0" t="s">
        <v>97</v>
      </c>
      <c r="AP440" s="0" t="s">
        <v>99</v>
      </c>
      <c r="AT440" s="0" t="s">
        <v>103</v>
      </c>
      <c r="AX440" s="0" t="s">
        <v>107</v>
      </c>
      <c r="BE440" s="0" t="s">
        <v>114</v>
      </c>
      <c r="BG440" s="0" t="s">
        <v>116</v>
      </c>
    </row>
    <row r="441" ht="48.75">
      <c r="B441" s="0" t="s">
        <v>1427</v>
      </c>
      <c r="C441" s="1" t="n">
        <v>353452</v>
      </c>
      <c r="E441" s="14" t="s">
        <v>1428</v>
      </c>
      <c r="F441" s="14" t="s">
        <v>184</v>
      </c>
      <c r="G441" s="25" t="str">
        <f>HYPERLINK("http://vk.com/wall-89460402_150812")</f>
      </c>
      <c r="H441" s="14" t="s">
        <v>170</v>
      </c>
      <c r="I441" s="14" t="s">
        <v>194</v>
      </c>
      <c r="J441" s="14" t="s">
        <v>560</v>
      </c>
      <c r="K441" s="26" t="str">
        <f>HYPERLINK("http://vk.com/club89460402")</f>
      </c>
      <c r="L441" s="14" t="s">
        <v>274</v>
      </c>
      <c r="O441" s="1"/>
      <c r="P441" s="1"/>
      <c r="Q441" s="1" t="n">
        <v>47954</v>
      </c>
      <c r="R441" s="1" t="n">
        <v>0</v>
      </c>
      <c r="S441" s="1"/>
      <c r="T441" s="1" t="n">
        <v>1</v>
      </c>
      <c r="U441" s="1" t="n">
        <v>1</v>
      </c>
      <c r="V441" s="1" t="n">
        <v>2</v>
      </c>
      <c r="W441" s="1" t="n">
        <v>576</v>
      </c>
      <c r="Y441" s="1" t="n">
        <v>1</v>
      </c>
      <c r="Z441" s="0" t="s">
        <v>175</v>
      </c>
      <c r="AA441" s="0" t="s">
        <v>176</v>
      </c>
      <c r="AC441" s="0" t="s">
        <v>177</v>
      </c>
      <c r="AD441" s="0" t="s">
        <v>561</v>
      </c>
      <c r="AE441" s="0" t="s">
        <v>562</v>
      </c>
      <c r="AH441" s="0" t="s">
        <v>180</v>
      </c>
      <c r="AJ441" s="0" t="s">
        <v>437</v>
      </c>
      <c r="AK441" s="0" t="s">
        <v>94</v>
      </c>
      <c r="AL441" s="0" t="s">
        <v>95</v>
      </c>
      <c r="BD441" s="0" t="s">
        <v>113</v>
      </c>
      <c r="BJ441" s="0" t="s">
        <v>119</v>
      </c>
      <c r="BK441" s="0" t="s">
        <v>120</v>
      </c>
    </row>
    <row r="442" ht="36.75">
      <c r="B442" s="0" t="s">
        <v>1427</v>
      </c>
      <c r="C442" s="1" t="n">
        <v>353447</v>
      </c>
      <c r="E442" s="14" t="s">
        <v>202</v>
      </c>
      <c r="F442" s="14" t="s">
        <v>184</v>
      </c>
      <c r="G442" s="25" t="str">
        <f>HYPERLINK("http://vk.com/wall-14809629_2048")</f>
      </c>
      <c r="H442" s="14" t="s">
        <v>170</v>
      </c>
      <c r="I442" s="14" t="s">
        <v>171</v>
      </c>
      <c r="J442" s="14" t="s">
        <v>1429</v>
      </c>
      <c r="K442" s="26" t="str">
        <f>HYPERLINK("http://vk.com/club14809629")</f>
      </c>
      <c r="L442" s="14" t="s">
        <v>274</v>
      </c>
      <c r="O442" s="1"/>
      <c r="P442" s="1"/>
      <c r="Q442" s="1" t="n">
        <v>42</v>
      </c>
      <c r="R442" s="1" t="n">
        <v>0</v>
      </c>
      <c r="S442" s="1"/>
      <c r="T442" s="1" t="n">
        <v>0</v>
      </c>
      <c r="U442" s="1" t="n">
        <v>0</v>
      </c>
      <c r="V442" s="1" t="n">
        <v>0</v>
      </c>
      <c r="W442" s="1"/>
      <c r="Y442" s="1" t="n">
        <v>60</v>
      </c>
      <c r="Z442" s="0" t="s">
        <v>175</v>
      </c>
      <c r="AA442" s="0" t="s">
        <v>176</v>
      </c>
      <c r="AC442" s="0" t="s">
        <v>177</v>
      </c>
      <c r="AD442" s="0" t="s">
        <v>332</v>
      </c>
      <c r="AE442" s="0" t="s">
        <v>332</v>
      </c>
      <c r="AH442" s="0" t="s">
        <v>180</v>
      </c>
      <c r="AJ442" s="0" t="s">
        <v>437</v>
      </c>
      <c r="AK442" s="0" t="s">
        <v>94</v>
      </c>
      <c r="AL442" s="0" t="s">
        <v>95</v>
      </c>
      <c r="AM442" s="0" t="s">
        <v>96</v>
      </c>
      <c r="AO442" s="0" t="s">
        <v>98</v>
      </c>
      <c r="AQ442" s="0" t="s">
        <v>100</v>
      </c>
    </row>
    <row r="443" ht="36.75">
      <c r="B443" s="0" t="s">
        <v>1430</v>
      </c>
      <c r="C443" s="1" t="n">
        <v>353450</v>
      </c>
      <c r="E443" s="14" t="s">
        <v>202</v>
      </c>
      <c r="F443" s="14" t="s">
        <v>184</v>
      </c>
      <c r="G443" s="25" t="str">
        <f>HYPERLINK("http://vk.com/wall609581125_1334")</f>
      </c>
      <c r="H443" s="14" t="s">
        <v>170</v>
      </c>
      <c r="I443" s="14" t="s">
        <v>171</v>
      </c>
      <c r="J443" s="14" t="s">
        <v>1431</v>
      </c>
      <c r="K443" s="26" t="str">
        <f>HYPERLINK("http://vk.com/id609581125")</f>
      </c>
      <c r="L443" s="14" t="s">
        <v>173</v>
      </c>
      <c r="O443" s="1" t="s">
        <v>186</v>
      </c>
      <c r="P443" s="1" t="n">
        <v>47</v>
      </c>
      <c r="Q443" s="1" t="n">
        <v>598</v>
      </c>
      <c r="R443" s="1" t="n">
        <v>0</v>
      </c>
      <c r="S443" s="1"/>
      <c r="T443" s="1" t="n">
        <v>0</v>
      </c>
      <c r="U443" s="1" t="n">
        <v>0</v>
      </c>
      <c r="V443" s="1" t="n">
        <v>0</v>
      </c>
      <c r="W443" s="1" t="n">
        <v>2</v>
      </c>
      <c r="Y443" s="1" t="n">
        <v>60</v>
      </c>
      <c r="Z443" s="0" t="s">
        <v>175</v>
      </c>
      <c r="AA443" s="0" t="s">
        <v>176</v>
      </c>
      <c r="AH443" s="0" t="s">
        <v>180</v>
      </c>
      <c r="AJ443" s="0" t="s">
        <v>437</v>
      </c>
      <c r="AK443" s="0" t="s">
        <v>94</v>
      </c>
      <c r="AL443" s="0" t="s">
        <v>95</v>
      </c>
      <c r="AM443" s="0" t="s">
        <v>96</v>
      </c>
      <c r="AO443" s="0" t="s">
        <v>98</v>
      </c>
      <c r="AQ443" s="0" t="s">
        <v>100</v>
      </c>
    </row>
    <row r="444" ht="24.75">
      <c r="B444" s="0" t="s">
        <v>1430</v>
      </c>
      <c r="C444" s="1" t="n">
        <v>353444</v>
      </c>
      <c r="E444" s="14" t="s">
        <v>183</v>
      </c>
      <c r="F444" s="14" t="s">
        <v>184</v>
      </c>
      <c r="G444" s="25" t="str">
        <f>HYPERLINK("http://vk.com/wall-212350366_17482")</f>
      </c>
      <c r="H444" s="14" t="s">
        <v>170</v>
      </c>
      <c r="I444" s="14" t="s">
        <v>194</v>
      </c>
      <c r="J444" s="14" t="s">
        <v>1432</v>
      </c>
      <c r="K444" s="26" t="str">
        <f>HYPERLINK("http://vk.com/club212350366")</f>
      </c>
      <c r="L444" s="14" t="s">
        <v>274</v>
      </c>
      <c r="O444" s="1"/>
      <c r="P444" s="1"/>
      <c r="Q444" s="1" t="n">
        <v>136566</v>
      </c>
      <c r="R444" s="1" t="n">
        <v>1</v>
      </c>
      <c r="S444" s="1"/>
      <c r="T444" s="1" t="n">
        <v>40</v>
      </c>
      <c r="U444" s="1" t="n">
        <v>28</v>
      </c>
      <c r="V444" s="1" t="n">
        <v>69</v>
      </c>
      <c r="W444" s="1" t="n">
        <v>2831</v>
      </c>
      <c r="Y444" s="1" t="n">
        <v>62</v>
      </c>
      <c r="Z444" s="0" t="s">
        <v>175</v>
      </c>
      <c r="AA444" s="0" t="s">
        <v>187</v>
      </c>
      <c r="AH444" s="0" t="s">
        <v>180</v>
      </c>
      <c r="AJ444" s="0" t="s">
        <v>437</v>
      </c>
      <c r="AK444" s="0" t="s">
        <v>94</v>
      </c>
      <c r="AP444" s="0" t="s">
        <v>99</v>
      </c>
      <c r="AR444" s="0" t="s">
        <v>101</v>
      </c>
      <c r="BA444" s="0" t="s">
        <v>110</v>
      </c>
    </row>
    <row r="445" ht="72.75">
      <c r="B445" s="0" t="s">
        <v>1430</v>
      </c>
      <c r="C445" s="1" t="n">
        <v>353442</v>
      </c>
      <c r="D445" s="0" t="s">
        <v>1214</v>
      </c>
      <c r="E445" s="14" t="s">
        <v>1433</v>
      </c>
      <c r="F445" s="14" t="s">
        <v>1434</v>
      </c>
      <c r="G445" s="25" t="str">
        <f>HYPERLINK("https://russia24.pro/komi/346919728/")</f>
      </c>
      <c r="H445" s="14" t="s">
        <v>208</v>
      </c>
      <c r="I445" s="14" t="s">
        <v>194</v>
      </c>
      <c r="J445" s="14"/>
      <c r="L445" s="14"/>
      <c r="O445" s="1"/>
      <c r="P445" s="1"/>
      <c r="Q445" s="1"/>
      <c r="R445" s="1" t="n">
        <v>0</v>
      </c>
      <c r="S445" s="1" t="n">
        <v>788</v>
      </c>
      <c r="T445" s="1" t="n">
        <v>0</v>
      </c>
      <c r="U445" s="1" t="n">
        <v>0</v>
      </c>
      <c r="V445" s="1" t="n">
        <v>0</v>
      </c>
      <c r="W445" s="1"/>
      <c r="Y445" s="1" t="n">
        <v>4</v>
      </c>
      <c r="Z445" s="0" t="s">
        <v>175</v>
      </c>
      <c r="AA445" s="0" t="s">
        <v>223</v>
      </c>
      <c r="AH445" s="0" t="s">
        <v>180</v>
      </c>
      <c r="AJ445" s="0" t="s">
        <v>437</v>
      </c>
      <c r="AM445" s="0" t="s">
        <v>96</v>
      </c>
      <c r="AP445" s="0" t="s">
        <v>99</v>
      </c>
      <c r="BD445" s="0" t="s">
        <v>113</v>
      </c>
    </row>
    <row r="446" ht="24.75">
      <c r="B446" s="0" t="s">
        <v>1430</v>
      </c>
      <c r="C446" s="1" t="n">
        <v>353578</v>
      </c>
      <c r="D446" s="0" t="s">
        <v>1214</v>
      </c>
      <c r="E446" s="14" t="s">
        <v>1435</v>
      </c>
      <c r="F446" s="14" t="s">
        <v>1436</v>
      </c>
      <c r="G446" s="25" t="str">
        <f>HYPERLINK("https://pg11.ru/news/97466")</f>
      </c>
      <c r="H446" s="14" t="s">
        <v>208</v>
      </c>
      <c r="I446" s="14" t="s">
        <v>194</v>
      </c>
      <c r="J446" s="14"/>
      <c r="L446" s="14"/>
      <c r="O446" s="1"/>
      <c r="P446" s="1"/>
      <c r="Q446" s="1"/>
      <c r="R446" s="1" t="n">
        <v>0</v>
      </c>
      <c r="S446" s="1" t="n">
        <v>8089</v>
      </c>
      <c r="T446" s="1" t="n">
        <v>0</v>
      </c>
      <c r="U446" s="1" t="n">
        <v>0</v>
      </c>
      <c r="V446" s="1" t="n">
        <v>0</v>
      </c>
      <c r="W446" s="1"/>
      <c r="Y446" s="1" t="n">
        <v>1</v>
      </c>
      <c r="Z446" s="0" t="s">
        <v>175</v>
      </c>
      <c r="AA446" s="0" t="s">
        <v>176</v>
      </c>
      <c r="AH446" s="0" t="s">
        <v>180</v>
      </c>
      <c r="AJ446" s="0" t="s">
        <v>437</v>
      </c>
      <c r="AM446" s="0" t="s">
        <v>96</v>
      </c>
      <c r="AP446" s="0" t="s">
        <v>99</v>
      </c>
      <c r="BD446" s="0" t="s">
        <v>113</v>
      </c>
    </row>
    <row r="447" ht="72.75">
      <c r="B447" s="0" t="s">
        <v>1430</v>
      </c>
      <c r="C447" s="1" t="n">
        <v>353613</v>
      </c>
      <c r="D447" s="0" t="s">
        <v>1214</v>
      </c>
      <c r="E447" s="14" t="s">
        <v>1437</v>
      </c>
      <c r="F447" s="14" t="s">
        <v>1438</v>
      </c>
      <c r="G447" s="25" t="str">
        <f>HYPERLINK("https://123ru.net/mix/346919728/")</f>
      </c>
      <c r="H447" s="14" t="s">
        <v>208</v>
      </c>
      <c r="I447" s="14" t="s">
        <v>194</v>
      </c>
      <c r="J447" s="14"/>
      <c r="L447" s="14"/>
      <c r="O447" s="1"/>
      <c r="P447" s="1"/>
      <c r="Q447" s="1"/>
      <c r="R447" s="1" t="n">
        <v>0</v>
      </c>
      <c r="S447" s="1" t="n">
        <v>830</v>
      </c>
      <c r="T447" s="1" t="n">
        <v>0</v>
      </c>
      <c r="U447" s="1" t="n">
        <v>0</v>
      </c>
      <c r="V447" s="1" t="n">
        <v>0</v>
      </c>
      <c r="W447" s="1"/>
      <c r="Y447" s="1" t="n">
        <v>4</v>
      </c>
      <c r="Z447" s="0" t="s">
        <v>175</v>
      </c>
      <c r="AA447" s="0" t="s">
        <v>176</v>
      </c>
      <c r="AH447" s="0" t="s">
        <v>180</v>
      </c>
      <c r="AJ447" s="0" t="s">
        <v>437</v>
      </c>
      <c r="AM447" s="0" t="s">
        <v>96</v>
      </c>
      <c r="AP447" s="0" t="s">
        <v>99</v>
      </c>
      <c r="BD447" s="0" t="s">
        <v>113</v>
      </c>
    </row>
    <row r="448" ht="72.75">
      <c r="B448" s="0" t="s">
        <v>1430</v>
      </c>
      <c r="C448" s="1" t="n">
        <v>353611</v>
      </c>
      <c r="D448" s="0" t="s">
        <v>1214</v>
      </c>
      <c r="E448" s="14" t="s">
        <v>1433</v>
      </c>
      <c r="F448" s="14" t="s">
        <v>1439</v>
      </c>
      <c r="G448" s="25" t="str">
        <f>HYPERLINK("https://russian.city/syktyvkar/346919728/")</f>
      </c>
      <c r="H448" s="14" t="s">
        <v>208</v>
      </c>
      <c r="I448" s="14" t="s">
        <v>194</v>
      </c>
      <c r="J448" s="14"/>
      <c r="L448" s="14"/>
      <c r="O448" s="1"/>
      <c r="P448" s="1"/>
      <c r="Q448" s="1"/>
      <c r="R448" s="1" t="n">
        <v>0</v>
      </c>
      <c r="S448" s="1" t="n">
        <v>16</v>
      </c>
      <c r="T448" s="1" t="n">
        <v>0</v>
      </c>
      <c r="U448" s="1" t="n">
        <v>0</v>
      </c>
      <c r="V448" s="1" t="n">
        <v>0</v>
      </c>
      <c r="W448" s="1"/>
      <c r="Y448" s="1" t="n">
        <v>4</v>
      </c>
      <c r="Z448" s="0" t="s">
        <v>175</v>
      </c>
      <c r="AA448" s="0" t="s">
        <v>223</v>
      </c>
      <c r="AH448" s="0" t="s">
        <v>180</v>
      </c>
      <c r="AJ448" s="0" t="s">
        <v>437</v>
      </c>
      <c r="AM448" s="0" t="s">
        <v>96</v>
      </c>
      <c r="AP448" s="0" t="s">
        <v>99</v>
      </c>
      <c r="BD448" s="0" t="s">
        <v>113</v>
      </c>
    </row>
    <row r="449" ht="72.75">
      <c r="B449" s="0" t="s">
        <v>1430</v>
      </c>
      <c r="C449" s="1" t="n">
        <v>353606</v>
      </c>
      <c r="D449" s="0" t="s">
        <v>1214</v>
      </c>
      <c r="E449" s="14" t="s">
        <v>1437</v>
      </c>
      <c r="F449" s="14" t="s">
        <v>1440</v>
      </c>
      <c r="G449" s="25" t="str">
        <f>HYPERLINK("https://ru24.net/mix/346919728/")</f>
      </c>
      <c r="H449" s="14" t="s">
        <v>208</v>
      </c>
      <c r="I449" s="14" t="s">
        <v>194</v>
      </c>
      <c r="J449" s="14"/>
      <c r="L449" s="14"/>
      <c r="O449" s="1"/>
      <c r="P449" s="1"/>
      <c r="Q449" s="1"/>
      <c r="R449" s="1" t="n">
        <v>0</v>
      </c>
      <c r="S449" s="1" t="n">
        <v>674</v>
      </c>
      <c r="T449" s="1" t="n">
        <v>0</v>
      </c>
      <c r="U449" s="1" t="n">
        <v>0</v>
      </c>
      <c r="V449" s="1" t="n">
        <v>0</v>
      </c>
      <c r="W449" s="1"/>
      <c r="Y449" s="1" t="n">
        <v>4</v>
      </c>
      <c r="Z449" s="0" t="s">
        <v>175</v>
      </c>
      <c r="AA449" s="0" t="s">
        <v>176</v>
      </c>
      <c r="AH449" s="0" t="s">
        <v>180</v>
      </c>
      <c r="AJ449" s="0" t="s">
        <v>437</v>
      </c>
      <c r="AM449" s="0" t="s">
        <v>96</v>
      </c>
      <c r="AP449" s="0" t="s">
        <v>99</v>
      </c>
      <c r="BD449" s="0" t="s">
        <v>113</v>
      </c>
    </row>
    <row r="450" ht="72.75">
      <c r="B450" s="0" t="s">
        <v>1430</v>
      </c>
      <c r="C450" s="1" t="n">
        <v>353681</v>
      </c>
      <c r="D450" s="0" t="s">
        <v>1214</v>
      </c>
      <c r="E450" s="14" t="s">
        <v>1433</v>
      </c>
      <c r="F450" s="14" t="s">
        <v>1441</v>
      </c>
      <c r="G450" s="25" t="str">
        <f>HYPERLINK("https://ria.city/syktyvkar/346919728/")</f>
      </c>
      <c r="H450" s="14" t="s">
        <v>208</v>
      </c>
      <c r="I450" s="14" t="s">
        <v>194</v>
      </c>
      <c r="J450" s="14"/>
      <c r="L450" s="14"/>
      <c r="O450" s="1"/>
      <c r="P450" s="1"/>
      <c r="Q450" s="1"/>
      <c r="R450" s="1" t="n">
        <v>0</v>
      </c>
      <c r="S450" s="1" t="n">
        <v>73</v>
      </c>
      <c r="T450" s="1" t="n">
        <v>0</v>
      </c>
      <c r="U450" s="1" t="n">
        <v>0</v>
      </c>
      <c r="V450" s="1" t="n">
        <v>0</v>
      </c>
      <c r="W450" s="1"/>
      <c r="Y450" s="1" t="n">
        <v>4</v>
      </c>
      <c r="Z450" s="0" t="s">
        <v>175</v>
      </c>
      <c r="AA450" s="0" t="s">
        <v>223</v>
      </c>
      <c r="AH450" s="0" t="s">
        <v>180</v>
      </c>
      <c r="AJ450" s="0" t="s">
        <v>437</v>
      </c>
      <c r="AM450" s="0" t="s">
        <v>96</v>
      </c>
      <c r="AP450" s="0" t="s">
        <v>99</v>
      </c>
      <c r="BD450" s="0" t="s">
        <v>113</v>
      </c>
    </row>
    <row r="451" ht="72.75">
      <c r="B451" s="0" t="s">
        <v>1430</v>
      </c>
      <c r="C451" s="1" t="n">
        <v>353556</v>
      </c>
      <c r="D451" s="0" t="s">
        <v>1214</v>
      </c>
      <c r="E451" s="14" t="s">
        <v>1433</v>
      </c>
      <c r="F451" s="14" t="s">
        <v>1442</v>
      </c>
      <c r="G451" s="25" t="str">
        <f>HYPERLINK("https://news-life.pro/komi/346919728/")</f>
      </c>
      <c r="H451" s="14" t="s">
        <v>208</v>
      </c>
      <c r="I451" s="14" t="s">
        <v>194</v>
      </c>
      <c r="J451" s="14"/>
      <c r="L451" s="14"/>
      <c r="O451" s="1"/>
      <c r="P451" s="1"/>
      <c r="Q451" s="1"/>
      <c r="R451" s="1" t="n">
        <v>0</v>
      </c>
      <c r="S451" s="1" t="n">
        <v>2258</v>
      </c>
      <c r="T451" s="1" t="n">
        <v>0</v>
      </c>
      <c r="U451" s="1" t="n">
        <v>0</v>
      </c>
      <c r="V451" s="1" t="n">
        <v>0</v>
      </c>
      <c r="W451" s="1"/>
      <c r="Y451" s="1" t="n">
        <v>4</v>
      </c>
      <c r="Z451" s="0" t="s">
        <v>175</v>
      </c>
      <c r="AA451" s="0" t="s">
        <v>223</v>
      </c>
      <c r="AH451" s="0" t="s">
        <v>180</v>
      </c>
      <c r="AJ451" s="0" t="s">
        <v>437</v>
      </c>
      <c r="AM451" s="0" t="s">
        <v>96</v>
      </c>
      <c r="AP451" s="0" t="s">
        <v>99</v>
      </c>
      <c r="BD451" s="0" t="s">
        <v>113</v>
      </c>
    </row>
    <row r="452" ht="72.75">
      <c r="B452" s="0" t="s">
        <v>1430</v>
      </c>
      <c r="C452" s="1" t="n">
        <v>353454</v>
      </c>
      <c r="D452" s="0" t="s">
        <v>1214</v>
      </c>
      <c r="E452" s="14" t="s">
        <v>1437</v>
      </c>
      <c r="F452" s="14" t="s">
        <v>1440</v>
      </c>
      <c r="G452" s="25" t="str">
        <f>HYPERLINK("https://ru24.net/pics/346919728/")</f>
      </c>
      <c r="H452" s="14" t="s">
        <v>208</v>
      </c>
      <c r="I452" s="14" t="s">
        <v>194</v>
      </c>
      <c r="J452" s="14"/>
      <c r="L452" s="14"/>
      <c r="O452" s="1"/>
      <c r="P452" s="1"/>
      <c r="Q452" s="1"/>
      <c r="R452" s="1" t="n">
        <v>0</v>
      </c>
      <c r="S452" s="1" t="n">
        <v>674</v>
      </c>
      <c r="T452" s="1" t="n">
        <v>0</v>
      </c>
      <c r="U452" s="1" t="n">
        <v>0</v>
      </c>
      <c r="V452" s="1" t="n">
        <v>0</v>
      </c>
      <c r="W452" s="1"/>
      <c r="Y452" s="1" t="n">
        <v>4</v>
      </c>
      <c r="Z452" s="0" t="s">
        <v>175</v>
      </c>
      <c r="AA452" s="0" t="s">
        <v>176</v>
      </c>
      <c r="AH452" s="0" t="s">
        <v>180</v>
      </c>
      <c r="AJ452" s="0" t="s">
        <v>437</v>
      </c>
      <c r="AM452" s="0" t="s">
        <v>96</v>
      </c>
      <c r="AP452" s="0" t="s">
        <v>99</v>
      </c>
      <c r="BD452" s="0" t="s">
        <v>113</v>
      </c>
    </row>
    <row r="453" ht="72.75">
      <c r="B453" s="0" t="s">
        <v>1430</v>
      </c>
      <c r="C453" s="1" t="n">
        <v>353559</v>
      </c>
      <c r="D453" s="0" t="s">
        <v>1214</v>
      </c>
      <c r="E453" s="14" t="s">
        <v>1437</v>
      </c>
      <c r="F453" s="14" t="s">
        <v>1440</v>
      </c>
      <c r="G453" s="25" t="str">
        <f>HYPERLINK("https://ru24.net/syktyvkar/346919728/")</f>
      </c>
      <c r="H453" s="14" t="s">
        <v>208</v>
      </c>
      <c r="I453" s="14" t="s">
        <v>194</v>
      </c>
      <c r="J453" s="14"/>
      <c r="L453" s="14"/>
      <c r="O453" s="1"/>
      <c r="P453" s="1"/>
      <c r="Q453" s="1"/>
      <c r="R453" s="1" t="n">
        <v>0</v>
      </c>
      <c r="S453" s="1" t="n">
        <v>674</v>
      </c>
      <c r="T453" s="1" t="n">
        <v>0</v>
      </c>
      <c r="U453" s="1" t="n">
        <v>0</v>
      </c>
      <c r="V453" s="1" t="n">
        <v>0</v>
      </c>
      <c r="W453" s="1"/>
      <c r="Y453" s="1" t="n">
        <v>4</v>
      </c>
      <c r="Z453" s="0" t="s">
        <v>175</v>
      </c>
      <c r="AA453" s="0" t="s">
        <v>176</v>
      </c>
      <c r="AH453" s="0" t="s">
        <v>180</v>
      </c>
      <c r="AJ453" s="0" t="s">
        <v>437</v>
      </c>
      <c r="AM453" s="0" t="s">
        <v>96</v>
      </c>
      <c r="AP453" s="0" t="s">
        <v>99</v>
      </c>
      <c r="BD453" s="0" t="s">
        <v>113</v>
      </c>
    </row>
    <row r="454" ht="24.75">
      <c r="B454" s="0" t="s">
        <v>1443</v>
      </c>
      <c r="C454" s="1" t="n">
        <v>353439</v>
      </c>
      <c r="E454" s="14" t="s">
        <v>1307</v>
      </c>
      <c r="F454" s="14" t="s">
        <v>184</v>
      </c>
      <c r="G454" s="25" t="str">
        <f>HYPERLINK("http://vk.com/wall572405238_1386")</f>
      </c>
      <c r="H454" s="14" t="s">
        <v>170</v>
      </c>
      <c r="I454" s="14" t="s">
        <v>171</v>
      </c>
      <c r="J454" s="14" t="s">
        <v>1444</v>
      </c>
      <c r="K454" s="26" t="str">
        <f>HYPERLINK("http://vk.com/id572405238")</f>
      </c>
      <c r="L454" s="14" t="s">
        <v>173</v>
      </c>
      <c r="O454" s="1" t="s">
        <v>186</v>
      </c>
      <c r="P454" s="1" t="n">
        <v>48</v>
      </c>
      <c r="Q454" s="1" t="n">
        <v>93</v>
      </c>
      <c r="R454" s="1" t="n">
        <v>0</v>
      </c>
      <c r="S454" s="1"/>
      <c r="T454" s="1" t="n">
        <v>0</v>
      </c>
      <c r="U454" s="1" t="n">
        <v>0</v>
      </c>
      <c r="V454" s="1" t="n">
        <v>0</v>
      </c>
      <c r="W454" s="1"/>
      <c r="Y454" s="1" t="n">
        <v>6</v>
      </c>
      <c r="Z454" s="0" t="s">
        <v>175</v>
      </c>
      <c r="AA454" s="0" t="s">
        <v>187</v>
      </c>
      <c r="AC454" s="0" t="s">
        <v>177</v>
      </c>
      <c r="AD454" s="0" t="s">
        <v>278</v>
      </c>
      <c r="AE454" s="0" t="s">
        <v>1445</v>
      </c>
      <c r="AH454" s="0" t="s">
        <v>180</v>
      </c>
      <c r="AJ454" s="0" t="s">
        <v>437</v>
      </c>
      <c r="AK454" s="0" t="s">
        <v>94</v>
      </c>
      <c r="AL454" s="0" t="s">
        <v>95</v>
      </c>
      <c r="AM454" s="0" t="s">
        <v>96</v>
      </c>
      <c r="AO454" s="0" t="s">
        <v>98</v>
      </c>
      <c r="AQ454" s="0" t="s">
        <v>100</v>
      </c>
    </row>
    <row r="455">
      <c r="B455" s="0" t="s">
        <v>1446</v>
      </c>
      <c r="C455" s="1" t="n">
        <v>354109</v>
      </c>
      <c r="E455" s="14" t="s">
        <v>1447</v>
      </c>
      <c r="F455" s="14" t="s">
        <v>169</v>
      </c>
      <c r="G455" s="25" t="str">
        <f>HYPERLINK("http://www.ok.ru/profile/579118994597/statuses/155418568468645")</f>
      </c>
      <c r="H455" s="14" t="s">
        <v>170</v>
      </c>
      <c r="I455" s="14" t="s">
        <v>171</v>
      </c>
      <c r="J455" s="14" t="s">
        <v>1448</v>
      </c>
      <c r="K455" s="26" t="str">
        <f>HYPERLINK("http://www.ok.ru/profile/579118994597")</f>
      </c>
      <c r="L455" s="14" t="s">
        <v>173</v>
      </c>
      <c r="O455" s="1" t="s">
        <v>186</v>
      </c>
      <c r="P455" s="1" t="n">
        <v>59</v>
      </c>
      <c r="Q455" s="1" t="n">
        <v>366</v>
      </c>
      <c r="R455" s="1" t="n">
        <v>0</v>
      </c>
      <c r="S455" s="1"/>
      <c r="T455" s="1" t="n">
        <v>0</v>
      </c>
      <c r="U455" s="1" t="n">
        <v>0</v>
      </c>
      <c r="V455" s="1" t="n">
        <v>0</v>
      </c>
      <c r="W455" s="1"/>
      <c r="Y455" s="1" t="n">
        <v>9</v>
      </c>
      <c r="Z455" s="0" t="s">
        <v>175</v>
      </c>
      <c r="AA455" s="0" t="s">
        <v>187</v>
      </c>
      <c r="AC455" s="0" t="s">
        <v>177</v>
      </c>
      <c r="AD455" s="0" t="s">
        <v>513</v>
      </c>
      <c r="AE455" s="0" t="s">
        <v>1288</v>
      </c>
      <c r="AH455" s="0" t="s">
        <v>180</v>
      </c>
      <c r="AJ455" s="0" t="s">
        <v>181</v>
      </c>
      <c r="AK455" s="0" t="s">
        <v>94</v>
      </c>
      <c r="AM455" s="0" t="s">
        <v>96</v>
      </c>
      <c r="AN455" s="0" t="s">
        <v>97</v>
      </c>
      <c r="AS455" s="0" t="s">
        <v>102</v>
      </c>
      <c r="AU455" s="0" t="s">
        <v>104</v>
      </c>
      <c r="AV455" s="0" t="s">
        <v>105</v>
      </c>
      <c r="AW455" s="0" t="s">
        <v>106</v>
      </c>
      <c r="BE455" s="0" t="s">
        <v>114</v>
      </c>
      <c r="BL455" s="0" t="s">
        <v>121</v>
      </c>
      <c r="BO455" s="0" t="s">
        <v>124</v>
      </c>
    </row>
    <row r="456" ht="36.75">
      <c r="B456" s="0" t="s">
        <v>1446</v>
      </c>
      <c r="C456" s="1" t="n">
        <v>353440</v>
      </c>
      <c r="E456" s="14" t="s">
        <v>202</v>
      </c>
      <c r="F456" s="14" t="s">
        <v>184</v>
      </c>
      <c r="G456" s="25" t="str">
        <f>HYPERLINK("http://vk.com/wall409572877_4991")</f>
      </c>
      <c r="H456" s="14" t="s">
        <v>170</v>
      </c>
      <c r="I456" s="14" t="s">
        <v>171</v>
      </c>
      <c r="J456" s="14" t="s">
        <v>1449</v>
      </c>
      <c r="K456" s="26" t="str">
        <f>HYPERLINK("http://vk.com/id409572877")</f>
      </c>
      <c r="L456" s="14" t="s">
        <v>173</v>
      </c>
      <c r="O456" s="1" t="s">
        <v>186</v>
      </c>
      <c r="P456" s="1" t="n">
        <v>56</v>
      </c>
      <c r="Q456" s="1" t="n">
        <v>410</v>
      </c>
      <c r="R456" s="1" t="n">
        <v>0</v>
      </c>
      <c r="S456" s="1"/>
      <c r="T456" s="1" t="n">
        <v>0</v>
      </c>
      <c r="U456" s="1" t="n">
        <v>0</v>
      </c>
      <c r="V456" s="1" t="n">
        <v>0</v>
      </c>
      <c r="W456" s="1" t="n">
        <v>2</v>
      </c>
      <c r="Y456" s="1" t="n">
        <v>60</v>
      </c>
      <c r="Z456" s="0" t="s">
        <v>175</v>
      </c>
      <c r="AA456" s="0" t="s">
        <v>176</v>
      </c>
      <c r="AH456" s="0" t="s">
        <v>180</v>
      </c>
      <c r="AJ456" s="0" t="s">
        <v>437</v>
      </c>
      <c r="AK456" s="0" t="s">
        <v>94</v>
      </c>
      <c r="AL456" s="0" t="s">
        <v>95</v>
      </c>
      <c r="AM456" s="0" t="s">
        <v>96</v>
      </c>
      <c r="AO456" s="0" t="s">
        <v>98</v>
      </c>
      <c r="AQ456" s="0" t="s">
        <v>100</v>
      </c>
    </row>
    <row r="457" ht="120.75">
      <c r="B457" s="0" t="s">
        <v>1446</v>
      </c>
      <c r="C457" s="1" t="n">
        <v>353441</v>
      </c>
      <c r="E457" s="14" t="s">
        <v>1326</v>
      </c>
      <c r="F457" s="14" t="s">
        <v>184</v>
      </c>
      <c r="G457" s="25" t="str">
        <f>HYPERLINK("http://vk.com/wall722693308_16")</f>
      </c>
      <c r="H457" s="14" t="s">
        <v>170</v>
      </c>
      <c r="I457" s="14" t="s">
        <v>171</v>
      </c>
      <c r="J457" s="14" t="s">
        <v>1450</v>
      </c>
      <c r="K457" s="26" t="str">
        <f>HYPERLINK("http://vk.com/id722693308")</f>
      </c>
      <c r="L457" s="14" t="s">
        <v>173</v>
      </c>
      <c r="O457" s="1" t="s">
        <v>186</v>
      </c>
      <c r="P457" s="1" t="n">
        <v>56</v>
      </c>
      <c r="Q457" s="1" t="n">
        <v>84</v>
      </c>
      <c r="R457" s="1" t="n">
        <v>0</v>
      </c>
      <c r="S457" s="1"/>
      <c r="T457" s="1" t="n">
        <v>0</v>
      </c>
      <c r="U457" s="1" t="n">
        <v>0</v>
      </c>
      <c r="V457" s="1" t="n">
        <v>0</v>
      </c>
      <c r="W457" s="1"/>
      <c r="Y457" s="1" t="n">
        <v>2</v>
      </c>
      <c r="Z457" s="0" t="s">
        <v>175</v>
      </c>
      <c r="AA457" s="0" t="s">
        <v>187</v>
      </c>
      <c r="AH457" s="0" t="s">
        <v>180</v>
      </c>
      <c r="AJ457" s="0" t="s">
        <v>437</v>
      </c>
      <c r="AK457" s="0" t="s">
        <v>94</v>
      </c>
      <c r="AP457" s="0" t="s">
        <v>99</v>
      </c>
      <c r="AU457" s="0" t="s">
        <v>104</v>
      </c>
      <c r="BA457" s="0" t="s">
        <v>110</v>
      </c>
      <c r="BJ457" s="0" t="s">
        <v>119</v>
      </c>
    </row>
    <row r="458" ht="48.75">
      <c r="B458" s="0" t="s">
        <v>1446</v>
      </c>
      <c r="C458" s="1" t="n">
        <v>353491</v>
      </c>
      <c r="E458" s="14" t="s">
        <v>1451</v>
      </c>
      <c r="F458" s="14" t="s">
        <v>192</v>
      </c>
      <c r="G458" s="25" t="str">
        <f>HYPERLINK("https://telegram.me/covidgoodbye/255088")</f>
      </c>
      <c r="H458" s="14" t="s">
        <v>193</v>
      </c>
      <c r="I458" s="14" t="s">
        <v>194</v>
      </c>
      <c r="J458" s="14" t="s">
        <v>1294</v>
      </c>
      <c r="K458" s="26" t="str">
        <f>HYPERLINK("https://telegram.me/Vistrus")</f>
      </c>
      <c r="L458" s="14" t="s">
        <v>173</v>
      </c>
      <c r="M458" s="14" t="s">
        <v>1295</v>
      </c>
      <c r="N458" s="25" t="str">
        <f>HYPERLINK("https://telegram.me/covidgoodbye")</f>
      </c>
      <c r="O458" s="1"/>
      <c r="P458" s="1"/>
      <c r="Q458" s="1" t="n">
        <v>250</v>
      </c>
      <c r="R458" s="1" t="n">
        <v>0</v>
      </c>
      <c r="S458" s="1"/>
      <c r="T458" s="1" t="n">
        <v>0</v>
      </c>
      <c r="U458" s="1" t="n">
        <v>0</v>
      </c>
      <c r="V458" s="1" t="n">
        <v>0</v>
      </c>
      <c r="W458" s="1"/>
      <c r="Y458" s="1" t="n">
        <v>1</v>
      </c>
      <c r="Z458" s="0" t="s">
        <v>175</v>
      </c>
      <c r="AA458" s="0" t="s">
        <v>187</v>
      </c>
      <c r="AH458" s="0" t="s">
        <v>180</v>
      </c>
      <c r="AJ458" s="0" t="s">
        <v>437</v>
      </c>
      <c r="AK458" s="0" t="s">
        <v>94</v>
      </c>
      <c r="AN458" s="0" t="s">
        <v>97</v>
      </c>
      <c r="AP458" s="0" t="s">
        <v>99</v>
      </c>
      <c r="AT458" s="0" t="s">
        <v>103</v>
      </c>
      <c r="BJ458" s="0" t="s">
        <v>119</v>
      </c>
    </row>
    <row r="459" ht="36.75">
      <c r="B459" s="0" t="s">
        <v>1452</v>
      </c>
      <c r="C459" s="1" t="n">
        <v>353435</v>
      </c>
      <c r="E459" s="14" t="s">
        <v>574</v>
      </c>
      <c r="F459" s="14" t="s">
        <v>184</v>
      </c>
      <c r="G459" s="25" t="str">
        <f>HYPERLINK("http://vk.com/wall765718980_254")</f>
      </c>
      <c r="H459" s="14" t="s">
        <v>170</v>
      </c>
      <c r="I459" s="14" t="s">
        <v>171</v>
      </c>
      <c r="J459" s="14" t="s">
        <v>1453</v>
      </c>
      <c r="K459" s="26" t="str">
        <f>HYPERLINK("http://vk.com/id765718980")</f>
      </c>
      <c r="L459" s="14" t="s">
        <v>173</v>
      </c>
      <c r="O459" s="1" t="s">
        <v>186</v>
      </c>
      <c r="P459" s="1" t="n">
        <v>68</v>
      </c>
      <c r="Q459" s="1" t="n">
        <v>74</v>
      </c>
      <c r="R459" s="1" t="n">
        <v>0</v>
      </c>
      <c r="S459" s="1"/>
      <c r="T459" s="1" t="n">
        <v>0</v>
      </c>
      <c r="U459" s="1" t="n">
        <v>0</v>
      </c>
      <c r="V459" s="1" t="n">
        <v>0</v>
      </c>
      <c r="W459" s="1" t="n">
        <v>1</v>
      </c>
      <c r="Y459" s="1" t="n">
        <v>5</v>
      </c>
      <c r="Z459" s="0" t="s">
        <v>175</v>
      </c>
      <c r="AA459" s="0" t="s">
        <v>292</v>
      </c>
      <c r="AH459" s="0" t="s">
        <v>180</v>
      </c>
      <c r="AJ459" s="0" t="s">
        <v>437</v>
      </c>
      <c r="AK459" s="0" t="s">
        <v>94</v>
      </c>
      <c r="AL459" s="0" t="s">
        <v>95</v>
      </c>
      <c r="AR459" s="0" t="s">
        <v>101</v>
      </c>
      <c r="BA459" s="0" t="s">
        <v>110</v>
      </c>
      <c r="BF459" s="0" t="s">
        <v>115</v>
      </c>
    </row>
    <row r="460" ht="156.75">
      <c r="B460" s="0" t="s">
        <v>1452</v>
      </c>
      <c r="C460" s="1" t="n">
        <v>353431</v>
      </c>
      <c r="E460" s="14" t="s">
        <v>442</v>
      </c>
      <c r="F460" s="14" t="s">
        <v>184</v>
      </c>
      <c r="G460" s="25" t="str">
        <f>HYPERLINK("http://vk.com/wall-58006062_773424")</f>
      </c>
      <c r="H460" s="14" t="s">
        <v>170</v>
      </c>
      <c r="I460" s="14" t="s">
        <v>194</v>
      </c>
      <c r="J460" s="14" t="s">
        <v>1454</v>
      </c>
      <c r="K460" s="26" t="str">
        <f>HYPERLINK("http://vk.com/club58006062")</f>
      </c>
      <c r="L460" s="14" t="s">
        <v>274</v>
      </c>
      <c r="O460" s="1"/>
      <c r="P460" s="1"/>
      <c r="Q460" s="1" t="n">
        <v>1041039</v>
      </c>
      <c r="R460" s="1" t="n">
        <v>0</v>
      </c>
      <c r="S460" s="1"/>
      <c r="T460" s="1" t="n">
        <v>0</v>
      </c>
      <c r="U460" s="1" t="n">
        <v>4</v>
      </c>
      <c r="V460" s="1" t="n">
        <v>4</v>
      </c>
      <c r="W460" s="1" t="n">
        <v>8600</v>
      </c>
      <c r="Y460" s="1" t="n">
        <v>5</v>
      </c>
      <c r="Z460" s="0" t="s">
        <v>175</v>
      </c>
      <c r="AA460" s="0" t="s">
        <v>292</v>
      </c>
      <c r="AC460" s="0" t="s">
        <v>177</v>
      </c>
      <c r="AH460" s="0" t="s">
        <v>180</v>
      </c>
      <c r="AJ460" s="0" t="s">
        <v>437</v>
      </c>
      <c r="AK460" s="0" t="s">
        <v>94</v>
      </c>
      <c r="AN460" s="0" t="s">
        <v>97</v>
      </c>
      <c r="AP460" s="0" t="s">
        <v>99</v>
      </c>
      <c r="AS460" s="0" t="s">
        <v>102</v>
      </c>
      <c r="AT460" s="0" t="s">
        <v>103</v>
      </c>
      <c r="BK460" s="0" t="s">
        <v>120</v>
      </c>
      <c r="BN460" s="0" t="s">
        <v>123</v>
      </c>
    </row>
    <row r="461" ht="24.75">
      <c r="B461" s="0" t="s">
        <v>1455</v>
      </c>
      <c r="C461" s="1" t="n">
        <v>353520</v>
      </c>
      <c r="E461" s="14" t="s">
        <v>1102</v>
      </c>
      <c r="F461" s="14" t="s">
        <v>169</v>
      </c>
      <c r="G461" s="25" t="str">
        <f>HYPERLINK("http://www.ok.ru/profile/592035818027/statuses/156305358494507")</f>
      </c>
      <c r="H461" s="14" t="s">
        <v>170</v>
      </c>
      <c r="I461" s="14" t="s">
        <v>171</v>
      </c>
      <c r="J461" s="14" t="s">
        <v>1456</v>
      </c>
      <c r="K461" s="26" t="str">
        <f>HYPERLINK("http://www.ok.ru/profile/592035818027")</f>
      </c>
      <c r="L461" s="14" t="s">
        <v>173</v>
      </c>
      <c r="O461" s="1" t="s">
        <v>186</v>
      </c>
      <c r="P461" s="1"/>
      <c r="Q461" s="1" t="n">
        <v>1194</v>
      </c>
      <c r="R461" s="1" t="n">
        <v>0</v>
      </c>
      <c r="S461" s="1"/>
      <c r="T461" s="1" t="n">
        <v>0</v>
      </c>
      <c r="U461" s="1" t="n">
        <v>7</v>
      </c>
      <c r="V461" s="1" t="n">
        <v>7</v>
      </c>
      <c r="W461" s="1"/>
      <c r="Y461" s="1" t="n">
        <v>92</v>
      </c>
      <c r="Z461" s="0" t="s">
        <v>175</v>
      </c>
      <c r="AA461" s="0" t="s">
        <v>187</v>
      </c>
      <c r="AC461" s="0" t="s">
        <v>177</v>
      </c>
      <c r="AD461" s="0" t="s">
        <v>392</v>
      </c>
      <c r="AE461" s="0" t="s">
        <v>459</v>
      </c>
      <c r="AH461" s="0" t="s">
        <v>180</v>
      </c>
      <c r="AJ461" s="0" t="s">
        <v>437</v>
      </c>
      <c r="AK461" s="0" t="s">
        <v>94</v>
      </c>
      <c r="AM461" s="0" t="s">
        <v>96</v>
      </c>
      <c r="AP461" s="0" t="s">
        <v>99</v>
      </c>
      <c r="AU461" s="0" t="s">
        <v>104</v>
      </c>
      <c r="AV461" s="0" t="s">
        <v>105</v>
      </c>
    </row>
    <row r="462" ht="36.75">
      <c r="B462" s="0" t="s">
        <v>1457</v>
      </c>
      <c r="C462" s="1" t="n">
        <v>353437</v>
      </c>
      <c r="E462" s="14" t="s">
        <v>202</v>
      </c>
      <c r="F462" s="14" t="s">
        <v>184</v>
      </c>
      <c r="G462" s="25" t="str">
        <f>HYPERLINK("http://vk.com/wall146809210_730")</f>
      </c>
      <c r="H462" s="14" t="s">
        <v>170</v>
      </c>
      <c r="I462" s="14" t="s">
        <v>171</v>
      </c>
      <c r="J462" s="14" t="s">
        <v>1458</v>
      </c>
      <c r="K462" s="26" t="str">
        <f>HYPERLINK("http://vk.com/id146809210")</f>
      </c>
      <c r="L462" s="14" t="s">
        <v>173</v>
      </c>
      <c r="O462" s="1" t="s">
        <v>174</v>
      </c>
      <c r="P462" s="1"/>
      <c r="Q462" s="1" t="n">
        <v>56</v>
      </c>
      <c r="R462" s="1" t="n">
        <v>0</v>
      </c>
      <c r="S462" s="1"/>
      <c r="T462" s="1" t="n">
        <v>0</v>
      </c>
      <c r="U462" s="1" t="n">
        <v>0</v>
      </c>
      <c r="V462" s="1" t="n">
        <v>0</v>
      </c>
      <c r="W462" s="1"/>
      <c r="Y462" s="1" t="n">
        <v>60</v>
      </c>
      <c r="Z462" s="0" t="s">
        <v>175</v>
      </c>
      <c r="AA462" s="0" t="s">
        <v>176</v>
      </c>
      <c r="AC462" s="0" t="s">
        <v>177</v>
      </c>
      <c r="AD462" s="0" t="s">
        <v>410</v>
      </c>
      <c r="AE462" s="0" t="s">
        <v>792</v>
      </c>
      <c r="AH462" s="0" t="s">
        <v>180</v>
      </c>
      <c r="AJ462" s="0" t="s">
        <v>437</v>
      </c>
      <c r="AK462" s="0" t="s">
        <v>94</v>
      </c>
      <c r="AL462" s="0" t="s">
        <v>95</v>
      </c>
      <c r="AM462" s="0" t="s">
        <v>96</v>
      </c>
      <c r="AO462" s="0" t="s">
        <v>98</v>
      </c>
      <c r="AQ462" s="0" t="s">
        <v>100</v>
      </c>
    </row>
    <row r="463" ht="24.75">
      <c r="B463" s="0" t="s">
        <v>1459</v>
      </c>
      <c r="C463" s="1" t="n">
        <v>353540</v>
      </c>
      <c r="E463" s="14" t="s">
        <v>554</v>
      </c>
      <c r="F463" s="14" t="s">
        <v>169</v>
      </c>
      <c r="G463" s="25" t="str">
        <f>HYPERLINK("http://www.ok.ru/profile/149614669554/statuses/156056322031090")</f>
      </c>
      <c r="H463" s="14" t="s">
        <v>170</v>
      </c>
      <c r="I463" s="14" t="s">
        <v>171</v>
      </c>
      <c r="J463" s="14" t="s">
        <v>1460</v>
      </c>
      <c r="K463" s="26" t="str">
        <f>HYPERLINK("http://www.ok.ru/profile/149614669554")</f>
      </c>
      <c r="L463" s="14" t="s">
        <v>173</v>
      </c>
      <c r="O463" s="1" t="s">
        <v>186</v>
      </c>
      <c r="P463" s="1" t="n">
        <v>67</v>
      </c>
      <c r="Q463" s="1" t="n">
        <v>501</v>
      </c>
      <c r="R463" s="1" t="n">
        <v>0</v>
      </c>
      <c r="S463" s="1"/>
      <c r="T463" s="1" t="n">
        <v>1</v>
      </c>
      <c r="U463" s="1" t="n">
        <v>4</v>
      </c>
      <c r="V463" s="1" t="n">
        <v>5</v>
      </c>
      <c r="W463" s="1"/>
      <c r="Y463" s="1" t="n">
        <v>59</v>
      </c>
      <c r="Z463" s="0" t="s">
        <v>175</v>
      </c>
      <c r="AA463" s="0" t="s">
        <v>176</v>
      </c>
      <c r="AC463" s="0" t="s">
        <v>177</v>
      </c>
      <c r="AD463" s="0" t="s">
        <v>246</v>
      </c>
      <c r="AE463" s="0" t="s">
        <v>1461</v>
      </c>
      <c r="AH463" s="0" t="s">
        <v>180</v>
      </c>
      <c r="AJ463" s="0" t="s">
        <v>437</v>
      </c>
      <c r="AK463" s="0" t="s">
        <v>94</v>
      </c>
      <c r="AM463" s="0" t="s">
        <v>96</v>
      </c>
      <c r="AO463" s="0" t="s">
        <v>98</v>
      </c>
      <c r="AP463" s="0" t="s">
        <v>99</v>
      </c>
      <c r="AQ463" s="0" t="s">
        <v>100</v>
      </c>
    </row>
    <row r="464" ht="72.75">
      <c r="B464" s="0" t="s">
        <v>1462</v>
      </c>
      <c r="C464" s="1" t="n">
        <v>353612</v>
      </c>
      <c r="E464" s="14" t="s">
        <v>1463</v>
      </c>
      <c r="F464" s="14" t="s">
        <v>169</v>
      </c>
      <c r="G464" s="25" t="str">
        <f>HYPERLINK("http://www.ok.ru/profile/564322633318/statuses/155237443528806")</f>
      </c>
      <c r="H464" s="14" t="s">
        <v>170</v>
      </c>
      <c r="I464" s="14" t="s">
        <v>171</v>
      </c>
      <c r="J464" s="14" t="s">
        <v>1464</v>
      </c>
      <c r="K464" s="26" t="str">
        <f>HYPERLINK("http://www.ok.ru/profile/564322633318")</f>
      </c>
      <c r="L464" s="14" t="s">
        <v>173</v>
      </c>
      <c r="O464" s="1" t="s">
        <v>186</v>
      </c>
      <c r="P464" s="1" t="n">
        <v>75</v>
      </c>
      <c r="Q464" s="1" t="n">
        <v>104</v>
      </c>
      <c r="R464" s="1" t="n">
        <v>0</v>
      </c>
      <c r="S464" s="1"/>
      <c r="T464" s="1" t="n">
        <v>0</v>
      </c>
      <c r="U464" s="1" t="n">
        <v>0</v>
      </c>
      <c r="V464" s="1" t="n">
        <v>0</v>
      </c>
      <c r="W464" s="1"/>
      <c r="Y464" s="1" t="n">
        <v>1</v>
      </c>
      <c r="Z464" s="0" t="s">
        <v>319</v>
      </c>
      <c r="AA464" s="0" t="s">
        <v>176</v>
      </c>
      <c r="AC464" s="0" t="s">
        <v>177</v>
      </c>
      <c r="AD464" s="0" t="s">
        <v>561</v>
      </c>
      <c r="AE464" s="0" t="s">
        <v>562</v>
      </c>
      <c r="AH464" s="0" t="s">
        <v>180</v>
      </c>
      <c r="AJ464" s="0" t="s">
        <v>437</v>
      </c>
      <c r="AK464" s="0" t="s">
        <v>94</v>
      </c>
      <c r="AM464" s="0" t="s">
        <v>96</v>
      </c>
      <c r="AP464" s="0" t="s">
        <v>99</v>
      </c>
      <c r="BD464" s="0" t="s">
        <v>113</v>
      </c>
      <c r="BJ464" s="0" t="s">
        <v>119</v>
      </c>
    </row>
    <row r="465" ht="24.75">
      <c r="B465" s="0" t="s">
        <v>1462</v>
      </c>
      <c r="C465" s="1" t="n">
        <v>353505</v>
      </c>
      <c r="E465" s="14" t="s">
        <v>554</v>
      </c>
      <c r="F465" s="14" t="s">
        <v>169</v>
      </c>
      <c r="G465" s="25" t="str">
        <f>HYPERLINK("http://www.ok.ru/profile/575153304976/statuses/155899745966224")</f>
      </c>
      <c r="H465" s="14" t="s">
        <v>170</v>
      </c>
      <c r="I465" s="14" t="s">
        <v>171</v>
      </c>
      <c r="J465" s="14" t="s">
        <v>1465</v>
      </c>
      <c r="K465" s="26" t="str">
        <f>HYPERLINK("http://www.ok.ru/profile/575153304976")</f>
      </c>
      <c r="L465" s="14" t="s">
        <v>173</v>
      </c>
      <c r="O465" s="1" t="s">
        <v>186</v>
      </c>
      <c r="P465" s="1"/>
      <c r="Q465" s="1" t="n">
        <v>4251</v>
      </c>
      <c r="R465" s="1" t="n">
        <v>0</v>
      </c>
      <c r="S465" s="1"/>
      <c r="T465" s="1" t="n">
        <v>3</v>
      </c>
      <c r="U465" s="1" t="n">
        <v>8</v>
      </c>
      <c r="V465" s="1" t="n">
        <v>11</v>
      </c>
      <c r="W465" s="1"/>
      <c r="Y465" s="1" t="n">
        <v>59</v>
      </c>
      <c r="Z465" s="0" t="s">
        <v>175</v>
      </c>
      <c r="AA465" s="0" t="s">
        <v>176</v>
      </c>
      <c r="AC465" s="0" t="s">
        <v>177</v>
      </c>
      <c r="AD465" s="0" t="s">
        <v>454</v>
      </c>
      <c r="AE465" s="0" t="s">
        <v>1466</v>
      </c>
      <c r="AH465" s="0" t="s">
        <v>180</v>
      </c>
      <c r="AJ465" s="0" t="s">
        <v>437</v>
      </c>
      <c r="AK465" s="0" t="s">
        <v>94</v>
      </c>
      <c r="AL465" s="0" t="s">
        <v>95</v>
      </c>
      <c r="AM465" s="0" t="s">
        <v>96</v>
      </c>
      <c r="AO465" s="0" t="s">
        <v>98</v>
      </c>
      <c r="AQ465" s="0" t="s">
        <v>100</v>
      </c>
    </row>
    <row r="466" ht="156.75">
      <c r="B466" s="0" t="s">
        <v>1467</v>
      </c>
      <c r="C466" s="1" t="n">
        <v>353427</v>
      </c>
      <c r="E466" s="14" t="s">
        <v>442</v>
      </c>
      <c r="F466" s="14" t="s">
        <v>184</v>
      </c>
      <c r="G466" s="25" t="str">
        <f>HYPERLINK("http://vk.com/wall795471382_16")</f>
      </c>
      <c r="H466" s="14" t="s">
        <v>170</v>
      </c>
      <c r="I466" s="14" t="s">
        <v>171</v>
      </c>
      <c r="J466" s="14" t="s">
        <v>1468</v>
      </c>
      <c r="K466" s="26" t="str">
        <f>HYPERLINK("http://vk.com/id795471382")</f>
      </c>
      <c r="L466" s="14" t="s">
        <v>173</v>
      </c>
      <c r="O466" s="1" t="s">
        <v>186</v>
      </c>
      <c r="P466" s="1" t="n">
        <v>26</v>
      </c>
      <c r="Q466" s="1" t="n">
        <v>1</v>
      </c>
      <c r="R466" s="1" t="n">
        <v>0</v>
      </c>
      <c r="S466" s="1"/>
      <c r="T466" s="1" t="n">
        <v>0</v>
      </c>
      <c r="U466" s="1" t="n">
        <v>0</v>
      </c>
      <c r="V466" s="1" t="n">
        <v>0</v>
      </c>
      <c r="W466" s="1" t="n">
        <v>5</v>
      </c>
      <c r="Y466" s="1" t="n">
        <v>6</v>
      </c>
      <c r="Z466" s="0" t="s">
        <v>175</v>
      </c>
      <c r="AA466" s="0" t="s">
        <v>292</v>
      </c>
      <c r="AH466" s="0" t="s">
        <v>180</v>
      </c>
      <c r="AJ466" s="0" t="s">
        <v>437</v>
      </c>
      <c r="AK466" s="0" t="s">
        <v>94</v>
      </c>
      <c r="AN466" s="0" t="s">
        <v>97</v>
      </c>
      <c r="AP466" s="0" t="s">
        <v>99</v>
      </c>
      <c r="AS466" s="0" t="s">
        <v>102</v>
      </c>
      <c r="AT466" s="0" t="s">
        <v>103</v>
      </c>
      <c r="BK466" s="0" t="s">
        <v>120</v>
      </c>
      <c r="BM466" s="0" t="s">
        <v>122</v>
      </c>
      <c r="BN466" s="0" t="s">
        <v>123</v>
      </c>
    </row>
    <row r="467" ht="36.75">
      <c r="B467" s="0" t="s">
        <v>1469</v>
      </c>
      <c r="C467" s="1" t="n">
        <v>353414</v>
      </c>
      <c r="E467" s="14" t="s">
        <v>202</v>
      </c>
      <c r="F467" s="14" t="s">
        <v>184</v>
      </c>
      <c r="G467" s="25" t="str">
        <f>HYPERLINK("http://vk.com/wall272353756_962")</f>
      </c>
      <c r="H467" s="14" t="s">
        <v>170</v>
      </c>
      <c r="I467" s="14" t="s">
        <v>171</v>
      </c>
      <c r="J467" s="14" t="s">
        <v>1470</v>
      </c>
      <c r="K467" s="26" t="str">
        <f>HYPERLINK("http://vk.com/id272353756")</f>
      </c>
      <c r="L467" s="14" t="s">
        <v>173</v>
      </c>
      <c r="O467" s="1" t="s">
        <v>186</v>
      </c>
      <c r="P467" s="1" t="n">
        <v>70</v>
      </c>
      <c r="Q467" s="1" t="n">
        <v>178</v>
      </c>
      <c r="R467" s="1" t="n">
        <v>0</v>
      </c>
      <c r="S467" s="1"/>
      <c r="T467" s="1" t="n">
        <v>0</v>
      </c>
      <c r="U467" s="1" t="n">
        <v>0</v>
      </c>
      <c r="V467" s="1" t="n">
        <v>0</v>
      </c>
      <c r="W467" s="1"/>
      <c r="Y467" s="1" t="n">
        <v>60</v>
      </c>
      <c r="Z467" s="0" t="s">
        <v>175</v>
      </c>
      <c r="AA467" s="0" t="s">
        <v>176</v>
      </c>
      <c r="AC467" s="0" t="s">
        <v>177</v>
      </c>
      <c r="AD467" s="0" t="s">
        <v>188</v>
      </c>
      <c r="AE467" s="0" t="s">
        <v>1471</v>
      </c>
      <c r="AH467" s="0" t="s">
        <v>180</v>
      </c>
      <c r="AJ467" s="0" t="s">
        <v>437</v>
      </c>
      <c r="AK467" s="0" t="s">
        <v>94</v>
      </c>
      <c r="AL467" s="0" t="s">
        <v>95</v>
      </c>
      <c r="AM467" s="0" t="s">
        <v>96</v>
      </c>
      <c r="AO467" s="0" t="s">
        <v>98</v>
      </c>
      <c r="AQ467" s="0" t="s">
        <v>100</v>
      </c>
    </row>
    <row r="468" ht="36.75">
      <c r="B468" s="0" t="s">
        <v>1469</v>
      </c>
      <c r="C468" s="1" t="n">
        <v>353424</v>
      </c>
      <c r="E468" s="14" t="s">
        <v>1218</v>
      </c>
      <c r="F468" s="14" t="s">
        <v>184</v>
      </c>
      <c r="G468" s="25" t="str">
        <f>HYPERLINK("http://vk.com/wall231909786_1163")</f>
      </c>
      <c r="H468" s="14" t="s">
        <v>170</v>
      </c>
      <c r="I468" s="14" t="s">
        <v>171</v>
      </c>
      <c r="J468" s="14" t="s">
        <v>1472</v>
      </c>
      <c r="K468" s="26" t="str">
        <f>HYPERLINK("http://vk.com/id231909786")</f>
      </c>
      <c r="L468" s="14" t="s">
        <v>173</v>
      </c>
      <c r="O468" s="1" t="s">
        <v>186</v>
      </c>
      <c r="P468" s="1" t="n">
        <v>16</v>
      </c>
      <c r="Q468" s="1" t="n">
        <v>78</v>
      </c>
      <c r="R468" s="1" t="n">
        <v>0</v>
      </c>
      <c r="S468" s="1"/>
      <c r="T468" s="1" t="n">
        <v>0</v>
      </c>
      <c r="U468" s="1" t="n">
        <v>0</v>
      </c>
      <c r="V468" s="1" t="n">
        <v>0</v>
      </c>
      <c r="W468" s="1"/>
      <c r="Y468" s="1" t="n">
        <v>9</v>
      </c>
      <c r="Z468" s="0" t="s">
        <v>175</v>
      </c>
      <c r="AA468" s="0" t="s">
        <v>187</v>
      </c>
      <c r="AC468" s="0" t="s">
        <v>177</v>
      </c>
      <c r="AD468" s="0" t="s">
        <v>410</v>
      </c>
      <c r="AE468" s="0" t="s">
        <v>1473</v>
      </c>
      <c r="AH468" s="0" t="s">
        <v>180</v>
      </c>
      <c r="AJ468" s="0" t="s">
        <v>437</v>
      </c>
      <c r="AK468" s="0" t="s">
        <v>94</v>
      </c>
      <c r="AL468" s="0" t="s">
        <v>95</v>
      </c>
      <c r="AM468" s="0" t="s">
        <v>96</v>
      </c>
      <c r="BC468" s="0" t="s">
        <v>112</v>
      </c>
      <c r="BI468" s="0" t="s">
        <v>118</v>
      </c>
      <c r="BN468" s="0" t="s">
        <v>123</v>
      </c>
    </row>
    <row r="469" ht="36.75">
      <c r="B469" s="0" t="s">
        <v>1469</v>
      </c>
      <c r="C469" s="1" t="n">
        <v>353416</v>
      </c>
      <c r="E469" s="14" t="s">
        <v>202</v>
      </c>
      <c r="F469" s="14" t="s">
        <v>184</v>
      </c>
      <c r="G469" s="25" t="str">
        <f>HYPERLINK("http://vk.com/wall373420855_2022")</f>
      </c>
      <c r="H469" s="14" t="s">
        <v>170</v>
      </c>
      <c r="I469" s="14" t="s">
        <v>171</v>
      </c>
      <c r="J469" s="14" t="s">
        <v>1474</v>
      </c>
      <c r="K469" s="26" t="str">
        <f>HYPERLINK("http://vk.com/id373420855")</f>
      </c>
      <c r="L469" s="14" t="s">
        <v>173</v>
      </c>
      <c r="O469" s="1" t="s">
        <v>186</v>
      </c>
      <c r="P469" s="1"/>
      <c r="Q469" s="1" t="n">
        <v>140</v>
      </c>
      <c r="R469" s="1" t="n">
        <v>0</v>
      </c>
      <c r="S469" s="1"/>
      <c r="T469" s="1" t="n">
        <v>0</v>
      </c>
      <c r="U469" s="1" t="n">
        <v>0</v>
      </c>
      <c r="V469" s="1" t="n">
        <v>0</v>
      </c>
      <c r="W469" s="1"/>
      <c r="Y469" s="1" t="n">
        <v>60</v>
      </c>
      <c r="Z469" s="0" t="s">
        <v>175</v>
      </c>
      <c r="AA469" s="0" t="s">
        <v>176</v>
      </c>
      <c r="AH469" s="0" t="s">
        <v>180</v>
      </c>
      <c r="AJ469" s="0" t="s">
        <v>437</v>
      </c>
      <c r="AK469" s="0" t="s">
        <v>94</v>
      </c>
      <c r="AL469" s="0" t="s">
        <v>95</v>
      </c>
      <c r="AM469" s="0" t="s">
        <v>96</v>
      </c>
      <c r="AO469" s="0" t="s">
        <v>98</v>
      </c>
      <c r="AQ469" s="0" t="s">
        <v>100</v>
      </c>
    </row>
    <row r="470" ht="84.75">
      <c r="B470" s="0" t="s">
        <v>1475</v>
      </c>
      <c r="C470" s="1" t="n">
        <v>353419</v>
      </c>
      <c r="D470" s="0" t="s">
        <v>1476</v>
      </c>
      <c r="E470" s="14" t="s">
        <v>1477</v>
      </c>
      <c r="F470" s="14" t="s">
        <v>1216</v>
      </c>
      <c r="G470" s="25" t="str">
        <f>HYPERLINK("https://siktivkar.bezformata.com/listnews/komi-podorozhalo-podsolnechnoe-maslo/116232939/")</f>
      </c>
      <c r="H470" s="14" t="s">
        <v>208</v>
      </c>
      <c r="I470" s="14" t="s">
        <v>194</v>
      </c>
      <c r="J470" s="14"/>
      <c r="L470" s="14"/>
      <c r="O470" s="1"/>
      <c r="P470" s="1"/>
      <c r="Q470" s="1"/>
      <c r="R470" s="1" t="n">
        <v>0</v>
      </c>
      <c r="S470" s="1" t="n">
        <v>29</v>
      </c>
      <c r="T470" s="1" t="n">
        <v>0</v>
      </c>
      <c r="U470" s="1" t="n">
        <v>0</v>
      </c>
      <c r="V470" s="1" t="n">
        <v>0</v>
      </c>
      <c r="W470" s="1"/>
      <c r="Y470" s="1" t="n">
        <v>1</v>
      </c>
      <c r="Z470" s="0" t="s">
        <v>175</v>
      </c>
      <c r="AA470" s="0" t="s">
        <v>223</v>
      </c>
      <c r="AH470" s="0" t="s">
        <v>180</v>
      </c>
      <c r="AJ470" s="0" t="s">
        <v>437</v>
      </c>
      <c r="AM470" s="0" t="s">
        <v>96</v>
      </c>
      <c r="AP470" s="0" t="s">
        <v>99</v>
      </c>
      <c r="BD470" s="0" t="s">
        <v>113</v>
      </c>
    </row>
    <row r="471">
      <c r="B471" s="0" t="s">
        <v>1475</v>
      </c>
      <c r="C471" s="1" t="n">
        <v>353400</v>
      </c>
      <c r="E471" s="14" t="s">
        <v>1478</v>
      </c>
      <c r="F471" s="14" t="s">
        <v>184</v>
      </c>
      <c r="G471" s="25" t="str">
        <f>HYPERLINK("http://vk.com/wall-94658526_588348?reply=588363")</f>
      </c>
      <c r="H471" s="14" t="s">
        <v>170</v>
      </c>
      <c r="I471" s="14" t="s">
        <v>231</v>
      </c>
      <c r="J471" s="14" t="s">
        <v>1479</v>
      </c>
      <c r="K471" s="26" t="str">
        <f>HYPERLINK("http://vk.com/id713660275")</f>
      </c>
      <c r="L471" s="14" t="s">
        <v>173</v>
      </c>
      <c r="M471" s="14" t="s">
        <v>1480</v>
      </c>
      <c r="N471" s="25" t="str">
        <f>HYPERLINK("http://vk.com/club94658526")</f>
      </c>
      <c r="O471" s="1" t="s">
        <v>186</v>
      </c>
      <c r="P471" s="1" t="n">
        <v>28</v>
      </c>
      <c r="Q471" s="1" t="n">
        <v>38750</v>
      </c>
      <c r="R471" s="1" t="n">
        <v>0</v>
      </c>
      <c r="S471" s="1"/>
      <c r="T471" s="1" t="n">
        <v>0</v>
      </c>
      <c r="U471" s="1" t="n">
        <v>0</v>
      </c>
      <c r="V471" s="1" t="n">
        <v>0</v>
      </c>
      <c r="W471" s="1"/>
      <c r="Y471" s="1" t="n">
        <v>1</v>
      </c>
      <c r="Z471" s="0" t="s">
        <v>175</v>
      </c>
      <c r="AA471" s="0" t="s">
        <v>187</v>
      </c>
      <c r="AC471" s="0" t="s">
        <v>177</v>
      </c>
      <c r="AD471" s="0" t="s">
        <v>332</v>
      </c>
      <c r="AE471" s="0" t="s">
        <v>332</v>
      </c>
      <c r="AH471" s="0" t="s">
        <v>180</v>
      </c>
      <c r="AI471" s="0" t="s">
        <v>92</v>
      </c>
      <c r="AJ471" s="0" t="s">
        <v>437</v>
      </c>
      <c r="AK471" s="0" t="s">
        <v>94</v>
      </c>
      <c r="AN471" s="0" t="s">
        <v>97</v>
      </c>
      <c r="AP471" s="0" t="s">
        <v>99</v>
      </c>
      <c r="BE471" s="0" t="s">
        <v>114</v>
      </c>
      <c r="BH471" s="0" t="s">
        <v>117</v>
      </c>
      <c r="BL471" s="0" t="s">
        <v>121</v>
      </c>
      <c r="CF471" s="0" t="s">
        <v>141</v>
      </c>
      <c r="DA471" s="0" t="s">
        <v>162</v>
      </c>
    </row>
    <row r="472" ht="36.75">
      <c r="B472" s="0" t="s">
        <v>1475</v>
      </c>
      <c r="C472" s="1" t="n">
        <v>353406</v>
      </c>
      <c r="D472" s="0" t="s">
        <v>1481</v>
      </c>
      <c r="E472" s="14" t="s">
        <v>1482</v>
      </c>
      <c r="F472" s="14" t="s">
        <v>922</v>
      </c>
      <c r="G472" s="25" t="str">
        <f>HYPERLINK("https://omsk.bezformata.com/listnews/omskih-aptekah-podorozhali-lekarstva/116232754/")</f>
      </c>
      <c r="H472" s="14" t="s">
        <v>208</v>
      </c>
      <c r="I472" s="14" t="s">
        <v>194</v>
      </c>
      <c r="J472" s="14"/>
      <c r="L472" s="14"/>
      <c r="O472" s="1"/>
      <c r="P472" s="1"/>
      <c r="Q472" s="1"/>
      <c r="R472" s="1" t="n">
        <v>0</v>
      </c>
      <c r="S472" s="1" t="n">
        <v>196</v>
      </c>
      <c r="T472" s="1" t="n">
        <v>0</v>
      </c>
      <c r="U472" s="1" t="n">
        <v>0</v>
      </c>
      <c r="V472" s="1" t="n">
        <v>0</v>
      </c>
      <c r="W472" s="1"/>
      <c r="Y472" s="1" t="n">
        <v>1</v>
      </c>
      <c r="Z472" s="0" t="s">
        <v>175</v>
      </c>
      <c r="AA472" s="0" t="s">
        <v>223</v>
      </c>
      <c r="AH472" s="0" t="s">
        <v>180</v>
      </c>
      <c r="AJ472" s="0" t="s">
        <v>437</v>
      </c>
      <c r="AK472" s="0" t="s">
        <v>94</v>
      </c>
      <c r="AL472" s="0" t="s">
        <v>95</v>
      </c>
      <c r="BD472" s="0" t="s">
        <v>113</v>
      </c>
      <c r="BJ472" s="0" t="s">
        <v>119</v>
      </c>
      <c r="BK472" s="0" t="s">
        <v>120</v>
      </c>
    </row>
    <row r="473">
      <c r="B473" s="0" t="s">
        <v>1483</v>
      </c>
      <c r="C473" s="1" t="n">
        <v>353693</v>
      </c>
      <c r="E473" s="14" t="s">
        <v>1484</v>
      </c>
      <c r="F473" s="14" t="s">
        <v>169</v>
      </c>
      <c r="G473" s="25" t="str">
        <f>HYPERLINK("http://www.ok.ru/group/54286420541455/topic/156055283437583")</f>
      </c>
      <c r="H473" s="14" t="s">
        <v>170</v>
      </c>
      <c r="I473" s="14" t="s">
        <v>231</v>
      </c>
      <c r="J473" s="14" t="s">
        <v>1485</v>
      </c>
      <c r="K473" s="26" t="str">
        <f>HYPERLINK("http://www.ok.ru/profile/557691741590")</f>
      </c>
      <c r="L473" s="14" t="s">
        <v>173</v>
      </c>
      <c r="M473" s="14" t="s">
        <v>1486</v>
      </c>
      <c r="N473" s="25" t="str">
        <f>HYPERLINK("http://www.ok.ru/group/54286420541455")</f>
      </c>
      <c r="O473" s="1" t="s">
        <v>186</v>
      </c>
      <c r="P473" s="1"/>
      <c r="Q473" s="1" t="n">
        <v>20876</v>
      </c>
      <c r="R473" s="1" t="n">
        <v>0</v>
      </c>
      <c r="S473" s="1"/>
      <c r="T473" s="1" t="n">
        <v>0</v>
      </c>
      <c r="U473" s="1" t="n">
        <v>0</v>
      </c>
      <c r="V473" s="1" t="n">
        <v>0</v>
      </c>
      <c r="W473" s="1"/>
      <c r="Y473" s="1" t="n">
        <v>1</v>
      </c>
      <c r="Z473" s="0" t="s">
        <v>463</v>
      </c>
      <c r="AA473" s="0" t="s">
        <v>187</v>
      </c>
      <c r="AC473" s="0" t="s">
        <v>177</v>
      </c>
      <c r="AD473" s="0" t="s">
        <v>561</v>
      </c>
      <c r="AE473" s="0" t="s">
        <v>562</v>
      </c>
      <c r="AH473" s="0" t="s">
        <v>180</v>
      </c>
      <c r="AI473" s="0" t="s">
        <v>92</v>
      </c>
      <c r="AJ473" s="0" t="s">
        <v>437</v>
      </c>
      <c r="AK473" s="0" t="s">
        <v>94</v>
      </c>
      <c r="AL473" s="0" t="s">
        <v>95</v>
      </c>
      <c r="AN473" s="0" t="s">
        <v>97</v>
      </c>
      <c r="AW473" s="0" t="s">
        <v>106</v>
      </c>
      <c r="BB473" s="0" t="s">
        <v>111</v>
      </c>
      <c r="CA473" s="0" t="s">
        <v>136</v>
      </c>
      <c r="CM473" s="0" t="s">
        <v>148</v>
      </c>
    </row>
    <row r="474">
      <c r="B474" s="0" t="s">
        <v>1487</v>
      </c>
      <c r="C474" s="1" t="n">
        <v>353393</v>
      </c>
      <c r="E474" s="14" t="s">
        <v>1488</v>
      </c>
      <c r="F474" s="14" t="s">
        <v>184</v>
      </c>
      <c r="G474" s="25" t="str">
        <f>HYPERLINK("http://vk.com/wall-155386267_1061284?reply=1061378")</f>
      </c>
      <c r="H474" s="14" t="s">
        <v>170</v>
      </c>
      <c r="I474" s="14" t="s">
        <v>231</v>
      </c>
      <c r="J474" s="14" t="s">
        <v>1489</v>
      </c>
      <c r="K474" s="26" t="str">
        <f>HYPERLINK("http://vk.com/id146040951")</f>
      </c>
      <c r="L474" s="14" t="s">
        <v>173</v>
      </c>
      <c r="M474" s="14" t="s">
        <v>406</v>
      </c>
      <c r="N474" s="25" t="str">
        <f>HYPERLINK("http://vk.com/club155386267")</f>
      </c>
      <c r="O474" s="1" t="s">
        <v>186</v>
      </c>
      <c r="P474" s="1" t="n">
        <v>31</v>
      </c>
      <c r="Q474" s="1" t="n">
        <v>113036</v>
      </c>
      <c r="R474" s="1" t="n">
        <v>0</v>
      </c>
      <c r="S474" s="1"/>
      <c r="T474" s="1" t="n">
        <v>0</v>
      </c>
      <c r="U474" s="1" t="n">
        <v>0</v>
      </c>
      <c r="V474" s="1" t="n">
        <v>0</v>
      </c>
      <c r="W474" s="1"/>
      <c r="Y474" s="1" t="n">
        <v>1</v>
      </c>
      <c r="Z474" s="0" t="s">
        <v>175</v>
      </c>
      <c r="AA474" s="0" t="s">
        <v>187</v>
      </c>
      <c r="AB474" s="0" t="s">
        <v>85</v>
      </c>
      <c r="AC474" s="0" t="s">
        <v>177</v>
      </c>
      <c r="AD474" s="0" t="s">
        <v>252</v>
      </c>
      <c r="AE474" s="0" t="s">
        <v>1490</v>
      </c>
      <c r="AH474" s="0" t="s">
        <v>180</v>
      </c>
      <c r="AJ474" s="0" t="s">
        <v>437</v>
      </c>
      <c r="AK474" s="0" t="s">
        <v>94</v>
      </c>
      <c r="AN474" s="0" t="s">
        <v>97</v>
      </c>
      <c r="AP474" s="0" t="s">
        <v>99</v>
      </c>
      <c r="BB474" s="0" t="s">
        <v>111</v>
      </c>
      <c r="BN474" s="0" t="s">
        <v>123</v>
      </c>
      <c r="BQ474" s="0" t="s">
        <v>126</v>
      </c>
    </row>
    <row r="475" ht="24.75">
      <c r="B475" s="0" t="s">
        <v>1491</v>
      </c>
      <c r="C475" s="1" t="n">
        <v>353655</v>
      </c>
      <c r="E475" s="14" t="s">
        <v>554</v>
      </c>
      <c r="F475" s="14" t="s">
        <v>169</v>
      </c>
      <c r="G475" s="25" t="str">
        <f>HYPERLINK("http://www.ok.ru/profile/564989233737/statuses/155925723458377")</f>
      </c>
      <c r="H475" s="14" t="s">
        <v>170</v>
      </c>
      <c r="I475" s="14" t="s">
        <v>171</v>
      </c>
      <c r="J475" s="14" t="s">
        <v>1492</v>
      </c>
      <c r="K475" s="26" t="str">
        <f>HYPERLINK("http://www.ok.ru/profile/564989233737")</f>
      </c>
      <c r="L475" s="14" t="s">
        <v>173</v>
      </c>
      <c r="O475" s="1" t="s">
        <v>186</v>
      </c>
      <c r="P475" s="1" t="n">
        <v>76</v>
      </c>
      <c r="Q475" s="1" t="n">
        <v>338</v>
      </c>
      <c r="R475" s="1" t="n">
        <v>0</v>
      </c>
      <c r="S475" s="1"/>
      <c r="T475" s="1" t="n">
        <v>0</v>
      </c>
      <c r="U475" s="1" t="n">
        <v>1</v>
      </c>
      <c r="V475" s="1" t="n">
        <v>1</v>
      </c>
      <c r="W475" s="1"/>
      <c r="Y475" s="1" t="n">
        <v>59</v>
      </c>
      <c r="Z475" s="0" t="s">
        <v>175</v>
      </c>
      <c r="AA475" s="0" t="s">
        <v>176</v>
      </c>
      <c r="AC475" s="0" t="s">
        <v>177</v>
      </c>
      <c r="AD475" s="0" t="s">
        <v>604</v>
      </c>
      <c r="AE475" s="0" t="s">
        <v>1493</v>
      </c>
      <c r="AH475" s="0" t="s">
        <v>180</v>
      </c>
      <c r="AJ475" s="0" t="s">
        <v>437</v>
      </c>
      <c r="AK475" s="0" t="s">
        <v>94</v>
      </c>
      <c r="AL475" s="0" t="s">
        <v>95</v>
      </c>
      <c r="AM475" s="0" t="s">
        <v>96</v>
      </c>
      <c r="AO475" s="0" t="s">
        <v>98</v>
      </c>
      <c r="AQ475" s="0" t="s">
        <v>100</v>
      </c>
    </row>
    <row r="476" ht="36.75">
      <c r="B476" s="0" t="s">
        <v>1491</v>
      </c>
      <c r="C476" s="1" t="n">
        <v>353402</v>
      </c>
      <c r="E476" s="14" t="s">
        <v>202</v>
      </c>
      <c r="F476" s="14" t="s">
        <v>184</v>
      </c>
      <c r="G476" s="25" t="str">
        <f>HYPERLINK("http://vk.com/wall240169188_125")</f>
      </c>
      <c r="H476" s="14" t="s">
        <v>170</v>
      </c>
      <c r="I476" s="14" t="s">
        <v>171</v>
      </c>
      <c r="J476" s="14" t="s">
        <v>1494</v>
      </c>
      <c r="K476" s="26" t="str">
        <f>HYPERLINK("http://vk.com/id240169188")</f>
      </c>
      <c r="L476" s="14" t="s">
        <v>173</v>
      </c>
      <c r="O476" s="1" t="s">
        <v>186</v>
      </c>
      <c r="P476" s="1" t="n">
        <v>71</v>
      </c>
      <c r="Q476" s="1" t="n">
        <v>44</v>
      </c>
      <c r="R476" s="1" t="n">
        <v>0</v>
      </c>
      <c r="S476" s="1"/>
      <c r="T476" s="1" t="n">
        <v>0</v>
      </c>
      <c r="U476" s="1" t="n">
        <v>0</v>
      </c>
      <c r="V476" s="1" t="n">
        <v>0</v>
      </c>
      <c r="W476" s="1"/>
      <c r="Y476" s="1" t="n">
        <v>60</v>
      </c>
      <c r="Z476" s="0" t="s">
        <v>175</v>
      </c>
      <c r="AA476" s="0" t="s">
        <v>176</v>
      </c>
      <c r="AC476" s="0" t="s">
        <v>177</v>
      </c>
      <c r="AD476" s="0" t="s">
        <v>293</v>
      </c>
      <c r="AE476" s="0" t="s">
        <v>1495</v>
      </c>
      <c r="AH476" s="0" t="s">
        <v>180</v>
      </c>
      <c r="AJ476" s="0" t="s">
        <v>437</v>
      </c>
      <c r="AK476" s="0" t="s">
        <v>94</v>
      </c>
      <c r="AL476" s="0" t="s">
        <v>95</v>
      </c>
      <c r="AM476" s="0" t="s">
        <v>96</v>
      </c>
      <c r="AO476" s="0" t="s">
        <v>98</v>
      </c>
      <c r="AQ476" s="0" t="s">
        <v>100</v>
      </c>
    </row>
    <row r="477" ht="468.75">
      <c r="B477" s="0" t="s">
        <v>1496</v>
      </c>
      <c r="C477" s="1" t="n">
        <v>353408</v>
      </c>
      <c r="E477" s="14" t="s">
        <v>1497</v>
      </c>
      <c r="F477" s="14" t="s">
        <v>184</v>
      </c>
      <c r="G477" s="25" t="str">
        <f>HYPERLINK("http://vk.com/wall-158936891_617063?reply=617078")</f>
      </c>
      <c r="H477" s="14" t="s">
        <v>170</v>
      </c>
      <c r="I477" s="14" t="s">
        <v>231</v>
      </c>
      <c r="J477" s="14" t="s">
        <v>457</v>
      </c>
      <c r="K477" s="26" t="str">
        <f>HYPERLINK("http://vk.com/id204624281")</f>
      </c>
      <c r="L477" s="14" t="s">
        <v>173</v>
      </c>
      <c r="M477" s="14" t="s">
        <v>1498</v>
      </c>
      <c r="N477" s="25" t="str">
        <f>HYPERLINK("http://vk.com/club158936891")</f>
      </c>
      <c r="O477" s="1" t="s">
        <v>174</v>
      </c>
      <c r="P477" s="1"/>
      <c r="Q477" s="1" t="n">
        <v>1202253</v>
      </c>
      <c r="R477" s="1" t="n">
        <v>0</v>
      </c>
      <c r="S477" s="1"/>
      <c r="T477" s="1" t="n">
        <v>0</v>
      </c>
      <c r="U477" s="1" t="n">
        <v>0</v>
      </c>
      <c r="V477" s="1" t="n">
        <v>0</v>
      </c>
      <c r="W477" s="1"/>
      <c r="Y477" s="1" t="n">
        <v>1</v>
      </c>
      <c r="Z477" s="0" t="s">
        <v>175</v>
      </c>
      <c r="AA477" s="0" t="s">
        <v>187</v>
      </c>
      <c r="AC477" s="0" t="s">
        <v>177</v>
      </c>
      <c r="AD477" s="0" t="s">
        <v>392</v>
      </c>
      <c r="AE477" s="0" t="s">
        <v>459</v>
      </c>
      <c r="AH477" s="0" t="s">
        <v>180</v>
      </c>
      <c r="AJ477" s="0" t="s">
        <v>437</v>
      </c>
      <c r="AK477" s="0" t="s">
        <v>94</v>
      </c>
      <c r="AP477" s="0" t="s">
        <v>99</v>
      </c>
      <c r="AR477" s="0" t="s">
        <v>101</v>
      </c>
      <c r="BA477" s="0" t="s">
        <v>110</v>
      </c>
      <c r="BF477" s="0" t="s">
        <v>115</v>
      </c>
    </row>
    <row r="478" ht="1164.75">
      <c r="B478" s="0" t="s">
        <v>1496</v>
      </c>
      <c r="C478" s="1" t="n">
        <v>353418</v>
      </c>
      <c r="E478" s="14" t="s">
        <v>269</v>
      </c>
      <c r="F478" s="14" t="s">
        <v>184</v>
      </c>
      <c r="G478" s="25" t="str">
        <f>HYPERLINK("http://vk.com/wall262270147_7942")</f>
      </c>
      <c r="H478" s="14" t="s">
        <v>170</v>
      </c>
      <c r="I478" s="14" t="s">
        <v>171</v>
      </c>
      <c r="J478" s="14" t="s">
        <v>1499</v>
      </c>
      <c r="K478" s="26" t="str">
        <f>HYPERLINK("http://vk.com/id262270147")</f>
      </c>
      <c r="L478" s="14" t="s">
        <v>173</v>
      </c>
      <c r="O478" s="1" t="s">
        <v>174</v>
      </c>
      <c r="P478" s="1" t="n">
        <v>46</v>
      </c>
      <c r="Q478" s="1" t="n">
        <v>107</v>
      </c>
      <c r="R478" s="1" t="n">
        <v>0</v>
      </c>
      <c r="S478" s="1"/>
      <c r="T478" s="1" t="n">
        <v>0</v>
      </c>
      <c r="U478" s="1" t="n">
        <v>0</v>
      </c>
      <c r="V478" s="1" t="n">
        <v>0</v>
      </c>
      <c r="W478" s="1" t="n">
        <v>2</v>
      </c>
      <c r="Y478" s="1" t="n">
        <v>24</v>
      </c>
      <c r="Z478" s="0" t="s">
        <v>175</v>
      </c>
      <c r="AA478" s="0" t="s">
        <v>187</v>
      </c>
      <c r="AC478" s="0" t="s">
        <v>177</v>
      </c>
      <c r="AD478" s="0" t="s">
        <v>427</v>
      </c>
      <c r="AE478" s="0" t="s">
        <v>1500</v>
      </c>
      <c r="AH478" s="0" t="s">
        <v>180</v>
      </c>
      <c r="AJ478" s="0" t="s">
        <v>437</v>
      </c>
      <c r="AK478" s="0" t="s">
        <v>94</v>
      </c>
      <c r="AL478" s="0" t="s">
        <v>95</v>
      </c>
      <c r="AM478" s="0" t="s">
        <v>96</v>
      </c>
      <c r="AX478" s="0" t="s">
        <v>107</v>
      </c>
    </row>
    <row r="479" ht="24.75">
      <c r="B479" s="0" t="s">
        <v>1496</v>
      </c>
      <c r="C479" s="1" t="n">
        <v>353405</v>
      </c>
      <c r="E479" s="14" t="s">
        <v>1501</v>
      </c>
      <c r="F479" s="14" t="s">
        <v>281</v>
      </c>
      <c r="G479" s="25" t="str">
        <f>HYPERLINK("http://twitter.com/tupuny1a/status/1646766144810893316")</f>
      </c>
      <c r="H479" s="14" t="s">
        <v>282</v>
      </c>
      <c r="I479" s="14" t="s">
        <v>194</v>
      </c>
      <c r="J479" s="14" t="s">
        <v>1502</v>
      </c>
      <c r="K479" s="26" t="str">
        <f>HYPERLINK("http://twitter.com/tupuny1a")</f>
      </c>
      <c r="L479" s="14" t="s">
        <v>173</v>
      </c>
      <c r="O479" s="1"/>
      <c r="P479" s="1"/>
      <c r="Q479" s="1" t="n">
        <v>581</v>
      </c>
      <c r="R479" s="1" t="n">
        <v>0</v>
      </c>
      <c r="S479" s="1"/>
      <c r="T479" s="1" t="n">
        <v>0</v>
      </c>
      <c r="U479" s="1" t="n">
        <v>3</v>
      </c>
      <c r="V479" s="1" t="n">
        <v>3</v>
      </c>
      <c r="W479" s="1" t="n">
        <v>96</v>
      </c>
      <c r="Y479" s="1" t="n">
        <v>1</v>
      </c>
      <c r="Z479" s="0" t="s">
        <v>175</v>
      </c>
      <c r="AA479" s="0" t="s">
        <v>187</v>
      </c>
      <c r="AB479" s="0" t="s">
        <v>85</v>
      </c>
      <c r="AH479" s="0" t="s">
        <v>180</v>
      </c>
      <c r="AI479" s="0" t="s">
        <v>92</v>
      </c>
      <c r="AJ479" s="0" t="s">
        <v>437</v>
      </c>
      <c r="AK479" s="0" t="s">
        <v>94</v>
      </c>
      <c r="AN479" s="0" t="s">
        <v>97</v>
      </c>
      <c r="AP479" s="0" t="s">
        <v>99</v>
      </c>
      <c r="AT479" s="0" t="s">
        <v>103</v>
      </c>
      <c r="AV479" s="0" t="s">
        <v>105</v>
      </c>
      <c r="AW479" s="0" t="s">
        <v>106</v>
      </c>
      <c r="BG479" s="0" t="s">
        <v>116</v>
      </c>
    </row>
    <row r="480" ht="24.75">
      <c r="B480" s="0" t="s">
        <v>1503</v>
      </c>
      <c r="C480" s="1" t="n">
        <v>353396</v>
      </c>
      <c r="E480" s="14" t="s">
        <v>183</v>
      </c>
      <c r="F480" s="14" t="s">
        <v>184</v>
      </c>
      <c r="G480" s="25" t="str">
        <f>HYPERLINK("http://vk.com/wall365256141_17545")</f>
      </c>
      <c r="H480" s="14" t="s">
        <v>170</v>
      </c>
      <c r="I480" s="14" t="s">
        <v>171</v>
      </c>
      <c r="J480" s="14" t="s">
        <v>1504</v>
      </c>
      <c r="K480" s="26" t="str">
        <f>HYPERLINK("http://vk.com/id365256141")</f>
      </c>
      <c r="L480" s="14" t="s">
        <v>173</v>
      </c>
      <c r="O480" s="1" t="s">
        <v>186</v>
      </c>
      <c r="P480" s="1" t="n">
        <v>66</v>
      </c>
      <c r="Q480" s="1" t="n">
        <v>173</v>
      </c>
      <c r="R480" s="1" t="n">
        <v>0</v>
      </c>
      <c r="S480" s="1"/>
      <c r="T480" s="1" t="n">
        <v>0</v>
      </c>
      <c r="U480" s="1" t="n">
        <v>0</v>
      </c>
      <c r="V480" s="1" t="n">
        <v>0</v>
      </c>
      <c r="W480" s="1"/>
      <c r="Y480" s="1" t="n">
        <v>62</v>
      </c>
      <c r="Z480" s="0" t="s">
        <v>175</v>
      </c>
      <c r="AA480" s="0" t="s">
        <v>187</v>
      </c>
      <c r="AC480" s="0" t="s">
        <v>177</v>
      </c>
      <c r="AD480" s="0" t="s">
        <v>188</v>
      </c>
      <c r="AE480" s="0" t="s">
        <v>1505</v>
      </c>
      <c r="AH480" s="0" t="s">
        <v>180</v>
      </c>
      <c r="AJ480" s="0" t="s">
        <v>437</v>
      </c>
      <c r="AK480" s="0" t="s">
        <v>94</v>
      </c>
      <c r="AO480" s="0" t="s">
        <v>98</v>
      </c>
      <c r="AP480" s="0" t="s">
        <v>99</v>
      </c>
      <c r="AR480" s="0" t="s">
        <v>101</v>
      </c>
      <c r="BA480" s="0" t="s">
        <v>110</v>
      </c>
      <c r="BH480" s="0" t="s">
        <v>117</v>
      </c>
    </row>
    <row r="481" ht="24.75">
      <c r="B481" s="0" t="s">
        <v>1506</v>
      </c>
      <c r="C481" s="1" t="n">
        <v>353398</v>
      </c>
      <c r="E481" s="14" t="s">
        <v>856</v>
      </c>
      <c r="F481" s="14" t="s">
        <v>184</v>
      </c>
      <c r="G481" s="25" t="str">
        <f>HYPERLINK("http://vk.com/wall532881519_1890")</f>
      </c>
      <c r="H481" s="14" t="s">
        <v>170</v>
      </c>
      <c r="I481" s="14" t="s">
        <v>171</v>
      </c>
      <c r="J481" s="14" t="s">
        <v>1507</v>
      </c>
      <c r="K481" s="26" t="str">
        <f>HYPERLINK("http://vk.com/id532881519")</f>
      </c>
      <c r="L481" s="14" t="s">
        <v>173</v>
      </c>
      <c r="O481" s="1" t="s">
        <v>186</v>
      </c>
      <c r="P481" s="1" t="n">
        <v>47</v>
      </c>
      <c r="Q481" s="1" t="n">
        <v>398</v>
      </c>
      <c r="R481" s="1" t="n">
        <v>0</v>
      </c>
      <c r="S481" s="1"/>
      <c r="T481" s="1" t="n">
        <v>0</v>
      </c>
      <c r="U481" s="1" t="n">
        <v>0</v>
      </c>
      <c r="V481" s="1" t="n">
        <v>0</v>
      </c>
      <c r="W481" s="1" t="n">
        <v>1</v>
      </c>
      <c r="Y481" s="1" t="n">
        <v>3</v>
      </c>
      <c r="Z481" s="0" t="s">
        <v>175</v>
      </c>
      <c r="AA481" s="0" t="s">
        <v>187</v>
      </c>
      <c r="AH481" s="0" t="s">
        <v>180</v>
      </c>
      <c r="AJ481" s="0" t="s">
        <v>437</v>
      </c>
      <c r="AK481" s="0" t="s">
        <v>94</v>
      </c>
      <c r="AL481" s="0" t="s">
        <v>95</v>
      </c>
      <c r="AM481" s="0" t="s">
        <v>96</v>
      </c>
      <c r="BC481" s="0" t="s">
        <v>112</v>
      </c>
      <c r="BI481" s="0" t="s">
        <v>118</v>
      </c>
      <c r="BN481" s="0" t="s">
        <v>123</v>
      </c>
    </row>
    <row r="482" ht="24.75">
      <c r="B482" s="0" t="s">
        <v>1506</v>
      </c>
      <c r="C482" s="1" t="n">
        <v>353600</v>
      </c>
      <c r="E482" s="14" t="s">
        <v>440</v>
      </c>
      <c r="F482" s="14" t="s">
        <v>169</v>
      </c>
      <c r="G482" s="25" t="str">
        <f>HYPERLINK("http://www.ok.ru/profile/342803283537/statuses/156017191376977")</f>
      </c>
      <c r="H482" s="14" t="s">
        <v>170</v>
      </c>
      <c r="I482" s="14" t="s">
        <v>171</v>
      </c>
      <c r="J482" s="14" t="s">
        <v>1508</v>
      </c>
      <c r="K482" s="26" t="str">
        <f>HYPERLINK("http://www.ok.ru/profile/342803283537")</f>
      </c>
      <c r="L482" s="14" t="s">
        <v>173</v>
      </c>
      <c r="O482" s="1" t="s">
        <v>186</v>
      </c>
      <c r="P482" s="1" t="n">
        <v>74</v>
      </c>
      <c r="Q482" s="1" t="n">
        <v>1651</v>
      </c>
      <c r="R482" s="1" t="n">
        <v>0</v>
      </c>
      <c r="S482" s="1"/>
      <c r="T482" s="1" t="n">
        <v>2</v>
      </c>
      <c r="U482" s="1" t="n">
        <v>3</v>
      </c>
      <c r="V482" s="1" t="n">
        <v>5</v>
      </c>
      <c r="W482" s="1"/>
      <c r="Y482" s="1" t="n">
        <v>17</v>
      </c>
      <c r="Z482" s="0" t="s">
        <v>175</v>
      </c>
      <c r="AA482" s="0" t="s">
        <v>176</v>
      </c>
      <c r="AC482" s="0" t="s">
        <v>177</v>
      </c>
      <c r="AD482" s="0" t="s">
        <v>1509</v>
      </c>
      <c r="AE482" s="0" t="s">
        <v>1510</v>
      </c>
      <c r="AH482" s="0" t="s">
        <v>180</v>
      </c>
      <c r="AJ482" s="0" t="s">
        <v>437</v>
      </c>
      <c r="AK482" s="0" t="s">
        <v>94</v>
      </c>
      <c r="AL482" s="0" t="s">
        <v>95</v>
      </c>
      <c r="AM482" s="0" t="s">
        <v>96</v>
      </c>
      <c r="AO482" s="0" t="s">
        <v>98</v>
      </c>
      <c r="AQ482" s="0" t="s">
        <v>100</v>
      </c>
    </row>
    <row r="483">
      <c r="B483" s="0" t="s">
        <v>1511</v>
      </c>
      <c r="C483" s="1" t="n">
        <v>353403</v>
      </c>
      <c r="E483" s="14" t="s">
        <v>1512</v>
      </c>
      <c r="F483" s="14" t="s">
        <v>184</v>
      </c>
      <c r="G483" s="25" t="str">
        <f>HYPERLINK("http://vk.com/wall-149047382_2415266?reply=2415400")</f>
      </c>
      <c r="H483" s="14" t="s">
        <v>170</v>
      </c>
      <c r="I483" s="14" t="s">
        <v>231</v>
      </c>
      <c r="J483" s="14" t="s">
        <v>1513</v>
      </c>
      <c r="K483" s="26" t="str">
        <f>HYPERLINK("http://vk.com/id349860553")</f>
      </c>
      <c r="L483" s="14" t="s">
        <v>173</v>
      </c>
      <c r="M483" s="14" t="s">
        <v>1514</v>
      </c>
      <c r="N483" s="25" t="str">
        <f>HYPERLINK("http://vk.com/club149047382")</f>
      </c>
      <c r="O483" s="1" t="s">
        <v>186</v>
      </c>
      <c r="P483" s="1"/>
      <c r="Q483" s="1" t="n">
        <v>77328</v>
      </c>
      <c r="R483" s="1" t="n">
        <v>0</v>
      </c>
      <c r="S483" s="1"/>
      <c r="T483" s="1" t="n">
        <v>0</v>
      </c>
      <c r="U483" s="1" t="n">
        <v>0</v>
      </c>
      <c r="V483" s="1" t="n">
        <v>0</v>
      </c>
      <c r="W483" s="1"/>
      <c r="Y483" s="1" t="n">
        <v>1</v>
      </c>
      <c r="Z483" s="0" t="s">
        <v>175</v>
      </c>
      <c r="AA483" s="0" t="s">
        <v>187</v>
      </c>
      <c r="AC483" s="0" t="s">
        <v>177</v>
      </c>
      <c r="AD483" s="0" t="s">
        <v>719</v>
      </c>
      <c r="AE483" s="0" t="s">
        <v>1515</v>
      </c>
      <c r="AH483" s="0" t="s">
        <v>180</v>
      </c>
      <c r="AI483" s="0" t="s">
        <v>92</v>
      </c>
      <c r="AJ483" s="0" t="s">
        <v>437</v>
      </c>
      <c r="AK483" s="0" t="s">
        <v>94</v>
      </c>
      <c r="AN483" s="0" t="s">
        <v>97</v>
      </c>
      <c r="AP483" s="0" t="s">
        <v>99</v>
      </c>
      <c r="AW483" s="0" t="s">
        <v>106</v>
      </c>
      <c r="BW483" s="0" t="s">
        <v>132</v>
      </c>
      <c r="CF483" s="0" t="s">
        <v>141</v>
      </c>
    </row>
    <row r="484" ht="24.75">
      <c r="B484" s="0" t="s">
        <v>1511</v>
      </c>
      <c r="C484" s="1" t="n">
        <v>353507</v>
      </c>
      <c r="D484" s="0" t="s">
        <v>1516</v>
      </c>
      <c r="E484" s="14" t="s">
        <v>1517</v>
      </c>
      <c r="F484" s="14" t="s">
        <v>1518</v>
      </c>
      <c r="G484" s="25" t="str">
        <f>HYPERLINK("http://galya.ru/clubs/show.php?id=1392063&amp;nt=231")</f>
      </c>
      <c r="H484" s="14" t="s">
        <v>264</v>
      </c>
      <c r="I484" s="14" t="s">
        <v>194</v>
      </c>
      <c r="J484" s="14" t="s">
        <v>1519</v>
      </c>
      <c r="L484" s="14"/>
      <c r="O484" s="1"/>
      <c r="P484" s="1"/>
      <c r="Q484" s="1"/>
      <c r="R484" s="1" t="n">
        <v>1</v>
      </c>
      <c r="S484" s="1"/>
      <c r="T484" s="1" t="n">
        <v>0</v>
      </c>
      <c r="U484" s="1" t="n">
        <v>0</v>
      </c>
      <c r="V484" s="1" t="n">
        <v>1</v>
      </c>
      <c r="W484" s="1"/>
      <c r="Y484" s="1" t="n">
        <v>1</v>
      </c>
      <c r="Z484" s="0" t="s">
        <v>175</v>
      </c>
      <c r="AA484" s="0" t="s">
        <v>187</v>
      </c>
      <c r="AH484" s="0" t="s">
        <v>180</v>
      </c>
      <c r="AJ484" s="0" t="s">
        <v>437</v>
      </c>
      <c r="AK484" s="0" t="s">
        <v>94</v>
      </c>
      <c r="AN484" s="0" t="s">
        <v>97</v>
      </c>
      <c r="AP484" s="0" t="s">
        <v>99</v>
      </c>
      <c r="AT484" s="0" t="s">
        <v>103</v>
      </c>
      <c r="AX484" s="0" t="s">
        <v>107</v>
      </c>
      <c r="BE484" s="0" t="s">
        <v>114</v>
      </c>
      <c r="BG484" s="0" t="s">
        <v>116</v>
      </c>
      <c r="BL484" s="0" t="s">
        <v>121</v>
      </c>
    </row>
    <row r="485" ht="24.75">
      <c r="B485" s="0" t="s">
        <v>1520</v>
      </c>
      <c r="C485" s="1" t="n">
        <v>353479</v>
      </c>
      <c r="E485" s="14" t="s">
        <v>554</v>
      </c>
      <c r="F485" s="14" t="s">
        <v>169</v>
      </c>
      <c r="G485" s="25" t="str">
        <f>HYPERLINK("http://www.ok.ru/profile/586150499853/statuses/155781400070925")</f>
      </c>
      <c r="H485" s="14" t="s">
        <v>170</v>
      </c>
      <c r="I485" s="14" t="s">
        <v>171</v>
      </c>
      <c r="J485" s="14" t="s">
        <v>1521</v>
      </c>
      <c r="K485" s="26" t="str">
        <f>HYPERLINK("http://www.ok.ru/profile/586150499853")</f>
      </c>
      <c r="L485" s="14" t="s">
        <v>173</v>
      </c>
      <c r="O485" s="1" t="s">
        <v>186</v>
      </c>
      <c r="P485" s="1" t="n">
        <v>70</v>
      </c>
      <c r="Q485" s="1" t="n">
        <v>4861</v>
      </c>
      <c r="R485" s="1" t="n">
        <v>0</v>
      </c>
      <c r="S485" s="1"/>
      <c r="T485" s="1" t="n">
        <v>0</v>
      </c>
      <c r="U485" s="1" t="n">
        <v>23</v>
      </c>
      <c r="V485" s="1" t="n">
        <v>23</v>
      </c>
      <c r="W485" s="1"/>
      <c r="Y485" s="1" t="n">
        <v>59</v>
      </c>
      <c r="Z485" s="0" t="s">
        <v>175</v>
      </c>
      <c r="AA485" s="0" t="s">
        <v>176</v>
      </c>
      <c r="AC485" s="0" t="s">
        <v>177</v>
      </c>
      <c r="AD485" s="0" t="s">
        <v>1522</v>
      </c>
      <c r="AE485" s="0" t="s">
        <v>1523</v>
      </c>
      <c r="AH485" s="0" t="s">
        <v>180</v>
      </c>
      <c r="AJ485" s="0" t="s">
        <v>437</v>
      </c>
      <c r="AK485" s="0" t="s">
        <v>94</v>
      </c>
      <c r="AL485" s="0" t="s">
        <v>95</v>
      </c>
      <c r="AM485" s="0" t="s">
        <v>96</v>
      </c>
      <c r="AO485" s="0" t="s">
        <v>98</v>
      </c>
      <c r="AQ485" s="0" t="s">
        <v>100</v>
      </c>
    </row>
    <row r="486" ht="24.75">
      <c r="B486" s="0" t="s">
        <v>1524</v>
      </c>
      <c r="C486" s="1" t="n">
        <v>353387</v>
      </c>
      <c r="E486" s="14" t="s">
        <v>183</v>
      </c>
      <c r="F486" s="14" t="s">
        <v>184</v>
      </c>
      <c r="G486" s="25" t="str">
        <f>HYPERLINK("http://vk.com/wall452548225_3563")</f>
      </c>
      <c r="H486" s="14" t="s">
        <v>170</v>
      </c>
      <c r="I486" s="14" t="s">
        <v>171</v>
      </c>
      <c r="J486" s="14" t="s">
        <v>1525</v>
      </c>
      <c r="K486" s="26" t="str">
        <f>HYPERLINK("http://vk.com/id452548225")</f>
      </c>
      <c r="L486" s="14" t="s">
        <v>173</v>
      </c>
      <c r="O486" s="1" t="s">
        <v>186</v>
      </c>
      <c r="P486" s="1" t="n">
        <v>71</v>
      </c>
      <c r="Q486" s="1" t="n">
        <v>34</v>
      </c>
      <c r="R486" s="1" t="n">
        <v>0</v>
      </c>
      <c r="S486" s="1"/>
      <c r="T486" s="1" t="n">
        <v>0</v>
      </c>
      <c r="U486" s="1" t="n">
        <v>0</v>
      </c>
      <c r="V486" s="1" t="n">
        <v>0</v>
      </c>
      <c r="W486" s="1"/>
      <c r="Y486" s="1" t="n">
        <v>62</v>
      </c>
      <c r="Z486" s="0" t="s">
        <v>175</v>
      </c>
      <c r="AA486" s="0" t="s">
        <v>187</v>
      </c>
      <c r="AC486" s="0" t="s">
        <v>177</v>
      </c>
      <c r="AD486" s="0" t="s">
        <v>1526</v>
      </c>
      <c r="AE486" s="0" t="s">
        <v>1527</v>
      </c>
      <c r="AH486" s="0" t="s">
        <v>180</v>
      </c>
      <c r="AJ486" s="0" t="s">
        <v>437</v>
      </c>
      <c r="AK486" s="0" t="s">
        <v>94</v>
      </c>
      <c r="AO486" s="0" t="s">
        <v>98</v>
      </c>
      <c r="AP486" s="0" t="s">
        <v>99</v>
      </c>
      <c r="AR486" s="0" t="s">
        <v>101</v>
      </c>
      <c r="BA486" s="0" t="s">
        <v>110</v>
      </c>
      <c r="BH486" s="0" t="s">
        <v>117</v>
      </c>
    </row>
    <row r="487" ht="36.75">
      <c r="B487" s="0" t="s">
        <v>1528</v>
      </c>
      <c r="C487" s="1" t="n">
        <v>353389</v>
      </c>
      <c r="E487" s="14" t="s">
        <v>202</v>
      </c>
      <c r="F487" s="14" t="s">
        <v>184</v>
      </c>
      <c r="G487" s="25" t="str">
        <f>HYPERLINK("http://vk.com/wall9156611_979")</f>
      </c>
      <c r="H487" s="14" t="s">
        <v>170</v>
      </c>
      <c r="I487" s="14" t="s">
        <v>171</v>
      </c>
      <c r="J487" s="14" t="s">
        <v>1529</v>
      </c>
      <c r="K487" s="26" t="str">
        <f>HYPERLINK("http://vk.com/id9156611")</f>
      </c>
      <c r="L487" s="14" t="s">
        <v>173</v>
      </c>
      <c r="O487" s="1" t="s">
        <v>174</v>
      </c>
      <c r="P487" s="1" t="n">
        <v>38</v>
      </c>
      <c r="Q487" s="1" t="n">
        <v>69</v>
      </c>
      <c r="R487" s="1" t="n">
        <v>0</v>
      </c>
      <c r="S487" s="1"/>
      <c r="T487" s="1" t="n">
        <v>0</v>
      </c>
      <c r="U487" s="1" t="n">
        <v>0</v>
      </c>
      <c r="V487" s="1" t="n">
        <v>0</v>
      </c>
      <c r="W487" s="1"/>
      <c r="Y487" s="1" t="n">
        <v>60</v>
      </c>
      <c r="Z487" s="0" t="s">
        <v>175</v>
      </c>
      <c r="AA487" s="0" t="s">
        <v>176</v>
      </c>
      <c r="AC487" s="0" t="s">
        <v>177</v>
      </c>
      <c r="AD487" s="0" t="s">
        <v>1382</v>
      </c>
      <c r="AE487" s="0" t="s">
        <v>1530</v>
      </c>
      <c r="AH487" s="0" t="s">
        <v>180</v>
      </c>
      <c r="AJ487" s="0" t="s">
        <v>437</v>
      </c>
      <c r="AK487" s="0" t="s">
        <v>94</v>
      </c>
      <c r="AL487" s="0" t="s">
        <v>95</v>
      </c>
      <c r="AM487" s="0" t="s">
        <v>96</v>
      </c>
      <c r="AO487" s="0" t="s">
        <v>98</v>
      </c>
      <c r="AQ487" s="0" t="s">
        <v>100</v>
      </c>
    </row>
    <row r="488" ht="24.75">
      <c r="B488" s="0" t="s">
        <v>1528</v>
      </c>
      <c r="C488" s="1" t="n">
        <v>353383</v>
      </c>
      <c r="E488" s="14" t="s">
        <v>183</v>
      </c>
      <c r="F488" s="14" t="s">
        <v>184</v>
      </c>
      <c r="G488" s="25" t="str">
        <f>HYPERLINK("http://vk.com/wall29903439_2582")</f>
      </c>
      <c r="H488" s="14" t="s">
        <v>170</v>
      </c>
      <c r="I488" s="14" t="s">
        <v>171</v>
      </c>
      <c r="J488" s="14" t="s">
        <v>1531</v>
      </c>
      <c r="K488" s="26" t="str">
        <f>HYPERLINK("http://vk.com/id29903439")</f>
      </c>
      <c r="L488" s="14" t="s">
        <v>173</v>
      </c>
      <c r="O488" s="1" t="s">
        <v>186</v>
      </c>
      <c r="P488" s="1"/>
      <c r="Q488" s="1" t="n">
        <v>200</v>
      </c>
      <c r="R488" s="1" t="n">
        <v>0</v>
      </c>
      <c r="S488" s="1"/>
      <c r="T488" s="1" t="n">
        <v>0</v>
      </c>
      <c r="U488" s="1" t="n">
        <v>0</v>
      </c>
      <c r="V488" s="1" t="n">
        <v>0</v>
      </c>
      <c r="W488" s="1" t="n">
        <v>2</v>
      </c>
      <c r="Y488" s="1" t="n">
        <v>62</v>
      </c>
      <c r="Z488" s="0" t="s">
        <v>175</v>
      </c>
      <c r="AA488" s="0" t="s">
        <v>187</v>
      </c>
      <c r="AC488" s="0" t="s">
        <v>177</v>
      </c>
      <c r="AD488" s="0" t="s">
        <v>240</v>
      </c>
      <c r="AE488" s="0" t="s">
        <v>240</v>
      </c>
      <c r="AH488" s="0" t="s">
        <v>180</v>
      </c>
      <c r="AJ488" s="0" t="s">
        <v>437</v>
      </c>
      <c r="AK488" s="0" t="s">
        <v>94</v>
      </c>
      <c r="AO488" s="0" t="s">
        <v>98</v>
      </c>
      <c r="AP488" s="0" t="s">
        <v>99</v>
      </c>
      <c r="AR488" s="0" t="s">
        <v>101</v>
      </c>
      <c r="BA488" s="0" t="s">
        <v>110</v>
      </c>
      <c r="BH488" s="0" t="s">
        <v>117</v>
      </c>
    </row>
    <row r="489" ht="288.75">
      <c r="B489" s="0" t="s">
        <v>1532</v>
      </c>
      <c r="C489" s="1" t="n">
        <v>353379</v>
      </c>
      <c r="E489" s="14" t="s">
        <v>1533</v>
      </c>
      <c r="F489" s="14" t="s">
        <v>184</v>
      </c>
      <c r="G489" s="25" t="str">
        <f>HYPERLINK("http://vk.com/wall-59954620_1260")</f>
      </c>
      <c r="H489" s="14" t="s">
        <v>170</v>
      </c>
      <c r="I489" s="14" t="s">
        <v>194</v>
      </c>
      <c r="J489" s="14" t="s">
        <v>1534</v>
      </c>
      <c r="K489" s="26" t="str">
        <f>HYPERLINK("http://vk.com/club59954620")</f>
      </c>
      <c r="L489" s="14" t="s">
        <v>274</v>
      </c>
      <c r="O489" s="1"/>
      <c r="P489" s="1"/>
      <c r="Q489" s="1" t="n">
        <v>690</v>
      </c>
      <c r="R489" s="1" t="n">
        <v>0</v>
      </c>
      <c r="S489" s="1"/>
      <c r="T489" s="1" t="n">
        <v>0</v>
      </c>
      <c r="U489" s="1" t="n">
        <v>0</v>
      </c>
      <c r="V489" s="1" t="n">
        <v>0</v>
      </c>
      <c r="W489" s="1" t="n">
        <v>2</v>
      </c>
      <c r="Y489" s="1" t="n">
        <v>1</v>
      </c>
      <c r="Z489" s="0" t="s">
        <v>175</v>
      </c>
      <c r="AA489" s="0" t="s">
        <v>292</v>
      </c>
      <c r="AC489" s="0" t="s">
        <v>177</v>
      </c>
      <c r="AD489" s="0" t="s">
        <v>410</v>
      </c>
      <c r="AE489" s="0" t="s">
        <v>792</v>
      </c>
      <c r="AH489" s="0" t="s">
        <v>180</v>
      </c>
      <c r="AJ489" s="0" t="s">
        <v>437</v>
      </c>
      <c r="AK489" s="0" t="s">
        <v>94</v>
      </c>
      <c r="AM489" s="0" t="s">
        <v>96</v>
      </c>
      <c r="AP489" s="0" t="s">
        <v>99</v>
      </c>
      <c r="CL489" s="0" t="s">
        <v>147</v>
      </c>
    </row>
    <row r="490" ht="24.75">
      <c r="B490" s="0" t="s">
        <v>1535</v>
      </c>
      <c r="C490" s="1" t="n">
        <v>353372</v>
      </c>
      <c r="E490" s="14" t="s">
        <v>1536</v>
      </c>
      <c r="F490" s="14" t="s">
        <v>184</v>
      </c>
      <c r="G490" s="25" t="str">
        <f>HYPERLINK("http://vk.com/wall629883562_11512")</f>
      </c>
      <c r="H490" s="14" t="s">
        <v>170</v>
      </c>
      <c r="I490" s="14" t="s">
        <v>194</v>
      </c>
      <c r="J490" s="14" t="s">
        <v>723</v>
      </c>
      <c r="K490" s="26" t="str">
        <f>HYPERLINK("http://vk.com/id629883562")</f>
      </c>
      <c r="L490" s="14" t="s">
        <v>173</v>
      </c>
      <c r="O490" s="1" t="s">
        <v>174</v>
      </c>
      <c r="P490" s="1" t="n">
        <v>56</v>
      </c>
      <c r="Q490" s="1" t="n">
        <v>88</v>
      </c>
      <c r="R490" s="1" t="n">
        <v>0</v>
      </c>
      <c r="S490" s="1"/>
      <c r="T490" s="1" t="n">
        <v>0</v>
      </c>
      <c r="U490" s="1" t="n">
        <v>3</v>
      </c>
      <c r="V490" s="1" t="n">
        <v>3</v>
      </c>
      <c r="W490" s="1" t="n">
        <v>11</v>
      </c>
      <c r="Y490" s="1" t="n">
        <v>1</v>
      </c>
      <c r="Z490" s="0" t="s">
        <v>175</v>
      </c>
      <c r="AA490" s="0" t="s">
        <v>176</v>
      </c>
      <c r="AC490" s="0" t="s">
        <v>177</v>
      </c>
      <c r="AD490" s="0" t="s">
        <v>454</v>
      </c>
      <c r="AE490" s="0" t="s">
        <v>724</v>
      </c>
      <c r="AH490" s="0" t="s">
        <v>180</v>
      </c>
      <c r="AJ490" s="0" t="s">
        <v>437</v>
      </c>
      <c r="AK490" s="0" t="s">
        <v>94</v>
      </c>
      <c r="AM490" s="0" t="s">
        <v>96</v>
      </c>
      <c r="AP490" s="0" t="s">
        <v>99</v>
      </c>
      <c r="AR490" s="0" t="s">
        <v>101</v>
      </c>
      <c r="BD490" s="0" t="s">
        <v>113</v>
      </c>
      <c r="BP490" s="0" t="s">
        <v>125</v>
      </c>
      <c r="BW490" s="0" t="s">
        <v>132</v>
      </c>
    </row>
    <row r="491" ht="24.75">
      <c r="B491" s="0" t="s">
        <v>1537</v>
      </c>
      <c r="C491" s="1" t="n">
        <v>353399</v>
      </c>
      <c r="D491" s="0" t="s">
        <v>1395</v>
      </c>
      <c r="E491" s="14" t="s">
        <v>1538</v>
      </c>
      <c r="F491" s="14" t="s">
        <v>1095</v>
      </c>
      <c r="G491" s="25" t="str">
        <f>HYPERLINK("https://news.myseldon.com/ru/news/index/282042340")</f>
      </c>
      <c r="H491" s="14" t="s">
        <v>208</v>
      </c>
      <c r="I491" s="14" t="s">
        <v>194</v>
      </c>
      <c r="J491" s="14"/>
      <c r="L491" s="14"/>
      <c r="O491" s="1"/>
      <c r="P491" s="1"/>
      <c r="Q491" s="1"/>
      <c r="R491" s="1" t="n">
        <v>0</v>
      </c>
      <c r="S491" s="1" t="n">
        <v>3034</v>
      </c>
      <c r="T491" s="1" t="n">
        <v>0</v>
      </c>
      <c r="U491" s="1" t="n">
        <v>0</v>
      </c>
      <c r="V491" s="1" t="n">
        <v>0</v>
      </c>
      <c r="W491" s="1"/>
      <c r="Y491" s="1" t="n">
        <v>1</v>
      </c>
      <c r="Z491" s="0" t="s">
        <v>175</v>
      </c>
      <c r="AA491" s="0" t="s">
        <v>223</v>
      </c>
      <c r="AH491" s="0" t="s">
        <v>180</v>
      </c>
      <c r="AJ491" s="0" t="s">
        <v>437</v>
      </c>
      <c r="AK491" s="0" t="s">
        <v>94</v>
      </c>
      <c r="AL491" s="0" t="s">
        <v>95</v>
      </c>
      <c r="BD491" s="0" t="s">
        <v>113</v>
      </c>
      <c r="BJ491" s="0" t="s">
        <v>119</v>
      </c>
      <c r="BK491" s="0" t="s">
        <v>120</v>
      </c>
    </row>
    <row r="492">
      <c r="B492" s="0" t="s">
        <v>1537</v>
      </c>
      <c r="C492" s="1" t="n">
        <v>353401</v>
      </c>
      <c r="E492" s="14" t="s">
        <v>1539</v>
      </c>
      <c r="F492" s="14" t="s">
        <v>192</v>
      </c>
      <c r="G492" s="25" t="str">
        <f>HYPERLINK("https://telegram.me/zvoinaukraina/23737?comment=11856403")</f>
      </c>
      <c r="H492" s="14" t="s">
        <v>193</v>
      </c>
      <c r="I492" s="14" t="s">
        <v>231</v>
      </c>
      <c r="J492" s="14" t="s">
        <v>1540</v>
      </c>
      <c r="K492" s="26" t="str">
        <f>HYPERLINK("https://telegram.me/Mamrikina")</f>
      </c>
      <c r="L492" s="14" t="s">
        <v>173</v>
      </c>
      <c r="M492" s="14" t="s">
        <v>1541</v>
      </c>
      <c r="N492" s="25" t="str">
        <f>HYPERLINK("https://telegram.me/zvoinaukraina")</f>
      </c>
      <c r="O492" s="1" t="s">
        <v>174</v>
      </c>
      <c r="P492" s="1"/>
      <c r="Q492" s="1" t="n">
        <v>1496095</v>
      </c>
      <c r="R492" s="1" t="n">
        <v>0</v>
      </c>
      <c r="S492" s="1"/>
      <c r="T492" s="1" t="n">
        <v>0</v>
      </c>
      <c r="U492" s="1" t="n">
        <v>0</v>
      </c>
      <c r="V492" s="1" t="n">
        <v>0</v>
      </c>
      <c r="W492" s="1"/>
      <c r="Y492" s="1" t="n">
        <v>1</v>
      </c>
      <c r="Z492" s="0" t="s">
        <v>175</v>
      </c>
      <c r="AA492" s="0" t="s">
        <v>187</v>
      </c>
      <c r="AB492" s="0" t="s">
        <v>85</v>
      </c>
      <c r="AH492" s="0" t="s">
        <v>180</v>
      </c>
      <c r="AI492" s="0" t="s">
        <v>92</v>
      </c>
      <c r="AJ492" s="0" t="s">
        <v>437</v>
      </c>
      <c r="AK492" s="0" t="s">
        <v>94</v>
      </c>
      <c r="AP492" s="0" t="s">
        <v>99</v>
      </c>
      <c r="AT492" s="0" t="s">
        <v>103</v>
      </c>
      <c r="BX492" s="0" t="s">
        <v>133</v>
      </c>
    </row>
    <row r="493" ht="36.75">
      <c r="B493" s="0" t="s">
        <v>1537</v>
      </c>
      <c r="C493" s="1" t="n">
        <v>353366</v>
      </c>
      <c r="E493" s="14" t="s">
        <v>202</v>
      </c>
      <c r="F493" s="14" t="s">
        <v>184</v>
      </c>
      <c r="G493" s="25" t="str">
        <f>HYPERLINK("http://vk.com/wall763571625_294")</f>
      </c>
      <c r="H493" s="14" t="s">
        <v>170</v>
      </c>
      <c r="I493" s="14" t="s">
        <v>171</v>
      </c>
      <c r="J493" s="14" t="s">
        <v>1542</v>
      </c>
      <c r="K493" s="26" t="str">
        <f>HYPERLINK("http://vk.com/id763571625")</f>
      </c>
      <c r="L493" s="14" t="s">
        <v>173</v>
      </c>
      <c r="O493" s="1" t="s">
        <v>186</v>
      </c>
      <c r="P493" s="1" t="n">
        <v>51</v>
      </c>
      <c r="Q493" s="1" t="n">
        <v>220</v>
      </c>
      <c r="R493" s="1" t="n">
        <v>0</v>
      </c>
      <c r="S493" s="1"/>
      <c r="T493" s="1" t="n">
        <v>0</v>
      </c>
      <c r="U493" s="1" t="n">
        <v>0</v>
      </c>
      <c r="V493" s="1" t="n">
        <v>0</v>
      </c>
      <c r="W493" s="1" t="n">
        <v>4</v>
      </c>
      <c r="Y493" s="1" t="n">
        <v>60</v>
      </c>
      <c r="Z493" s="0" t="s">
        <v>175</v>
      </c>
      <c r="AA493" s="0" t="s">
        <v>176</v>
      </c>
      <c r="AC493" s="0" t="s">
        <v>177</v>
      </c>
      <c r="AD493" s="0" t="s">
        <v>410</v>
      </c>
      <c r="AE493" s="0" t="s">
        <v>792</v>
      </c>
      <c r="AH493" s="0" t="s">
        <v>180</v>
      </c>
      <c r="AJ493" s="0" t="s">
        <v>437</v>
      </c>
      <c r="AK493" s="0" t="s">
        <v>94</v>
      </c>
      <c r="AL493" s="0" t="s">
        <v>95</v>
      </c>
      <c r="AM493" s="0" t="s">
        <v>96</v>
      </c>
      <c r="AO493" s="0" t="s">
        <v>98</v>
      </c>
      <c r="AQ493" s="0" t="s">
        <v>100</v>
      </c>
    </row>
    <row r="494" ht="24.75">
      <c r="B494" s="0" t="s">
        <v>1543</v>
      </c>
      <c r="C494" s="1" t="n">
        <v>353867</v>
      </c>
      <c r="E494" s="14" t="s">
        <v>554</v>
      </c>
      <c r="F494" s="14" t="s">
        <v>169</v>
      </c>
      <c r="G494" s="25" t="str">
        <f>HYPERLINK("http://www.ok.ru/profile/559010279745/statuses/155657519846721")</f>
      </c>
      <c r="H494" s="14" t="s">
        <v>170</v>
      </c>
      <c r="I494" s="14" t="s">
        <v>171</v>
      </c>
      <c r="J494" s="14" t="s">
        <v>1544</v>
      </c>
      <c r="K494" s="26" t="str">
        <f>HYPERLINK("http://www.ok.ru/profile/559010279745")</f>
      </c>
      <c r="L494" s="14" t="s">
        <v>173</v>
      </c>
      <c r="O494" s="1" t="s">
        <v>174</v>
      </c>
      <c r="P494" s="1" t="n">
        <v>61</v>
      </c>
      <c r="Q494" s="1" t="n">
        <v>157</v>
      </c>
      <c r="R494" s="1" t="n">
        <v>0</v>
      </c>
      <c r="S494" s="1"/>
      <c r="T494" s="1" t="n">
        <v>0</v>
      </c>
      <c r="U494" s="1" t="n">
        <v>1</v>
      </c>
      <c r="V494" s="1" t="n">
        <v>1</v>
      </c>
      <c r="W494" s="1"/>
      <c r="Y494" s="1" t="n">
        <v>59</v>
      </c>
      <c r="Z494" s="0" t="s">
        <v>175</v>
      </c>
      <c r="AA494" s="0" t="s">
        <v>176</v>
      </c>
      <c r="AC494" s="0" t="s">
        <v>177</v>
      </c>
      <c r="AD494" s="0" t="s">
        <v>1169</v>
      </c>
      <c r="AE494" s="0" t="s">
        <v>1170</v>
      </c>
      <c r="AH494" s="0" t="s">
        <v>180</v>
      </c>
      <c r="AJ494" s="0" t="s">
        <v>437</v>
      </c>
      <c r="AK494" s="0" t="s">
        <v>94</v>
      </c>
      <c r="AL494" s="0" t="s">
        <v>95</v>
      </c>
      <c r="AM494" s="0" t="s">
        <v>96</v>
      </c>
      <c r="AO494" s="0" t="s">
        <v>98</v>
      </c>
      <c r="AQ494" s="0" t="s">
        <v>100</v>
      </c>
    </row>
    <row r="495">
      <c r="B495" s="0" t="s">
        <v>1543</v>
      </c>
      <c r="C495" s="1" t="n">
        <v>353404</v>
      </c>
      <c r="D495" s="0" t="s">
        <v>1481</v>
      </c>
      <c r="E495" s="14" t="s">
        <v>1545</v>
      </c>
      <c r="F495" s="14" t="s">
        <v>1095</v>
      </c>
      <c r="G495" s="25" t="str">
        <f>HYPERLINK("https://news.myseldon.com/ru/news/index/282039412")</f>
      </c>
      <c r="H495" s="14" t="s">
        <v>208</v>
      </c>
      <c r="I495" s="14" t="s">
        <v>194</v>
      </c>
      <c r="J495" s="14"/>
      <c r="L495" s="14"/>
      <c r="O495" s="1"/>
      <c r="P495" s="1"/>
      <c r="Q495" s="1"/>
      <c r="R495" s="1" t="n">
        <v>0</v>
      </c>
      <c r="S495" s="1" t="n">
        <v>3034</v>
      </c>
      <c r="T495" s="1" t="n">
        <v>0</v>
      </c>
      <c r="U495" s="1" t="n">
        <v>0</v>
      </c>
      <c r="V495" s="1" t="n">
        <v>0</v>
      </c>
      <c r="W495" s="1"/>
      <c r="Y495" s="1" t="n">
        <v>1</v>
      </c>
      <c r="Z495" s="0" t="s">
        <v>175</v>
      </c>
      <c r="AA495" s="0" t="s">
        <v>187</v>
      </c>
      <c r="AH495" s="0" t="s">
        <v>180</v>
      </c>
      <c r="AJ495" s="0" t="s">
        <v>437</v>
      </c>
      <c r="AK495" s="0" t="s">
        <v>94</v>
      </c>
      <c r="AL495" s="0" t="s">
        <v>95</v>
      </c>
      <c r="BJ495" s="0" t="s">
        <v>119</v>
      </c>
      <c r="BK495" s="0" t="s">
        <v>120</v>
      </c>
    </row>
    <row r="496" ht="36.75">
      <c r="B496" s="0" t="s">
        <v>1546</v>
      </c>
      <c r="C496" s="1" t="n">
        <v>353369</v>
      </c>
      <c r="E496" s="14" t="s">
        <v>202</v>
      </c>
      <c r="F496" s="14" t="s">
        <v>184</v>
      </c>
      <c r="G496" s="25" t="str">
        <f>HYPERLINK("http://vk.com/wall602240033_3493")</f>
      </c>
      <c r="H496" s="14" t="s">
        <v>170</v>
      </c>
      <c r="I496" s="14" t="s">
        <v>171</v>
      </c>
      <c r="J496" s="14" t="s">
        <v>1547</v>
      </c>
      <c r="K496" s="26" t="str">
        <f>HYPERLINK("http://vk.com/id602240033")</f>
      </c>
      <c r="L496" s="14" t="s">
        <v>173</v>
      </c>
      <c r="O496" s="1" t="s">
        <v>186</v>
      </c>
      <c r="P496" s="1" t="n">
        <v>57</v>
      </c>
      <c r="Q496" s="1" t="n">
        <v>195</v>
      </c>
      <c r="R496" s="1" t="n">
        <v>0</v>
      </c>
      <c r="S496" s="1"/>
      <c r="T496" s="1" t="n">
        <v>0</v>
      </c>
      <c r="U496" s="1" t="n">
        <v>0</v>
      </c>
      <c r="V496" s="1" t="n">
        <v>0</v>
      </c>
      <c r="W496" s="1" t="n">
        <v>2</v>
      </c>
      <c r="Y496" s="1" t="n">
        <v>60</v>
      </c>
      <c r="Z496" s="0" t="s">
        <v>175</v>
      </c>
      <c r="AA496" s="0" t="s">
        <v>176</v>
      </c>
      <c r="AH496" s="0" t="s">
        <v>180</v>
      </c>
      <c r="AJ496" s="0" t="s">
        <v>437</v>
      </c>
      <c r="AK496" s="0" t="s">
        <v>94</v>
      </c>
      <c r="AL496" s="0" t="s">
        <v>95</v>
      </c>
      <c r="AM496" s="0" t="s">
        <v>96</v>
      </c>
      <c r="AO496" s="0" t="s">
        <v>98</v>
      </c>
      <c r="AQ496" s="0" t="s">
        <v>100</v>
      </c>
    </row>
    <row r="497" ht="24.75">
      <c r="B497" s="0" t="s">
        <v>1546</v>
      </c>
      <c r="C497" s="1" t="n">
        <v>353370</v>
      </c>
      <c r="E497" s="14" t="s">
        <v>183</v>
      </c>
      <c r="F497" s="14" t="s">
        <v>184</v>
      </c>
      <c r="G497" s="25" t="str">
        <f>HYPERLINK("http://vk.com/wall55458522_1574")</f>
      </c>
      <c r="H497" s="14" t="s">
        <v>170</v>
      </c>
      <c r="I497" s="14" t="s">
        <v>171</v>
      </c>
      <c r="J497" s="14" t="s">
        <v>1468</v>
      </c>
      <c r="K497" s="26" t="str">
        <f>HYPERLINK("http://vk.com/id55458522")</f>
      </c>
      <c r="L497" s="14" t="s">
        <v>173</v>
      </c>
      <c r="O497" s="1" t="s">
        <v>186</v>
      </c>
      <c r="P497" s="1" t="n">
        <v>44</v>
      </c>
      <c r="Q497" s="1" t="n">
        <v>329</v>
      </c>
      <c r="R497" s="1" t="n">
        <v>0</v>
      </c>
      <c r="S497" s="1"/>
      <c r="T497" s="1" t="n">
        <v>0</v>
      </c>
      <c r="U497" s="1" t="n">
        <v>0</v>
      </c>
      <c r="V497" s="1" t="n">
        <v>0</v>
      </c>
      <c r="W497" s="1" t="n">
        <v>1</v>
      </c>
      <c r="Y497" s="1" t="n">
        <v>62</v>
      </c>
      <c r="Z497" s="0" t="s">
        <v>175</v>
      </c>
      <c r="AA497" s="0" t="s">
        <v>187</v>
      </c>
      <c r="AC497" s="0" t="s">
        <v>177</v>
      </c>
      <c r="AD497" s="0" t="s">
        <v>1548</v>
      </c>
      <c r="AE497" s="0" t="s">
        <v>1549</v>
      </c>
      <c r="AH497" s="0" t="s">
        <v>180</v>
      </c>
      <c r="AJ497" s="0" t="s">
        <v>437</v>
      </c>
      <c r="AK497" s="0" t="s">
        <v>94</v>
      </c>
      <c r="AO497" s="0" t="s">
        <v>98</v>
      </c>
      <c r="AP497" s="0" t="s">
        <v>99</v>
      </c>
      <c r="AR497" s="0" t="s">
        <v>101</v>
      </c>
      <c r="BA497" s="0" t="s">
        <v>110</v>
      </c>
      <c r="BH497" s="0" t="s">
        <v>117</v>
      </c>
    </row>
    <row r="498" ht="1212.75">
      <c r="B498" s="0" t="s">
        <v>1550</v>
      </c>
      <c r="C498" s="1" t="n">
        <v>353368</v>
      </c>
      <c r="E498" s="14" t="s">
        <v>683</v>
      </c>
      <c r="F498" s="14" t="s">
        <v>184</v>
      </c>
      <c r="G498" s="25" t="str">
        <f>HYPERLINK("http://vk.com/wall441692341_1698")</f>
      </c>
      <c r="H498" s="14" t="s">
        <v>170</v>
      </c>
      <c r="I498" s="14" t="s">
        <v>171</v>
      </c>
      <c r="J498" s="14" t="s">
        <v>1551</v>
      </c>
      <c r="K498" s="26" t="str">
        <f>HYPERLINK("http://vk.com/id441692341")</f>
      </c>
      <c r="L498" s="14" t="s">
        <v>173</v>
      </c>
      <c r="O498" s="1" t="s">
        <v>186</v>
      </c>
      <c r="P498" s="1" t="n">
        <v>57</v>
      </c>
      <c r="Q498" s="1" t="n">
        <v>130</v>
      </c>
      <c r="R498" s="1" t="n">
        <v>0</v>
      </c>
      <c r="S498" s="1"/>
      <c r="T498" s="1" t="n">
        <v>0</v>
      </c>
      <c r="U498" s="1" t="n">
        <v>0</v>
      </c>
      <c r="V498" s="1" t="n">
        <v>0</v>
      </c>
      <c r="W498" s="1" t="n">
        <v>2</v>
      </c>
      <c r="Y498" s="1" t="n">
        <v>22</v>
      </c>
      <c r="Z498" s="0" t="s">
        <v>175</v>
      </c>
      <c r="AA498" s="0" t="s">
        <v>187</v>
      </c>
      <c r="AH498" s="0" t="s">
        <v>180</v>
      </c>
      <c r="AJ498" s="0" t="s">
        <v>437</v>
      </c>
      <c r="AK498" s="0" t="s">
        <v>94</v>
      </c>
      <c r="AL498" s="0" t="s">
        <v>95</v>
      </c>
      <c r="AM498" s="0" t="s">
        <v>96</v>
      </c>
      <c r="AU498" s="0" t="s">
        <v>104</v>
      </c>
      <c r="AV498" s="0" t="s">
        <v>105</v>
      </c>
      <c r="AX498" s="0" t="s">
        <v>107</v>
      </c>
    </row>
    <row r="499" ht="1224.75">
      <c r="B499" s="0" t="s">
        <v>1550</v>
      </c>
      <c r="C499" s="1" t="n">
        <v>353428</v>
      </c>
      <c r="E499" s="14" t="s">
        <v>1552</v>
      </c>
      <c r="F499" s="14" t="s">
        <v>169</v>
      </c>
      <c r="G499" s="25" t="str">
        <f>HYPERLINK("http://www.ok.ru/profile/520717131606/statuses/156126242446678")</f>
      </c>
      <c r="H499" s="14" t="s">
        <v>170</v>
      </c>
      <c r="I499" s="14" t="s">
        <v>171</v>
      </c>
      <c r="J499" s="14" t="s">
        <v>1553</v>
      </c>
      <c r="K499" s="26" t="str">
        <f>HYPERLINK("http://www.ok.ru/profile/520717131606")</f>
      </c>
      <c r="L499" s="14" t="s">
        <v>173</v>
      </c>
      <c r="O499" s="1" t="s">
        <v>174</v>
      </c>
      <c r="P499" s="1" t="n">
        <v>57</v>
      </c>
      <c r="Q499" s="1" t="n">
        <v>1288</v>
      </c>
      <c r="R499" s="1" t="n">
        <v>0</v>
      </c>
      <c r="S499" s="1"/>
      <c r="T499" s="1" t="n">
        <v>0</v>
      </c>
      <c r="U499" s="1" t="n">
        <v>2</v>
      </c>
      <c r="V499" s="1" t="n">
        <v>2</v>
      </c>
      <c r="W499" s="1"/>
      <c r="Y499" s="1" t="n">
        <v>1</v>
      </c>
      <c r="Z499" s="0" t="s">
        <v>175</v>
      </c>
      <c r="AA499" s="0" t="s">
        <v>176</v>
      </c>
      <c r="AC499" s="0" t="s">
        <v>177</v>
      </c>
      <c r="AD499" s="0" t="s">
        <v>1382</v>
      </c>
      <c r="AE499" s="0" t="s">
        <v>1554</v>
      </c>
      <c r="AH499" s="0" t="s">
        <v>180</v>
      </c>
      <c r="AJ499" s="0" t="s">
        <v>437</v>
      </c>
      <c r="AK499" s="0" t="s">
        <v>94</v>
      </c>
      <c r="AL499" s="0" t="s">
        <v>95</v>
      </c>
      <c r="AM499" s="0" t="s">
        <v>96</v>
      </c>
      <c r="AO499" s="0" t="s">
        <v>98</v>
      </c>
      <c r="AQ499" s="0" t="s">
        <v>100</v>
      </c>
      <c r="AR499" s="0" t="s">
        <v>101</v>
      </c>
    </row>
    <row r="500">
      <c r="B500" s="0" t="s">
        <v>1555</v>
      </c>
      <c r="C500" s="1" t="n">
        <v>353357</v>
      </c>
      <c r="E500" s="14" t="s">
        <v>1556</v>
      </c>
      <c r="F500" s="14" t="s">
        <v>184</v>
      </c>
      <c r="G500" s="25" t="str">
        <f>HYPERLINK("http://vk.com/wall-143027530_229294?reply=229364")</f>
      </c>
      <c r="H500" s="14" t="s">
        <v>170</v>
      </c>
      <c r="I500" s="14" t="s">
        <v>231</v>
      </c>
      <c r="J500" s="14" t="s">
        <v>1557</v>
      </c>
      <c r="K500" s="26" t="str">
        <f>HYPERLINK("http://vk.com/id56155989")</f>
      </c>
      <c r="L500" s="14" t="s">
        <v>173</v>
      </c>
      <c r="M500" s="14" t="s">
        <v>489</v>
      </c>
      <c r="N500" s="25" t="str">
        <f>HYPERLINK("http://vk.com/club143027530")</f>
      </c>
      <c r="O500" s="1" t="s">
        <v>186</v>
      </c>
      <c r="P500" s="1"/>
      <c r="Q500" s="1" t="n">
        <v>24856</v>
      </c>
      <c r="R500" s="1" t="n">
        <v>0</v>
      </c>
      <c r="S500" s="1"/>
      <c r="T500" s="1" t="n">
        <v>0</v>
      </c>
      <c r="U500" s="1" t="n">
        <v>0</v>
      </c>
      <c r="V500" s="1" t="n">
        <v>0</v>
      </c>
      <c r="W500" s="1"/>
      <c r="Y500" s="1" t="n">
        <v>1</v>
      </c>
      <c r="Z500" s="0" t="s">
        <v>463</v>
      </c>
      <c r="AA500" s="0" t="s">
        <v>187</v>
      </c>
      <c r="AB500" s="0" t="s">
        <v>85</v>
      </c>
      <c r="AC500" s="0" t="s">
        <v>177</v>
      </c>
      <c r="AD500" s="0" t="s">
        <v>278</v>
      </c>
      <c r="AE500" s="0" t="s">
        <v>279</v>
      </c>
      <c r="AH500" s="0" t="s">
        <v>180</v>
      </c>
      <c r="AI500" s="0" t="s">
        <v>92</v>
      </c>
      <c r="AJ500" s="0" t="s">
        <v>437</v>
      </c>
      <c r="AK500" s="0" t="s">
        <v>94</v>
      </c>
      <c r="AP500" s="0" t="s">
        <v>99</v>
      </c>
      <c r="AT500" s="0" t="s">
        <v>103</v>
      </c>
      <c r="BN500" s="0" t="s">
        <v>123</v>
      </c>
      <c r="CE500" s="0" t="s">
        <v>140</v>
      </c>
    </row>
    <row r="501" ht="24.75">
      <c r="B501" s="0" t="s">
        <v>1555</v>
      </c>
      <c r="C501" s="1" t="n">
        <v>353639</v>
      </c>
      <c r="E501" s="14" t="s">
        <v>1102</v>
      </c>
      <c r="F501" s="14" t="s">
        <v>169</v>
      </c>
      <c r="G501" s="25" t="str">
        <f>HYPERLINK("http://www.ok.ru/profile/577450587657/statuses/155524211413001")</f>
      </c>
      <c r="H501" s="14" t="s">
        <v>170</v>
      </c>
      <c r="I501" s="14" t="s">
        <v>171</v>
      </c>
      <c r="J501" s="14" t="s">
        <v>1558</v>
      </c>
      <c r="K501" s="26" t="str">
        <f>HYPERLINK("http://www.ok.ru/profile/577450587657")</f>
      </c>
      <c r="L501" s="14" t="s">
        <v>173</v>
      </c>
      <c r="O501" s="1" t="s">
        <v>186</v>
      </c>
      <c r="P501" s="1"/>
      <c r="Q501" s="1" t="n">
        <v>220</v>
      </c>
      <c r="R501" s="1" t="n">
        <v>0</v>
      </c>
      <c r="S501" s="1"/>
      <c r="T501" s="1" t="n">
        <v>0</v>
      </c>
      <c r="U501" s="1" t="n">
        <v>2</v>
      </c>
      <c r="V501" s="1" t="n">
        <v>2</v>
      </c>
      <c r="W501" s="1"/>
      <c r="Y501" s="1" t="n">
        <v>92</v>
      </c>
      <c r="Z501" s="0" t="s">
        <v>175</v>
      </c>
      <c r="AA501" s="0" t="s">
        <v>187</v>
      </c>
      <c r="AC501" s="0" t="s">
        <v>177</v>
      </c>
      <c r="AD501" s="0" t="s">
        <v>719</v>
      </c>
      <c r="AE501" s="0" t="s">
        <v>1559</v>
      </c>
      <c r="AH501" s="0" t="s">
        <v>180</v>
      </c>
      <c r="AJ501" s="0" t="s">
        <v>437</v>
      </c>
      <c r="AK501" s="0" t="s">
        <v>94</v>
      </c>
      <c r="AM501" s="0" t="s">
        <v>96</v>
      </c>
      <c r="AP501" s="0" t="s">
        <v>99</v>
      </c>
      <c r="AU501" s="0" t="s">
        <v>104</v>
      </c>
      <c r="AV501" s="0" t="s">
        <v>105</v>
      </c>
    </row>
    <row r="502" ht="24.75">
      <c r="B502" s="0" t="s">
        <v>1560</v>
      </c>
      <c r="C502" s="1" t="n">
        <v>353358</v>
      </c>
      <c r="E502" s="14" t="s">
        <v>183</v>
      </c>
      <c r="F502" s="14" t="s">
        <v>184</v>
      </c>
      <c r="G502" s="25" t="str">
        <f>HYPERLINK("http://vk.com/wall438296203_4281")</f>
      </c>
      <c r="H502" s="14" t="s">
        <v>170</v>
      </c>
      <c r="I502" s="14" t="s">
        <v>171</v>
      </c>
      <c r="J502" s="14" t="s">
        <v>1561</v>
      </c>
      <c r="K502" s="26" t="str">
        <f>HYPERLINK("http://vk.com/id438296203")</f>
      </c>
      <c r="L502" s="14" t="s">
        <v>173</v>
      </c>
      <c r="O502" s="1" t="s">
        <v>186</v>
      </c>
      <c r="P502" s="1" t="n">
        <v>70</v>
      </c>
      <c r="Q502" s="1" t="n">
        <v>37</v>
      </c>
      <c r="R502" s="1" t="n">
        <v>0</v>
      </c>
      <c r="S502" s="1"/>
      <c r="T502" s="1" t="n">
        <v>0</v>
      </c>
      <c r="U502" s="1" t="n">
        <v>0</v>
      </c>
      <c r="V502" s="1" t="n">
        <v>0</v>
      </c>
      <c r="W502" s="1"/>
      <c r="Y502" s="1" t="n">
        <v>62</v>
      </c>
      <c r="Z502" s="0" t="s">
        <v>175</v>
      </c>
      <c r="AA502" s="0" t="s">
        <v>187</v>
      </c>
      <c r="AH502" s="0" t="s">
        <v>180</v>
      </c>
      <c r="AJ502" s="0" t="s">
        <v>437</v>
      </c>
      <c r="AK502" s="0" t="s">
        <v>94</v>
      </c>
      <c r="AO502" s="0" t="s">
        <v>98</v>
      </c>
      <c r="AP502" s="0" t="s">
        <v>99</v>
      </c>
      <c r="AR502" s="0" t="s">
        <v>101</v>
      </c>
      <c r="BA502" s="0" t="s">
        <v>110</v>
      </c>
      <c r="BH502" s="0" t="s">
        <v>117</v>
      </c>
    </row>
    <row r="503">
      <c r="B503" s="0" t="s">
        <v>1562</v>
      </c>
      <c r="C503" s="1" t="n">
        <v>353486</v>
      </c>
      <c r="E503" s="14" t="s">
        <v>813</v>
      </c>
      <c r="F503" s="14" t="s">
        <v>169</v>
      </c>
      <c r="G503" s="25" t="str">
        <f>HYPERLINK("http://www.ok.ru/profile/552533904993/statuses/155137106096993")</f>
      </c>
      <c r="H503" s="14" t="s">
        <v>170</v>
      </c>
      <c r="I503" s="14" t="s">
        <v>194</v>
      </c>
      <c r="J503" s="14" t="s">
        <v>1563</v>
      </c>
      <c r="K503" s="26" t="str">
        <f>HYPERLINK("http://www.ok.ru/profile/552533904993")</f>
      </c>
      <c r="L503" s="14" t="s">
        <v>173</v>
      </c>
      <c r="O503" s="1" t="s">
        <v>186</v>
      </c>
      <c r="P503" s="1"/>
      <c r="Q503" s="1" t="n">
        <v>216</v>
      </c>
      <c r="R503" s="1" t="n">
        <v>0</v>
      </c>
      <c r="S503" s="1"/>
      <c r="T503" s="1" t="n">
        <v>1</v>
      </c>
      <c r="U503" s="1" t="n">
        <v>0</v>
      </c>
      <c r="V503" s="1" t="n">
        <v>1</v>
      </c>
      <c r="W503" s="1"/>
      <c r="Y503" s="1" t="n">
        <v>4</v>
      </c>
      <c r="Z503" s="0" t="s">
        <v>175</v>
      </c>
      <c r="AA503" s="0" t="s">
        <v>187</v>
      </c>
      <c r="AC503" s="0" t="s">
        <v>177</v>
      </c>
      <c r="AD503" s="0" t="s">
        <v>454</v>
      </c>
      <c r="AE503" s="0" t="s">
        <v>1564</v>
      </c>
      <c r="AH503" s="0" t="s">
        <v>180</v>
      </c>
      <c r="AJ503" s="0" t="s">
        <v>437</v>
      </c>
      <c r="AK503" s="0" t="s">
        <v>94</v>
      </c>
      <c r="AL503" s="0" t="s">
        <v>95</v>
      </c>
      <c r="AM503" s="0" t="s">
        <v>96</v>
      </c>
      <c r="BC503" s="0" t="s">
        <v>112</v>
      </c>
      <c r="BI503" s="0" t="s">
        <v>118</v>
      </c>
      <c r="BN503" s="0" t="s">
        <v>123</v>
      </c>
    </row>
    <row r="504" ht="24.75">
      <c r="B504" s="0" t="s">
        <v>1562</v>
      </c>
      <c r="C504" s="1" t="n">
        <v>353371</v>
      </c>
      <c r="E504" s="14" t="s">
        <v>183</v>
      </c>
      <c r="F504" s="14" t="s">
        <v>184</v>
      </c>
      <c r="G504" s="25" t="str">
        <f>HYPERLINK("http://vk.com/wall57789688_1659")</f>
      </c>
      <c r="H504" s="14" t="s">
        <v>170</v>
      </c>
      <c r="I504" s="14" t="s">
        <v>171</v>
      </c>
      <c r="J504" s="14" t="s">
        <v>1565</v>
      </c>
      <c r="K504" s="26" t="str">
        <f>HYPERLINK("http://vk.com/id57789688")</f>
      </c>
      <c r="L504" s="14" t="s">
        <v>173</v>
      </c>
      <c r="O504" s="1" t="s">
        <v>186</v>
      </c>
      <c r="P504" s="1" t="n">
        <v>50</v>
      </c>
      <c r="Q504" s="1" t="n">
        <v>159</v>
      </c>
      <c r="R504" s="1" t="n">
        <v>0</v>
      </c>
      <c r="S504" s="1"/>
      <c r="T504" s="1" t="n">
        <v>0</v>
      </c>
      <c r="U504" s="1" t="n">
        <v>0</v>
      </c>
      <c r="V504" s="1" t="n">
        <v>0</v>
      </c>
      <c r="W504" s="1" t="n">
        <v>4</v>
      </c>
      <c r="Y504" s="1" t="n">
        <v>62</v>
      </c>
      <c r="Z504" s="0" t="s">
        <v>175</v>
      </c>
      <c r="AA504" s="0" t="s">
        <v>187</v>
      </c>
      <c r="AC504" s="0" t="s">
        <v>177</v>
      </c>
      <c r="AD504" s="0" t="s">
        <v>240</v>
      </c>
      <c r="AE504" s="0" t="s">
        <v>240</v>
      </c>
      <c r="AH504" s="0" t="s">
        <v>180</v>
      </c>
      <c r="AJ504" s="0" t="s">
        <v>437</v>
      </c>
      <c r="AK504" s="0" t="s">
        <v>94</v>
      </c>
      <c r="AO504" s="0" t="s">
        <v>98</v>
      </c>
      <c r="AP504" s="0" t="s">
        <v>99</v>
      </c>
      <c r="AR504" s="0" t="s">
        <v>101</v>
      </c>
      <c r="BA504" s="0" t="s">
        <v>110</v>
      </c>
      <c r="BH504" s="0" t="s">
        <v>117</v>
      </c>
    </row>
    <row r="505">
      <c r="B505" s="0" t="s">
        <v>1562</v>
      </c>
      <c r="C505" s="1" t="n">
        <v>353351</v>
      </c>
      <c r="E505" s="14" t="s">
        <v>1566</v>
      </c>
      <c r="F505" s="14" t="s">
        <v>192</v>
      </c>
      <c r="G505" s="25" t="str">
        <f>HYPERLINK("https://telegram.me/covidgoodbye/255063")</f>
      </c>
      <c r="H505" s="14" t="s">
        <v>193</v>
      </c>
      <c r="I505" s="14" t="s">
        <v>194</v>
      </c>
      <c r="J505" s="14" t="s">
        <v>1567</v>
      </c>
      <c r="K505" s="26" t="str">
        <f>HYPERLINK("https://telegram.me/pavelvoronov")</f>
      </c>
      <c r="L505" s="14" t="s">
        <v>173</v>
      </c>
      <c r="M505" s="14" t="s">
        <v>1295</v>
      </c>
      <c r="N505" s="25" t="str">
        <f>HYPERLINK("https://telegram.me/covidgoodbye")</f>
      </c>
      <c r="O505" s="1" t="s">
        <v>174</v>
      </c>
      <c r="P505" s="1"/>
      <c r="Q505" s="1" t="n">
        <v>250</v>
      </c>
      <c r="R505" s="1" t="n">
        <v>0</v>
      </c>
      <c r="S505" s="1"/>
      <c r="T505" s="1" t="n">
        <v>0</v>
      </c>
      <c r="U505" s="1" t="n">
        <v>0</v>
      </c>
      <c r="V505" s="1" t="n">
        <v>0</v>
      </c>
      <c r="W505" s="1"/>
      <c r="Y505" s="1" t="n">
        <v>1</v>
      </c>
      <c r="Z505" s="0" t="s">
        <v>175</v>
      </c>
      <c r="AA505" s="0" t="s">
        <v>187</v>
      </c>
      <c r="AH505" s="0" t="s">
        <v>180</v>
      </c>
      <c r="AI505" s="0" t="s">
        <v>92</v>
      </c>
      <c r="AJ505" s="0" t="s">
        <v>437</v>
      </c>
      <c r="AK505" s="0" t="s">
        <v>94</v>
      </c>
      <c r="AN505" s="0" t="s">
        <v>97</v>
      </c>
      <c r="AP505" s="0" t="s">
        <v>99</v>
      </c>
      <c r="AT505" s="0" t="s">
        <v>103</v>
      </c>
      <c r="BE505" s="0" t="s">
        <v>114</v>
      </c>
      <c r="BG505" s="0" t="s">
        <v>116</v>
      </c>
      <c r="BJ505" s="0" t="s">
        <v>119</v>
      </c>
    </row>
    <row r="506" ht="24.75">
      <c r="B506" s="0" t="s">
        <v>1568</v>
      </c>
      <c r="C506" s="1" t="n">
        <v>354150</v>
      </c>
      <c r="E506" s="14" t="s">
        <v>1102</v>
      </c>
      <c r="F506" s="14" t="s">
        <v>169</v>
      </c>
      <c r="G506" s="25" t="str">
        <f>HYPERLINK("http://www.ok.ru/profile/570267295846/statuses/155237373077606")</f>
      </c>
      <c r="H506" s="14" t="s">
        <v>170</v>
      </c>
      <c r="I506" s="14" t="s">
        <v>171</v>
      </c>
      <c r="J506" s="14" t="s">
        <v>1569</v>
      </c>
      <c r="K506" s="26" t="str">
        <f>HYPERLINK("http://www.ok.ru/profile/570267295846")</f>
      </c>
      <c r="L506" s="14" t="s">
        <v>173</v>
      </c>
      <c r="O506" s="1" t="s">
        <v>174</v>
      </c>
      <c r="P506" s="1" t="n">
        <v>67</v>
      </c>
      <c r="Q506" s="1" t="n">
        <v>52</v>
      </c>
      <c r="R506" s="1" t="n">
        <v>0</v>
      </c>
      <c r="S506" s="1"/>
      <c r="T506" s="1" t="n">
        <v>0</v>
      </c>
      <c r="U506" s="1" t="n">
        <v>0</v>
      </c>
      <c r="V506" s="1" t="n">
        <v>0</v>
      </c>
      <c r="W506" s="1"/>
      <c r="Y506" s="1" t="n">
        <v>92</v>
      </c>
      <c r="Z506" s="0" t="s">
        <v>175</v>
      </c>
      <c r="AA506" s="0" t="s">
        <v>187</v>
      </c>
      <c r="AC506" s="0" t="s">
        <v>177</v>
      </c>
      <c r="AD506" s="0" t="s">
        <v>1023</v>
      </c>
      <c r="AE506" s="0" t="s">
        <v>1024</v>
      </c>
      <c r="AH506" s="0" t="s">
        <v>180</v>
      </c>
      <c r="AJ506" s="0" t="s">
        <v>181</v>
      </c>
      <c r="AK506" s="0" t="s">
        <v>94</v>
      </c>
      <c r="AM506" s="0" t="s">
        <v>96</v>
      </c>
      <c r="AN506" s="0" t="s">
        <v>97</v>
      </c>
      <c r="AS506" s="0" t="s">
        <v>102</v>
      </c>
      <c r="AU506" s="0" t="s">
        <v>104</v>
      </c>
      <c r="AV506" s="0" t="s">
        <v>105</v>
      </c>
      <c r="AW506" s="0" t="s">
        <v>106</v>
      </c>
      <c r="BE506" s="0" t="s">
        <v>114</v>
      </c>
      <c r="BL506" s="0" t="s">
        <v>121</v>
      </c>
      <c r="BO506" s="0" t="s">
        <v>124</v>
      </c>
    </row>
    <row r="507" ht="804.75">
      <c r="B507" s="0" t="s">
        <v>1568</v>
      </c>
      <c r="C507" s="1" t="n">
        <v>353360</v>
      </c>
      <c r="E507" s="14" t="s">
        <v>1570</v>
      </c>
      <c r="F507" s="14" t="s">
        <v>184</v>
      </c>
      <c r="G507" s="25" t="str">
        <f>HYPERLINK("http://vk.com/wall765221912_4")</f>
      </c>
      <c r="H507" s="14" t="s">
        <v>170</v>
      </c>
      <c r="I507" s="14" t="s">
        <v>171</v>
      </c>
      <c r="J507" s="14" t="s">
        <v>1571</v>
      </c>
      <c r="K507" s="26" t="str">
        <f>HYPERLINK("http://vk.com/id765221912")</f>
      </c>
      <c r="L507" s="14" t="s">
        <v>173</v>
      </c>
      <c r="O507" s="1" t="s">
        <v>186</v>
      </c>
      <c r="P507" s="1" t="n">
        <v>59</v>
      </c>
      <c r="Q507" s="1" t="n">
        <v>5</v>
      </c>
      <c r="R507" s="1" t="n">
        <v>0</v>
      </c>
      <c r="S507" s="1"/>
      <c r="T507" s="1" t="n">
        <v>0</v>
      </c>
      <c r="U507" s="1" t="n">
        <v>0</v>
      </c>
      <c r="V507" s="1" t="n">
        <v>0</v>
      </c>
      <c r="W507" s="1" t="n">
        <v>1</v>
      </c>
      <c r="Y507" s="1" t="n">
        <v>1</v>
      </c>
      <c r="Z507" s="0" t="s">
        <v>175</v>
      </c>
      <c r="AA507" s="0" t="s">
        <v>176</v>
      </c>
      <c r="AH507" s="0" t="s">
        <v>180</v>
      </c>
      <c r="AJ507" s="0" t="s">
        <v>437</v>
      </c>
      <c r="AK507" s="0" t="s">
        <v>94</v>
      </c>
      <c r="AP507" s="0" t="s">
        <v>99</v>
      </c>
      <c r="AR507" s="0" t="s">
        <v>101</v>
      </c>
      <c r="BA507" s="0" t="s">
        <v>110</v>
      </c>
      <c r="BF507" s="0" t="s">
        <v>115</v>
      </c>
      <c r="BW507" s="0" t="s">
        <v>132</v>
      </c>
    </row>
    <row r="508" ht="24.75">
      <c r="B508" s="0" t="s">
        <v>1568</v>
      </c>
      <c r="C508" s="1" t="n">
        <v>354151</v>
      </c>
      <c r="E508" s="14" t="s">
        <v>1356</v>
      </c>
      <c r="F508" s="14" t="s">
        <v>169</v>
      </c>
      <c r="G508" s="25" t="str">
        <f>HYPERLINK("http://www.ok.ru/profile/561165442806/statuses/156184555878646")</f>
      </c>
      <c r="H508" s="14" t="s">
        <v>170</v>
      </c>
      <c r="I508" s="14" t="s">
        <v>171</v>
      </c>
      <c r="J508" s="14" t="s">
        <v>1572</v>
      </c>
      <c r="K508" s="26" t="str">
        <f>HYPERLINK("http://www.ok.ru/profile/561165442806")</f>
      </c>
      <c r="L508" s="14" t="s">
        <v>173</v>
      </c>
      <c r="O508" s="1" t="s">
        <v>186</v>
      </c>
      <c r="P508" s="1" t="n">
        <v>68</v>
      </c>
      <c r="Q508" s="1" t="n">
        <v>146</v>
      </c>
      <c r="R508" s="1" t="n">
        <v>0</v>
      </c>
      <c r="S508" s="1"/>
      <c r="T508" s="1" t="n">
        <v>0</v>
      </c>
      <c r="U508" s="1" t="n">
        <v>0</v>
      </c>
      <c r="V508" s="1" t="n">
        <v>0</v>
      </c>
      <c r="W508" s="1"/>
      <c r="Y508" s="1" t="n">
        <v>92</v>
      </c>
      <c r="Z508" s="0" t="s">
        <v>175</v>
      </c>
      <c r="AA508" s="0" t="s">
        <v>187</v>
      </c>
      <c r="AC508" s="0" t="s">
        <v>177</v>
      </c>
      <c r="AD508" s="0" t="s">
        <v>402</v>
      </c>
      <c r="AE508" s="0" t="s">
        <v>1573</v>
      </c>
      <c r="AH508" s="0" t="s">
        <v>180</v>
      </c>
      <c r="AJ508" s="0" t="s">
        <v>181</v>
      </c>
      <c r="AK508" s="0" t="s">
        <v>94</v>
      </c>
      <c r="AM508" s="0" t="s">
        <v>96</v>
      </c>
      <c r="AN508" s="0" t="s">
        <v>97</v>
      </c>
      <c r="AS508" s="0" t="s">
        <v>102</v>
      </c>
      <c r="AU508" s="0" t="s">
        <v>104</v>
      </c>
      <c r="AV508" s="0" t="s">
        <v>105</v>
      </c>
      <c r="AW508" s="0" t="s">
        <v>106</v>
      </c>
      <c r="BE508" s="0" t="s">
        <v>114</v>
      </c>
      <c r="BL508" s="0" t="s">
        <v>121</v>
      </c>
      <c r="BO508" s="0" t="s">
        <v>124</v>
      </c>
    </row>
    <row r="509">
      <c r="B509" s="0" t="s">
        <v>1568</v>
      </c>
      <c r="C509" s="1" t="n">
        <v>353359</v>
      </c>
      <c r="E509" s="14" t="s">
        <v>1574</v>
      </c>
      <c r="F509" s="14" t="s">
        <v>184</v>
      </c>
      <c r="G509" s="25" t="str">
        <f>HYPERLINK("http://vk.com/wall-115360655_1077226?reply=1078153&amp;thread=1077406")</f>
      </c>
      <c r="H509" s="14" t="s">
        <v>170</v>
      </c>
      <c r="I509" s="14" t="s">
        <v>231</v>
      </c>
      <c r="J509" s="14" t="s">
        <v>1575</v>
      </c>
      <c r="K509" s="26" t="str">
        <f>HYPERLINK("http://vk.com/id313362653")</f>
      </c>
      <c r="L509" s="14" t="s">
        <v>173</v>
      </c>
      <c r="M509" s="14" t="s">
        <v>1576</v>
      </c>
      <c r="N509" s="25" t="str">
        <f>HYPERLINK("http://vk.com/club115360655")</f>
      </c>
      <c r="O509" s="1" t="s">
        <v>186</v>
      </c>
      <c r="P509" s="1" t="n">
        <v>43</v>
      </c>
      <c r="Q509" s="1" t="n">
        <v>26413</v>
      </c>
      <c r="R509" s="1" t="n">
        <v>0</v>
      </c>
      <c r="S509" s="1"/>
      <c r="T509" s="1" t="n">
        <v>0</v>
      </c>
      <c r="U509" s="1" t="n">
        <v>0</v>
      </c>
      <c r="V509" s="1" t="n">
        <v>0</v>
      </c>
      <c r="W509" s="1"/>
      <c r="Y509" s="1" t="n">
        <v>1</v>
      </c>
      <c r="Z509" s="0" t="s">
        <v>319</v>
      </c>
      <c r="AA509" s="0" t="s">
        <v>187</v>
      </c>
      <c r="AC509" s="0" t="s">
        <v>177</v>
      </c>
      <c r="AD509" s="0" t="s">
        <v>1577</v>
      </c>
      <c r="AE509" s="0" t="s">
        <v>1578</v>
      </c>
      <c r="AH509" s="0" t="s">
        <v>180</v>
      </c>
      <c r="AI509" s="0" t="s">
        <v>92</v>
      </c>
      <c r="AJ509" s="0" t="s">
        <v>437</v>
      </c>
      <c r="AK509" s="0" t="s">
        <v>94</v>
      </c>
      <c r="AN509" s="0" t="s">
        <v>97</v>
      </c>
      <c r="AP509" s="0" t="s">
        <v>99</v>
      </c>
      <c r="AT509" s="0" t="s">
        <v>103</v>
      </c>
      <c r="BB509" s="0" t="s">
        <v>111</v>
      </c>
      <c r="BN509" s="0" t="s">
        <v>123</v>
      </c>
    </row>
    <row r="510" ht="24.75">
      <c r="B510" s="0" t="s">
        <v>1568</v>
      </c>
      <c r="C510" s="1" t="n">
        <v>353361</v>
      </c>
      <c r="E510" s="14" t="s">
        <v>183</v>
      </c>
      <c r="F510" s="14" t="s">
        <v>184</v>
      </c>
      <c r="G510" s="25" t="str">
        <f>HYPERLINK("http://vk.com/wall147190197_907")</f>
      </c>
      <c r="H510" s="14" t="s">
        <v>170</v>
      </c>
      <c r="I510" s="14" t="s">
        <v>171</v>
      </c>
      <c r="J510" s="14" t="s">
        <v>1579</v>
      </c>
      <c r="K510" s="26" t="str">
        <f>HYPERLINK("http://vk.com/id147190197")</f>
      </c>
      <c r="L510" s="14" t="s">
        <v>173</v>
      </c>
      <c r="O510" s="1" t="s">
        <v>186</v>
      </c>
      <c r="P510" s="1"/>
      <c r="Q510" s="1" t="n">
        <v>136</v>
      </c>
      <c r="R510" s="1" t="n">
        <v>0</v>
      </c>
      <c r="S510" s="1"/>
      <c r="T510" s="1" t="n">
        <v>0</v>
      </c>
      <c r="U510" s="1" t="n">
        <v>0</v>
      </c>
      <c r="V510" s="1" t="n">
        <v>0</v>
      </c>
      <c r="W510" s="1"/>
      <c r="Y510" s="1" t="n">
        <v>62</v>
      </c>
      <c r="Z510" s="0" t="s">
        <v>175</v>
      </c>
      <c r="AA510" s="0" t="s">
        <v>187</v>
      </c>
      <c r="AC510" s="0" t="s">
        <v>177</v>
      </c>
      <c r="AD510" s="0" t="s">
        <v>1580</v>
      </c>
      <c r="AE510" s="0" t="s">
        <v>1581</v>
      </c>
      <c r="AH510" s="0" t="s">
        <v>180</v>
      </c>
      <c r="AJ510" s="0" t="s">
        <v>437</v>
      </c>
      <c r="AK510" s="0" t="s">
        <v>94</v>
      </c>
      <c r="AO510" s="0" t="s">
        <v>98</v>
      </c>
      <c r="AP510" s="0" t="s">
        <v>99</v>
      </c>
      <c r="AR510" s="0" t="s">
        <v>101</v>
      </c>
      <c r="BA510" s="0" t="s">
        <v>110</v>
      </c>
      <c r="BH510" s="0" t="s">
        <v>117</v>
      </c>
    </row>
    <row r="511" ht="36.75">
      <c r="B511" s="0" t="s">
        <v>1582</v>
      </c>
      <c r="C511" s="1" t="n">
        <v>353365</v>
      </c>
      <c r="E511" s="14" t="s">
        <v>1583</v>
      </c>
      <c r="F511" s="14" t="s">
        <v>184</v>
      </c>
      <c r="G511" s="25" t="str">
        <f>HYPERLINK("http://vk.com/wall137856356_2359")</f>
      </c>
      <c r="H511" s="14" t="s">
        <v>170</v>
      </c>
      <c r="I511" s="14" t="s">
        <v>171</v>
      </c>
      <c r="J511" s="14" t="s">
        <v>1584</v>
      </c>
      <c r="K511" s="26" t="str">
        <f>HYPERLINK("http://vk.com/id137856356")</f>
      </c>
      <c r="L511" s="14" t="s">
        <v>173</v>
      </c>
      <c r="O511" s="1" t="s">
        <v>186</v>
      </c>
      <c r="P511" s="1" t="n">
        <v>56</v>
      </c>
      <c r="Q511" s="1" t="n">
        <v>72</v>
      </c>
      <c r="R511" s="1" t="n">
        <v>0</v>
      </c>
      <c r="S511" s="1"/>
      <c r="T511" s="1" t="n">
        <v>0</v>
      </c>
      <c r="U511" s="1" t="n">
        <v>0</v>
      </c>
      <c r="V511" s="1" t="n">
        <v>0</v>
      </c>
      <c r="W511" s="1"/>
      <c r="Y511" s="1" t="n">
        <v>1</v>
      </c>
      <c r="Z511" s="0" t="s">
        <v>175</v>
      </c>
      <c r="AA511" s="0" t="s">
        <v>187</v>
      </c>
      <c r="AC511" s="0" t="s">
        <v>177</v>
      </c>
      <c r="AD511" s="0" t="s">
        <v>1058</v>
      </c>
      <c r="AE511" s="0" t="s">
        <v>1585</v>
      </c>
      <c r="AH511" s="0" t="s">
        <v>180</v>
      </c>
      <c r="AJ511" s="0" t="s">
        <v>437</v>
      </c>
      <c r="AK511" s="0" t="s">
        <v>94</v>
      </c>
      <c r="AL511" s="0" t="s">
        <v>95</v>
      </c>
      <c r="AM511" s="0" t="s">
        <v>96</v>
      </c>
      <c r="BC511" s="0" t="s">
        <v>112</v>
      </c>
      <c r="BI511" s="0" t="s">
        <v>118</v>
      </c>
      <c r="BN511" s="0" t="s">
        <v>123</v>
      </c>
    </row>
    <row r="512" ht="924.75">
      <c r="B512" s="0" t="s">
        <v>1586</v>
      </c>
      <c r="C512" s="1" t="n">
        <v>353355</v>
      </c>
      <c r="E512" s="14" t="s">
        <v>780</v>
      </c>
      <c r="F512" s="14" t="s">
        <v>184</v>
      </c>
      <c r="G512" s="25" t="str">
        <f>HYPERLINK("http://vk.com/wall704667220_49")</f>
      </c>
      <c r="H512" s="14" t="s">
        <v>170</v>
      </c>
      <c r="I512" s="14" t="s">
        <v>171</v>
      </c>
      <c r="J512" s="14" t="s">
        <v>1587</v>
      </c>
      <c r="K512" s="26" t="str">
        <f>HYPERLINK("http://vk.com/id704667220")</f>
      </c>
      <c r="L512" s="14" t="s">
        <v>173</v>
      </c>
      <c r="O512" s="1" t="s">
        <v>186</v>
      </c>
      <c r="P512" s="1" t="n">
        <v>58</v>
      </c>
      <c r="Q512" s="1" t="n">
        <v>67</v>
      </c>
      <c r="R512" s="1" t="n">
        <v>0</v>
      </c>
      <c r="S512" s="1"/>
      <c r="T512" s="1" t="n">
        <v>0</v>
      </c>
      <c r="U512" s="1" t="n">
        <v>0</v>
      </c>
      <c r="V512" s="1" t="n">
        <v>0</v>
      </c>
      <c r="W512" s="1" t="n">
        <v>1</v>
      </c>
      <c r="Y512" s="1" t="n">
        <v>5</v>
      </c>
      <c r="Z512" s="0" t="s">
        <v>175</v>
      </c>
      <c r="AA512" s="0" t="s">
        <v>187</v>
      </c>
      <c r="AH512" s="0" t="s">
        <v>180</v>
      </c>
      <c r="AJ512" s="0" t="s">
        <v>437</v>
      </c>
      <c r="AK512" s="0" t="s">
        <v>94</v>
      </c>
      <c r="AM512" s="0" t="s">
        <v>96</v>
      </c>
      <c r="AP512" s="0" t="s">
        <v>99</v>
      </c>
      <c r="AQ512" s="0" t="s">
        <v>100</v>
      </c>
    </row>
    <row r="513">
      <c r="B513" s="0" t="s">
        <v>1588</v>
      </c>
      <c r="C513" s="1" t="n">
        <v>353340</v>
      </c>
      <c r="E513" s="14" t="s">
        <v>1589</v>
      </c>
      <c r="F513" s="14" t="s">
        <v>184</v>
      </c>
      <c r="G513" s="25" t="str">
        <f>HYPERLINK("http://vk.com/wall-157771437_610132?reply=610139")</f>
      </c>
      <c r="H513" s="14" t="s">
        <v>170</v>
      </c>
      <c r="I513" s="14" t="s">
        <v>231</v>
      </c>
      <c r="J513" s="14" t="s">
        <v>1590</v>
      </c>
      <c r="K513" s="26" t="str">
        <f>HYPERLINK("http://vk.com/id647832699")</f>
      </c>
      <c r="L513" s="14" t="s">
        <v>173</v>
      </c>
      <c r="M513" s="14" t="s">
        <v>573</v>
      </c>
      <c r="N513" s="25" t="str">
        <f>HYPERLINK("http://vk.com/club157771437")</f>
      </c>
      <c r="O513" s="1" t="s">
        <v>186</v>
      </c>
      <c r="P513" s="1" t="n">
        <v>72</v>
      </c>
      <c r="Q513" s="1" t="n">
        <v>28605</v>
      </c>
      <c r="R513" s="1" t="n">
        <v>0</v>
      </c>
      <c r="S513" s="1"/>
      <c r="T513" s="1" t="n">
        <v>0</v>
      </c>
      <c r="U513" s="1" t="n">
        <v>0</v>
      </c>
      <c r="V513" s="1" t="n">
        <v>0</v>
      </c>
      <c r="W513" s="1"/>
      <c r="Y513" s="1" t="n">
        <v>1</v>
      </c>
      <c r="Z513" s="0" t="s">
        <v>319</v>
      </c>
      <c r="AA513" s="0" t="s">
        <v>187</v>
      </c>
      <c r="AH513" s="0" t="s">
        <v>180</v>
      </c>
      <c r="AJ513" s="0" t="s">
        <v>437</v>
      </c>
      <c r="AK513" s="0" t="s">
        <v>94</v>
      </c>
      <c r="AN513" s="0" t="s">
        <v>97</v>
      </c>
      <c r="AP513" s="0" t="s">
        <v>99</v>
      </c>
      <c r="BE513" s="0" t="s">
        <v>114</v>
      </c>
      <c r="BJ513" s="0" t="s">
        <v>119</v>
      </c>
      <c r="CF513" s="0" t="s">
        <v>141</v>
      </c>
    </row>
    <row r="514" ht="120.75">
      <c r="B514" s="0" t="s">
        <v>1588</v>
      </c>
      <c r="C514" s="1" t="n">
        <v>353430</v>
      </c>
      <c r="D514" s="0" t="s">
        <v>1395</v>
      </c>
      <c r="E514" s="14" t="s">
        <v>1591</v>
      </c>
      <c r="F514" s="14" t="s">
        <v>1340</v>
      </c>
      <c r="G514" s="25" t="str">
        <f>HYPERLINK("https://omsk-news.net/society/2023/04/14/476658.html")</f>
      </c>
      <c r="H514" s="14" t="s">
        <v>208</v>
      </c>
      <c r="I514" s="14" t="s">
        <v>194</v>
      </c>
      <c r="J514" s="14"/>
      <c r="L514" s="14"/>
      <c r="O514" s="1"/>
      <c r="P514" s="1"/>
      <c r="Q514" s="1"/>
      <c r="R514" s="1" t="n">
        <v>0</v>
      </c>
      <c r="S514" s="1" t="n">
        <v>8610</v>
      </c>
      <c r="T514" s="1" t="n">
        <v>0</v>
      </c>
      <c r="U514" s="1" t="n">
        <v>0</v>
      </c>
      <c r="V514" s="1" t="n">
        <v>0</v>
      </c>
      <c r="W514" s="1"/>
      <c r="Y514" s="1" t="n">
        <v>1</v>
      </c>
      <c r="Z514" s="0" t="s">
        <v>175</v>
      </c>
      <c r="AA514" s="0" t="s">
        <v>223</v>
      </c>
      <c r="AH514" s="0" t="s">
        <v>180</v>
      </c>
      <c r="AJ514" s="0" t="s">
        <v>437</v>
      </c>
      <c r="AK514" s="0" t="s">
        <v>94</v>
      </c>
      <c r="AL514" s="0" t="s">
        <v>95</v>
      </c>
      <c r="BD514" s="0" t="s">
        <v>113</v>
      </c>
      <c r="BJ514" s="0" t="s">
        <v>119</v>
      </c>
      <c r="BK514" s="0" t="s">
        <v>120</v>
      </c>
    </row>
    <row r="515">
      <c r="B515" s="0" t="s">
        <v>1592</v>
      </c>
      <c r="C515" s="1" t="n">
        <v>353445</v>
      </c>
      <c r="D515" s="0" t="s">
        <v>1476</v>
      </c>
      <c r="E515" s="14" t="s">
        <v>1593</v>
      </c>
      <c r="F515" s="14" t="s">
        <v>1095</v>
      </c>
      <c r="G515" s="25" t="str">
        <f>HYPERLINK("https://news.myseldon.com/ru/news/index/282041163")</f>
      </c>
      <c r="H515" s="14" t="s">
        <v>208</v>
      </c>
      <c r="I515" s="14" t="s">
        <v>194</v>
      </c>
      <c r="J515" s="14"/>
      <c r="L515" s="14"/>
      <c r="O515" s="1"/>
      <c r="P515" s="1"/>
      <c r="Q515" s="1"/>
      <c r="R515" s="1" t="n">
        <v>0</v>
      </c>
      <c r="S515" s="1" t="n">
        <v>3034</v>
      </c>
      <c r="T515" s="1" t="n">
        <v>0</v>
      </c>
      <c r="U515" s="1" t="n">
        <v>0</v>
      </c>
      <c r="V515" s="1" t="n">
        <v>0</v>
      </c>
      <c r="W515" s="1"/>
      <c r="Y515" s="1" t="n">
        <v>2</v>
      </c>
      <c r="Z515" s="0" t="s">
        <v>175</v>
      </c>
      <c r="AA515" s="0" t="s">
        <v>176</v>
      </c>
      <c r="AH515" s="0" t="s">
        <v>180</v>
      </c>
      <c r="AJ515" s="0" t="s">
        <v>437</v>
      </c>
      <c r="AM515" s="0" t="s">
        <v>96</v>
      </c>
      <c r="AP515" s="0" t="s">
        <v>99</v>
      </c>
      <c r="BD515" s="0" t="s">
        <v>113</v>
      </c>
    </row>
    <row r="516" ht="24.75">
      <c r="B516" s="0" t="s">
        <v>1594</v>
      </c>
      <c r="C516" s="1" t="n">
        <v>353344</v>
      </c>
      <c r="E516" s="14" t="s">
        <v>183</v>
      </c>
      <c r="F516" s="14" t="s">
        <v>184</v>
      </c>
      <c r="G516" s="25" t="str">
        <f>HYPERLINK("http://vk.com/wall782213686_6276")</f>
      </c>
      <c r="H516" s="14" t="s">
        <v>170</v>
      </c>
      <c r="I516" s="14" t="s">
        <v>171</v>
      </c>
      <c r="J516" s="14" t="s">
        <v>1595</v>
      </c>
      <c r="K516" s="26" t="str">
        <f>HYPERLINK("http://vk.com/id782213686")</f>
      </c>
      <c r="L516" s="14" t="s">
        <v>173</v>
      </c>
      <c r="O516" s="1" t="s">
        <v>174</v>
      </c>
      <c r="P516" s="1" t="n">
        <v>71</v>
      </c>
      <c r="Q516" s="1" t="n">
        <v>23</v>
      </c>
      <c r="R516" s="1" t="n">
        <v>0</v>
      </c>
      <c r="S516" s="1"/>
      <c r="T516" s="1" t="n">
        <v>0</v>
      </c>
      <c r="U516" s="1" t="n">
        <v>0</v>
      </c>
      <c r="V516" s="1" t="n">
        <v>0</v>
      </c>
      <c r="W516" s="1"/>
      <c r="Y516" s="1" t="n">
        <v>62</v>
      </c>
      <c r="Z516" s="0" t="s">
        <v>175</v>
      </c>
      <c r="AA516" s="0" t="s">
        <v>187</v>
      </c>
      <c r="AH516" s="0" t="s">
        <v>180</v>
      </c>
      <c r="AJ516" s="0" t="s">
        <v>437</v>
      </c>
      <c r="AK516" s="0" t="s">
        <v>94</v>
      </c>
      <c r="AO516" s="0" t="s">
        <v>98</v>
      </c>
      <c r="AP516" s="0" t="s">
        <v>99</v>
      </c>
      <c r="AR516" s="0" t="s">
        <v>101</v>
      </c>
      <c r="BA516" s="0" t="s">
        <v>110</v>
      </c>
      <c r="BH516" s="0" t="s">
        <v>117</v>
      </c>
    </row>
    <row r="517" ht="156.75">
      <c r="B517" s="0" t="s">
        <v>1594</v>
      </c>
      <c r="C517" s="1" t="n">
        <v>353347</v>
      </c>
      <c r="E517" s="14" t="s">
        <v>442</v>
      </c>
      <c r="F517" s="14" t="s">
        <v>184</v>
      </c>
      <c r="G517" s="25" t="str">
        <f>HYPERLINK("http://vk.com/wall795922091_19")</f>
      </c>
      <c r="H517" s="14" t="s">
        <v>170</v>
      </c>
      <c r="I517" s="14" t="s">
        <v>171</v>
      </c>
      <c r="J517" s="14" t="s">
        <v>1596</v>
      </c>
      <c r="K517" s="26" t="str">
        <f>HYPERLINK("http://vk.com/id795922091")</f>
      </c>
      <c r="L517" s="14" t="s">
        <v>173</v>
      </c>
      <c r="O517" s="1" t="s">
        <v>186</v>
      </c>
      <c r="P517" s="1" t="n">
        <v>25</v>
      </c>
      <c r="Q517" s="1"/>
      <c r="R517" s="1" t="n">
        <v>0</v>
      </c>
      <c r="S517" s="1"/>
      <c r="T517" s="1" t="n">
        <v>0</v>
      </c>
      <c r="U517" s="1" t="n">
        <v>0</v>
      </c>
      <c r="V517" s="1" t="n">
        <v>0</v>
      </c>
      <c r="W517" s="1" t="n">
        <v>2</v>
      </c>
      <c r="Y517" s="1" t="n">
        <v>6</v>
      </c>
      <c r="Z517" s="0" t="s">
        <v>175</v>
      </c>
      <c r="AA517" s="0" t="s">
        <v>292</v>
      </c>
      <c r="AH517" s="0" t="s">
        <v>180</v>
      </c>
      <c r="AJ517" s="0" t="s">
        <v>437</v>
      </c>
      <c r="AK517" s="0" t="s">
        <v>94</v>
      </c>
      <c r="AN517" s="0" t="s">
        <v>97</v>
      </c>
      <c r="AP517" s="0" t="s">
        <v>99</v>
      </c>
      <c r="AS517" s="0" t="s">
        <v>102</v>
      </c>
      <c r="AT517" s="0" t="s">
        <v>103</v>
      </c>
      <c r="BK517" s="0" t="s">
        <v>120</v>
      </c>
      <c r="BM517" s="0" t="s">
        <v>122</v>
      </c>
      <c r="BN517" s="0" t="s">
        <v>123</v>
      </c>
    </row>
    <row r="518" ht="24.75">
      <c r="B518" s="0" t="s">
        <v>1594</v>
      </c>
      <c r="C518" s="1" t="n">
        <v>353345</v>
      </c>
      <c r="E518" s="14" t="s">
        <v>1597</v>
      </c>
      <c r="F518" s="14" t="s">
        <v>184</v>
      </c>
      <c r="G518" s="25" t="str">
        <f>HYPERLINK("http://vk.com/wall591045721_126")</f>
      </c>
      <c r="H518" s="14" t="s">
        <v>170</v>
      </c>
      <c r="I518" s="14" t="s">
        <v>290</v>
      </c>
      <c r="J518" s="14" t="s">
        <v>1598</v>
      </c>
      <c r="K518" s="26" t="str">
        <f>HYPERLINK("http://vk.com/id591045721")</f>
      </c>
      <c r="L518" s="14" t="s">
        <v>173</v>
      </c>
      <c r="O518" s="1" t="s">
        <v>186</v>
      </c>
      <c r="P518" s="1" t="n">
        <v>61</v>
      </c>
      <c r="Q518" s="1" t="n">
        <v>316</v>
      </c>
      <c r="R518" s="1" t="n">
        <v>0</v>
      </c>
      <c r="S518" s="1"/>
      <c r="T518" s="1" t="n">
        <v>0</v>
      </c>
      <c r="U518" s="1" t="n">
        <v>0</v>
      </c>
      <c r="V518" s="1" t="n">
        <v>0</v>
      </c>
      <c r="W518" s="1" t="n">
        <v>7</v>
      </c>
      <c r="Y518" s="1" t="n">
        <v>1</v>
      </c>
      <c r="Z518" s="0" t="s">
        <v>175</v>
      </c>
      <c r="AA518" s="0" t="s">
        <v>187</v>
      </c>
      <c r="AH518" s="0" t="s">
        <v>180</v>
      </c>
      <c r="AJ518" s="0" t="s">
        <v>437</v>
      </c>
      <c r="AK518" s="0" t="s">
        <v>94</v>
      </c>
      <c r="AO518" s="0" t="s">
        <v>98</v>
      </c>
      <c r="AP518" s="0" t="s">
        <v>99</v>
      </c>
      <c r="AR518" s="0" t="s">
        <v>101</v>
      </c>
      <c r="BA518" s="0" t="s">
        <v>110</v>
      </c>
      <c r="BH518" s="0" t="s">
        <v>117</v>
      </c>
    </row>
    <row r="519">
      <c r="B519" s="0" t="s">
        <v>1594</v>
      </c>
      <c r="C519" s="1" t="n">
        <v>353503</v>
      </c>
      <c r="E519" s="14" t="s">
        <v>1599</v>
      </c>
      <c r="F519" s="14" t="s">
        <v>192</v>
      </c>
      <c r="G519" s="25" t="str">
        <f>HYPERLINK("https://telegram.me/MedicalTajikistan/5712")</f>
      </c>
      <c r="H519" s="14" t="s">
        <v>193</v>
      </c>
      <c r="I519" s="14" t="s">
        <v>194</v>
      </c>
      <c r="J519" s="14" t="s">
        <v>1600</v>
      </c>
      <c r="K519" s="26" t="str">
        <f>HYPERLINK("https://telegram.me/foreveryoungiwannabe23")</f>
      </c>
      <c r="L519" s="14" t="s">
        <v>173</v>
      </c>
      <c r="M519" s="14" t="s">
        <v>1601</v>
      </c>
      <c r="N519" s="25" t="str">
        <f>HYPERLINK("https://telegram.me/MedicalTajikistan")</f>
      </c>
      <c r="O519" s="1" t="s">
        <v>174</v>
      </c>
      <c r="P519" s="1"/>
      <c r="Q519" s="1" t="n">
        <v>2283</v>
      </c>
      <c r="R519" s="1" t="n">
        <v>0</v>
      </c>
      <c r="S519" s="1"/>
      <c r="T519" s="1" t="n">
        <v>0</v>
      </c>
      <c r="U519" s="1" t="n">
        <v>0</v>
      </c>
      <c r="V519" s="1" t="n">
        <v>0</v>
      </c>
      <c r="W519" s="1"/>
      <c r="Y519" s="1" t="n">
        <v>1</v>
      </c>
      <c r="Z519" s="0" t="s">
        <v>319</v>
      </c>
      <c r="AA519" s="0" t="s">
        <v>187</v>
      </c>
      <c r="AH519" s="0" t="s">
        <v>180</v>
      </c>
      <c r="AJ519" s="0" t="s">
        <v>437</v>
      </c>
      <c r="AK519" s="0" t="s">
        <v>94</v>
      </c>
      <c r="AN519" s="0" t="s">
        <v>97</v>
      </c>
      <c r="AP519" s="0" t="s">
        <v>99</v>
      </c>
      <c r="AT519" s="0" t="s">
        <v>103</v>
      </c>
      <c r="BE519" s="0" t="s">
        <v>114</v>
      </c>
      <c r="BJ519" s="0" t="s">
        <v>119</v>
      </c>
    </row>
    <row r="520" ht="96.75">
      <c r="B520" s="0" t="s">
        <v>1602</v>
      </c>
      <c r="C520" s="1" t="n">
        <v>353348</v>
      </c>
      <c r="E520" s="14" t="s">
        <v>1603</v>
      </c>
      <c r="F520" s="14" t="s">
        <v>184</v>
      </c>
      <c r="G520" s="25" t="str">
        <f>HYPERLINK("http://vk.com/wall-89459809_144843")</f>
      </c>
      <c r="H520" s="14" t="s">
        <v>170</v>
      </c>
      <c r="I520" s="14" t="s">
        <v>194</v>
      </c>
      <c r="J520" s="14" t="s">
        <v>1257</v>
      </c>
      <c r="K520" s="26" t="str">
        <f>HYPERLINK("http://vk.com/club89459809")</f>
      </c>
      <c r="L520" s="14" t="s">
        <v>274</v>
      </c>
      <c r="O520" s="1"/>
      <c r="P520" s="1"/>
      <c r="Q520" s="1" t="n">
        <v>46798</v>
      </c>
      <c r="R520" s="1" t="n">
        <v>0</v>
      </c>
      <c r="S520" s="1"/>
      <c r="T520" s="1" t="n">
        <v>1</v>
      </c>
      <c r="U520" s="1" t="n">
        <v>1</v>
      </c>
      <c r="V520" s="1" t="n">
        <v>2</v>
      </c>
      <c r="W520" s="1" t="n">
        <v>641</v>
      </c>
      <c r="Y520" s="1" t="n">
        <v>1</v>
      </c>
      <c r="Z520" s="0" t="s">
        <v>175</v>
      </c>
      <c r="AA520" s="0" t="s">
        <v>176</v>
      </c>
      <c r="AC520" s="0" t="s">
        <v>177</v>
      </c>
      <c r="AD520" s="0" t="s">
        <v>1058</v>
      </c>
      <c r="AE520" s="0" t="s">
        <v>1059</v>
      </c>
      <c r="AH520" s="0" t="s">
        <v>180</v>
      </c>
      <c r="AJ520" s="0" t="s">
        <v>437</v>
      </c>
      <c r="AM520" s="0" t="s">
        <v>96</v>
      </c>
      <c r="AP520" s="0" t="s">
        <v>99</v>
      </c>
      <c r="BD520" s="0" t="s">
        <v>113</v>
      </c>
    </row>
    <row r="521" ht="24.75">
      <c r="B521" s="0" t="s">
        <v>1604</v>
      </c>
      <c r="C521" s="1" t="n">
        <v>353343</v>
      </c>
      <c r="E521" s="14" t="s">
        <v>183</v>
      </c>
      <c r="F521" s="14" t="s">
        <v>184</v>
      </c>
      <c r="G521" s="25" t="str">
        <f>HYPERLINK("http://vk.com/wall376361973_510")</f>
      </c>
      <c r="H521" s="14" t="s">
        <v>170</v>
      </c>
      <c r="I521" s="14" t="s">
        <v>171</v>
      </c>
      <c r="J521" s="14" t="s">
        <v>1605</v>
      </c>
      <c r="K521" s="26" t="str">
        <f>HYPERLINK("http://vk.com/id376361973")</f>
      </c>
      <c r="L521" s="14" t="s">
        <v>173</v>
      </c>
      <c r="O521" s="1" t="s">
        <v>186</v>
      </c>
      <c r="P521" s="1"/>
      <c r="Q521" s="1" t="n">
        <v>147</v>
      </c>
      <c r="R521" s="1" t="n">
        <v>0</v>
      </c>
      <c r="S521" s="1"/>
      <c r="T521" s="1" t="n">
        <v>0</v>
      </c>
      <c r="U521" s="1" t="n">
        <v>0</v>
      </c>
      <c r="V521" s="1" t="n">
        <v>0</v>
      </c>
      <c r="W521" s="1"/>
      <c r="Y521" s="1" t="n">
        <v>62</v>
      </c>
      <c r="Z521" s="0" t="s">
        <v>175</v>
      </c>
      <c r="AA521" s="0" t="s">
        <v>187</v>
      </c>
      <c r="AH521" s="0" t="s">
        <v>180</v>
      </c>
      <c r="AJ521" s="0" t="s">
        <v>437</v>
      </c>
      <c r="AK521" s="0" t="s">
        <v>94</v>
      </c>
      <c r="AO521" s="0" t="s">
        <v>98</v>
      </c>
      <c r="AP521" s="0" t="s">
        <v>99</v>
      </c>
      <c r="AR521" s="0" t="s">
        <v>101</v>
      </c>
      <c r="BA521" s="0" t="s">
        <v>110</v>
      </c>
      <c r="BH521" s="0" t="s">
        <v>117</v>
      </c>
    </row>
    <row r="522" ht="36.75">
      <c r="B522" s="0" t="s">
        <v>1604</v>
      </c>
      <c r="C522" s="1" t="n">
        <v>353349</v>
      </c>
      <c r="E522" s="14" t="s">
        <v>202</v>
      </c>
      <c r="F522" s="14" t="s">
        <v>184</v>
      </c>
      <c r="G522" s="25" t="str">
        <f>HYPERLINK("http://vk.com/wall734909842_275")</f>
      </c>
      <c r="H522" s="14" t="s">
        <v>170</v>
      </c>
      <c r="I522" s="14" t="s">
        <v>171</v>
      </c>
      <c r="J522" s="14" t="s">
        <v>1606</v>
      </c>
      <c r="K522" s="26" t="str">
        <f>HYPERLINK("http://vk.com/id734909842")</f>
      </c>
      <c r="L522" s="14" t="s">
        <v>173</v>
      </c>
      <c r="O522" s="1" t="s">
        <v>186</v>
      </c>
      <c r="P522" s="1" t="n">
        <v>58</v>
      </c>
      <c r="Q522" s="1" t="n">
        <v>84</v>
      </c>
      <c r="R522" s="1" t="n">
        <v>0</v>
      </c>
      <c r="S522" s="1"/>
      <c r="T522" s="1" t="n">
        <v>0</v>
      </c>
      <c r="U522" s="1" t="n">
        <v>0</v>
      </c>
      <c r="V522" s="1" t="n">
        <v>0</v>
      </c>
      <c r="W522" s="1" t="n">
        <v>1</v>
      </c>
      <c r="Y522" s="1" t="n">
        <v>60</v>
      </c>
      <c r="Z522" s="0" t="s">
        <v>175</v>
      </c>
      <c r="AA522" s="0" t="s">
        <v>176</v>
      </c>
      <c r="AH522" s="0" t="s">
        <v>180</v>
      </c>
      <c r="AJ522" s="0" t="s">
        <v>437</v>
      </c>
      <c r="AK522" s="0" t="s">
        <v>94</v>
      </c>
      <c r="AL522" s="0" t="s">
        <v>95</v>
      </c>
      <c r="AM522" s="0" t="s">
        <v>96</v>
      </c>
      <c r="AO522" s="0" t="s">
        <v>98</v>
      </c>
      <c r="AQ522" s="0" t="s">
        <v>100</v>
      </c>
    </row>
    <row r="523" ht="192.75">
      <c r="B523" s="0" t="s">
        <v>1607</v>
      </c>
      <c r="C523" s="1" t="n">
        <v>353336</v>
      </c>
      <c r="E523" s="14" t="s">
        <v>1608</v>
      </c>
      <c r="F523" s="14" t="s">
        <v>184</v>
      </c>
      <c r="G523" s="25" t="str">
        <f>HYPERLINK("http://vk.com/wall509409524_101")</f>
      </c>
      <c r="H523" s="14" t="s">
        <v>170</v>
      </c>
      <c r="I523" s="14" t="s">
        <v>171</v>
      </c>
      <c r="J523" s="14" t="s">
        <v>1247</v>
      </c>
      <c r="K523" s="26" t="str">
        <f>HYPERLINK("http://vk.com/id509409524")</f>
      </c>
      <c r="L523" s="14" t="s">
        <v>173</v>
      </c>
      <c r="O523" s="1" t="s">
        <v>186</v>
      </c>
      <c r="P523" s="1" t="n">
        <v>65</v>
      </c>
      <c r="Q523" s="1" t="n">
        <v>62</v>
      </c>
      <c r="R523" s="1" t="n">
        <v>0</v>
      </c>
      <c r="S523" s="1"/>
      <c r="T523" s="1" t="n">
        <v>0</v>
      </c>
      <c r="U523" s="1" t="n">
        <v>0</v>
      </c>
      <c r="V523" s="1" t="n">
        <v>0</v>
      </c>
      <c r="W523" s="1"/>
      <c r="Y523" s="1" t="n">
        <v>1</v>
      </c>
      <c r="Z523" s="0" t="s">
        <v>175</v>
      </c>
      <c r="AA523" s="0" t="s">
        <v>187</v>
      </c>
      <c r="AH523" s="0" t="s">
        <v>180</v>
      </c>
      <c r="AJ523" s="0" t="s">
        <v>437</v>
      </c>
      <c r="AK523" s="0" t="s">
        <v>94</v>
      </c>
      <c r="AL523" s="0" t="s">
        <v>95</v>
      </c>
      <c r="AM523" s="0" t="s">
        <v>96</v>
      </c>
      <c r="AU523" s="0" t="s">
        <v>104</v>
      </c>
      <c r="AV523" s="0" t="s">
        <v>105</v>
      </c>
    </row>
    <row r="524" ht="24.75">
      <c r="B524" s="0" t="s">
        <v>1609</v>
      </c>
      <c r="C524" s="1" t="n">
        <v>353331</v>
      </c>
      <c r="E524" s="14" t="s">
        <v>183</v>
      </c>
      <c r="F524" s="14" t="s">
        <v>184</v>
      </c>
      <c r="G524" s="25" t="str">
        <f>HYPERLINK("http://vk.com/wall317756120_3543")</f>
      </c>
      <c r="H524" s="14" t="s">
        <v>170</v>
      </c>
      <c r="I524" s="14" t="s">
        <v>171</v>
      </c>
      <c r="J524" s="14" t="s">
        <v>1610</v>
      </c>
      <c r="K524" s="26" t="str">
        <f>HYPERLINK("http://vk.com/id317756120")</f>
      </c>
      <c r="L524" s="14" t="s">
        <v>173</v>
      </c>
      <c r="O524" s="1" t="s">
        <v>186</v>
      </c>
      <c r="P524" s="1" t="n">
        <v>29</v>
      </c>
      <c r="Q524" s="1" t="n">
        <v>470</v>
      </c>
      <c r="R524" s="1" t="n">
        <v>0</v>
      </c>
      <c r="S524" s="1"/>
      <c r="T524" s="1" t="n">
        <v>0</v>
      </c>
      <c r="U524" s="1" t="n">
        <v>0</v>
      </c>
      <c r="V524" s="1" t="n">
        <v>0</v>
      </c>
      <c r="W524" s="1" t="n">
        <v>5</v>
      </c>
      <c r="Y524" s="1" t="n">
        <v>62</v>
      </c>
      <c r="Z524" s="0" t="s">
        <v>175</v>
      </c>
      <c r="AA524" s="0" t="s">
        <v>187</v>
      </c>
      <c r="AH524" s="0" t="s">
        <v>180</v>
      </c>
      <c r="AJ524" s="0" t="s">
        <v>437</v>
      </c>
      <c r="AK524" s="0" t="s">
        <v>94</v>
      </c>
      <c r="AO524" s="0" t="s">
        <v>98</v>
      </c>
      <c r="AP524" s="0" t="s">
        <v>99</v>
      </c>
      <c r="AR524" s="0" t="s">
        <v>101</v>
      </c>
      <c r="BA524" s="0" t="s">
        <v>110</v>
      </c>
      <c r="BH524" s="0" t="s">
        <v>117</v>
      </c>
    </row>
    <row r="525" ht="24.75">
      <c r="B525" s="0" t="s">
        <v>1609</v>
      </c>
      <c r="C525" s="1" t="n">
        <v>353885</v>
      </c>
      <c r="E525" s="14" t="s">
        <v>554</v>
      </c>
      <c r="F525" s="14" t="s">
        <v>169</v>
      </c>
      <c r="G525" s="25" t="str">
        <f>HYPERLINK("http://www.ok.ru/profile/248947107710/statuses/154972733407358")</f>
      </c>
      <c r="H525" s="14" t="s">
        <v>170</v>
      </c>
      <c r="I525" s="14" t="s">
        <v>171</v>
      </c>
      <c r="J525" s="14" t="s">
        <v>1611</v>
      </c>
      <c r="K525" s="26" t="str">
        <f>HYPERLINK("http://www.ok.ru/profile/248947107710")</f>
      </c>
      <c r="L525" s="14" t="s">
        <v>173</v>
      </c>
      <c r="O525" s="1" t="s">
        <v>186</v>
      </c>
      <c r="P525" s="1" t="n">
        <v>64</v>
      </c>
      <c r="Q525" s="1" t="n">
        <v>444</v>
      </c>
      <c r="R525" s="1" t="n">
        <v>0</v>
      </c>
      <c r="S525" s="1"/>
      <c r="T525" s="1" t="n">
        <v>0</v>
      </c>
      <c r="U525" s="1" t="n">
        <v>2</v>
      </c>
      <c r="V525" s="1" t="n">
        <v>2</v>
      </c>
      <c r="W525" s="1"/>
      <c r="Y525" s="1" t="n">
        <v>59</v>
      </c>
      <c r="Z525" s="0" t="s">
        <v>175</v>
      </c>
      <c r="AA525" s="0" t="s">
        <v>176</v>
      </c>
      <c r="AC525" s="0" t="s">
        <v>177</v>
      </c>
      <c r="AD525" s="0" t="s">
        <v>719</v>
      </c>
      <c r="AE525" s="0" t="s">
        <v>1515</v>
      </c>
      <c r="AH525" s="0" t="s">
        <v>180</v>
      </c>
      <c r="AJ525" s="0" t="s">
        <v>437</v>
      </c>
      <c r="AK525" s="0" t="s">
        <v>94</v>
      </c>
      <c r="AL525" s="0" t="s">
        <v>95</v>
      </c>
      <c r="AM525" s="0" t="s">
        <v>96</v>
      </c>
      <c r="AO525" s="0" t="s">
        <v>98</v>
      </c>
      <c r="AQ525" s="0" t="s">
        <v>100</v>
      </c>
    </row>
    <row r="526" ht="36.75">
      <c r="B526" s="0" t="s">
        <v>1612</v>
      </c>
      <c r="C526" s="1" t="n">
        <v>353332</v>
      </c>
      <c r="E526" s="14" t="s">
        <v>202</v>
      </c>
      <c r="F526" s="14" t="s">
        <v>184</v>
      </c>
      <c r="G526" s="25" t="str">
        <f>HYPERLINK("http://vk.com/wall749183453_137")</f>
      </c>
      <c r="H526" s="14" t="s">
        <v>170</v>
      </c>
      <c r="I526" s="14" t="s">
        <v>171</v>
      </c>
      <c r="J526" s="14" t="s">
        <v>1613</v>
      </c>
      <c r="K526" s="26" t="str">
        <f>HYPERLINK("http://vk.com/id749183453")</f>
      </c>
      <c r="L526" s="14" t="s">
        <v>173</v>
      </c>
      <c r="O526" s="1" t="s">
        <v>186</v>
      </c>
      <c r="P526" s="1" t="n">
        <v>64</v>
      </c>
      <c r="Q526" s="1" t="n">
        <v>46</v>
      </c>
      <c r="R526" s="1" t="n">
        <v>0</v>
      </c>
      <c r="S526" s="1"/>
      <c r="T526" s="1" t="n">
        <v>0</v>
      </c>
      <c r="U526" s="1" t="n">
        <v>0</v>
      </c>
      <c r="V526" s="1" t="n">
        <v>0</v>
      </c>
      <c r="W526" s="1"/>
      <c r="Y526" s="1" t="n">
        <v>60</v>
      </c>
      <c r="Z526" s="0" t="s">
        <v>175</v>
      </c>
      <c r="AA526" s="0" t="s">
        <v>176</v>
      </c>
      <c r="AH526" s="0" t="s">
        <v>180</v>
      </c>
      <c r="AJ526" s="0" t="s">
        <v>437</v>
      </c>
      <c r="AK526" s="0" t="s">
        <v>94</v>
      </c>
      <c r="AL526" s="0" t="s">
        <v>95</v>
      </c>
      <c r="AM526" s="0" t="s">
        <v>96</v>
      </c>
      <c r="AO526" s="0" t="s">
        <v>98</v>
      </c>
      <c r="AQ526" s="0" t="s">
        <v>100</v>
      </c>
    </row>
    <row r="527">
      <c r="B527" s="0" t="s">
        <v>1612</v>
      </c>
      <c r="C527" s="1" t="n">
        <v>353339</v>
      </c>
      <c r="E527" s="14" t="s">
        <v>1614</v>
      </c>
      <c r="F527" s="14" t="s">
        <v>184</v>
      </c>
      <c r="G527" s="25" t="str">
        <f>HYPERLINK("http://vk.com/wall-155403177_56807?reply=57238")</f>
      </c>
      <c r="H527" s="14" t="s">
        <v>170</v>
      </c>
      <c r="I527" s="14" t="s">
        <v>231</v>
      </c>
      <c r="J527" s="14" t="s">
        <v>1615</v>
      </c>
      <c r="K527" s="26" t="str">
        <f>HYPERLINK("http://vk.com/id310624774")</f>
      </c>
      <c r="L527" s="14" t="s">
        <v>173</v>
      </c>
      <c r="M527" s="14" t="s">
        <v>740</v>
      </c>
      <c r="N527" s="25" t="str">
        <f>HYPERLINK("http://vk.com/club155403177")</f>
      </c>
      <c r="O527" s="1" t="s">
        <v>186</v>
      </c>
      <c r="P527" s="1" t="n">
        <v>69</v>
      </c>
      <c r="Q527" s="1" t="n">
        <v>95387</v>
      </c>
      <c r="R527" s="1" t="n">
        <v>0</v>
      </c>
      <c r="S527" s="1"/>
      <c r="T527" s="1" t="n">
        <v>0</v>
      </c>
      <c r="U527" s="1" t="n">
        <v>0</v>
      </c>
      <c r="V527" s="1" t="n">
        <v>0</v>
      </c>
      <c r="W527" s="1"/>
      <c r="Y527" s="1" t="n">
        <v>1</v>
      </c>
      <c r="Z527" s="0" t="s">
        <v>463</v>
      </c>
      <c r="AA527" s="0" t="s">
        <v>187</v>
      </c>
      <c r="AC527" s="0" t="s">
        <v>177</v>
      </c>
      <c r="AH527" s="0" t="s">
        <v>180</v>
      </c>
      <c r="AI527" s="0" t="s">
        <v>92</v>
      </c>
      <c r="AJ527" s="0" t="s">
        <v>437</v>
      </c>
      <c r="AK527" s="0" t="s">
        <v>94</v>
      </c>
      <c r="AP527" s="0" t="s">
        <v>99</v>
      </c>
      <c r="AR527" s="0" t="s">
        <v>101</v>
      </c>
      <c r="AT527" s="0" t="s">
        <v>103</v>
      </c>
      <c r="BV527" s="0" t="s">
        <v>131</v>
      </c>
      <c r="CK527" s="0" t="s">
        <v>146</v>
      </c>
    </row>
    <row r="528" ht="24.75">
      <c r="B528" s="0" t="s">
        <v>1616</v>
      </c>
      <c r="C528" s="1" t="n">
        <v>353957</v>
      </c>
      <c r="E528" s="14" t="s">
        <v>554</v>
      </c>
      <c r="F528" s="14" t="s">
        <v>169</v>
      </c>
      <c r="G528" s="25" t="str">
        <f>HYPERLINK("http://www.ok.ru/profile/571306442950/statuses/155220711688390")</f>
      </c>
      <c r="H528" s="14" t="s">
        <v>170</v>
      </c>
      <c r="I528" s="14" t="s">
        <v>171</v>
      </c>
      <c r="J528" s="14" t="s">
        <v>1617</v>
      </c>
      <c r="K528" s="26" t="str">
        <f>HYPERLINK("http://www.ok.ru/profile/571306442950")</f>
      </c>
      <c r="L528" s="14" t="s">
        <v>173</v>
      </c>
      <c r="O528" s="1" t="s">
        <v>186</v>
      </c>
      <c r="P528" s="1" t="n">
        <v>62</v>
      </c>
      <c r="Q528" s="1" t="n">
        <v>469</v>
      </c>
      <c r="R528" s="1" t="n">
        <v>0</v>
      </c>
      <c r="S528" s="1"/>
      <c r="T528" s="1" t="n">
        <v>1</v>
      </c>
      <c r="U528" s="1" t="n">
        <v>2</v>
      </c>
      <c r="V528" s="1" t="n">
        <v>3</v>
      </c>
      <c r="W528" s="1"/>
      <c r="Y528" s="1" t="n">
        <v>59</v>
      </c>
      <c r="Z528" s="0" t="s">
        <v>175</v>
      </c>
      <c r="AA528" s="0" t="s">
        <v>176</v>
      </c>
      <c r="AC528" s="0" t="s">
        <v>177</v>
      </c>
      <c r="AD528" s="0" t="s">
        <v>760</v>
      </c>
      <c r="AE528" s="0" t="s">
        <v>906</v>
      </c>
      <c r="AH528" s="0" t="s">
        <v>180</v>
      </c>
      <c r="AJ528" s="0" t="s">
        <v>437</v>
      </c>
      <c r="AK528" s="0" t="s">
        <v>94</v>
      </c>
      <c r="AL528" s="0" t="s">
        <v>95</v>
      </c>
      <c r="AM528" s="0" t="s">
        <v>96</v>
      </c>
      <c r="AO528" s="0" t="s">
        <v>98</v>
      </c>
      <c r="AQ528" s="0" t="s">
        <v>100</v>
      </c>
    </row>
    <row r="529" ht="1104.75">
      <c r="B529" s="0" t="s">
        <v>1616</v>
      </c>
      <c r="C529" s="1" t="n">
        <v>353341</v>
      </c>
      <c r="E529" s="14" t="s">
        <v>1618</v>
      </c>
      <c r="F529" s="14" t="s">
        <v>184</v>
      </c>
      <c r="G529" s="25" t="str">
        <f>HYPERLINK("http://vk.com/wall729974541_2")</f>
      </c>
      <c r="H529" s="14" t="s">
        <v>170</v>
      </c>
      <c r="I529" s="14" t="s">
        <v>171</v>
      </c>
      <c r="J529" s="14" t="s">
        <v>1619</v>
      </c>
      <c r="K529" s="26" t="str">
        <f>HYPERLINK("http://vk.com/id729974541")</f>
      </c>
      <c r="L529" s="14" t="s">
        <v>173</v>
      </c>
      <c r="O529" s="1" t="s">
        <v>174</v>
      </c>
      <c r="P529" s="1" t="n">
        <v>63</v>
      </c>
      <c r="Q529" s="1" t="n">
        <v>55</v>
      </c>
      <c r="R529" s="1" t="n">
        <v>0</v>
      </c>
      <c r="S529" s="1"/>
      <c r="T529" s="1" t="n">
        <v>0</v>
      </c>
      <c r="U529" s="1" t="n">
        <v>0</v>
      </c>
      <c r="V529" s="1" t="n">
        <v>0</v>
      </c>
      <c r="W529" s="1" t="n">
        <v>3</v>
      </c>
      <c r="Y529" s="1" t="n">
        <v>6</v>
      </c>
      <c r="Z529" s="0" t="s">
        <v>175</v>
      </c>
      <c r="AA529" s="0" t="s">
        <v>187</v>
      </c>
      <c r="AH529" s="0" t="s">
        <v>180</v>
      </c>
      <c r="AJ529" s="0" t="s">
        <v>437</v>
      </c>
      <c r="AK529" s="0" t="s">
        <v>94</v>
      </c>
      <c r="AL529" s="0" t="s">
        <v>95</v>
      </c>
      <c r="AM529" s="0" t="s">
        <v>96</v>
      </c>
      <c r="AX529" s="0" t="s">
        <v>107</v>
      </c>
    </row>
    <row r="530" ht="24.75">
      <c r="B530" s="0" t="s">
        <v>1620</v>
      </c>
      <c r="C530" s="1" t="n">
        <v>353333</v>
      </c>
      <c r="E530" s="14" t="s">
        <v>183</v>
      </c>
      <c r="F530" s="14" t="s">
        <v>184</v>
      </c>
      <c r="G530" s="25" t="str">
        <f>HYPERLINK("http://vk.com/wall458304676_349")</f>
      </c>
      <c r="H530" s="14" t="s">
        <v>170</v>
      </c>
      <c r="I530" s="14" t="s">
        <v>171</v>
      </c>
      <c r="J530" s="14" t="s">
        <v>1621</v>
      </c>
      <c r="K530" s="26" t="str">
        <f>HYPERLINK("http://vk.com/id458304676")</f>
      </c>
      <c r="L530" s="14" t="s">
        <v>173</v>
      </c>
      <c r="O530" s="1" t="s">
        <v>186</v>
      </c>
      <c r="P530" s="1" t="n">
        <v>73</v>
      </c>
      <c r="Q530" s="1" t="n">
        <v>72</v>
      </c>
      <c r="R530" s="1" t="n">
        <v>0</v>
      </c>
      <c r="S530" s="1"/>
      <c r="T530" s="1" t="n">
        <v>0</v>
      </c>
      <c r="U530" s="1" t="n">
        <v>0</v>
      </c>
      <c r="V530" s="1" t="n">
        <v>0</v>
      </c>
      <c r="W530" s="1"/>
      <c r="Y530" s="1" t="n">
        <v>62</v>
      </c>
      <c r="Z530" s="0" t="s">
        <v>175</v>
      </c>
      <c r="AA530" s="0" t="s">
        <v>187</v>
      </c>
      <c r="AH530" s="0" t="s">
        <v>180</v>
      </c>
      <c r="AJ530" s="0" t="s">
        <v>437</v>
      </c>
      <c r="AK530" s="0" t="s">
        <v>94</v>
      </c>
      <c r="AO530" s="0" t="s">
        <v>98</v>
      </c>
      <c r="AP530" s="0" t="s">
        <v>99</v>
      </c>
      <c r="AR530" s="0" t="s">
        <v>101</v>
      </c>
      <c r="BA530" s="0" t="s">
        <v>110</v>
      </c>
      <c r="BH530" s="0" t="s">
        <v>117</v>
      </c>
    </row>
    <row r="531">
      <c r="B531" s="0" t="s">
        <v>1622</v>
      </c>
      <c r="C531" s="1" t="n">
        <v>353696</v>
      </c>
      <c r="E531" s="14" t="s">
        <v>1623</v>
      </c>
      <c r="F531" s="14" t="s">
        <v>169</v>
      </c>
      <c r="G531" s="25" t="str">
        <f>HYPERLINK("http://www.ok.ru/group/54286420541455/topic/156055283437583")</f>
      </c>
      <c r="H531" s="14" t="s">
        <v>170</v>
      </c>
      <c r="I531" s="14" t="s">
        <v>231</v>
      </c>
      <c r="J531" s="14" t="s">
        <v>1624</v>
      </c>
      <c r="K531" s="26" t="str">
        <f>HYPERLINK("http://www.ok.ru/profile/584714139816")</f>
      </c>
      <c r="L531" s="14" t="s">
        <v>173</v>
      </c>
      <c r="M531" s="14" t="s">
        <v>1486</v>
      </c>
      <c r="N531" s="25" t="str">
        <f>HYPERLINK("http://www.ok.ru/group/54286420541455")</f>
      </c>
      <c r="O531" s="1" t="s">
        <v>186</v>
      </c>
      <c r="P531" s="1" t="n">
        <v>35</v>
      </c>
      <c r="Q531" s="1" t="n">
        <v>20876</v>
      </c>
      <c r="R531" s="1" t="n">
        <v>0</v>
      </c>
      <c r="S531" s="1"/>
      <c r="T531" s="1" t="n">
        <v>0</v>
      </c>
      <c r="U531" s="1" t="n">
        <v>0</v>
      </c>
      <c r="V531" s="1" t="n">
        <v>0</v>
      </c>
      <c r="W531" s="1"/>
      <c r="Y531" s="1" t="n">
        <v>1</v>
      </c>
      <c r="Z531" s="0" t="s">
        <v>175</v>
      </c>
      <c r="AA531" s="0" t="s">
        <v>187</v>
      </c>
      <c r="AC531" s="0" t="s">
        <v>177</v>
      </c>
      <c r="AH531" s="0" t="s">
        <v>180</v>
      </c>
      <c r="AI531" s="0" t="s">
        <v>92</v>
      </c>
      <c r="AJ531" s="0" t="s">
        <v>437</v>
      </c>
      <c r="AK531" s="0" t="s">
        <v>94</v>
      </c>
      <c r="AL531" s="0" t="s">
        <v>95</v>
      </c>
      <c r="AN531" s="0" t="s">
        <v>97</v>
      </c>
      <c r="AW531" s="0" t="s">
        <v>106</v>
      </c>
      <c r="CA531" s="0" t="s">
        <v>136</v>
      </c>
    </row>
    <row r="532" ht="24.75">
      <c r="B532" s="0" t="s">
        <v>1622</v>
      </c>
      <c r="C532" s="1" t="n">
        <v>353326</v>
      </c>
      <c r="E532" s="14" t="s">
        <v>183</v>
      </c>
      <c r="F532" s="14" t="s">
        <v>184</v>
      </c>
      <c r="G532" s="25" t="str">
        <f>HYPERLINK("http://vk.com/wall450987703_645")</f>
      </c>
      <c r="H532" s="14" t="s">
        <v>170</v>
      </c>
      <c r="I532" s="14" t="s">
        <v>171</v>
      </c>
      <c r="J532" s="14" t="s">
        <v>1625</v>
      </c>
      <c r="K532" s="26" t="str">
        <f>HYPERLINK("http://vk.com/id450987703")</f>
      </c>
      <c r="L532" s="14" t="s">
        <v>173</v>
      </c>
      <c r="O532" s="1" t="s">
        <v>186</v>
      </c>
      <c r="P532" s="1" t="n">
        <v>55</v>
      </c>
      <c r="Q532" s="1" t="n">
        <v>100</v>
      </c>
      <c r="R532" s="1" t="n">
        <v>0</v>
      </c>
      <c r="S532" s="1"/>
      <c r="T532" s="1" t="n">
        <v>0</v>
      </c>
      <c r="U532" s="1" t="n">
        <v>0</v>
      </c>
      <c r="V532" s="1" t="n">
        <v>0</v>
      </c>
      <c r="W532" s="1" t="n">
        <v>1</v>
      </c>
      <c r="Y532" s="1" t="n">
        <v>62</v>
      </c>
      <c r="Z532" s="0" t="s">
        <v>175</v>
      </c>
      <c r="AA532" s="0" t="s">
        <v>187</v>
      </c>
      <c r="AH532" s="0" t="s">
        <v>180</v>
      </c>
      <c r="AJ532" s="0" t="s">
        <v>437</v>
      </c>
      <c r="AK532" s="0" t="s">
        <v>94</v>
      </c>
      <c r="AO532" s="0" t="s">
        <v>98</v>
      </c>
      <c r="AP532" s="0" t="s">
        <v>99</v>
      </c>
      <c r="AR532" s="0" t="s">
        <v>101</v>
      </c>
      <c r="BA532" s="0" t="s">
        <v>110</v>
      </c>
      <c r="BH532" s="0" t="s">
        <v>117</v>
      </c>
    </row>
    <row r="533" ht="24.75">
      <c r="B533" s="0" t="s">
        <v>1622</v>
      </c>
      <c r="C533" s="1" t="n">
        <v>353320</v>
      </c>
      <c r="E533" s="14" t="s">
        <v>183</v>
      </c>
      <c r="F533" s="14" t="s">
        <v>184</v>
      </c>
      <c r="G533" s="25" t="str">
        <f>HYPERLINK("http://vk.com/wall450987703_644")</f>
      </c>
      <c r="H533" s="14" t="s">
        <v>170</v>
      </c>
      <c r="I533" s="14" t="s">
        <v>171</v>
      </c>
      <c r="J533" s="14" t="s">
        <v>1625</v>
      </c>
      <c r="K533" s="26" t="str">
        <f>HYPERLINK("http://vk.com/id450987703")</f>
      </c>
      <c r="L533" s="14" t="s">
        <v>173</v>
      </c>
      <c r="O533" s="1" t="s">
        <v>186</v>
      </c>
      <c r="P533" s="1" t="n">
        <v>55</v>
      </c>
      <c r="Q533" s="1" t="n">
        <v>100</v>
      </c>
      <c r="R533" s="1" t="n">
        <v>0</v>
      </c>
      <c r="S533" s="1"/>
      <c r="T533" s="1" t="n">
        <v>0</v>
      </c>
      <c r="U533" s="1" t="n">
        <v>0</v>
      </c>
      <c r="V533" s="1" t="n">
        <v>0</v>
      </c>
      <c r="W533" s="1"/>
      <c r="Y533" s="1" t="n">
        <v>62</v>
      </c>
      <c r="Z533" s="0" t="s">
        <v>175</v>
      </c>
      <c r="AA533" s="0" t="s">
        <v>187</v>
      </c>
      <c r="AH533" s="0" t="s">
        <v>180</v>
      </c>
      <c r="AJ533" s="0" t="s">
        <v>437</v>
      </c>
      <c r="AK533" s="0" t="s">
        <v>94</v>
      </c>
      <c r="AO533" s="0" t="s">
        <v>98</v>
      </c>
      <c r="AP533" s="0" t="s">
        <v>99</v>
      </c>
      <c r="AR533" s="0" t="s">
        <v>101</v>
      </c>
      <c r="BA533" s="0" t="s">
        <v>110</v>
      </c>
      <c r="BH533" s="0" t="s">
        <v>117</v>
      </c>
    </row>
    <row r="534" ht="228.75">
      <c r="B534" s="0" t="s">
        <v>1626</v>
      </c>
      <c r="C534" s="1" t="n">
        <v>353685</v>
      </c>
      <c r="D534" s="0" t="s">
        <v>1627</v>
      </c>
      <c r="E534" s="14" t="s">
        <v>1628</v>
      </c>
      <c r="F534" s="14" t="s">
        <v>1629</v>
      </c>
      <c r="G534" s="25" t="str">
        <f>HYPERLINK("https://otzovik.com/review_14606366.html")</f>
      </c>
      <c r="H534" s="14" t="s">
        <v>317</v>
      </c>
      <c r="I534" s="14" t="s">
        <v>231</v>
      </c>
      <c r="J534" s="14" t="s">
        <v>1630</v>
      </c>
      <c r="K534" s="26" t="str">
        <f>HYPERLINK("https://otzovik.com/profile/AvocadoA")</f>
      </c>
      <c r="L534" s="14"/>
      <c r="M534" s="14" t="s">
        <v>1629</v>
      </c>
      <c r="N534" s="25" t="str">
        <f>HYPERLINK("https://otzovik.com/")</f>
      </c>
      <c r="O534" s="1"/>
      <c r="P534" s="1"/>
      <c r="Q534" s="1"/>
      <c r="R534" s="1" t="n">
        <v>0</v>
      </c>
      <c r="S534" s="1"/>
      <c r="T534" s="1" t="n">
        <v>0</v>
      </c>
      <c r="U534" s="1" t="n">
        <v>0</v>
      </c>
      <c r="V534" s="1" t="n">
        <v>0</v>
      </c>
      <c r="W534" s="1"/>
      <c r="X534" s="0" t="n">
        <v>5</v>
      </c>
      <c r="Y534" s="1" t="n">
        <v>1</v>
      </c>
      <c r="Z534" s="0" t="s">
        <v>319</v>
      </c>
      <c r="AA534" s="0" t="s">
        <v>187</v>
      </c>
      <c r="AC534" s="0" t="s">
        <v>177</v>
      </c>
      <c r="AH534" s="0" t="s">
        <v>180</v>
      </c>
      <c r="AI534" s="0" t="s">
        <v>92</v>
      </c>
      <c r="AJ534" s="0" t="s">
        <v>437</v>
      </c>
      <c r="AK534" s="0" t="s">
        <v>94</v>
      </c>
      <c r="AL534" s="0" t="s">
        <v>95</v>
      </c>
      <c r="AN534" s="0" t="s">
        <v>97</v>
      </c>
      <c r="AR534" s="0" t="s">
        <v>101</v>
      </c>
      <c r="AS534" s="0" t="s">
        <v>102</v>
      </c>
      <c r="BE534" s="0" t="s">
        <v>114</v>
      </c>
      <c r="BG534" s="0" t="s">
        <v>116</v>
      </c>
      <c r="BM534" s="0" t="s">
        <v>122</v>
      </c>
      <c r="BO534" s="0" t="s">
        <v>124</v>
      </c>
      <c r="CP534" s="0" t="s">
        <v>151</v>
      </c>
    </row>
    <row r="535" ht="24.75">
      <c r="B535" s="0" t="s">
        <v>1631</v>
      </c>
      <c r="C535" s="1" t="n">
        <v>353609</v>
      </c>
      <c r="E535" s="14" t="s">
        <v>1632</v>
      </c>
      <c r="F535" s="14" t="s">
        <v>169</v>
      </c>
      <c r="G535" s="25" t="str">
        <f>HYPERLINK("http://www.ok.ru/profile/571917508265/statuses/155755177040809")</f>
      </c>
      <c r="H535" s="14" t="s">
        <v>170</v>
      </c>
      <c r="I535" s="14" t="s">
        <v>171</v>
      </c>
      <c r="J535" s="14" t="s">
        <v>1633</v>
      </c>
      <c r="K535" s="26" t="str">
        <f>HYPERLINK("http://www.ok.ru/profile/571917508265")</f>
      </c>
      <c r="L535" s="14" t="s">
        <v>173</v>
      </c>
      <c r="O535" s="1" t="s">
        <v>186</v>
      </c>
      <c r="P535" s="1" t="n">
        <v>57</v>
      </c>
      <c r="Q535" s="1" t="n">
        <v>166</v>
      </c>
      <c r="R535" s="1" t="n">
        <v>0</v>
      </c>
      <c r="S535" s="1"/>
      <c r="T535" s="1" t="n">
        <v>0</v>
      </c>
      <c r="U535" s="1" t="n">
        <v>1</v>
      </c>
      <c r="V535" s="1" t="n">
        <v>1</v>
      </c>
      <c r="W535" s="1"/>
      <c r="Y535" s="1" t="n">
        <v>10</v>
      </c>
      <c r="Z535" s="0" t="s">
        <v>175</v>
      </c>
      <c r="AA535" s="0" t="s">
        <v>176</v>
      </c>
      <c r="AC535" s="0" t="s">
        <v>177</v>
      </c>
      <c r="AD535" s="0" t="s">
        <v>212</v>
      </c>
      <c r="AE535" s="0" t="s">
        <v>1634</v>
      </c>
      <c r="AH535" s="0" t="s">
        <v>180</v>
      </c>
      <c r="AJ535" s="0" t="s">
        <v>437</v>
      </c>
      <c r="AK535" s="0" t="s">
        <v>94</v>
      </c>
      <c r="AL535" s="0" t="s">
        <v>95</v>
      </c>
      <c r="AM535" s="0" t="s">
        <v>96</v>
      </c>
      <c r="AO535" s="0" t="s">
        <v>98</v>
      </c>
      <c r="AQ535" s="0" t="s">
        <v>100</v>
      </c>
    </row>
    <row r="536" ht="24.75">
      <c r="B536" s="0" t="s">
        <v>1631</v>
      </c>
      <c r="C536" s="1" t="n">
        <v>353664</v>
      </c>
      <c r="E536" s="14" t="s">
        <v>183</v>
      </c>
      <c r="F536" s="14" t="s">
        <v>184</v>
      </c>
      <c r="G536" s="25" t="str">
        <f>HYPERLINK("http://vk.com/wall-194617755_28664")</f>
      </c>
      <c r="H536" s="14" t="s">
        <v>170</v>
      </c>
      <c r="I536" s="14" t="s">
        <v>194</v>
      </c>
      <c r="J536" s="14" t="s">
        <v>1635</v>
      </c>
      <c r="K536" s="26" t="str">
        <f>HYPERLINK("http://vk.com/club194617755")</f>
      </c>
      <c r="L536" s="14" t="s">
        <v>274</v>
      </c>
      <c r="O536" s="1"/>
      <c r="P536" s="1"/>
      <c r="Q536" s="1" t="n">
        <v>160719</v>
      </c>
      <c r="R536" s="1" t="n">
        <v>1</v>
      </c>
      <c r="S536" s="1"/>
      <c r="T536" s="1" t="n">
        <v>19</v>
      </c>
      <c r="U536" s="1" t="n">
        <v>13</v>
      </c>
      <c r="V536" s="1" t="n">
        <v>33</v>
      </c>
      <c r="W536" s="1" t="n">
        <v>1980</v>
      </c>
      <c r="Y536" s="1" t="n">
        <v>62</v>
      </c>
      <c r="Z536" s="0" t="s">
        <v>175</v>
      </c>
      <c r="AA536" s="0" t="s">
        <v>187</v>
      </c>
      <c r="AH536" s="0" t="s">
        <v>180</v>
      </c>
      <c r="AJ536" s="0" t="s">
        <v>437</v>
      </c>
      <c r="AK536" s="0" t="s">
        <v>94</v>
      </c>
      <c r="AO536" s="0" t="s">
        <v>98</v>
      </c>
      <c r="AP536" s="0" t="s">
        <v>99</v>
      </c>
      <c r="AR536" s="0" t="s">
        <v>101</v>
      </c>
      <c r="BA536" s="0" t="s">
        <v>110</v>
      </c>
      <c r="BH536" s="0" t="s">
        <v>117</v>
      </c>
    </row>
    <row r="537">
      <c r="B537" s="0" t="s">
        <v>1636</v>
      </c>
      <c r="C537" s="1" t="n">
        <v>353325</v>
      </c>
      <c r="E537" s="14" t="s">
        <v>1637</v>
      </c>
      <c r="F537" s="14" t="s">
        <v>184</v>
      </c>
      <c r="G537" s="25" t="str">
        <f>HYPERLINK("http://vk.com/wall-141518790_2250357?reply=2251111")</f>
      </c>
      <c r="H537" s="14" t="s">
        <v>170</v>
      </c>
      <c r="I537" s="14" t="s">
        <v>231</v>
      </c>
      <c r="J537" s="14" t="s">
        <v>1638</v>
      </c>
      <c r="K537" s="26" t="str">
        <f>HYPERLINK("http://vk.com/id26835044")</f>
      </c>
      <c r="L537" s="14" t="s">
        <v>173</v>
      </c>
      <c r="M537" s="14" t="s">
        <v>567</v>
      </c>
      <c r="N537" s="25" t="str">
        <f>HYPERLINK("http://vk.com/club141518790")</f>
      </c>
      <c r="O537" s="1" t="s">
        <v>186</v>
      </c>
      <c r="P537" s="1" t="n">
        <v>35</v>
      </c>
      <c r="Q537" s="1" t="n">
        <v>61987</v>
      </c>
      <c r="R537" s="1" t="n">
        <v>0</v>
      </c>
      <c r="S537" s="1"/>
      <c r="T537" s="1" t="n">
        <v>0</v>
      </c>
      <c r="U537" s="1" t="n">
        <v>0</v>
      </c>
      <c r="V537" s="1" t="n">
        <v>0</v>
      </c>
      <c r="W537" s="1"/>
      <c r="Y537" s="1" t="n">
        <v>1</v>
      </c>
      <c r="Z537" s="0" t="s">
        <v>175</v>
      </c>
      <c r="AA537" s="0" t="s">
        <v>187</v>
      </c>
      <c r="AC537" s="0" t="s">
        <v>177</v>
      </c>
      <c r="AD537" s="0" t="s">
        <v>1385</v>
      </c>
      <c r="AE537" s="0" t="s">
        <v>1386</v>
      </c>
      <c r="AH537" s="0" t="s">
        <v>180</v>
      </c>
      <c r="AJ537" s="0" t="s">
        <v>437</v>
      </c>
      <c r="AK537" s="0" t="s">
        <v>94</v>
      </c>
      <c r="AN537" s="0" t="s">
        <v>97</v>
      </c>
      <c r="AP537" s="0" t="s">
        <v>99</v>
      </c>
      <c r="AU537" s="0" t="s">
        <v>104</v>
      </c>
      <c r="BB537" s="0" t="s">
        <v>111</v>
      </c>
      <c r="BE537" s="0" t="s">
        <v>114</v>
      </c>
    </row>
    <row r="538" ht="36.75">
      <c r="B538" s="0" t="s">
        <v>1639</v>
      </c>
      <c r="C538" s="1" t="n">
        <v>353311</v>
      </c>
      <c r="E538" s="14" t="s">
        <v>1640</v>
      </c>
      <c r="F538" s="14" t="s">
        <v>184</v>
      </c>
      <c r="G538" s="25" t="str">
        <f>HYPERLINK("http://vk.com/wall63657409_2088")</f>
      </c>
      <c r="H538" s="14" t="s">
        <v>170</v>
      </c>
      <c r="I538" s="14" t="s">
        <v>171</v>
      </c>
      <c r="J538" s="14" t="s">
        <v>1641</v>
      </c>
      <c r="K538" s="26" t="str">
        <f>HYPERLINK("http://vk.com/id63657409")</f>
      </c>
      <c r="L538" s="14" t="s">
        <v>173</v>
      </c>
      <c r="O538" s="1" t="s">
        <v>186</v>
      </c>
      <c r="P538" s="1"/>
      <c r="Q538" s="1" t="n">
        <v>354</v>
      </c>
      <c r="R538" s="1" t="n">
        <v>0</v>
      </c>
      <c r="S538" s="1"/>
      <c r="T538" s="1" t="n">
        <v>0</v>
      </c>
      <c r="U538" s="1" t="n">
        <v>0</v>
      </c>
      <c r="V538" s="1" t="n">
        <v>0</v>
      </c>
      <c r="W538" s="1" t="n">
        <v>1</v>
      </c>
      <c r="Y538" s="1" t="n">
        <v>6</v>
      </c>
      <c r="Z538" s="0" t="s">
        <v>175</v>
      </c>
      <c r="AA538" s="0" t="s">
        <v>176</v>
      </c>
      <c r="AC538" s="0" t="s">
        <v>177</v>
      </c>
      <c r="AD538" s="0" t="s">
        <v>188</v>
      </c>
      <c r="AE538" s="0" t="s">
        <v>1505</v>
      </c>
      <c r="AH538" s="0" t="s">
        <v>180</v>
      </c>
      <c r="AJ538" s="0" t="s">
        <v>437</v>
      </c>
      <c r="AK538" s="0" t="s">
        <v>94</v>
      </c>
      <c r="AL538" s="0" t="s">
        <v>95</v>
      </c>
      <c r="AM538" s="0" t="s">
        <v>96</v>
      </c>
      <c r="AO538" s="0" t="s">
        <v>98</v>
      </c>
      <c r="AQ538" s="0" t="s">
        <v>100</v>
      </c>
    </row>
    <row r="539" ht="156.75">
      <c r="B539" s="0" t="s">
        <v>1639</v>
      </c>
      <c r="C539" s="1" t="n">
        <v>353312</v>
      </c>
      <c r="E539" s="14" t="s">
        <v>442</v>
      </c>
      <c r="F539" s="14" t="s">
        <v>184</v>
      </c>
      <c r="G539" s="25" t="str">
        <f>HYPERLINK("http://vk.com/wall795721869_12")</f>
      </c>
      <c r="H539" s="14" t="s">
        <v>170</v>
      </c>
      <c r="I539" s="14" t="s">
        <v>171</v>
      </c>
      <c r="J539" s="14" t="s">
        <v>1642</v>
      </c>
      <c r="K539" s="26" t="str">
        <f>HYPERLINK("http://vk.com/id795721869")</f>
      </c>
      <c r="L539" s="14" t="s">
        <v>173</v>
      </c>
      <c r="O539" s="1" t="s">
        <v>186</v>
      </c>
      <c r="P539" s="1" t="n">
        <v>23</v>
      </c>
      <c r="Q539" s="1" t="n">
        <v>25</v>
      </c>
      <c r="R539" s="1" t="n">
        <v>0</v>
      </c>
      <c r="S539" s="1"/>
      <c r="T539" s="1" t="n">
        <v>0</v>
      </c>
      <c r="U539" s="1" t="n">
        <v>0</v>
      </c>
      <c r="V539" s="1" t="n">
        <v>0</v>
      </c>
      <c r="W539" s="1" t="n">
        <v>2</v>
      </c>
      <c r="Y539" s="1" t="n">
        <v>6</v>
      </c>
      <c r="Z539" s="0" t="s">
        <v>175</v>
      </c>
      <c r="AA539" s="0" t="s">
        <v>292</v>
      </c>
      <c r="AH539" s="0" t="s">
        <v>180</v>
      </c>
      <c r="AJ539" s="0" t="s">
        <v>437</v>
      </c>
      <c r="AK539" s="0" t="s">
        <v>94</v>
      </c>
      <c r="AN539" s="0" t="s">
        <v>97</v>
      </c>
      <c r="AP539" s="0" t="s">
        <v>99</v>
      </c>
      <c r="AS539" s="0" t="s">
        <v>102</v>
      </c>
      <c r="AT539" s="0" t="s">
        <v>103</v>
      </c>
      <c r="BK539" s="0" t="s">
        <v>120</v>
      </c>
      <c r="BM539" s="0" t="s">
        <v>122</v>
      </c>
      <c r="BN539" s="0" t="s">
        <v>123</v>
      </c>
    </row>
    <row r="540" ht="36.75">
      <c r="B540" s="0" t="s">
        <v>1643</v>
      </c>
      <c r="C540" s="1" t="n">
        <v>353316</v>
      </c>
      <c r="D540" s="0" t="s">
        <v>1481</v>
      </c>
      <c r="E540" s="14" t="s">
        <v>1644</v>
      </c>
      <c r="F540" s="14" t="s">
        <v>1645</v>
      </c>
      <c r="G540" s="25" t="str">
        <f>HYPERLINK("https://www.om1.ru/bank/news/306699-v_omskikh_aptekakh_podorozhali_lekarstva_ot_otjokov_i_jjod/")</f>
      </c>
      <c r="H540" s="14" t="s">
        <v>208</v>
      </c>
      <c r="I540" s="14" t="s">
        <v>194</v>
      </c>
      <c r="J540" s="14"/>
      <c r="L540" s="14"/>
      <c r="O540" s="1"/>
      <c r="P540" s="1"/>
      <c r="Q540" s="1"/>
      <c r="R540" s="1" t="n">
        <v>0</v>
      </c>
      <c r="S540" s="1" t="n">
        <v>19160</v>
      </c>
      <c r="T540" s="1" t="n">
        <v>0</v>
      </c>
      <c r="U540" s="1" t="n">
        <v>0</v>
      </c>
      <c r="V540" s="1" t="n">
        <v>0</v>
      </c>
      <c r="W540" s="1"/>
      <c r="Y540" s="1" t="n">
        <v>1</v>
      </c>
      <c r="Z540" s="0" t="s">
        <v>175</v>
      </c>
      <c r="AA540" s="0" t="s">
        <v>223</v>
      </c>
      <c r="AH540" s="0" t="s">
        <v>180</v>
      </c>
      <c r="AJ540" s="0" t="s">
        <v>437</v>
      </c>
      <c r="AK540" s="0" t="s">
        <v>94</v>
      </c>
      <c r="AL540" s="0" t="s">
        <v>95</v>
      </c>
      <c r="BD540" s="0" t="s">
        <v>113</v>
      </c>
      <c r="BJ540" s="0" t="s">
        <v>119</v>
      </c>
      <c r="BK540" s="0" t="s">
        <v>120</v>
      </c>
    </row>
    <row r="541" ht="156.75">
      <c r="B541" s="0" t="s">
        <v>1643</v>
      </c>
      <c r="C541" s="1" t="n">
        <v>353305</v>
      </c>
      <c r="E541" s="14" t="s">
        <v>442</v>
      </c>
      <c r="F541" s="14" t="s">
        <v>184</v>
      </c>
      <c r="G541" s="25" t="str">
        <f>HYPERLINK("http://vk.com/wall795732796_17")</f>
      </c>
      <c r="H541" s="14" t="s">
        <v>170</v>
      </c>
      <c r="I541" s="14" t="s">
        <v>171</v>
      </c>
      <c r="J541" s="14" t="s">
        <v>1646</v>
      </c>
      <c r="K541" s="26" t="str">
        <f>HYPERLINK("http://vk.com/id795732796")</f>
      </c>
      <c r="L541" s="14" t="s">
        <v>173</v>
      </c>
      <c r="O541" s="1" t="s">
        <v>186</v>
      </c>
      <c r="P541" s="1" t="n">
        <v>26</v>
      </c>
      <c r="Q541" s="1" t="n">
        <v>31</v>
      </c>
      <c r="R541" s="1" t="n">
        <v>0</v>
      </c>
      <c r="S541" s="1"/>
      <c r="T541" s="1" t="n">
        <v>0</v>
      </c>
      <c r="U541" s="1" t="n">
        <v>0</v>
      </c>
      <c r="V541" s="1" t="n">
        <v>0</v>
      </c>
      <c r="W541" s="1"/>
      <c r="Y541" s="1" t="n">
        <v>6</v>
      </c>
      <c r="Z541" s="0" t="s">
        <v>175</v>
      </c>
      <c r="AA541" s="0" t="s">
        <v>292</v>
      </c>
      <c r="AH541" s="0" t="s">
        <v>180</v>
      </c>
      <c r="AJ541" s="0" t="s">
        <v>437</v>
      </c>
      <c r="AK541" s="0" t="s">
        <v>94</v>
      </c>
      <c r="AN541" s="0" t="s">
        <v>97</v>
      </c>
      <c r="AP541" s="0" t="s">
        <v>99</v>
      </c>
      <c r="AS541" s="0" t="s">
        <v>102</v>
      </c>
      <c r="AT541" s="0" t="s">
        <v>103</v>
      </c>
      <c r="BK541" s="0" t="s">
        <v>120</v>
      </c>
      <c r="BM541" s="0" t="s">
        <v>122</v>
      </c>
      <c r="BN541" s="0" t="s">
        <v>123</v>
      </c>
    </row>
    <row r="542">
      <c r="B542" s="0" t="s">
        <v>1643</v>
      </c>
      <c r="C542" s="1" t="n">
        <v>353310</v>
      </c>
      <c r="E542" s="14" t="s">
        <v>1647</v>
      </c>
      <c r="F542" s="14" t="s">
        <v>184</v>
      </c>
      <c r="G542" s="25" t="str">
        <f>HYPERLINK("http://vk.com/wall-149047382_2415266?reply=2415365")</f>
      </c>
      <c r="H542" s="14" t="s">
        <v>170</v>
      </c>
      <c r="I542" s="14" t="s">
        <v>231</v>
      </c>
      <c r="J542" s="14" t="s">
        <v>1648</v>
      </c>
      <c r="K542" s="26" t="str">
        <f>HYPERLINK("http://vk.com/id349676611")</f>
      </c>
      <c r="L542" s="14" t="s">
        <v>173</v>
      </c>
      <c r="M542" s="14" t="s">
        <v>1514</v>
      </c>
      <c r="N542" s="25" t="str">
        <f>HYPERLINK("http://vk.com/club149047382")</f>
      </c>
      <c r="O542" s="1" t="s">
        <v>186</v>
      </c>
      <c r="P542" s="1" t="n">
        <v>46</v>
      </c>
      <c r="Q542" s="1" t="n">
        <v>77321</v>
      </c>
      <c r="R542" s="1" t="n">
        <v>0</v>
      </c>
      <c r="S542" s="1"/>
      <c r="T542" s="1" t="n">
        <v>0</v>
      </c>
      <c r="U542" s="1" t="n">
        <v>0</v>
      </c>
      <c r="V542" s="1" t="n">
        <v>0</v>
      </c>
      <c r="W542" s="1"/>
      <c r="Y542" s="1" t="n">
        <v>1</v>
      </c>
      <c r="Z542" s="0" t="s">
        <v>319</v>
      </c>
      <c r="AA542" s="0" t="s">
        <v>187</v>
      </c>
      <c r="AC542" s="0" t="s">
        <v>177</v>
      </c>
      <c r="AD542" s="0" t="s">
        <v>719</v>
      </c>
      <c r="AE542" s="0" t="s">
        <v>1649</v>
      </c>
      <c r="AH542" s="0" t="s">
        <v>180</v>
      </c>
      <c r="AI542" s="0" t="s">
        <v>92</v>
      </c>
      <c r="AJ542" s="0" t="s">
        <v>437</v>
      </c>
      <c r="AK542" s="0" t="s">
        <v>94</v>
      </c>
      <c r="AN542" s="0" t="s">
        <v>97</v>
      </c>
      <c r="AP542" s="0" t="s">
        <v>99</v>
      </c>
      <c r="AS542" s="0" t="s">
        <v>102</v>
      </c>
      <c r="CF542" s="0" t="s">
        <v>141</v>
      </c>
      <c r="CI542" s="0" t="s">
        <v>144</v>
      </c>
    </row>
    <row r="543" ht="24.75">
      <c r="B543" s="0" t="s">
        <v>1650</v>
      </c>
      <c r="C543" s="1" t="n">
        <v>353306</v>
      </c>
      <c r="E543" s="14" t="s">
        <v>183</v>
      </c>
      <c r="F543" s="14" t="s">
        <v>184</v>
      </c>
      <c r="G543" s="25" t="str">
        <f>HYPERLINK("http://vk.com/wall420983764_3022")</f>
      </c>
      <c r="H543" s="14" t="s">
        <v>170</v>
      </c>
      <c r="I543" s="14" t="s">
        <v>171</v>
      </c>
      <c r="J543" s="14" t="s">
        <v>1651</v>
      </c>
      <c r="K543" s="26" t="str">
        <f>HYPERLINK("http://vk.com/id420983764")</f>
      </c>
      <c r="L543" s="14" t="s">
        <v>173</v>
      </c>
      <c r="O543" s="1" t="s">
        <v>186</v>
      </c>
      <c r="P543" s="1" t="n">
        <v>62</v>
      </c>
      <c r="Q543" s="1" t="n">
        <v>69</v>
      </c>
      <c r="R543" s="1" t="n">
        <v>0</v>
      </c>
      <c r="S543" s="1"/>
      <c r="T543" s="1" t="n">
        <v>0</v>
      </c>
      <c r="U543" s="1" t="n">
        <v>0</v>
      </c>
      <c r="V543" s="1" t="n">
        <v>0</v>
      </c>
      <c r="W543" s="1"/>
      <c r="Y543" s="1" t="n">
        <v>62</v>
      </c>
      <c r="Z543" s="0" t="s">
        <v>175</v>
      </c>
      <c r="AA543" s="0" t="s">
        <v>187</v>
      </c>
      <c r="AC543" s="0" t="s">
        <v>177</v>
      </c>
      <c r="AD543" s="0" t="s">
        <v>561</v>
      </c>
      <c r="AE543" s="0" t="s">
        <v>562</v>
      </c>
      <c r="AH543" s="0" t="s">
        <v>180</v>
      </c>
      <c r="AJ543" s="0" t="s">
        <v>437</v>
      </c>
      <c r="AK543" s="0" t="s">
        <v>94</v>
      </c>
      <c r="AO543" s="0" t="s">
        <v>98</v>
      </c>
      <c r="AP543" s="0" t="s">
        <v>99</v>
      </c>
      <c r="AR543" s="0" t="s">
        <v>101</v>
      </c>
      <c r="BA543" s="0" t="s">
        <v>110</v>
      </c>
      <c r="BH543" s="0" t="s">
        <v>117</v>
      </c>
    </row>
    <row r="544" ht="24.75">
      <c r="B544" s="0" t="s">
        <v>1650</v>
      </c>
      <c r="C544" s="1" t="n">
        <v>353598</v>
      </c>
      <c r="E544" s="14" t="s">
        <v>554</v>
      </c>
      <c r="F544" s="14" t="s">
        <v>169</v>
      </c>
      <c r="G544" s="25" t="str">
        <f>HYPERLINK("http://www.ok.ru/profile/563822795630/statuses/156011461909870")</f>
      </c>
      <c r="H544" s="14" t="s">
        <v>170</v>
      </c>
      <c r="I544" s="14" t="s">
        <v>171</v>
      </c>
      <c r="J544" s="14" t="s">
        <v>1652</v>
      </c>
      <c r="K544" s="26" t="str">
        <f>HYPERLINK("http://www.ok.ru/profile/563822795630")</f>
      </c>
      <c r="L544" s="14" t="s">
        <v>173</v>
      </c>
      <c r="O544" s="1" t="s">
        <v>186</v>
      </c>
      <c r="P544" s="1" t="n">
        <v>71</v>
      </c>
      <c r="Q544" s="1" t="n">
        <v>119</v>
      </c>
      <c r="R544" s="1" t="n">
        <v>0</v>
      </c>
      <c r="S544" s="1"/>
      <c r="T544" s="1" t="n">
        <v>0</v>
      </c>
      <c r="U544" s="1" t="n">
        <v>0</v>
      </c>
      <c r="V544" s="1" t="n">
        <v>0</v>
      </c>
      <c r="W544" s="1"/>
      <c r="Y544" s="1" t="n">
        <v>59</v>
      </c>
      <c r="Z544" s="0" t="s">
        <v>175</v>
      </c>
      <c r="AA544" s="0" t="s">
        <v>176</v>
      </c>
      <c r="AC544" s="0" t="s">
        <v>177</v>
      </c>
      <c r="AD544" s="0" t="s">
        <v>513</v>
      </c>
      <c r="AE544" s="0" t="s">
        <v>799</v>
      </c>
      <c r="AH544" s="0" t="s">
        <v>180</v>
      </c>
      <c r="AJ544" s="0" t="s">
        <v>437</v>
      </c>
      <c r="AK544" s="0" t="s">
        <v>94</v>
      </c>
      <c r="AL544" s="0" t="s">
        <v>95</v>
      </c>
      <c r="AM544" s="0" t="s">
        <v>96</v>
      </c>
      <c r="AO544" s="0" t="s">
        <v>98</v>
      </c>
      <c r="AQ544" s="0" t="s">
        <v>100</v>
      </c>
    </row>
    <row r="545">
      <c r="B545" s="0" t="s">
        <v>1653</v>
      </c>
      <c r="C545" s="1" t="n">
        <v>353330</v>
      </c>
      <c r="E545" s="14" t="s">
        <v>1654</v>
      </c>
      <c r="F545" s="14" t="s">
        <v>1655</v>
      </c>
      <c r="G545" s="25" t="str">
        <f>HYPERLINK("http://www.youtube.com/watch?v=FxQUPQZtN5I&amp;lc=UgwlPEZ3UMKKqyYqAAB4AaABAg")</f>
      </c>
      <c r="H545" s="14" t="s">
        <v>1656</v>
      </c>
      <c r="I545" s="14" t="s">
        <v>231</v>
      </c>
      <c r="J545" s="14" t="s">
        <v>1657</v>
      </c>
      <c r="K545" s="26" t="str">
        <f>HYPERLINK("http://www.youtube.com/channel/UC6nIx92vt1RoWrROX2FPk-w")</f>
      </c>
      <c r="L545" s="14" t="s">
        <v>173</v>
      </c>
      <c r="M545" s="14" t="s">
        <v>1658</v>
      </c>
      <c r="N545" s="25" t="str">
        <f>HYPERLINK("http://www.youtube.com/channel/UCpm6vCgiehSKHtMFFS5ukiA")</f>
      </c>
      <c r="O545" s="1"/>
      <c r="P545" s="1"/>
      <c r="Q545" s="1" t="n">
        <v>2730000</v>
      </c>
      <c r="R545" s="1" t="n">
        <v>0</v>
      </c>
      <c r="S545" s="1"/>
      <c r="T545" s="1" t="n">
        <v>0</v>
      </c>
      <c r="U545" s="1" t="n">
        <v>0</v>
      </c>
      <c r="V545" s="1" t="n">
        <v>0</v>
      </c>
      <c r="W545" s="1"/>
      <c r="Y545" s="1" t="n">
        <v>1</v>
      </c>
      <c r="Z545" s="0" t="s">
        <v>175</v>
      </c>
      <c r="AA545" s="0" t="s">
        <v>187</v>
      </c>
      <c r="AH545" s="0" t="s">
        <v>180</v>
      </c>
      <c r="AI545" s="0" t="s">
        <v>92</v>
      </c>
      <c r="AJ545" s="0" t="s">
        <v>437</v>
      </c>
      <c r="AK545" s="0" t="s">
        <v>94</v>
      </c>
      <c r="AN545" s="0" t="s">
        <v>97</v>
      </c>
      <c r="AP545" s="0" t="s">
        <v>99</v>
      </c>
      <c r="AS545" s="0" t="s">
        <v>102</v>
      </c>
      <c r="BB545" s="0" t="s">
        <v>111</v>
      </c>
      <c r="BC545" s="0" t="s">
        <v>112</v>
      </c>
    </row>
    <row r="546" ht="24.75">
      <c r="B546" s="0" t="s">
        <v>1659</v>
      </c>
      <c r="C546" s="1" t="n">
        <v>353317</v>
      </c>
      <c r="E546" s="14" t="s">
        <v>183</v>
      </c>
      <c r="F546" s="14" t="s">
        <v>184</v>
      </c>
      <c r="G546" s="25" t="str">
        <f>HYPERLINK("http://vk.com/wall519688656_1384")</f>
      </c>
      <c r="H546" s="14" t="s">
        <v>170</v>
      </c>
      <c r="I546" s="14" t="s">
        <v>171</v>
      </c>
      <c r="J546" s="14" t="s">
        <v>1660</v>
      </c>
      <c r="K546" s="26" t="str">
        <f>HYPERLINK("http://vk.com/id519688656")</f>
      </c>
      <c r="L546" s="14" t="s">
        <v>173</v>
      </c>
      <c r="O546" s="1" t="s">
        <v>186</v>
      </c>
      <c r="P546" s="1" t="n">
        <v>45</v>
      </c>
      <c r="Q546" s="1" t="n">
        <v>92</v>
      </c>
      <c r="R546" s="1" t="n">
        <v>0</v>
      </c>
      <c r="S546" s="1"/>
      <c r="T546" s="1" t="n">
        <v>0</v>
      </c>
      <c r="U546" s="1" t="n">
        <v>0</v>
      </c>
      <c r="V546" s="1" t="n">
        <v>0</v>
      </c>
      <c r="W546" s="1"/>
      <c r="Y546" s="1" t="n">
        <v>62</v>
      </c>
      <c r="Z546" s="0" t="s">
        <v>175</v>
      </c>
      <c r="AA546" s="0" t="s">
        <v>187</v>
      </c>
      <c r="AH546" s="0" t="s">
        <v>180</v>
      </c>
      <c r="AJ546" s="0" t="s">
        <v>437</v>
      </c>
      <c r="AK546" s="0" t="s">
        <v>94</v>
      </c>
      <c r="AO546" s="0" t="s">
        <v>98</v>
      </c>
      <c r="AP546" s="0" t="s">
        <v>99</v>
      </c>
      <c r="AR546" s="0" t="s">
        <v>101</v>
      </c>
      <c r="BA546" s="0" t="s">
        <v>110</v>
      </c>
      <c r="BH546" s="0" t="s">
        <v>117</v>
      </c>
    </row>
    <row r="547">
      <c r="B547" s="0" t="s">
        <v>1659</v>
      </c>
      <c r="C547" s="1" t="n">
        <v>353307</v>
      </c>
      <c r="E547" s="14" t="s">
        <v>1661</v>
      </c>
      <c r="F547" s="14" t="s">
        <v>184</v>
      </c>
      <c r="G547" s="25" t="str">
        <f>HYPERLINK("http://vk.com/wall-48067990_913230?reply=914034&amp;thread=913370")</f>
      </c>
      <c r="H547" s="14" t="s">
        <v>170</v>
      </c>
      <c r="I547" s="14" t="s">
        <v>231</v>
      </c>
      <c r="J547" s="14" t="s">
        <v>1662</v>
      </c>
      <c r="K547" s="26" t="str">
        <f>HYPERLINK("http://vk.com/id156575843")</f>
      </c>
      <c r="L547" s="14" t="s">
        <v>173</v>
      </c>
      <c r="M547" s="14" t="s">
        <v>759</v>
      </c>
      <c r="N547" s="25" t="str">
        <f>HYPERLINK("http://vk.com/club48067990")</f>
      </c>
      <c r="O547" s="1" t="s">
        <v>186</v>
      </c>
      <c r="P547" s="1" t="n">
        <v>27</v>
      </c>
      <c r="Q547" s="1" t="n">
        <v>59167</v>
      </c>
      <c r="R547" s="1" t="n">
        <v>0</v>
      </c>
      <c r="S547" s="1"/>
      <c r="T547" s="1" t="n">
        <v>0</v>
      </c>
      <c r="U547" s="1" t="n">
        <v>0</v>
      </c>
      <c r="V547" s="1" t="n">
        <v>0</v>
      </c>
      <c r="W547" s="1"/>
      <c r="Y547" s="1" t="n">
        <v>1</v>
      </c>
      <c r="Z547" s="0" t="s">
        <v>175</v>
      </c>
      <c r="AA547" s="0" t="s">
        <v>187</v>
      </c>
      <c r="AC547" s="0" t="s">
        <v>177</v>
      </c>
      <c r="AH547" s="0" t="s">
        <v>180</v>
      </c>
      <c r="AI547" s="0" t="s">
        <v>92</v>
      </c>
      <c r="AJ547" s="0" t="s">
        <v>437</v>
      </c>
      <c r="AK547" s="0" t="s">
        <v>94</v>
      </c>
      <c r="AN547" s="0" t="s">
        <v>97</v>
      </c>
      <c r="AP547" s="0" t="s">
        <v>99</v>
      </c>
      <c r="AW547" s="0" t="s">
        <v>106</v>
      </c>
      <c r="BB547" s="0" t="s">
        <v>111</v>
      </c>
      <c r="BC547" s="0" t="s">
        <v>112</v>
      </c>
      <c r="BU547" s="0" t="s">
        <v>130</v>
      </c>
    </row>
    <row r="548">
      <c r="B548" s="0" t="s">
        <v>1659</v>
      </c>
      <c r="C548" s="1" t="n">
        <v>353367</v>
      </c>
      <c r="E548" s="14" t="s">
        <v>1663</v>
      </c>
      <c r="F548" s="14" t="s">
        <v>375</v>
      </c>
      <c r="G548" s="25" t="str">
        <f>HYPERLINK("https://www.babyblog.ru/community/diseases/post/3125065")</f>
      </c>
      <c r="H548" s="14" t="s">
        <v>376</v>
      </c>
      <c r="I548" s="14" t="s">
        <v>231</v>
      </c>
      <c r="J548" s="14" t="s">
        <v>1664</v>
      </c>
      <c r="L548" s="14"/>
      <c r="M548" s="14" t="s">
        <v>378</v>
      </c>
      <c r="O548" s="1"/>
      <c r="P548" s="1"/>
      <c r="Q548" s="1"/>
      <c r="R548" s="1" t="n">
        <v>0</v>
      </c>
      <c r="S548" s="1"/>
      <c r="T548" s="1" t="n">
        <v>0</v>
      </c>
      <c r="U548" s="1" t="n">
        <v>0</v>
      </c>
      <c r="V548" s="1" t="n">
        <v>0</v>
      </c>
      <c r="W548" s="1"/>
      <c r="Y548" s="1" t="n">
        <v>1</v>
      </c>
      <c r="Z548" s="0" t="s">
        <v>319</v>
      </c>
      <c r="AA548" s="0" t="s">
        <v>187</v>
      </c>
      <c r="AH548" s="0" t="s">
        <v>180</v>
      </c>
      <c r="AI548" s="0" t="s">
        <v>92</v>
      </c>
      <c r="AJ548" s="0" t="s">
        <v>437</v>
      </c>
      <c r="AK548" s="0" t="s">
        <v>94</v>
      </c>
      <c r="AP548" s="0" t="s">
        <v>99</v>
      </c>
      <c r="AS548" s="0" t="s">
        <v>102</v>
      </c>
      <c r="BB548" s="0" t="s">
        <v>111</v>
      </c>
      <c r="BC548" s="0" t="s">
        <v>112</v>
      </c>
      <c r="BL548" s="0" t="s">
        <v>121</v>
      </c>
    </row>
    <row r="549" ht="24.75">
      <c r="B549" s="0" t="s">
        <v>1665</v>
      </c>
      <c r="C549" s="1" t="n">
        <v>353313</v>
      </c>
      <c r="E549" s="14" t="s">
        <v>183</v>
      </c>
      <c r="F549" s="14" t="s">
        <v>184</v>
      </c>
      <c r="G549" s="25" t="str">
        <f>HYPERLINK("http://vk.com/wall573126056_1047")</f>
      </c>
      <c r="H549" s="14" t="s">
        <v>170</v>
      </c>
      <c r="I549" s="14" t="s">
        <v>171</v>
      </c>
      <c r="J549" s="14" t="s">
        <v>1666</v>
      </c>
      <c r="K549" s="26" t="str">
        <f>HYPERLINK("http://vk.com/id573126056")</f>
      </c>
      <c r="L549" s="14" t="s">
        <v>173</v>
      </c>
      <c r="O549" s="1" t="s">
        <v>174</v>
      </c>
      <c r="P549" s="1" t="n">
        <v>47</v>
      </c>
      <c r="Q549" s="1" t="n">
        <v>124</v>
      </c>
      <c r="R549" s="1" t="n">
        <v>0</v>
      </c>
      <c r="S549" s="1"/>
      <c r="T549" s="1" t="n">
        <v>0</v>
      </c>
      <c r="U549" s="1" t="n">
        <v>0</v>
      </c>
      <c r="V549" s="1" t="n">
        <v>0</v>
      </c>
      <c r="W549" s="1"/>
      <c r="Y549" s="1" t="n">
        <v>62</v>
      </c>
      <c r="Z549" s="0" t="s">
        <v>175</v>
      </c>
      <c r="AA549" s="0" t="s">
        <v>187</v>
      </c>
      <c r="AH549" s="0" t="s">
        <v>180</v>
      </c>
      <c r="AJ549" s="0" t="s">
        <v>437</v>
      </c>
      <c r="AK549" s="0" t="s">
        <v>94</v>
      </c>
      <c r="AO549" s="0" t="s">
        <v>98</v>
      </c>
      <c r="AP549" s="0" t="s">
        <v>99</v>
      </c>
      <c r="AR549" s="0" t="s">
        <v>101</v>
      </c>
      <c r="BA549" s="0" t="s">
        <v>110</v>
      </c>
      <c r="BH549" s="0" t="s">
        <v>117</v>
      </c>
    </row>
    <row r="550" ht="72.75">
      <c r="B550" s="0" t="s">
        <v>1665</v>
      </c>
      <c r="C550" s="1" t="n">
        <v>353322</v>
      </c>
      <c r="D550" s="0" t="s">
        <v>1476</v>
      </c>
      <c r="E550" s="14" t="s">
        <v>1667</v>
      </c>
      <c r="F550" s="14" t="s">
        <v>1668</v>
      </c>
      <c r="G550" s="25" t="str">
        <f>HYPERLINK("https://komiinform.ru/news/249037")</f>
      </c>
      <c r="H550" s="14" t="s">
        <v>208</v>
      </c>
      <c r="I550" s="14" t="s">
        <v>194</v>
      </c>
      <c r="J550" s="14"/>
      <c r="L550" s="14"/>
      <c r="O550" s="1"/>
      <c r="P550" s="1"/>
      <c r="Q550" s="1"/>
      <c r="R550" s="1" t="n">
        <v>0</v>
      </c>
      <c r="S550" s="1" t="n">
        <v>29235</v>
      </c>
      <c r="T550" s="1" t="n">
        <v>0</v>
      </c>
      <c r="U550" s="1" t="n">
        <v>0</v>
      </c>
      <c r="V550" s="1" t="n">
        <v>0</v>
      </c>
      <c r="W550" s="1"/>
      <c r="Y550" s="1" t="n">
        <v>1</v>
      </c>
      <c r="Z550" s="0" t="s">
        <v>175</v>
      </c>
      <c r="AA550" s="0" t="s">
        <v>223</v>
      </c>
      <c r="AH550" s="0" t="s">
        <v>180</v>
      </c>
      <c r="AJ550" s="0" t="s">
        <v>437</v>
      </c>
      <c r="AM550" s="0" t="s">
        <v>96</v>
      </c>
      <c r="AP550" s="0" t="s">
        <v>99</v>
      </c>
      <c r="BD550" s="0" t="s">
        <v>113</v>
      </c>
    </row>
    <row r="551" ht="72.75">
      <c r="B551" s="0" t="s">
        <v>1665</v>
      </c>
      <c r="C551" s="1" t="n">
        <v>353572</v>
      </c>
      <c r="D551" s="0" t="s">
        <v>1476</v>
      </c>
      <c r="E551" s="14" t="s">
        <v>1669</v>
      </c>
      <c r="F551" s="14" t="s">
        <v>1670</v>
      </c>
      <c r="G551" s="25" t="str">
        <f>HYPERLINK("http://gorodskoyportal.ru/syktyvkar/news/news/82553606/")</f>
      </c>
      <c r="H551" s="14" t="s">
        <v>208</v>
      </c>
      <c r="I551" s="14" t="s">
        <v>194</v>
      </c>
      <c r="J551" s="14"/>
      <c r="L551" s="14"/>
      <c r="O551" s="1"/>
      <c r="P551" s="1"/>
      <c r="Q551" s="1"/>
      <c r="R551" s="1" t="n">
        <v>0</v>
      </c>
      <c r="S551" s="1" t="n">
        <v>302</v>
      </c>
      <c r="T551" s="1" t="n">
        <v>0</v>
      </c>
      <c r="U551" s="1" t="n">
        <v>0</v>
      </c>
      <c r="V551" s="1" t="n">
        <v>0</v>
      </c>
      <c r="W551" s="1"/>
      <c r="Y551" s="1" t="n">
        <v>2</v>
      </c>
      <c r="Z551" s="0" t="s">
        <v>175</v>
      </c>
      <c r="AA551" s="0" t="s">
        <v>176</v>
      </c>
      <c r="AH551" s="0" t="s">
        <v>180</v>
      </c>
      <c r="AJ551" s="0" t="s">
        <v>437</v>
      </c>
      <c r="AM551" s="0" t="s">
        <v>96</v>
      </c>
      <c r="AP551" s="0" t="s">
        <v>99</v>
      </c>
      <c r="BD551" s="0" t="s">
        <v>113</v>
      </c>
    </row>
    <row r="552">
      <c r="B552" s="0" t="s">
        <v>1671</v>
      </c>
      <c r="C552" s="1" t="n">
        <v>353302</v>
      </c>
      <c r="E552" s="14" t="s">
        <v>1672</v>
      </c>
      <c r="F552" s="14" t="s">
        <v>184</v>
      </c>
      <c r="G552" s="25" t="str">
        <f>HYPERLINK("http://vk.com/wall-1678339_2239126?reply=2239850&amp;thread=2239238")</f>
      </c>
      <c r="H552" s="14" t="s">
        <v>170</v>
      </c>
      <c r="I552" s="14" t="s">
        <v>231</v>
      </c>
      <c r="J552" s="14" t="s">
        <v>1673</v>
      </c>
      <c r="K552" s="26" t="str">
        <f>HYPERLINK("http://vk.com/id217763697")</f>
      </c>
      <c r="L552" s="14" t="s">
        <v>173</v>
      </c>
      <c r="M552" s="14" t="s">
        <v>1674</v>
      </c>
      <c r="N552" s="25" t="str">
        <f>HYPERLINK("http://vk.com/club1678339")</f>
      </c>
      <c r="O552" s="1" t="s">
        <v>186</v>
      </c>
      <c r="P552" s="1" t="n">
        <v>31</v>
      </c>
      <c r="Q552" s="1" t="n">
        <v>39553</v>
      </c>
      <c r="R552" s="1" t="n">
        <v>0</v>
      </c>
      <c r="S552" s="1"/>
      <c r="T552" s="1" t="n">
        <v>0</v>
      </c>
      <c r="U552" s="1" t="n">
        <v>0</v>
      </c>
      <c r="V552" s="1" t="n">
        <v>0</v>
      </c>
      <c r="W552" s="1"/>
      <c r="Y552" s="1" t="n">
        <v>1</v>
      </c>
      <c r="Z552" s="0" t="s">
        <v>319</v>
      </c>
      <c r="AA552" s="0" t="s">
        <v>187</v>
      </c>
      <c r="AC552" s="0" t="s">
        <v>177</v>
      </c>
      <c r="AH552" s="0" t="s">
        <v>180</v>
      </c>
      <c r="AI552" s="0" t="s">
        <v>92</v>
      </c>
      <c r="AJ552" s="0" t="s">
        <v>437</v>
      </c>
      <c r="AK552" s="0" t="s">
        <v>94</v>
      </c>
      <c r="AN552" s="0" t="s">
        <v>97</v>
      </c>
      <c r="AP552" s="0" t="s">
        <v>99</v>
      </c>
      <c r="BB552" s="0" t="s">
        <v>111</v>
      </c>
      <c r="BC552" s="0" t="s">
        <v>112</v>
      </c>
      <c r="BO552" s="0" t="s">
        <v>124</v>
      </c>
    </row>
    <row r="553" ht="24.75">
      <c r="B553" s="0" t="s">
        <v>1675</v>
      </c>
      <c r="C553" s="1" t="n">
        <v>353301</v>
      </c>
      <c r="E553" s="14" t="s">
        <v>183</v>
      </c>
      <c r="F553" s="14" t="s">
        <v>184</v>
      </c>
      <c r="G553" s="25" t="str">
        <f>HYPERLINK("http://vk.com/wall418525205_103")</f>
      </c>
      <c r="H553" s="14" t="s">
        <v>170</v>
      </c>
      <c r="I553" s="14" t="s">
        <v>171</v>
      </c>
      <c r="J553" s="14" t="s">
        <v>1676</v>
      </c>
      <c r="K553" s="26" t="str">
        <f>HYPERLINK("http://vk.com/id418525205")</f>
      </c>
      <c r="L553" s="14" t="s">
        <v>173</v>
      </c>
      <c r="O553" s="1" t="s">
        <v>186</v>
      </c>
      <c r="P553" s="1"/>
      <c r="Q553" s="1" t="n">
        <v>188</v>
      </c>
      <c r="R553" s="1" t="n">
        <v>0</v>
      </c>
      <c r="S553" s="1"/>
      <c r="T553" s="1" t="n">
        <v>0</v>
      </c>
      <c r="U553" s="1" t="n">
        <v>0</v>
      </c>
      <c r="V553" s="1" t="n">
        <v>0</v>
      </c>
      <c r="W553" s="1"/>
      <c r="Y553" s="1" t="n">
        <v>62</v>
      </c>
      <c r="Z553" s="0" t="s">
        <v>175</v>
      </c>
      <c r="AA553" s="0" t="s">
        <v>187</v>
      </c>
      <c r="AC553" s="0" t="s">
        <v>177</v>
      </c>
      <c r="AD553" s="0" t="s">
        <v>410</v>
      </c>
      <c r="AE553" s="0" t="s">
        <v>792</v>
      </c>
      <c r="AH553" s="0" t="s">
        <v>180</v>
      </c>
      <c r="AJ553" s="0" t="s">
        <v>437</v>
      </c>
      <c r="AK553" s="0" t="s">
        <v>94</v>
      </c>
      <c r="AO553" s="0" t="s">
        <v>98</v>
      </c>
      <c r="AP553" s="0" t="s">
        <v>99</v>
      </c>
      <c r="AR553" s="0" t="s">
        <v>101</v>
      </c>
      <c r="BA553" s="0" t="s">
        <v>110</v>
      </c>
      <c r="BH553" s="0" t="s">
        <v>117</v>
      </c>
    </row>
    <row r="554">
      <c r="B554" s="0" t="s">
        <v>1677</v>
      </c>
      <c r="C554" s="1" t="n">
        <v>353298</v>
      </c>
      <c r="E554" s="14" t="s">
        <v>1678</v>
      </c>
      <c r="F554" s="14" t="s">
        <v>184</v>
      </c>
      <c r="G554" s="25" t="str">
        <f>HYPERLINK("http://vk.com/wall-164460003_1863466?reply=1866338&amp;thread=1864239")</f>
      </c>
      <c r="H554" s="14" t="s">
        <v>170</v>
      </c>
      <c r="I554" s="14" t="s">
        <v>231</v>
      </c>
      <c r="J554" s="14" t="s">
        <v>1673</v>
      </c>
      <c r="K554" s="26" t="str">
        <f>HYPERLINK("http://vk.com/id217763697")</f>
      </c>
      <c r="L554" s="14" t="s">
        <v>173</v>
      </c>
      <c r="M554" s="14" t="s">
        <v>1032</v>
      </c>
      <c r="N554" s="25" t="str">
        <f>HYPERLINK("http://vk.com/club164460003")</f>
      </c>
      <c r="O554" s="1" t="s">
        <v>186</v>
      </c>
      <c r="P554" s="1" t="n">
        <v>31</v>
      </c>
      <c r="Q554" s="1" t="n">
        <v>126031</v>
      </c>
      <c r="R554" s="1" t="n">
        <v>0</v>
      </c>
      <c r="S554" s="1"/>
      <c r="T554" s="1" t="n">
        <v>0</v>
      </c>
      <c r="U554" s="1" t="n">
        <v>0</v>
      </c>
      <c r="V554" s="1" t="n">
        <v>0</v>
      </c>
      <c r="W554" s="1"/>
      <c r="Y554" s="1" t="n">
        <v>1</v>
      </c>
      <c r="Z554" s="0" t="s">
        <v>463</v>
      </c>
      <c r="AA554" s="0" t="s">
        <v>292</v>
      </c>
      <c r="AC554" s="0" t="s">
        <v>177</v>
      </c>
      <c r="AH554" s="0" t="s">
        <v>180</v>
      </c>
      <c r="AI554" s="0" t="s">
        <v>92</v>
      </c>
      <c r="AJ554" s="0" t="s">
        <v>437</v>
      </c>
      <c r="AO554" s="0" t="s">
        <v>98</v>
      </c>
      <c r="AP554" s="0" t="s">
        <v>99</v>
      </c>
      <c r="AY554" s="0" t="s">
        <v>108</v>
      </c>
      <c r="CG554" s="0" t="s">
        <v>142</v>
      </c>
    </row>
    <row r="555">
      <c r="B555" s="0" t="s">
        <v>1677</v>
      </c>
      <c r="C555" s="1" t="n">
        <v>353294</v>
      </c>
      <c r="E555" s="14" t="s">
        <v>1679</v>
      </c>
      <c r="F555" s="14" t="s">
        <v>184</v>
      </c>
      <c r="G555" s="25" t="str">
        <f>HYPERLINK("http://vk.com/wall-149047382_2415266?reply=2415360")</f>
      </c>
      <c r="H555" s="14" t="s">
        <v>170</v>
      </c>
      <c r="I555" s="14" t="s">
        <v>231</v>
      </c>
      <c r="J555" s="14" t="s">
        <v>1680</v>
      </c>
      <c r="K555" s="26" t="str">
        <f>HYPERLINK("http://vk.com/id87314122")</f>
      </c>
      <c r="L555" s="14" t="s">
        <v>173</v>
      </c>
      <c r="M555" s="14" t="s">
        <v>1514</v>
      </c>
      <c r="N555" s="25" t="str">
        <f>HYPERLINK("http://vk.com/club149047382")</f>
      </c>
      <c r="O555" s="1" t="s">
        <v>186</v>
      </c>
      <c r="P555" s="1" t="n">
        <v>49</v>
      </c>
      <c r="Q555" s="1" t="n">
        <v>77321</v>
      </c>
      <c r="R555" s="1" t="n">
        <v>0</v>
      </c>
      <c r="S555" s="1"/>
      <c r="T555" s="1" t="n">
        <v>0</v>
      </c>
      <c r="U555" s="1" t="n">
        <v>0</v>
      </c>
      <c r="V555" s="1" t="n">
        <v>0</v>
      </c>
      <c r="W555" s="1"/>
      <c r="Y555" s="1" t="n">
        <v>1</v>
      </c>
      <c r="Z555" s="0" t="s">
        <v>319</v>
      </c>
      <c r="AA555" s="0" t="s">
        <v>187</v>
      </c>
      <c r="AC555" s="0" t="s">
        <v>177</v>
      </c>
      <c r="AD555" s="0" t="s">
        <v>719</v>
      </c>
      <c r="AE555" s="0" t="s">
        <v>1515</v>
      </c>
      <c r="AH555" s="0" t="s">
        <v>180</v>
      </c>
      <c r="AJ555" s="0" t="s">
        <v>437</v>
      </c>
      <c r="AK555" s="0" t="s">
        <v>94</v>
      </c>
      <c r="AN555" s="0" t="s">
        <v>97</v>
      </c>
      <c r="AP555" s="0" t="s">
        <v>99</v>
      </c>
      <c r="AS555" s="0" t="s">
        <v>102</v>
      </c>
      <c r="CI555" s="0" t="s">
        <v>144</v>
      </c>
    </row>
    <row r="556">
      <c r="B556" s="0" t="s">
        <v>1681</v>
      </c>
      <c r="C556" s="1" t="n">
        <v>353818</v>
      </c>
      <c r="E556" s="14" t="s">
        <v>1682</v>
      </c>
      <c r="F556" s="14" t="s">
        <v>1683</v>
      </c>
      <c r="G556" s="25" t="str">
        <f>HYPERLINK("https://www.consmed.ru/pediator/view/1111617/")</f>
      </c>
      <c r="H556" s="14" t="s">
        <v>264</v>
      </c>
      <c r="I556" s="14" t="s">
        <v>231</v>
      </c>
      <c r="J556" s="14" t="s">
        <v>1684</v>
      </c>
      <c r="L556" s="14"/>
      <c r="M556" s="14" t="s">
        <v>1685</v>
      </c>
      <c r="O556" s="1"/>
      <c r="P556" s="1"/>
      <c r="Q556" s="1"/>
      <c r="R556" s="1" t="n">
        <v>0</v>
      </c>
      <c r="S556" s="1"/>
      <c r="T556" s="1" t="n">
        <v>0</v>
      </c>
      <c r="U556" s="1" t="n">
        <v>0</v>
      </c>
      <c r="V556" s="1" t="n">
        <v>0</v>
      </c>
      <c r="W556" s="1"/>
      <c r="Y556" s="1" t="n">
        <v>1</v>
      </c>
      <c r="Z556" s="0" t="s">
        <v>175</v>
      </c>
      <c r="AA556" s="0" t="s">
        <v>187</v>
      </c>
      <c r="AH556" s="0" t="s">
        <v>180</v>
      </c>
      <c r="AJ556" s="0" t="s">
        <v>437</v>
      </c>
      <c r="AK556" s="0" t="s">
        <v>94</v>
      </c>
      <c r="AL556" s="0" t="s">
        <v>95</v>
      </c>
      <c r="AN556" s="0" t="s">
        <v>97</v>
      </c>
      <c r="AS556" s="0" t="s">
        <v>102</v>
      </c>
      <c r="AW556" s="0" t="s">
        <v>106</v>
      </c>
      <c r="BC556" s="0" t="s">
        <v>112</v>
      </c>
    </row>
    <row r="557" ht="24.75">
      <c r="B557" s="0" t="s">
        <v>1686</v>
      </c>
      <c r="C557" s="1" t="n">
        <v>353295</v>
      </c>
      <c r="E557" s="14" t="s">
        <v>183</v>
      </c>
      <c r="F557" s="14" t="s">
        <v>184</v>
      </c>
      <c r="G557" s="25" t="str">
        <f>HYPERLINK("http://vk.com/wall450756669_2349")</f>
      </c>
      <c r="H557" s="14" t="s">
        <v>170</v>
      </c>
      <c r="I557" s="14" t="s">
        <v>171</v>
      </c>
      <c r="J557" s="14" t="s">
        <v>1687</v>
      </c>
      <c r="K557" s="26" t="str">
        <f>HYPERLINK("http://vk.com/id450756669")</f>
      </c>
      <c r="L557" s="14" t="s">
        <v>173</v>
      </c>
      <c r="O557" s="1" t="s">
        <v>186</v>
      </c>
      <c r="P557" s="1" t="n">
        <v>56</v>
      </c>
      <c r="Q557" s="1" t="n">
        <v>243</v>
      </c>
      <c r="R557" s="1" t="n">
        <v>0</v>
      </c>
      <c r="S557" s="1"/>
      <c r="T557" s="1" t="n">
        <v>0</v>
      </c>
      <c r="U557" s="1" t="n">
        <v>0</v>
      </c>
      <c r="V557" s="1" t="n">
        <v>0</v>
      </c>
      <c r="W557" s="1" t="n">
        <v>1</v>
      </c>
      <c r="Y557" s="1" t="n">
        <v>62</v>
      </c>
      <c r="Z557" s="0" t="s">
        <v>175</v>
      </c>
      <c r="AA557" s="0" t="s">
        <v>187</v>
      </c>
      <c r="AC557" s="0" t="s">
        <v>177</v>
      </c>
      <c r="AD557" s="0" t="s">
        <v>520</v>
      </c>
      <c r="AE557" s="0" t="s">
        <v>521</v>
      </c>
      <c r="AH557" s="0" t="s">
        <v>180</v>
      </c>
      <c r="AJ557" s="0" t="s">
        <v>437</v>
      </c>
      <c r="AK557" s="0" t="s">
        <v>94</v>
      </c>
      <c r="AO557" s="0" t="s">
        <v>98</v>
      </c>
      <c r="AP557" s="0" t="s">
        <v>99</v>
      </c>
      <c r="AR557" s="0" t="s">
        <v>101</v>
      </c>
      <c r="BA557" s="0" t="s">
        <v>110</v>
      </c>
      <c r="BH557" s="0" t="s">
        <v>117</v>
      </c>
    </row>
    <row r="558" ht="24.75">
      <c r="B558" s="0" t="s">
        <v>1688</v>
      </c>
      <c r="C558" s="1" t="n">
        <v>353289</v>
      </c>
      <c r="E558" s="14" t="s">
        <v>183</v>
      </c>
      <c r="F558" s="14" t="s">
        <v>184</v>
      </c>
      <c r="G558" s="25" t="str">
        <f>HYPERLINK("http://vk.com/wall555474632_449")</f>
      </c>
      <c r="H558" s="14" t="s">
        <v>170</v>
      </c>
      <c r="I558" s="14" t="s">
        <v>171</v>
      </c>
      <c r="J558" s="14" t="s">
        <v>1689</v>
      </c>
      <c r="K558" s="26" t="str">
        <f>HYPERLINK("http://vk.com/id555474632")</f>
      </c>
      <c r="L558" s="14" t="s">
        <v>173</v>
      </c>
      <c r="O558" s="1" t="s">
        <v>186</v>
      </c>
      <c r="P558" s="1" t="n">
        <v>60</v>
      </c>
      <c r="Q558" s="1" t="n">
        <v>129</v>
      </c>
      <c r="R558" s="1" t="n">
        <v>0</v>
      </c>
      <c r="S558" s="1"/>
      <c r="T558" s="1" t="n">
        <v>0</v>
      </c>
      <c r="U558" s="1" t="n">
        <v>0</v>
      </c>
      <c r="V558" s="1" t="n">
        <v>0</v>
      </c>
      <c r="W558" s="1"/>
      <c r="Y558" s="1" t="n">
        <v>62</v>
      </c>
      <c r="Z558" s="0" t="s">
        <v>175</v>
      </c>
      <c r="AA558" s="0" t="s">
        <v>187</v>
      </c>
      <c r="AC558" s="0" t="s">
        <v>177</v>
      </c>
      <c r="AD558" s="0" t="s">
        <v>278</v>
      </c>
      <c r="AE558" s="0" t="s">
        <v>279</v>
      </c>
      <c r="AH558" s="0" t="s">
        <v>180</v>
      </c>
      <c r="AJ558" s="0" t="s">
        <v>437</v>
      </c>
      <c r="AK558" s="0" t="s">
        <v>94</v>
      </c>
      <c r="AO558" s="0" t="s">
        <v>98</v>
      </c>
      <c r="AP558" s="0" t="s">
        <v>99</v>
      </c>
      <c r="AR558" s="0" t="s">
        <v>101</v>
      </c>
      <c r="BA558" s="0" t="s">
        <v>110</v>
      </c>
      <c r="BH558" s="0" t="s">
        <v>117</v>
      </c>
    </row>
    <row r="559">
      <c r="B559" s="0" t="s">
        <v>1690</v>
      </c>
      <c r="C559" s="1" t="n">
        <v>353282</v>
      </c>
      <c r="E559" s="14" t="s">
        <v>1691</v>
      </c>
      <c r="F559" s="14" t="s">
        <v>184</v>
      </c>
      <c r="G559" s="25" t="str">
        <f>HYPERLINK("http://vk.com/wall-64735800_1253775?reply=1253856")</f>
      </c>
      <c r="H559" s="14" t="s">
        <v>170</v>
      </c>
      <c r="I559" s="14" t="s">
        <v>231</v>
      </c>
      <c r="J559" s="14" t="s">
        <v>1692</v>
      </c>
      <c r="K559" s="26" t="str">
        <f>HYPERLINK("http://vk.com/id124308192")</f>
      </c>
      <c r="L559" s="14" t="s">
        <v>173</v>
      </c>
      <c r="M559" s="14" t="s">
        <v>905</v>
      </c>
      <c r="N559" s="25" t="str">
        <f>HYPERLINK("http://vk.com/club64735800")</f>
      </c>
      <c r="O559" s="1" t="s">
        <v>186</v>
      </c>
      <c r="P559" s="1"/>
      <c r="Q559" s="1" t="n">
        <v>43192</v>
      </c>
      <c r="R559" s="1" t="n">
        <v>0</v>
      </c>
      <c r="S559" s="1"/>
      <c r="T559" s="1" t="n">
        <v>0</v>
      </c>
      <c r="U559" s="1" t="n">
        <v>0</v>
      </c>
      <c r="V559" s="1" t="n">
        <v>0</v>
      </c>
      <c r="W559" s="1"/>
      <c r="Y559" s="1" t="n">
        <v>1</v>
      </c>
      <c r="Z559" s="0" t="s">
        <v>319</v>
      </c>
      <c r="AA559" s="0" t="s">
        <v>187</v>
      </c>
      <c r="AC559" s="0" t="s">
        <v>177</v>
      </c>
      <c r="AD559" s="0" t="s">
        <v>760</v>
      </c>
      <c r="AE559" s="0" t="s">
        <v>906</v>
      </c>
      <c r="AH559" s="0" t="s">
        <v>180</v>
      </c>
      <c r="AJ559" s="0" t="s">
        <v>437</v>
      </c>
      <c r="AK559" s="0" t="s">
        <v>94</v>
      </c>
      <c r="AN559" s="0" t="s">
        <v>97</v>
      </c>
      <c r="AP559" s="0" t="s">
        <v>99</v>
      </c>
      <c r="BE559" s="0" t="s">
        <v>114</v>
      </c>
      <c r="BJ559" s="0" t="s">
        <v>119</v>
      </c>
      <c r="BQ559" s="0" t="s">
        <v>126</v>
      </c>
    </row>
    <row r="560" ht="36.75">
      <c r="B560" s="0" t="s">
        <v>1693</v>
      </c>
      <c r="C560" s="1" t="n">
        <v>353279</v>
      </c>
      <c r="E560" s="14" t="s">
        <v>1640</v>
      </c>
      <c r="F560" s="14" t="s">
        <v>184</v>
      </c>
      <c r="G560" s="25" t="str">
        <f>HYPERLINK("http://vk.com/wall232933568_221")</f>
      </c>
      <c r="H560" s="14" t="s">
        <v>170</v>
      </c>
      <c r="I560" s="14" t="s">
        <v>171</v>
      </c>
      <c r="J560" s="14" t="s">
        <v>1694</v>
      </c>
      <c r="K560" s="26" t="str">
        <f>HYPERLINK("http://vk.com/id232933568")</f>
      </c>
      <c r="L560" s="14" t="s">
        <v>173</v>
      </c>
      <c r="O560" s="1" t="s">
        <v>186</v>
      </c>
      <c r="P560" s="1"/>
      <c r="Q560" s="1" t="n">
        <v>175</v>
      </c>
      <c r="R560" s="1" t="n">
        <v>0</v>
      </c>
      <c r="S560" s="1"/>
      <c r="T560" s="1" t="n">
        <v>0</v>
      </c>
      <c r="U560" s="1" t="n">
        <v>0</v>
      </c>
      <c r="V560" s="1" t="n">
        <v>0</v>
      </c>
      <c r="W560" s="1" t="n">
        <v>2</v>
      </c>
      <c r="Y560" s="1" t="n">
        <v>6</v>
      </c>
      <c r="Z560" s="0" t="s">
        <v>175</v>
      </c>
      <c r="AA560" s="0" t="s">
        <v>176</v>
      </c>
      <c r="AC560" s="0" t="s">
        <v>177</v>
      </c>
      <c r="AD560" s="0" t="s">
        <v>188</v>
      </c>
      <c r="AE560" s="0" t="s">
        <v>1505</v>
      </c>
      <c r="AH560" s="0" t="s">
        <v>180</v>
      </c>
      <c r="AJ560" s="0" t="s">
        <v>437</v>
      </c>
      <c r="AK560" s="0" t="s">
        <v>94</v>
      </c>
      <c r="AL560" s="0" t="s">
        <v>95</v>
      </c>
      <c r="AM560" s="0" t="s">
        <v>96</v>
      </c>
      <c r="AO560" s="0" t="s">
        <v>98</v>
      </c>
      <c r="AQ560" s="0" t="s">
        <v>100</v>
      </c>
    </row>
    <row r="561" ht="36.75">
      <c r="B561" s="0" t="s">
        <v>1693</v>
      </c>
      <c r="C561" s="1" t="n">
        <v>353284</v>
      </c>
      <c r="D561" s="0" t="s">
        <v>1695</v>
      </c>
      <c r="E561" s="14" t="s">
        <v>1696</v>
      </c>
      <c r="F561" s="14" t="s">
        <v>922</v>
      </c>
      <c r="G561" s="25" t="str">
        <f>HYPERLINK("https://omsk.bezformata.com/listnews/oblasti-vzleteli-tceni-na-lekarstva/116231079/")</f>
      </c>
      <c r="H561" s="14" t="s">
        <v>208</v>
      </c>
      <c r="I561" s="14" t="s">
        <v>194</v>
      </c>
      <c r="J561" s="14"/>
      <c r="L561" s="14"/>
      <c r="O561" s="1"/>
      <c r="P561" s="1"/>
      <c r="Q561" s="1"/>
      <c r="R561" s="1" t="n">
        <v>0</v>
      </c>
      <c r="S561" s="1" t="n">
        <v>196</v>
      </c>
      <c r="T561" s="1" t="n">
        <v>0</v>
      </c>
      <c r="U561" s="1" t="n">
        <v>0</v>
      </c>
      <c r="V561" s="1" t="n">
        <v>0</v>
      </c>
      <c r="W561" s="1"/>
      <c r="Y561" s="1" t="n">
        <v>1</v>
      </c>
      <c r="Z561" s="0" t="s">
        <v>175</v>
      </c>
      <c r="AA561" s="0" t="s">
        <v>176</v>
      </c>
      <c r="AH561" s="0" t="s">
        <v>180</v>
      </c>
      <c r="AJ561" s="0" t="s">
        <v>437</v>
      </c>
      <c r="AK561" s="0" t="s">
        <v>94</v>
      </c>
      <c r="AL561" s="0" t="s">
        <v>95</v>
      </c>
      <c r="BD561" s="0" t="s">
        <v>113</v>
      </c>
      <c r="BJ561" s="0" t="s">
        <v>119</v>
      </c>
      <c r="BK561" s="0" t="s">
        <v>120</v>
      </c>
    </row>
    <row r="562">
      <c r="B562" s="0" t="s">
        <v>1697</v>
      </c>
      <c r="C562" s="1" t="n">
        <v>353281</v>
      </c>
      <c r="E562" s="14" t="s">
        <v>813</v>
      </c>
      <c r="F562" s="14" t="s">
        <v>169</v>
      </c>
      <c r="G562" s="25" t="str">
        <f>HYPERLINK("http://www.ok.ru/profile/563171517418/statuses/156307981398250")</f>
      </c>
      <c r="H562" s="14" t="s">
        <v>170</v>
      </c>
      <c r="I562" s="14" t="s">
        <v>194</v>
      </c>
      <c r="J562" s="14" t="s">
        <v>1698</v>
      </c>
      <c r="K562" s="26" t="str">
        <f>HYPERLINK("http://www.ok.ru/profile/563171517418")</f>
      </c>
      <c r="L562" s="14" t="s">
        <v>173</v>
      </c>
      <c r="O562" s="1" t="s">
        <v>186</v>
      </c>
      <c r="P562" s="1"/>
      <c r="Q562" s="1" t="n">
        <v>999</v>
      </c>
      <c r="R562" s="1" t="n">
        <v>0</v>
      </c>
      <c r="S562" s="1"/>
      <c r="T562" s="1" t="n">
        <v>0</v>
      </c>
      <c r="U562" s="1" t="n">
        <v>0</v>
      </c>
      <c r="V562" s="1" t="n">
        <v>0</v>
      </c>
      <c r="W562" s="1"/>
      <c r="Y562" s="1" t="n">
        <v>4</v>
      </c>
      <c r="Z562" s="0" t="s">
        <v>175</v>
      </c>
      <c r="AA562" s="0" t="s">
        <v>187</v>
      </c>
      <c r="AC562" s="0" t="s">
        <v>177</v>
      </c>
      <c r="AD562" s="0" t="s">
        <v>454</v>
      </c>
      <c r="AE562" s="0" t="s">
        <v>1699</v>
      </c>
      <c r="AH562" s="0" t="s">
        <v>180</v>
      </c>
      <c r="AJ562" s="0" t="s">
        <v>437</v>
      </c>
      <c r="AK562" s="0" t="s">
        <v>94</v>
      </c>
      <c r="AL562" s="0" t="s">
        <v>95</v>
      </c>
      <c r="AM562" s="0" t="s">
        <v>96</v>
      </c>
      <c r="BC562" s="0" t="s">
        <v>112</v>
      </c>
      <c r="BI562" s="0" t="s">
        <v>118</v>
      </c>
      <c r="BN562" s="0" t="s">
        <v>123</v>
      </c>
    </row>
    <row r="563" ht="36.75">
      <c r="B563" s="0" t="s">
        <v>1697</v>
      </c>
      <c r="C563" s="1" t="n">
        <v>353285</v>
      </c>
      <c r="E563" s="14" t="s">
        <v>1700</v>
      </c>
      <c r="F563" s="14" t="s">
        <v>184</v>
      </c>
      <c r="G563" s="25" t="str">
        <f>HYPERLINK("http://vk.com/wall785237239_58")</f>
      </c>
      <c r="H563" s="14" t="s">
        <v>170</v>
      </c>
      <c r="I563" s="14" t="s">
        <v>171</v>
      </c>
      <c r="J563" s="14" t="s">
        <v>1701</v>
      </c>
      <c r="K563" s="26" t="str">
        <f>HYPERLINK("http://vk.com/id785237239")</f>
      </c>
      <c r="L563" s="14" t="s">
        <v>173</v>
      </c>
      <c r="O563" s="1" t="s">
        <v>186</v>
      </c>
      <c r="P563" s="1"/>
      <c r="Q563" s="1" t="n">
        <v>48</v>
      </c>
      <c r="R563" s="1" t="n">
        <v>0</v>
      </c>
      <c r="S563" s="1"/>
      <c r="T563" s="1" t="n">
        <v>0</v>
      </c>
      <c r="U563" s="1" t="n">
        <v>0</v>
      </c>
      <c r="V563" s="1" t="n">
        <v>0</v>
      </c>
      <c r="W563" s="1"/>
      <c r="Y563" s="1" t="n">
        <v>2</v>
      </c>
      <c r="Z563" s="0" t="s">
        <v>175</v>
      </c>
      <c r="AA563" s="0" t="s">
        <v>187</v>
      </c>
      <c r="AH563" s="0" t="s">
        <v>180</v>
      </c>
      <c r="AJ563" s="0" t="s">
        <v>437</v>
      </c>
      <c r="AK563" s="0" t="s">
        <v>94</v>
      </c>
      <c r="AN563" s="0" t="s">
        <v>97</v>
      </c>
      <c r="AP563" s="0" t="s">
        <v>99</v>
      </c>
      <c r="AT563" s="0" t="s">
        <v>103</v>
      </c>
      <c r="AW563" s="0" t="s">
        <v>106</v>
      </c>
      <c r="BE563" s="0" t="s">
        <v>114</v>
      </c>
      <c r="BX563" s="0" t="s">
        <v>133</v>
      </c>
      <c r="CD563" s="0" t="s">
        <v>139</v>
      </c>
    </row>
    <row r="564">
      <c r="B564" s="0" t="s">
        <v>1697</v>
      </c>
      <c r="C564" s="1" t="n">
        <v>354049</v>
      </c>
      <c r="E564" s="14" t="s">
        <v>1447</v>
      </c>
      <c r="F564" s="14" t="s">
        <v>169</v>
      </c>
      <c r="G564" s="25" t="str">
        <f>HYPERLINK("http://www.ok.ru/profile/578963237027/statuses/154942652011427")</f>
      </c>
      <c r="H564" s="14" t="s">
        <v>170</v>
      </c>
      <c r="I564" s="14" t="s">
        <v>171</v>
      </c>
      <c r="J564" s="14" t="s">
        <v>1702</v>
      </c>
      <c r="K564" s="26" t="str">
        <f>HYPERLINK("http://www.ok.ru/profile/578963237027")</f>
      </c>
      <c r="L564" s="14" t="s">
        <v>173</v>
      </c>
      <c r="O564" s="1" t="s">
        <v>186</v>
      </c>
      <c r="P564" s="1" t="n">
        <v>82</v>
      </c>
      <c r="Q564" s="1" t="n">
        <v>480</v>
      </c>
      <c r="R564" s="1" t="n">
        <v>0</v>
      </c>
      <c r="S564" s="1"/>
      <c r="T564" s="1" t="n">
        <v>0</v>
      </c>
      <c r="U564" s="1" t="n">
        <v>0</v>
      </c>
      <c r="V564" s="1" t="n">
        <v>0</v>
      </c>
      <c r="W564" s="1"/>
      <c r="Y564" s="1" t="n">
        <v>9</v>
      </c>
      <c r="Z564" s="0" t="s">
        <v>175</v>
      </c>
      <c r="AA564" s="0" t="s">
        <v>187</v>
      </c>
      <c r="AC564" s="0" t="s">
        <v>177</v>
      </c>
      <c r="AD564" s="0" t="s">
        <v>178</v>
      </c>
      <c r="AE564" s="0" t="s">
        <v>1703</v>
      </c>
      <c r="AH564" s="0" t="s">
        <v>180</v>
      </c>
      <c r="AJ564" s="0" t="s">
        <v>437</v>
      </c>
      <c r="AK564" s="0" t="s">
        <v>94</v>
      </c>
      <c r="AM564" s="0" t="s">
        <v>96</v>
      </c>
      <c r="AP564" s="0" t="s">
        <v>99</v>
      </c>
      <c r="AU564" s="0" t="s">
        <v>104</v>
      </c>
      <c r="AV564" s="0" t="s">
        <v>105</v>
      </c>
    </row>
    <row r="565">
      <c r="B565" s="0" t="s">
        <v>1697</v>
      </c>
      <c r="C565" s="1" t="n">
        <v>353272</v>
      </c>
      <c r="E565" s="14" t="s">
        <v>1704</v>
      </c>
      <c r="F565" s="14" t="s">
        <v>184</v>
      </c>
      <c r="G565" s="25" t="str">
        <f>HYPERLINK("http://vk.com/wall-125331076_1255107")</f>
      </c>
      <c r="H565" s="14" t="s">
        <v>170</v>
      </c>
      <c r="I565" s="14" t="s">
        <v>194</v>
      </c>
      <c r="J565" s="14" t="s">
        <v>1705</v>
      </c>
      <c r="K565" s="26" t="str">
        <f>HYPERLINK("http://vk.com/club125331076")</f>
      </c>
      <c r="L565" s="14" t="s">
        <v>274</v>
      </c>
      <c r="O565" s="1"/>
      <c r="P565" s="1"/>
      <c r="Q565" s="1" t="n">
        <v>48014</v>
      </c>
      <c r="R565" s="1" t="n">
        <v>4</v>
      </c>
      <c r="S565" s="1"/>
      <c r="T565" s="1" t="n">
        <v>0</v>
      </c>
      <c r="U565" s="1" t="n">
        <v>0</v>
      </c>
      <c r="V565" s="1" t="n">
        <v>4</v>
      </c>
      <c r="W565" s="1" t="n">
        <v>743</v>
      </c>
      <c r="Y565" s="1" t="n">
        <v>1</v>
      </c>
      <c r="Z565" s="0" t="s">
        <v>175</v>
      </c>
      <c r="AA565" s="0" t="s">
        <v>223</v>
      </c>
      <c r="AC565" s="0" t="s">
        <v>177</v>
      </c>
      <c r="AD565" s="0" t="s">
        <v>556</v>
      </c>
      <c r="AE565" s="0" t="s">
        <v>557</v>
      </c>
      <c r="AH565" s="0" t="s">
        <v>180</v>
      </c>
      <c r="AI565" s="0" t="s">
        <v>92</v>
      </c>
      <c r="AJ565" s="0" t="s">
        <v>437</v>
      </c>
      <c r="AN565" s="0" t="s">
        <v>97</v>
      </c>
      <c r="AP565" s="0" t="s">
        <v>99</v>
      </c>
      <c r="AW565" s="0" t="s">
        <v>106</v>
      </c>
      <c r="AY565" s="0" t="s">
        <v>108</v>
      </c>
      <c r="BB565" s="0" t="s">
        <v>111</v>
      </c>
      <c r="BD565" s="0" t="s">
        <v>113</v>
      </c>
      <c r="BE565" s="0" t="s">
        <v>114</v>
      </c>
      <c r="BL565" s="0" t="s">
        <v>121</v>
      </c>
      <c r="BV565" s="0" t="s">
        <v>131</v>
      </c>
    </row>
    <row r="566" ht="1212.75">
      <c r="B566" s="0" t="s">
        <v>1706</v>
      </c>
      <c r="C566" s="1" t="n">
        <v>353274</v>
      </c>
      <c r="E566" s="14" t="s">
        <v>683</v>
      </c>
      <c r="F566" s="14" t="s">
        <v>184</v>
      </c>
      <c r="G566" s="25" t="str">
        <f>HYPERLINK("http://vk.com/wall789388063_19")</f>
      </c>
      <c r="H566" s="14" t="s">
        <v>170</v>
      </c>
      <c r="I566" s="14" t="s">
        <v>171</v>
      </c>
      <c r="J566" s="14" t="s">
        <v>1707</v>
      </c>
      <c r="K566" s="26" t="str">
        <f>HYPERLINK("http://vk.com/id789388063")</f>
      </c>
      <c r="L566" s="14" t="s">
        <v>173</v>
      </c>
      <c r="O566" s="1" t="s">
        <v>186</v>
      </c>
      <c r="P566" s="1" t="n">
        <v>38</v>
      </c>
      <c r="Q566" s="1" t="n">
        <v>1</v>
      </c>
      <c r="R566" s="1" t="n">
        <v>0</v>
      </c>
      <c r="S566" s="1"/>
      <c r="T566" s="1" t="n">
        <v>0</v>
      </c>
      <c r="U566" s="1" t="n">
        <v>0</v>
      </c>
      <c r="V566" s="1" t="n">
        <v>0</v>
      </c>
      <c r="W566" s="1"/>
      <c r="Y566" s="1" t="n">
        <v>22</v>
      </c>
      <c r="Z566" s="0" t="s">
        <v>175</v>
      </c>
      <c r="AA566" s="0" t="s">
        <v>187</v>
      </c>
      <c r="AH566" s="0" t="s">
        <v>180</v>
      </c>
      <c r="AJ566" s="0" t="s">
        <v>437</v>
      </c>
      <c r="AK566" s="0" t="s">
        <v>94</v>
      </c>
      <c r="AL566" s="0" t="s">
        <v>95</v>
      </c>
      <c r="AM566" s="0" t="s">
        <v>96</v>
      </c>
      <c r="AU566" s="0" t="s">
        <v>104</v>
      </c>
      <c r="AV566" s="0" t="s">
        <v>105</v>
      </c>
      <c r="AX566" s="0" t="s">
        <v>107</v>
      </c>
    </row>
    <row r="567">
      <c r="B567" s="0" t="s">
        <v>1708</v>
      </c>
      <c r="C567" s="1" t="n">
        <v>353271</v>
      </c>
      <c r="E567" s="14" t="s">
        <v>1330</v>
      </c>
      <c r="F567" s="14" t="s">
        <v>184</v>
      </c>
      <c r="G567" s="25" t="str">
        <f>HYPERLINK("http://vk.com/wall-121026450_71645")</f>
      </c>
      <c r="H567" s="14" t="s">
        <v>170</v>
      </c>
      <c r="I567" s="14" t="s">
        <v>194</v>
      </c>
      <c r="J567" s="14" t="s">
        <v>564</v>
      </c>
      <c r="K567" s="26" t="str">
        <f>HYPERLINK("http://vk.com/club121026450")</f>
      </c>
      <c r="L567" s="14" t="s">
        <v>274</v>
      </c>
      <c r="O567" s="1"/>
      <c r="P567" s="1"/>
      <c r="Q567" s="1" t="n">
        <v>20655</v>
      </c>
      <c r="R567" s="1" t="n">
        <v>8</v>
      </c>
      <c r="S567" s="1"/>
      <c r="T567" s="1" t="n">
        <v>1</v>
      </c>
      <c r="U567" s="1" t="n">
        <v>3</v>
      </c>
      <c r="V567" s="1" t="n">
        <v>12</v>
      </c>
      <c r="W567" s="1" t="n">
        <v>889</v>
      </c>
      <c r="Y567" s="1" t="n">
        <v>2</v>
      </c>
      <c r="Z567" s="0" t="s">
        <v>175</v>
      </c>
      <c r="AA567" s="0" t="s">
        <v>223</v>
      </c>
      <c r="AC567" s="0" t="s">
        <v>177</v>
      </c>
      <c r="AD567" s="0" t="s">
        <v>556</v>
      </c>
      <c r="AE567" s="0" t="s">
        <v>557</v>
      </c>
      <c r="AH567" s="0" t="s">
        <v>180</v>
      </c>
      <c r="AI567" s="0" t="s">
        <v>92</v>
      </c>
      <c r="AJ567" s="0" t="s">
        <v>437</v>
      </c>
      <c r="AN567" s="0" t="s">
        <v>97</v>
      </c>
      <c r="AP567" s="0" t="s">
        <v>99</v>
      </c>
      <c r="AW567" s="0" t="s">
        <v>106</v>
      </c>
      <c r="AY567" s="0" t="s">
        <v>108</v>
      </c>
      <c r="BB567" s="0" t="s">
        <v>111</v>
      </c>
      <c r="BD567" s="0" t="s">
        <v>113</v>
      </c>
      <c r="BE567" s="0" t="s">
        <v>114</v>
      </c>
      <c r="BL567" s="0" t="s">
        <v>121</v>
      </c>
      <c r="BV567" s="0" t="s">
        <v>131</v>
      </c>
    </row>
    <row r="568" ht="156.75">
      <c r="B568" s="0" t="s">
        <v>1709</v>
      </c>
      <c r="C568" s="1" t="n">
        <v>353277</v>
      </c>
      <c r="E568" s="14" t="s">
        <v>442</v>
      </c>
      <c r="F568" s="14" t="s">
        <v>184</v>
      </c>
      <c r="G568" s="25" t="str">
        <f>HYPERLINK("http://vk.com/wall795471498_18")</f>
      </c>
      <c r="H568" s="14" t="s">
        <v>170</v>
      </c>
      <c r="I568" s="14" t="s">
        <v>171</v>
      </c>
      <c r="J568" s="14" t="s">
        <v>1710</v>
      </c>
      <c r="K568" s="26" t="str">
        <f>HYPERLINK("http://vk.com/id795471498")</f>
      </c>
      <c r="L568" s="14" t="s">
        <v>173</v>
      </c>
      <c r="O568" s="1" t="s">
        <v>186</v>
      </c>
      <c r="P568" s="1" t="n">
        <v>25</v>
      </c>
      <c r="Q568" s="1" t="n">
        <v>6</v>
      </c>
      <c r="R568" s="1" t="n">
        <v>0</v>
      </c>
      <c r="S568" s="1"/>
      <c r="T568" s="1" t="n">
        <v>0</v>
      </c>
      <c r="U568" s="1" t="n">
        <v>0</v>
      </c>
      <c r="V568" s="1" t="n">
        <v>0</v>
      </c>
      <c r="W568" s="1"/>
      <c r="Y568" s="1" t="n">
        <v>6</v>
      </c>
      <c r="Z568" s="0" t="s">
        <v>175</v>
      </c>
      <c r="AA568" s="0" t="s">
        <v>292</v>
      </c>
      <c r="AH568" s="0" t="s">
        <v>180</v>
      </c>
      <c r="AJ568" s="0" t="s">
        <v>437</v>
      </c>
      <c r="AK568" s="0" t="s">
        <v>94</v>
      </c>
      <c r="AN568" s="0" t="s">
        <v>97</v>
      </c>
      <c r="AP568" s="0" t="s">
        <v>99</v>
      </c>
      <c r="AS568" s="0" t="s">
        <v>102</v>
      </c>
      <c r="AT568" s="0" t="s">
        <v>103</v>
      </c>
      <c r="BK568" s="0" t="s">
        <v>120</v>
      </c>
      <c r="BM568" s="0" t="s">
        <v>122</v>
      </c>
      <c r="BN568" s="0" t="s">
        <v>123</v>
      </c>
    </row>
    <row r="569" ht="24.75">
      <c r="B569" s="0" t="s">
        <v>1709</v>
      </c>
      <c r="C569" s="1" t="n">
        <v>353273</v>
      </c>
      <c r="E569" s="14" t="s">
        <v>183</v>
      </c>
      <c r="F569" s="14" t="s">
        <v>184</v>
      </c>
      <c r="G569" s="25" t="str">
        <f>HYPERLINK("http://vk.com/wall398247543_697")</f>
      </c>
      <c r="H569" s="14" t="s">
        <v>170</v>
      </c>
      <c r="I569" s="14" t="s">
        <v>171</v>
      </c>
      <c r="J569" s="14" t="s">
        <v>1711</v>
      </c>
      <c r="K569" s="26" t="str">
        <f>HYPERLINK("http://vk.com/id398247543")</f>
      </c>
      <c r="L569" s="14" t="s">
        <v>173</v>
      </c>
      <c r="O569" s="1" t="s">
        <v>186</v>
      </c>
      <c r="P569" s="1" t="n">
        <v>63</v>
      </c>
      <c r="Q569" s="1" t="n">
        <v>141</v>
      </c>
      <c r="R569" s="1" t="n">
        <v>0</v>
      </c>
      <c r="S569" s="1"/>
      <c r="T569" s="1" t="n">
        <v>0</v>
      </c>
      <c r="U569" s="1" t="n">
        <v>1</v>
      </c>
      <c r="V569" s="1" t="n">
        <v>1</v>
      </c>
      <c r="W569" s="1" t="n">
        <v>4</v>
      </c>
      <c r="Y569" s="1" t="n">
        <v>62</v>
      </c>
      <c r="Z569" s="0" t="s">
        <v>175</v>
      </c>
      <c r="AA569" s="0" t="s">
        <v>187</v>
      </c>
      <c r="AC569" s="0" t="s">
        <v>177</v>
      </c>
      <c r="AH569" s="0" t="s">
        <v>180</v>
      </c>
      <c r="AJ569" s="0" t="s">
        <v>437</v>
      </c>
      <c r="AK569" s="0" t="s">
        <v>94</v>
      </c>
      <c r="AO569" s="0" t="s">
        <v>98</v>
      </c>
      <c r="AP569" s="0" t="s">
        <v>99</v>
      </c>
      <c r="AR569" s="0" t="s">
        <v>101</v>
      </c>
      <c r="BA569" s="0" t="s">
        <v>110</v>
      </c>
      <c r="BH569" s="0" t="s">
        <v>117</v>
      </c>
    </row>
    <row r="570">
      <c r="B570" s="0" t="s">
        <v>1709</v>
      </c>
      <c r="C570" s="1" t="n">
        <v>353265</v>
      </c>
      <c r="E570" s="14" t="s">
        <v>1712</v>
      </c>
      <c r="F570" s="14" t="s">
        <v>184</v>
      </c>
      <c r="G570" s="25" t="str">
        <f>HYPERLINK("http://vk.com/wall-155386267_1061284?reply=1061323")</f>
      </c>
      <c r="H570" s="14" t="s">
        <v>170</v>
      </c>
      <c r="I570" s="14" t="s">
        <v>231</v>
      </c>
      <c r="J570" s="14" t="s">
        <v>1713</v>
      </c>
      <c r="K570" s="26" t="str">
        <f>HYPERLINK("http://vk.com/id121714327")</f>
      </c>
      <c r="L570" s="14" t="s">
        <v>173</v>
      </c>
      <c r="M570" s="14" t="s">
        <v>406</v>
      </c>
      <c r="N570" s="25" t="str">
        <f>HYPERLINK("http://vk.com/club155386267")</f>
      </c>
      <c r="O570" s="1" t="s">
        <v>186</v>
      </c>
      <c r="P570" s="1"/>
      <c r="Q570" s="1" t="n">
        <v>113036</v>
      </c>
      <c r="R570" s="1" t="n">
        <v>0</v>
      </c>
      <c r="S570" s="1"/>
      <c r="T570" s="1" t="n">
        <v>0</v>
      </c>
      <c r="U570" s="1" t="n">
        <v>0</v>
      </c>
      <c r="V570" s="1" t="n">
        <v>0</v>
      </c>
      <c r="W570" s="1"/>
      <c r="Y570" s="1" t="n">
        <v>1</v>
      </c>
      <c r="Z570" s="0" t="s">
        <v>175</v>
      </c>
      <c r="AA570" s="0" t="s">
        <v>187</v>
      </c>
      <c r="AC570" s="0" t="s">
        <v>177</v>
      </c>
      <c r="AD570" s="0" t="s">
        <v>1714</v>
      </c>
      <c r="AE570" s="0" t="s">
        <v>1715</v>
      </c>
      <c r="AH570" s="0" t="s">
        <v>180</v>
      </c>
      <c r="AI570" s="0" t="s">
        <v>92</v>
      </c>
      <c r="AJ570" s="0" t="s">
        <v>437</v>
      </c>
      <c r="AK570" s="0" t="s">
        <v>94</v>
      </c>
      <c r="AN570" s="0" t="s">
        <v>97</v>
      </c>
      <c r="AP570" s="0" t="s">
        <v>99</v>
      </c>
      <c r="AW570" s="0" t="s">
        <v>106</v>
      </c>
      <c r="BI570" s="0" t="s">
        <v>118</v>
      </c>
      <c r="BQ570" s="0" t="s">
        <v>126</v>
      </c>
      <c r="CU570" s="0" t="s">
        <v>156</v>
      </c>
    </row>
    <row r="571" ht="120.75">
      <c r="B571" s="0" t="s">
        <v>1716</v>
      </c>
      <c r="C571" s="1" t="n">
        <v>353725</v>
      </c>
      <c r="E571" s="14" t="s">
        <v>1717</v>
      </c>
      <c r="F571" s="14" t="s">
        <v>870</v>
      </c>
      <c r="G571" s="25" t="str">
        <f>HYPERLINK("https://dzen.ru/a/ZDgjEIYkRh3GBFBR#comment_1610534354")</f>
      </c>
      <c r="H571" s="14" t="s">
        <v>376</v>
      </c>
      <c r="I571" s="14" t="s">
        <v>231</v>
      </c>
      <c r="J571" s="14" t="s">
        <v>1718</v>
      </c>
      <c r="K571" s="26" t="str">
        <f>HYPERLINK("https://dzen.ru/id/60e7ed2cd0f55c5dfd1a0543")</f>
      </c>
      <c r="L571" s="14" t="s">
        <v>173</v>
      </c>
      <c r="M571" s="14" t="s">
        <v>1719</v>
      </c>
      <c r="N571" s="25" t="str">
        <f>HYPERLINK("https://dzen.ru/id/60681da99678a719cc83d540")</f>
      </c>
      <c r="O571" s="1"/>
      <c r="P571" s="1"/>
      <c r="Q571" s="1" t="n">
        <v>2924</v>
      </c>
      <c r="R571" s="1" t="n">
        <v>0</v>
      </c>
      <c r="S571" s="1"/>
      <c r="T571" s="1" t="n">
        <v>0</v>
      </c>
      <c r="U571" s="1" t="n">
        <v>0</v>
      </c>
      <c r="V571" s="1" t="n">
        <v>0</v>
      </c>
      <c r="W571" s="1"/>
      <c r="Y571" s="1" t="n">
        <v>1</v>
      </c>
      <c r="Z571" s="0" t="s">
        <v>463</v>
      </c>
      <c r="AA571" s="0" t="s">
        <v>187</v>
      </c>
      <c r="AB571" s="0" t="s">
        <v>85</v>
      </c>
      <c r="AH571" s="0" t="s">
        <v>180</v>
      </c>
      <c r="AJ571" s="0" t="s">
        <v>437</v>
      </c>
      <c r="AK571" s="0" t="s">
        <v>94</v>
      </c>
      <c r="AL571" s="0" t="s">
        <v>95</v>
      </c>
      <c r="AN571" s="0" t="s">
        <v>97</v>
      </c>
      <c r="AR571" s="0" t="s">
        <v>101</v>
      </c>
      <c r="AW571" s="0" t="s">
        <v>106</v>
      </c>
      <c r="BY571" s="0" t="s">
        <v>134</v>
      </c>
    </row>
    <row r="572" ht="24.75">
      <c r="B572" s="0" t="s">
        <v>1720</v>
      </c>
      <c r="C572" s="1" t="n">
        <v>353270</v>
      </c>
      <c r="E572" s="14" t="s">
        <v>183</v>
      </c>
      <c r="F572" s="14" t="s">
        <v>184</v>
      </c>
      <c r="G572" s="25" t="str">
        <f>HYPERLINK("http://vk.com/wall140322705_1689")</f>
      </c>
      <c r="H572" s="14" t="s">
        <v>170</v>
      </c>
      <c r="I572" s="14" t="s">
        <v>171</v>
      </c>
      <c r="J572" s="14" t="s">
        <v>1721</v>
      </c>
      <c r="K572" s="26" t="str">
        <f>HYPERLINK("http://vk.com/id140322705")</f>
      </c>
      <c r="L572" s="14" t="s">
        <v>173</v>
      </c>
      <c r="O572" s="1" t="s">
        <v>186</v>
      </c>
      <c r="P572" s="1"/>
      <c r="Q572" s="1" t="n">
        <v>704</v>
      </c>
      <c r="R572" s="1" t="n">
        <v>0</v>
      </c>
      <c r="S572" s="1"/>
      <c r="T572" s="1" t="n">
        <v>0</v>
      </c>
      <c r="U572" s="1" t="n">
        <v>0</v>
      </c>
      <c r="V572" s="1" t="n">
        <v>0</v>
      </c>
      <c r="W572" s="1"/>
      <c r="Y572" s="1" t="n">
        <v>62</v>
      </c>
      <c r="Z572" s="0" t="s">
        <v>175</v>
      </c>
      <c r="AA572" s="0" t="s">
        <v>187</v>
      </c>
      <c r="AC572" s="0" t="s">
        <v>177</v>
      </c>
      <c r="AD572" s="0" t="s">
        <v>760</v>
      </c>
      <c r="AE572" s="0" t="s">
        <v>1722</v>
      </c>
      <c r="AH572" s="0" t="s">
        <v>180</v>
      </c>
      <c r="AJ572" s="0" t="s">
        <v>437</v>
      </c>
      <c r="AK572" s="0" t="s">
        <v>94</v>
      </c>
      <c r="AO572" s="0" t="s">
        <v>98</v>
      </c>
      <c r="AP572" s="0" t="s">
        <v>99</v>
      </c>
      <c r="AR572" s="0" t="s">
        <v>101</v>
      </c>
      <c r="BA572" s="0" t="s">
        <v>110</v>
      </c>
      <c r="BH572" s="0" t="s">
        <v>117</v>
      </c>
    </row>
    <row r="573">
      <c r="B573" s="0" t="s">
        <v>1720</v>
      </c>
      <c r="C573" s="1" t="n">
        <v>353267</v>
      </c>
      <c r="E573" s="14" t="s">
        <v>1723</v>
      </c>
      <c r="F573" s="14" t="s">
        <v>184</v>
      </c>
      <c r="G573" s="25" t="str">
        <f>HYPERLINK("http://vk.com/wall-1678339_2239126?reply=2239848&amp;thread=2239238")</f>
      </c>
      <c r="H573" s="14" t="s">
        <v>170</v>
      </c>
      <c r="I573" s="14" t="s">
        <v>231</v>
      </c>
      <c r="J573" s="14" t="s">
        <v>1724</v>
      </c>
      <c r="K573" s="26" t="str">
        <f>HYPERLINK("http://vk.com/id231336952")</f>
      </c>
      <c r="L573" s="14" t="s">
        <v>173</v>
      </c>
      <c r="M573" s="14" t="s">
        <v>1674</v>
      </c>
      <c r="N573" s="25" t="str">
        <f>HYPERLINK("http://vk.com/club1678339")</f>
      </c>
      <c r="O573" s="1" t="s">
        <v>186</v>
      </c>
      <c r="P573" s="1"/>
      <c r="Q573" s="1" t="n">
        <v>39553</v>
      </c>
      <c r="R573" s="1" t="n">
        <v>0</v>
      </c>
      <c r="S573" s="1"/>
      <c r="T573" s="1" t="n">
        <v>0</v>
      </c>
      <c r="U573" s="1" t="n">
        <v>0</v>
      </c>
      <c r="V573" s="1" t="n">
        <v>0</v>
      </c>
      <c r="W573" s="1"/>
      <c r="Y573" s="1" t="n">
        <v>1</v>
      </c>
      <c r="Z573" s="0" t="s">
        <v>175</v>
      </c>
      <c r="AA573" s="0" t="s">
        <v>187</v>
      </c>
      <c r="AC573" s="0" t="s">
        <v>177</v>
      </c>
      <c r="AH573" s="0" t="s">
        <v>180</v>
      </c>
      <c r="AI573" s="0" t="s">
        <v>92</v>
      </c>
      <c r="AJ573" s="0" t="s">
        <v>437</v>
      </c>
      <c r="AK573" s="0" t="s">
        <v>94</v>
      </c>
      <c r="AP573" s="0" t="s">
        <v>99</v>
      </c>
      <c r="AT573" s="0" t="s">
        <v>103</v>
      </c>
      <c r="BC573" s="0" t="s">
        <v>112</v>
      </c>
      <c r="BO573" s="0" t="s">
        <v>124</v>
      </c>
    </row>
    <row r="574" ht="72.75">
      <c r="B574" s="0" t="s">
        <v>1725</v>
      </c>
      <c r="C574" s="1" t="n">
        <v>353268</v>
      </c>
      <c r="E574" s="14" t="s">
        <v>1463</v>
      </c>
      <c r="F574" s="14" t="s">
        <v>184</v>
      </c>
      <c r="G574" s="25" t="str">
        <f>HYPERLINK("http://vk.com/wall-169315723_35230")</f>
      </c>
      <c r="H574" s="14" t="s">
        <v>170</v>
      </c>
      <c r="I574" s="14" t="s">
        <v>194</v>
      </c>
      <c r="J574" s="14" t="s">
        <v>1726</v>
      </c>
      <c r="K574" s="26" t="str">
        <f>HYPERLINK("http://vk.com/club169315723")</f>
      </c>
      <c r="L574" s="14" t="s">
        <v>274</v>
      </c>
      <c r="O574" s="1"/>
      <c r="P574" s="1"/>
      <c r="Q574" s="1" t="n">
        <v>5381</v>
      </c>
      <c r="R574" s="1" t="n">
        <v>1</v>
      </c>
      <c r="S574" s="1"/>
      <c r="T574" s="1" t="n">
        <v>1</v>
      </c>
      <c r="U574" s="1" t="n">
        <v>2</v>
      </c>
      <c r="V574" s="1" t="n">
        <v>4</v>
      </c>
      <c r="W574" s="1" t="n">
        <v>294</v>
      </c>
      <c r="Y574" s="1" t="n">
        <v>1</v>
      </c>
      <c r="Z574" s="0" t="s">
        <v>175</v>
      </c>
      <c r="AA574" s="0" t="s">
        <v>176</v>
      </c>
      <c r="AC574" s="0" t="s">
        <v>177</v>
      </c>
      <c r="AD574" s="0" t="s">
        <v>561</v>
      </c>
      <c r="AE574" s="0" t="s">
        <v>562</v>
      </c>
      <c r="AH574" s="0" t="s">
        <v>180</v>
      </c>
      <c r="AJ574" s="0" t="s">
        <v>437</v>
      </c>
      <c r="AK574" s="0" t="s">
        <v>94</v>
      </c>
      <c r="AL574" s="0" t="s">
        <v>95</v>
      </c>
      <c r="BD574" s="0" t="s">
        <v>113</v>
      </c>
      <c r="BJ574" s="0" t="s">
        <v>119</v>
      </c>
      <c r="BK574" s="0" t="s">
        <v>120</v>
      </c>
    </row>
    <row r="575" ht="24.75">
      <c r="B575" s="0" t="s">
        <v>1725</v>
      </c>
      <c r="C575" s="1" t="n">
        <v>353266</v>
      </c>
      <c r="E575" s="14" t="s">
        <v>183</v>
      </c>
      <c r="F575" s="14" t="s">
        <v>184</v>
      </c>
      <c r="G575" s="25" t="str">
        <f>HYPERLINK("http://vk.com/wall564708783_9961")</f>
      </c>
      <c r="H575" s="14" t="s">
        <v>170</v>
      </c>
      <c r="I575" s="14" t="s">
        <v>171</v>
      </c>
      <c r="J575" s="14" t="s">
        <v>1727</v>
      </c>
      <c r="K575" s="26" t="str">
        <f>HYPERLINK("http://vk.com/id564708783")</f>
      </c>
      <c r="L575" s="14" t="s">
        <v>173</v>
      </c>
      <c r="O575" s="1" t="s">
        <v>186</v>
      </c>
      <c r="P575" s="1" t="n">
        <v>61</v>
      </c>
      <c r="Q575" s="1" t="n">
        <v>361</v>
      </c>
      <c r="R575" s="1" t="n">
        <v>0</v>
      </c>
      <c r="S575" s="1"/>
      <c r="T575" s="1" t="n">
        <v>0</v>
      </c>
      <c r="U575" s="1" t="n">
        <v>0</v>
      </c>
      <c r="V575" s="1" t="n">
        <v>0</v>
      </c>
      <c r="W575" s="1" t="n">
        <v>3</v>
      </c>
      <c r="Y575" s="1" t="n">
        <v>62</v>
      </c>
      <c r="Z575" s="0" t="s">
        <v>175</v>
      </c>
      <c r="AA575" s="0" t="s">
        <v>187</v>
      </c>
      <c r="AH575" s="0" t="s">
        <v>180</v>
      </c>
      <c r="AJ575" s="0" t="s">
        <v>437</v>
      </c>
      <c r="AK575" s="0" t="s">
        <v>94</v>
      </c>
      <c r="AO575" s="0" t="s">
        <v>98</v>
      </c>
      <c r="AP575" s="0" t="s">
        <v>99</v>
      </c>
      <c r="AR575" s="0" t="s">
        <v>101</v>
      </c>
      <c r="BA575" s="0" t="s">
        <v>110</v>
      </c>
      <c r="BH575" s="0" t="s">
        <v>117</v>
      </c>
    </row>
    <row r="576" ht="96.75">
      <c r="B576" s="0" t="s">
        <v>1728</v>
      </c>
      <c r="C576" s="1" t="n">
        <v>353269</v>
      </c>
      <c r="E576" s="14" t="s">
        <v>1729</v>
      </c>
      <c r="F576" s="14" t="s">
        <v>169</v>
      </c>
      <c r="G576" s="25" t="str">
        <f>HYPERLINK("http://www.ok.ru/group/59030470918183/topic/155307719534631")</f>
      </c>
      <c r="H576" s="14" t="s">
        <v>170</v>
      </c>
      <c r="I576" s="14" t="s">
        <v>194</v>
      </c>
      <c r="J576" s="14" t="s">
        <v>1726</v>
      </c>
      <c r="K576" s="26" t="str">
        <f>HYPERLINK("http://www.ok.ru/group/59030470918183")</f>
      </c>
      <c r="L576" s="14" t="s">
        <v>274</v>
      </c>
      <c r="O576" s="1"/>
      <c r="P576" s="1"/>
      <c r="Q576" s="1" t="n">
        <v>17695</v>
      </c>
      <c r="R576" s="1" t="n">
        <v>8</v>
      </c>
      <c r="S576" s="1"/>
      <c r="T576" s="1" t="n">
        <v>4</v>
      </c>
      <c r="U576" s="1" t="n">
        <v>20</v>
      </c>
      <c r="V576" s="1" t="n">
        <v>32</v>
      </c>
      <c r="W576" s="1"/>
      <c r="Y576" s="1" t="n">
        <v>1</v>
      </c>
      <c r="Z576" s="0" t="s">
        <v>175</v>
      </c>
      <c r="AA576" s="0" t="s">
        <v>176</v>
      </c>
      <c r="AC576" s="0" t="s">
        <v>177</v>
      </c>
      <c r="AD576" s="0" t="s">
        <v>561</v>
      </c>
      <c r="AE576" s="0" t="s">
        <v>562</v>
      </c>
      <c r="AH576" s="0" t="s">
        <v>180</v>
      </c>
      <c r="AJ576" s="0" t="s">
        <v>437</v>
      </c>
      <c r="AK576" s="0" t="s">
        <v>94</v>
      </c>
      <c r="AL576" s="0" t="s">
        <v>95</v>
      </c>
      <c r="BD576" s="0" t="s">
        <v>113</v>
      </c>
      <c r="BJ576" s="0" t="s">
        <v>119</v>
      </c>
      <c r="BK576" s="0" t="s">
        <v>120</v>
      </c>
    </row>
    <row r="577" ht="108.75">
      <c r="B577" s="0" t="s">
        <v>1728</v>
      </c>
      <c r="C577" s="1" t="n">
        <v>353264</v>
      </c>
      <c r="E577" s="14" t="s">
        <v>529</v>
      </c>
      <c r="F577" s="14" t="s">
        <v>184</v>
      </c>
      <c r="G577" s="25" t="str">
        <f>HYPERLINK("http://vk.com/wall283537202_4469")</f>
      </c>
      <c r="H577" s="14" t="s">
        <v>170</v>
      </c>
      <c r="I577" s="14" t="s">
        <v>194</v>
      </c>
      <c r="J577" s="14" t="s">
        <v>1730</v>
      </c>
      <c r="K577" s="26" t="str">
        <f>HYPERLINK("http://vk.com/id283537202")</f>
      </c>
      <c r="L577" s="14" t="s">
        <v>173</v>
      </c>
      <c r="O577" s="1" t="s">
        <v>186</v>
      </c>
      <c r="P577" s="1"/>
      <c r="Q577" s="1" t="n">
        <v>980</v>
      </c>
      <c r="R577" s="1" t="n">
        <v>0</v>
      </c>
      <c r="S577" s="1"/>
      <c r="T577" s="1" t="n">
        <v>0</v>
      </c>
      <c r="U577" s="1" t="n">
        <v>2</v>
      </c>
      <c r="V577" s="1" t="n">
        <v>2</v>
      </c>
      <c r="W577" s="1" t="n">
        <v>25</v>
      </c>
      <c r="Y577" s="1" t="n">
        <v>9</v>
      </c>
      <c r="Z577" s="0" t="s">
        <v>175</v>
      </c>
      <c r="AA577" s="0" t="s">
        <v>292</v>
      </c>
      <c r="AC577" s="0" t="s">
        <v>177</v>
      </c>
      <c r="AD577" s="0" t="s">
        <v>1058</v>
      </c>
      <c r="AE577" s="0" t="s">
        <v>1731</v>
      </c>
      <c r="AH577" s="0" t="s">
        <v>180</v>
      </c>
      <c r="AJ577" s="0" t="s">
        <v>437</v>
      </c>
      <c r="AK577" s="0" t="s">
        <v>94</v>
      </c>
      <c r="AL577" s="0" t="s">
        <v>95</v>
      </c>
      <c r="AR577" s="0" t="s">
        <v>101</v>
      </c>
      <c r="BA577" s="0" t="s">
        <v>110</v>
      </c>
      <c r="BF577" s="0" t="s">
        <v>115</v>
      </c>
    </row>
    <row r="578">
      <c r="B578" s="0" t="s">
        <v>1732</v>
      </c>
      <c r="C578" s="1" t="n">
        <v>353862</v>
      </c>
      <c r="E578" s="14" t="s">
        <v>813</v>
      </c>
      <c r="F578" s="14" t="s">
        <v>169</v>
      </c>
      <c r="G578" s="25" t="str">
        <f>HYPERLINK("http://www.ok.ru/profile/560939978957/statuses/156010804079565")</f>
      </c>
      <c r="H578" s="14" t="s">
        <v>170</v>
      </c>
      <c r="I578" s="14" t="s">
        <v>194</v>
      </c>
      <c r="J578" s="14" t="s">
        <v>1733</v>
      </c>
      <c r="K578" s="26" t="str">
        <f>HYPERLINK("http://www.ok.ru/profile/560939978957")</f>
      </c>
      <c r="L578" s="14" t="s">
        <v>173</v>
      </c>
      <c r="O578" s="1" t="s">
        <v>186</v>
      </c>
      <c r="P578" s="1" t="n">
        <v>61</v>
      </c>
      <c r="Q578" s="1" t="n">
        <v>438</v>
      </c>
      <c r="R578" s="1" t="n">
        <v>0</v>
      </c>
      <c r="S578" s="1"/>
      <c r="T578" s="1" t="n">
        <v>2</v>
      </c>
      <c r="U578" s="1" t="n">
        <v>2</v>
      </c>
      <c r="V578" s="1" t="n">
        <v>4</v>
      </c>
      <c r="W578" s="1"/>
      <c r="Y578" s="1" t="n">
        <v>4</v>
      </c>
      <c r="Z578" s="0" t="s">
        <v>175</v>
      </c>
      <c r="AA578" s="0" t="s">
        <v>187</v>
      </c>
      <c r="AC578" s="0" t="s">
        <v>177</v>
      </c>
      <c r="AD578" s="0" t="s">
        <v>454</v>
      </c>
      <c r="AE578" s="0" t="s">
        <v>1699</v>
      </c>
      <c r="AH578" s="0" t="s">
        <v>180</v>
      </c>
      <c r="AJ578" s="0" t="s">
        <v>437</v>
      </c>
      <c r="AK578" s="0" t="s">
        <v>94</v>
      </c>
      <c r="AM578" s="0" t="s">
        <v>96</v>
      </c>
      <c r="AP578" s="0" t="s">
        <v>99</v>
      </c>
      <c r="BC578" s="0" t="s">
        <v>112</v>
      </c>
      <c r="BN578" s="0" t="s">
        <v>123</v>
      </c>
    </row>
    <row r="579" ht="24.75">
      <c r="B579" s="0" t="s">
        <v>1734</v>
      </c>
      <c r="C579" s="1" t="n">
        <v>353261</v>
      </c>
      <c r="E579" s="14" t="s">
        <v>183</v>
      </c>
      <c r="F579" s="14" t="s">
        <v>184</v>
      </c>
      <c r="G579" s="25" t="str">
        <f>HYPERLINK("http://vk.com/wall366296623_9160")</f>
      </c>
      <c r="H579" s="14" t="s">
        <v>170</v>
      </c>
      <c r="I579" s="14" t="s">
        <v>171</v>
      </c>
      <c r="J579" s="14" t="s">
        <v>1735</v>
      </c>
      <c r="K579" s="26" t="str">
        <f>HYPERLINK("http://vk.com/id366296623")</f>
      </c>
      <c r="L579" s="14" t="s">
        <v>173</v>
      </c>
      <c r="O579" s="1" t="s">
        <v>186</v>
      </c>
      <c r="P579" s="1"/>
      <c r="Q579" s="1" t="n">
        <v>407</v>
      </c>
      <c r="R579" s="1" t="n">
        <v>0</v>
      </c>
      <c r="S579" s="1"/>
      <c r="T579" s="1" t="n">
        <v>0</v>
      </c>
      <c r="U579" s="1" t="n">
        <v>0</v>
      </c>
      <c r="V579" s="1" t="n">
        <v>0</v>
      </c>
      <c r="W579" s="1" t="n">
        <v>2</v>
      </c>
      <c r="Y579" s="1" t="n">
        <v>62</v>
      </c>
      <c r="Z579" s="0" t="s">
        <v>175</v>
      </c>
      <c r="AA579" s="0" t="s">
        <v>187</v>
      </c>
      <c r="AH579" s="0" t="s">
        <v>180</v>
      </c>
      <c r="AJ579" s="0" t="s">
        <v>437</v>
      </c>
      <c r="AK579" s="0" t="s">
        <v>94</v>
      </c>
      <c r="AO579" s="0" t="s">
        <v>98</v>
      </c>
      <c r="AP579" s="0" t="s">
        <v>99</v>
      </c>
      <c r="AR579" s="0" t="s">
        <v>101</v>
      </c>
      <c r="BA579" s="0" t="s">
        <v>110</v>
      </c>
      <c r="BH579" s="0" t="s">
        <v>117</v>
      </c>
    </row>
    <row r="580" ht="24.75">
      <c r="B580" s="0" t="s">
        <v>1734</v>
      </c>
      <c r="C580" s="1" t="n">
        <v>353262</v>
      </c>
      <c r="E580" s="14" t="s">
        <v>183</v>
      </c>
      <c r="F580" s="14" t="s">
        <v>184</v>
      </c>
      <c r="G580" s="25" t="str">
        <f>HYPERLINK("http://vk.com/wall558109562_716")</f>
      </c>
      <c r="H580" s="14" t="s">
        <v>170</v>
      </c>
      <c r="I580" s="14" t="s">
        <v>171</v>
      </c>
      <c r="J580" s="14" t="s">
        <v>1736</v>
      </c>
      <c r="K580" s="26" t="str">
        <f>HYPERLINK("http://vk.com/id558109562")</f>
      </c>
      <c r="L580" s="14" t="s">
        <v>173</v>
      </c>
      <c r="O580" s="1" t="s">
        <v>186</v>
      </c>
      <c r="P580" s="1" t="n">
        <v>68</v>
      </c>
      <c r="Q580" s="1" t="n">
        <v>78</v>
      </c>
      <c r="R580" s="1" t="n">
        <v>0</v>
      </c>
      <c r="S580" s="1"/>
      <c r="T580" s="1" t="n">
        <v>0</v>
      </c>
      <c r="U580" s="1" t="n">
        <v>0</v>
      </c>
      <c r="V580" s="1" t="n">
        <v>0</v>
      </c>
      <c r="W580" s="1" t="n">
        <v>1</v>
      </c>
      <c r="Y580" s="1" t="n">
        <v>62</v>
      </c>
      <c r="Z580" s="0" t="s">
        <v>175</v>
      </c>
      <c r="AA580" s="0" t="s">
        <v>187</v>
      </c>
      <c r="AH580" s="0" t="s">
        <v>180</v>
      </c>
      <c r="AJ580" s="0" t="s">
        <v>437</v>
      </c>
      <c r="AK580" s="0" t="s">
        <v>94</v>
      </c>
      <c r="AO580" s="0" t="s">
        <v>98</v>
      </c>
      <c r="AP580" s="0" t="s">
        <v>99</v>
      </c>
      <c r="AR580" s="0" t="s">
        <v>101</v>
      </c>
      <c r="BA580" s="0" t="s">
        <v>110</v>
      </c>
      <c r="BH580" s="0" t="s">
        <v>117</v>
      </c>
    </row>
    <row r="581" ht="24.75">
      <c r="B581" s="0" t="s">
        <v>1737</v>
      </c>
      <c r="C581" s="1" t="n">
        <v>353324</v>
      </c>
      <c r="E581" s="14" t="s">
        <v>440</v>
      </c>
      <c r="F581" s="14" t="s">
        <v>169</v>
      </c>
      <c r="G581" s="25" t="str">
        <f>HYPERLINK("http://www.ok.ru/profile/556970098131/statuses/156201810062291")</f>
      </c>
      <c r="H581" s="14" t="s">
        <v>170</v>
      </c>
      <c r="I581" s="14" t="s">
        <v>171</v>
      </c>
      <c r="J581" s="14" t="s">
        <v>1738</v>
      </c>
      <c r="K581" s="26" t="str">
        <f>HYPERLINK("http://www.ok.ru/profile/556970098131")</f>
      </c>
      <c r="L581" s="14" t="s">
        <v>173</v>
      </c>
      <c r="O581" s="1" t="s">
        <v>186</v>
      </c>
      <c r="P581" s="1" t="n">
        <v>57</v>
      </c>
      <c r="Q581" s="1" t="n">
        <v>476</v>
      </c>
      <c r="R581" s="1" t="n">
        <v>0</v>
      </c>
      <c r="S581" s="1"/>
      <c r="T581" s="1" t="n">
        <v>0</v>
      </c>
      <c r="U581" s="1" t="n">
        <v>0</v>
      </c>
      <c r="V581" s="1" t="n">
        <v>0</v>
      </c>
      <c r="W581" s="1"/>
      <c r="Y581" s="1" t="n">
        <v>17</v>
      </c>
      <c r="Z581" s="0" t="s">
        <v>175</v>
      </c>
      <c r="AA581" s="0" t="s">
        <v>176</v>
      </c>
      <c r="AC581" s="0" t="s">
        <v>177</v>
      </c>
      <c r="AD581" s="0" t="s">
        <v>681</v>
      </c>
      <c r="AE581" s="0" t="s">
        <v>682</v>
      </c>
      <c r="AH581" s="0" t="s">
        <v>180</v>
      </c>
      <c r="AJ581" s="0" t="s">
        <v>437</v>
      </c>
      <c r="AK581" s="0" t="s">
        <v>94</v>
      </c>
      <c r="AL581" s="0" t="s">
        <v>95</v>
      </c>
      <c r="AM581" s="0" t="s">
        <v>96</v>
      </c>
      <c r="AO581" s="0" t="s">
        <v>98</v>
      </c>
      <c r="AQ581" s="0" t="s">
        <v>100</v>
      </c>
    </row>
    <row r="582">
      <c r="B582" s="0" t="s">
        <v>1739</v>
      </c>
      <c r="C582" s="1" t="n">
        <v>353260</v>
      </c>
      <c r="E582" s="14" t="s">
        <v>1740</v>
      </c>
      <c r="F582" s="14" t="s">
        <v>192</v>
      </c>
      <c r="G582" s="25" t="str">
        <f>HYPERLINK("https://telegram.me/mamadinsk/22967")</f>
      </c>
      <c r="H582" s="14" t="s">
        <v>193</v>
      </c>
      <c r="I582" s="14" t="s">
        <v>194</v>
      </c>
      <c r="J582" s="14" t="s">
        <v>1741</v>
      </c>
      <c r="K582" s="26" t="str">
        <f>HYPERLINK("https://telegram.me/")</f>
      </c>
      <c r="L582" s="14" t="s">
        <v>173</v>
      </c>
      <c r="M582" s="14" t="s">
        <v>1742</v>
      </c>
      <c r="N582" s="25" t="str">
        <f>HYPERLINK("https://telegram.me/mamadinsk")</f>
      </c>
      <c r="O582" s="1" t="s">
        <v>186</v>
      </c>
      <c r="P582" s="1"/>
      <c r="Q582" s="1" t="n">
        <v>870</v>
      </c>
      <c r="R582" s="1" t="n">
        <v>0</v>
      </c>
      <c r="S582" s="1"/>
      <c r="T582" s="1" t="n">
        <v>0</v>
      </c>
      <c r="U582" s="1" t="n">
        <v>0</v>
      </c>
      <c r="V582" s="1" t="n">
        <v>0</v>
      </c>
      <c r="W582" s="1"/>
      <c r="Y582" s="1" t="n">
        <v>1</v>
      </c>
      <c r="Z582" s="0" t="s">
        <v>175</v>
      </c>
      <c r="AA582" s="0" t="s">
        <v>187</v>
      </c>
      <c r="AH582" s="0" t="s">
        <v>180</v>
      </c>
      <c r="AI582" s="0" t="s">
        <v>92</v>
      </c>
      <c r="AJ582" s="0" t="s">
        <v>437</v>
      </c>
      <c r="AK582" s="0" t="s">
        <v>94</v>
      </c>
      <c r="AN582" s="0" t="s">
        <v>97</v>
      </c>
      <c r="AP582" s="0" t="s">
        <v>99</v>
      </c>
      <c r="AT582" s="0" t="s">
        <v>103</v>
      </c>
      <c r="BC582" s="0" t="s">
        <v>112</v>
      </c>
      <c r="BQ582" s="0" t="s">
        <v>126</v>
      </c>
    </row>
    <row r="583" ht="24.75">
      <c r="B583" s="0" t="s">
        <v>1743</v>
      </c>
      <c r="C583" s="1" t="n">
        <v>353255</v>
      </c>
      <c r="E583" s="14" t="s">
        <v>1744</v>
      </c>
      <c r="F583" s="14" t="s">
        <v>184</v>
      </c>
      <c r="G583" s="25" t="str">
        <f>HYPERLINK("http://vk.com/wall-201246402_36795?reply=36796")</f>
      </c>
      <c r="H583" s="14" t="s">
        <v>170</v>
      </c>
      <c r="I583" s="14" t="s">
        <v>231</v>
      </c>
      <c r="J583" s="14" t="s">
        <v>1745</v>
      </c>
      <c r="K583" s="26" t="str">
        <f>HYPERLINK("http://vk.com/id184842913")</f>
      </c>
      <c r="L583" s="14" t="s">
        <v>173</v>
      </c>
      <c r="M583" s="14" t="s">
        <v>1746</v>
      </c>
      <c r="N583" s="25" t="str">
        <f>HYPERLINK("http://vk.com/club201246402")</f>
      </c>
      <c r="O583" s="1" t="s">
        <v>186</v>
      </c>
      <c r="P583" s="1"/>
      <c r="Q583" s="1" t="n">
        <v>8880</v>
      </c>
      <c r="R583" s="1" t="n">
        <v>0</v>
      </c>
      <c r="S583" s="1"/>
      <c r="T583" s="1" t="n">
        <v>0</v>
      </c>
      <c r="U583" s="1" t="n">
        <v>0</v>
      </c>
      <c r="V583" s="1" t="n">
        <v>0</v>
      </c>
      <c r="W583" s="1"/>
      <c r="Y583" s="1" t="n">
        <v>1</v>
      </c>
      <c r="Z583" s="0" t="s">
        <v>175</v>
      </c>
      <c r="AA583" s="0" t="s">
        <v>187</v>
      </c>
      <c r="AC583" s="0" t="s">
        <v>177</v>
      </c>
      <c r="AD583" s="0" t="s">
        <v>435</v>
      </c>
      <c r="AE583" s="0" t="s">
        <v>1747</v>
      </c>
      <c r="AH583" s="0" t="s">
        <v>180</v>
      </c>
      <c r="AJ583" s="0" t="s">
        <v>437</v>
      </c>
      <c r="AK583" s="0" t="s">
        <v>94</v>
      </c>
      <c r="AN583" s="0" t="s">
        <v>97</v>
      </c>
      <c r="AP583" s="0" t="s">
        <v>99</v>
      </c>
      <c r="AS583" s="0" t="s">
        <v>102</v>
      </c>
      <c r="AW583" s="0" t="s">
        <v>106</v>
      </c>
      <c r="BB583" s="0" t="s">
        <v>111</v>
      </c>
      <c r="BI583" s="0" t="s">
        <v>118</v>
      </c>
      <c r="BQ583" s="0" t="s">
        <v>126</v>
      </c>
    </row>
    <row r="584" ht="24.75">
      <c r="B584" s="0" t="s">
        <v>1748</v>
      </c>
      <c r="C584" s="1" t="n">
        <v>354007</v>
      </c>
      <c r="E584" s="14" t="s">
        <v>1632</v>
      </c>
      <c r="F584" s="14" t="s">
        <v>169</v>
      </c>
      <c r="G584" s="25" t="str">
        <f>HYPERLINK("http://www.ok.ru/profile/571011157866/statuses/155983167372138")</f>
      </c>
      <c r="H584" s="14" t="s">
        <v>170</v>
      </c>
      <c r="I584" s="14" t="s">
        <v>171</v>
      </c>
      <c r="J584" s="14" t="s">
        <v>1749</v>
      </c>
      <c r="K584" s="26" t="str">
        <f>HYPERLINK("http://www.ok.ru/profile/571011157866")</f>
      </c>
      <c r="L584" s="14" t="s">
        <v>173</v>
      </c>
      <c r="O584" s="1" t="s">
        <v>186</v>
      </c>
      <c r="P584" s="1" t="n">
        <v>65</v>
      </c>
      <c r="Q584" s="1" t="n">
        <v>256</v>
      </c>
      <c r="R584" s="1" t="n">
        <v>0</v>
      </c>
      <c r="S584" s="1"/>
      <c r="T584" s="1" t="n">
        <v>0</v>
      </c>
      <c r="U584" s="1" t="n">
        <v>0</v>
      </c>
      <c r="V584" s="1" t="n">
        <v>0</v>
      </c>
      <c r="W584" s="1"/>
      <c r="Y584" s="1" t="n">
        <v>10</v>
      </c>
      <c r="Z584" s="0" t="s">
        <v>175</v>
      </c>
      <c r="AA584" s="0" t="s">
        <v>176</v>
      </c>
      <c r="AC584" s="0" t="s">
        <v>177</v>
      </c>
      <c r="AD584" s="0" t="s">
        <v>1169</v>
      </c>
      <c r="AE584" s="0" t="s">
        <v>1170</v>
      </c>
      <c r="AH584" s="0" t="s">
        <v>180</v>
      </c>
      <c r="AJ584" s="0" t="s">
        <v>437</v>
      </c>
      <c r="AK584" s="0" t="s">
        <v>94</v>
      </c>
      <c r="AL584" s="0" t="s">
        <v>95</v>
      </c>
      <c r="AM584" s="0" t="s">
        <v>96</v>
      </c>
      <c r="AO584" s="0" t="s">
        <v>98</v>
      </c>
      <c r="AQ584" s="0" t="s">
        <v>100</v>
      </c>
    </row>
    <row r="585" ht="1140.75">
      <c r="B585" s="0" t="s">
        <v>1750</v>
      </c>
      <c r="C585" s="1" t="n">
        <v>353276</v>
      </c>
      <c r="E585" s="14" t="s">
        <v>1751</v>
      </c>
      <c r="F585" s="14" t="s">
        <v>169</v>
      </c>
      <c r="G585" s="25" t="str">
        <f>HYPERLINK("http://www.ok.ru/group/52772700160167/topic/155079680781735")</f>
      </c>
      <c r="H585" s="14" t="s">
        <v>170</v>
      </c>
      <c r="I585" s="14" t="s">
        <v>171</v>
      </c>
      <c r="J585" s="14" t="s">
        <v>1752</v>
      </c>
      <c r="K585" s="26" t="str">
        <f>HYPERLINK("http://www.ok.ru/group/52772700160167")</f>
      </c>
      <c r="L585" s="14" t="s">
        <v>274</v>
      </c>
      <c r="O585" s="1"/>
      <c r="P585" s="1"/>
      <c r="Q585" s="1" t="n">
        <v>367406</v>
      </c>
      <c r="R585" s="1" t="n">
        <v>1</v>
      </c>
      <c r="S585" s="1"/>
      <c r="T585" s="1" t="n">
        <v>5</v>
      </c>
      <c r="U585" s="1" t="n">
        <v>31</v>
      </c>
      <c r="V585" s="1" t="n">
        <v>37</v>
      </c>
      <c r="W585" s="1"/>
      <c r="Y585" s="1" t="n">
        <v>1</v>
      </c>
      <c r="Z585" s="0" t="s">
        <v>175</v>
      </c>
      <c r="AA585" s="0" t="s">
        <v>187</v>
      </c>
      <c r="AH585" s="0" t="s">
        <v>180</v>
      </c>
      <c r="AJ585" s="0" t="s">
        <v>437</v>
      </c>
      <c r="AK585" s="0" t="s">
        <v>94</v>
      </c>
      <c r="AL585" s="0" t="s">
        <v>95</v>
      </c>
      <c r="AM585" s="0" t="s">
        <v>96</v>
      </c>
      <c r="AU585" s="0" t="s">
        <v>104</v>
      </c>
      <c r="AX585" s="0" t="s">
        <v>107</v>
      </c>
      <c r="BI585" s="0" t="s">
        <v>118</v>
      </c>
    </row>
    <row r="586">
      <c r="B586" s="0" t="s">
        <v>1750</v>
      </c>
      <c r="C586" s="1" t="n">
        <v>353247</v>
      </c>
      <c r="E586" s="14" t="s">
        <v>1753</v>
      </c>
      <c r="F586" s="14" t="s">
        <v>184</v>
      </c>
      <c r="G586" s="25" t="str">
        <f>HYPERLINK("http://vk.com/wall-149047382_2415266?reply=2415338&amp;thread=2415270")</f>
      </c>
      <c r="H586" s="14" t="s">
        <v>170</v>
      </c>
      <c r="I586" s="14" t="s">
        <v>231</v>
      </c>
      <c r="J586" s="14" t="s">
        <v>1754</v>
      </c>
      <c r="K586" s="26" t="str">
        <f>HYPERLINK("http://vk.com/id32762807")</f>
      </c>
      <c r="L586" s="14" t="s">
        <v>173</v>
      </c>
      <c r="M586" s="14" t="s">
        <v>1514</v>
      </c>
      <c r="N586" s="25" t="str">
        <f>HYPERLINK("http://vk.com/club149047382")</f>
      </c>
      <c r="O586" s="1" t="s">
        <v>186</v>
      </c>
      <c r="P586" s="1"/>
      <c r="Q586" s="1" t="n">
        <v>77321</v>
      </c>
      <c r="R586" s="1" t="n">
        <v>0</v>
      </c>
      <c r="S586" s="1"/>
      <c r="T586" s="1" t="n">
        <v>0</v>
      </c>
      <c r="U586" s="1" t="n">
        <v>0</v>
      </c>
      <c r="V586" s="1" t="n">
        <v>0</v>
      </c>
      <c r="W586" s="1"/>
      <c r="Y586" s="1" t="n">
        <v>1</v>
      </c>
      <c r="Z586" s="0" t="s">
        <v>463</v>
      </c>
      <c r="AA586" s="0" t="s">
        <v>187</v>
      </c>
      <c r="AH586" s="0" t="s">
        <v>180</v>
      </c>
      <c r="AI586" s="0" t="s">
        <v>92</v>
      </c>
      <c r="AJ586" s="0" t="s">
        <v>437</v>
      </c>
      <c r="AK586" s="0" t="s">
        <v>94</v>
      </c>
      <c r="AN586" s="0" t="s">
        <v>97</v>
      </c>
      <c r="AP586" s="0" t="s">
        <v>99</v>
      </c>
      <c r="AT586" s="0" t="s">
        <v>103</v>
      </c>
      <c r="BW586" s="0" t="s">
        <v>132</v>
      </c>
      <c r="CM586" s="0" t="s">
        <v>148</v>
      </c>
    </row>
    <row r="587" ht="36.75">
      <c r="B587" s="0" t="s">
        <v>1755</v>
      </c>
      <c r="C587" s="1" t="n">
        <v>353246</v>
      </c>
      <c r="E587" s="14" t="s">
        <v>202</v>
      </c>
      <c r="F587" s="14" t="s">
        <v>184</v>
      </c>
      <c r="G587" s="25" t="str">
        <f>HYPERLINK("http://vk.com/wall736177501_194")</f>
      </c>
      <c r="H587" s="14" t="s">
        <v>170</v>
      </c>
      <c r="I587" s="14" t="s">
        <v>171</v>
      </c>
      <c r="J587" s="14" t="s">
        <v>1756</v>
      </c>
      <c r="K587" s="26" t="str">
        <f>HYPERLINK("http://vk.com/id736177501")</f>
      </c>
      <c r="L587" s="14" t="s">
        <v>173</v>
      </c>
      <c r="O587" s="1" t="s">
        <v>186</v>
      </c>
      <c r="P587" s="1" t="n">
        <v>65</v>
      </c>
      <c r="Q587" s="1" t="n">
        <v>13</v>
      </c>
      <c r="R587" s="1" t="n">
        <v>0</v>
      </c>
      <c r="S587" s="1"/>
      <c r="T587" s="1" t="n">
        <v>0</v>
      </c>
      <c r="U587" s="1" t="n">
        <v>0</v>
      </c>
      <c r="V587" s="1" t="n">
        <v>0</v>
      </c>
      <c r="W587" s="1"/>
      <c r="Y587" s="1" t="n">
        <v>60</v>
      </c>
      <c r="Z587" s="0" t="s">
        <v>175</v>
      </c>
      <c r="AA587" s="0" t="s">
        <v>176</v>
      </c>
      <c r="AH587" s="0" t="s">
        <v>180</v>
      </c>
      <c r="AJ587" s="0" t="s">
        <v>437</v>
      </c>
      <c r="AK587" s="0" t="s">
        <v>94</v>
      </c>
      <c r="AL587" s="0" t="s">
        <v>95</v>
      </c>
      <c r="AM587" s="0" t="s">
        <v>96</v>
      </c>
      <c r="AO587" s="0" t="s">
        <v>98</v>
      </c>
      <c r="AQ587" s="0" t="s">
        <v>100</v>
      </c>
    </row>
    <row r="588">
      <c r="B588" s="0" t="s">
        <v>1757</v>
      </c>
      <c r="C588" s="1" t="n">
        <v>353245</v>
      </c>
      <c r="D588" s="0" t="s">
        <v>1758</v>
      </c>
      <c r="E588" s="14" t="s">
        <v>1759</v>
      </c>
      <c r="F588" s="14" t="s">
        <v>1760</v>
      </c>
      <c r="G588" s="25" t="str">
        <f>HYPERLINK("https://news.mail.ru/society/55825805/")</f>
      </c>
      <c r="H588" s="14" t="s">
        <v>208</v>
      </c>
      <c r="I588" s="14" t="s">
        <v>194</v>
      </c>
      <c r="J588" s="14"/>
      <c r="L588" s="14"/>
      <c r="O588" s="1"/>
      <c r="P588" s="1"/>
      <c r="Q588" s="1"/>
      <c r="R588" s="1" t="n">
        <v>0</v>
      </c>
      <c r="S588" s="1" t="n">
        <v>119762</v>
      </c>
      <c r="T588" s="1" t="n">
        <v>0</v>
      </c>
      <c r="U588" s="1" t="n">
        <v>0</v>
      </c>
      <c r="V588" s="1" t="n">
        <v>0</v>
      </c>
      <c r="W588" s="1"/>
      <c r="Y588" s="1" t="n">
        <v>1</v>
      </c>
      <c r="Z588" s="0" t="s">
        <v>175</v>
      </c>
      <c r="AA588" s="0" t="s">
        <v>176</v>
      </c>
      <c r="AH588" s="0" t="s">
        <v>180</v>
      </c>
      <c r="AJ588" s="0" t="s">
        <v>437</v>
      </c>
      <c r="AM588" s="0" t="s">
        <v>96</v>
      </c>
      <c r="AP588" s="0" t="s">
        <v>99</v>
      </c>
      <c r="BD588" s="0" t="s">
        <v>113</v>
      </c>
    </row>
    <row r="589" ht="24.75">
      <c r="B589" s="0" t="s">
        <v>1757</v>
      </c>
      <c r="C589" s="1" t="n">
        <v>353249</v>
      </c>
      <c r="E589" s="14" t="s">
        <v>183</v>
      </c>
      <c r="F589" s="14" t="s">
        <v>184</v>
      </c>
      <c r="G589" s="25" t="str">
        <f>HYPERLINK("http://vk.com/wall672184371_340")</f>
      </c>
      <c r="H589" s="14" t="s">
        <v>170</v>
      </c>
      <c r="I589" s="14" t="s">
        <v>171</v>
      </c>
      <c r="J589" s="14" t="s">
        <v>1761</v>
      </c>
      <c r="K589" s="26" t="str">
        <f>HYPERLINK("http://vk.com/id672184371")</f>
      </c>
      <c r="L589" s="14" t="s">
        <v>173</v>
      </c>
      <c r="O589" s="1" t="s">
        <v>186</v>
      </c>
      <c r="P589" s="1" t="n">
        <v>15</v>
      </c>
      <c r="Q589" s="1" t="n">
        <v>14</v>
      </c>
      <c r="R589" s="1" t="n">
        <v>0</v>
      </c>
      <c r="S589" s="1"/>
      <c r="T589" s="1" t="n">
        <v>0</v>
      </c>
      <c r="U589" s="1" t="n">
        <v>0</v>
      </c>
      <c r="V589" s="1" t="n">
        <v>0</v>
      </c>
      <c r="W589" s="1"/>
      <c r="Y589" s="1" t="n">
        <v>62</v>
      </c>
      <c r="Z589" s="0" t="s">
        <v>175</v>
      </c>
      <c r="AA589" s="0" t="s">
        <v>187</v>
      </c>
      <c r="AH589" s="0" t="s">
        <v>180</v>
      </c>
      <c r="AJ589" s="0" t="s">
        <v>437</v>
      </c>
      <c r="AK589" s="0" t="s">
        <v>94</v>
      </c>
      <c r="AO589" s="0" t="s">
        <v>98</v>
      </c>
      <c r="AP589" s="0" t="s">
        <v>99</v>
      </c>
      <c r="AR589" s="0" t="s">
        <v>101</v>
      </c>
      <c r="BA589" s="0" t="s">
        <v>110</v>
      </c>
      <c r="BH589" s="0" t="s">
        <v>117</v>
      </c>
    </row>
    <row r="590">
      <c r="B590" s="0" t="s">
        <v>1762</v>
      </c>
      <c r="C590" s="1" t="n">
        <v>353248</v>
      </c>
      <c r="D590" s="0" t="s">
        <v>1763</v>
      </c>
      <c r="E590" s="14" t="s">
        <v>1764</v>
      </c>
      <c r="F590" s="14" t="s">
        <v>1095</v>
      </c>
      <c r="G590" s="25" t="str">
        <f>HYPERLINK("https://news.myseldon.com/ru/news/index/282038051")</f>
      </c>
      <c r="H590" s="14" t="s">
        <v>208</v>
      </c>
      <c r="I590" s="14" t="s">
        <v>194</v>
      </c>
      <c r="J590" s="14"/>
      <c r="L590" s="14"/>
      <c r="O590" s="1"/>
      <c r="P590" s="1"/>
      <c r="Q590" s="1"/>
      <c r="R590" s="1" t="n">
        <v>0</v>
      </c>
      <c r="S590" s="1" t="n">
        <v>3034</v>
      </c>
      <c r="T590" s="1" t="n">
        <v>0</v>
      </c>
      <c r="U590" s="1" t="n">
        <v>0</v>
      </c>
      <c r="V590" s="1" t="n">
        <v>0</v>
      </c>
      <c r="W590" s="1"/>
      <c r="Y590" s="1" t="n">
        <v>1</v>
      </c>
      <c r="Z590" s="0" t="s">
        <v>175</v>
      </c>
      <c r="AA590" s="0" t="s">
        <v>223</v>
      </c>
      <c r="AH590" s="0" t="s">
        <v>180</v>
      </c>
      <c r="AJ590" s="0" t="s">
        <v>437</v>
      </c>
      <c r="AK590" s="0" t="s">
        <v>94</v>
      </c>
      <c r="AL590" s="0" t="s">
        <v>95</v>
      </c>
      <c r="BD590" s="0" t="s">
        <v>113</v>
      </c>
      <c r="BJ590" s="0" t="s">
        <v>119</v>
      </c>
      <c r="BK590" s="0" t="s">
        <v>120</v>
      </c>
    </row>
    <row r="591" ht="24.75">
      <c r="B591" s="0" t="s">
        <v>1762</v>
      </c>
      <c r="C591" s="1" t="n">
        <v>353250</v>
      </c>
      <c r="E591" s="14" t="s">
        <v>856</v>
      </c>
      <c r="F591" s="14" t="s">
        <v>184</v>
      </c>
      <c r="G591" s="25" t="str">
        <f>HYPERLINK("http://vk.com/wall737086339_134")</f>
      </c>
      <c r="H591" s="14" t="s">
        <v>170</v>
      </c>
      <c r="I591" s="14" t="s">
        <v>171</v>
      </c>
      <c r="J591" s="14" t="s">
        <v>1765</v>
      </c>
      <c r="K591" s="26" t="str">
        <f>HYPERLINK("http://vk.com/id737086339")</f>
      </c>
      <c r="L591" s="14" t="s">
        <v>173</v>
      </c>
      <c r="O591" s="1" t="s">
        <v>186</v>
      </c>
      <c r="P591" s="1" t="n">
        <v>47</v>
      </c>
      <c r="Q591" s="1" t="n">
        <v>86</v>
      </c>
      <c r="R591" s="1" t="n">
        <v>0</v>
      </c>
      <c r="S591" s="1"/>
      <c r="T591" s="1" t="n">
        <v>0</v>
      </c>
      <c r="U591" s="1" t="n">
        <v>0</v>
      </c>
      <c r="V591" s="1" t="n">
        <v>0</v>
      </c>
      <c r="W591" s="1"/>
      <c r="Y591" s="1" t="n">
        <v>3</v>
      </c>
      <c r="Z591" s="0" t="s">
        <v>175</v>
      </c>
      <c r="AA591" s="0" t="s">
        <v>187</v>
      </c>
      <c r="AH591" s="0" t="s">
        <v>180</v>
      </c>
      <c r="AJ591" s="0" t="s">
        <v>437</v>
      </c>
      <c r="AK591" s="0" t="s">
        <v>94</v>
      </c>
      <c r="AL591" s="0" t="s">
        <v>95</v>
      </c>
      <c r="AM591" s="0" t="s">
        <v>96</v>
      </c>
      <c r="BC591" s="0" t="s">
        <v>112</v>
      </c>
      <c r="BI591" s="0" t="s">
        <v>118</v>
      </c>
      <c r="BN591" s="0" t="s">
        <v>123</v>
      </c>
    </row>
    <row r="592" ht="24.75">
      <c r="B592" s="0" t="s">
        <v>1766</v>
      </c>
      <c r="C592" s="1" t="n">
        <v>353240</v>
      </c>
      <c r="E592" s="14" t="s">
        <v>693</v>
      </c>
      <c r="F592" s="14" t="s">
        <v>184</v>
      </c>
      <c r="G592" s="25" t="str">
        <f>HYPERLINK("http://vk.com/wall503829509_341")</f>
      </c>
      <c r="H592" s="14" t="s">
        <v>170</v>
      </c>
      <c r="I592" s="14" t="s">
        <v>171</v>
      </c>
      <c r="J592" s="14" t="s">
        <v>1767</v>
      </c>
      <c r="K592" s="26" t="str">
        <f>HYPERLINK("http://vk.com/id503829509")</f>
      </c>
      <c r="L592" s="14" t="s">
        <v>173</v>
      </c>
      <c r="O592" s="1" t="s">
        <v>186</v>
      </c>
      <c r="P592" s="1" t="n">
        <v>57</v>
      </c>
      <c r="Q592" s="1" t="n">
        <v>219</v>
      </c>
      <c r="R592" s="1" t="n">
        <v>0</v>
      </c>
      <c r="S592" s="1"/>
      <c r="T592" s="1" t="n">
        <v>0</v>
      </c>
      <c r="U592" s="1" t="n">
        <v>0</v>
      </c>
      <c r="V592" s="1" t="n">
        <v>0</v>
      </c>
      <c r="W592" s="1" t="n">
        <v>1</v>
      </c>
      <c r="Y592" s="1" t="n">
        <v>5</v>
      </c>
      <c r="Z592" s="0" t="s">
        <v>175</v>
      </c>
      <c r="AA592" s="0" t="s">
        <v>187</v>
      </c>
      <c r="AH592" s="0" t="s">
        <v>180</v>
      </c>
      <c r="AJ592" s="0" t="s">
        <v>437</v>
      </c>
      <c r="AK592" s="0" t="s">
        <v>94</v>
      </c>
      <c r="AL592" s="0" t="s">
        <v>95</v>
      </c>
      <c r="AM592" s="0" t="s">
        <v>96</v>
      </c>
      <c r="AX592" s="0" t="s">
        <v>107</v>
      </c>
    </row>
    <row r="593" ht="24.75">
      <c r="B593" s="0" t="s">
        <v>1766</v>
      </c>
      <c r="C593" s="1" t="n">
        <v>353239</v>
      </c>
      <c r="E593" s="14" t="s">
        <v>183</v>
      </c>
      <c r="F593" s="14" t="s">
        <v>184</v>
      </c>
      <c r="G593" s="25" t="str">
        <f>HYPERLINK("http://vk.com/wall83287751_84")</f>
      </c>
      <c r="H593" s="14" t="s">
        <v>170</v>
      </c>
      <c r="I593" s="14" t="s">
        <v>171</v>
      </c>
      <c r="J593" s="14" t="s">
        <v>1768</v>
      </c>
      <c r="K593" s="26" t="str">
        <f>HYPERLINK("http://vk.com/id83287751")</f>
      </c>
      <c r="L593" s="14" t="s">
        <v>173</v>
      </c>
      <c r="O593" s="1" t="s">
        <v>174</v>
      </c>
      <c r="P593" s="1"/>
      <c r="Q593" s="1" t="n">
        <v>45</v>
      </c>
      <c r="R593" s="1" t="n">
        <v>0</v>
      </c>
      <c r="S593" s="1"/>
      <c r="T593" s="1" t="n">
        <v>0</v>
      </c>
      <c r="U593" s="1" t="n">
        <v>0</v>
      </c>
      <c r="V593" s="1" t="n">
        <v>0</v>
      </c>
      <c r="W593" s="1" t="n">
        <v>1</v>
      </c>
      <c r="Y593" s="1" t="n">
        <v>62</v>
      </c>
      <c r="Z593" s="0" t="s">
        <v>175</v>
      </c>
      <c r="AA593" s="0" t="s">
        <v>187</v>
      </c>
      <c r="AC593" s="0" t="s">
        <v>177</v>
      </c>
      <c r="AD593" s="0" t="s">
        <v>1577</v>
      </c>
      <c r="AE593" s="0" t="s">
        <v>1769</v>
      </c>
      <c r="AH593" s="0" t="s">
        <v>180</v>
      </c>
      <c r="AJ593" s="0" t="s">
        <v>437</v>
      </c>
      <c r="AK593" s="0" t="s">
        <v>94</v>
      </c>
      <c r="AO593" s="0" t="s">
        <v>98</v>
      </c>
      <c r="AP593" s="0" t="s">
        <v>99</v>
      </c>
      <c r="AR593" s="0" t="s">
        <v>101</v>
      </c>
      <c r="BA593" s="0" t="s">
        <v>110</v>
      </c>
      <c r="BH593" s="0" t="s">
        <v>117</v>
      </c>
    </row>
    <row r="594" ht="156.75">
      <c r="B594" s="0" t="s">
        <v>1770</v>
      </c>
      <c r="C594" s="1" t="n">
        <v>353228</v>
      </c>
      <c r="E594" s="14" t="s">
        <v>442</v>
      </c>
      <c r="F594" s="14" t="s">
        <v>184</v>
      </c>
      <c r="G594" s="25" t="str">
        <f>HYPERLINK("http://vk.com/wall-171193480_1647567")</f>
      </c>
      <c r="H594" s="14" t="s">
        <v>170</v>
      </c>
      <c r="I594" s="14" t="s">
        <v>194</v>
      </c>
      <c r="J594" s="14" t="s">
        <v>1771</v>
      </c>
      <c r="K594" s="26" t="str">
        <f>HYPERLINK("http://vk.com/club171193480")</f>
      </c>
      <c r="L594" s="14" t="s">
        <v>274</v>
      </c>
      <c r="O594" s="1"/>
      <c r="P594" s="1"/>
      <c r="Q594" s="1" t="n">
        <v>2444417</v>
      </c>
      <c r="R594" s="1" t="n">
        <v>0</v>
      </c>
      <c r="S594" s="1"/>
      <c r="T594" s="1" t="n">
        <v>3</v>
      </c>
      <c r="U594" s="1" t="n">
        <v>45</v>
      </c>
      <c r="V594" s="1" t="n">
        <v>48</v>
      </c>
      <c r="W594" s="1" t="n">
        <v>46879</v>
      </c>
      <c r="Y594" s="1" t="n">
        <v>5</v>
      </c>
      <c r="Z594" s="0" t="s">
        <v>175</v>
      </c>
      <c r="AA594" s="0" t="s">
        <v>292</v>
      </c>
      <c r="AC594" s="0" t="s">
        <v>177</v>
      </c>
      <c r="AH594" s="0" t="s">
        <v>180</v>
      </c>
      <c r="AJ594" s="0" t="s">
        <v>437</v>
      </c>
      <c r="AK594" s="0" t="s">
        <v>94</v>
      </c>
      <c r="AN594" s="0" t="s">
        <v>97</v>
      </c>
      <c r="AP594" s="0" t="s">
        <v>99</v>
      </c>
      <c r="AS594" s="0" t="s">
        <v>102</v>
      </c>
      <c r="AT594" s="0" t="s">
        <v>103</v>
      </c>
      <c r="BK594" s="0" t="s">
        <v>120</v>
      </c>
      <c r="BN594" s="0" t="s">
        <v>123</v>
      </c>
    </row>
    <row r="595" ht="180.75">
      <c r="B595" s="0" t="s">
        <v>1770</v>
      </c>
      <c r="C595" s="1" t="n">
        <v>353234</v>
      </c>
      <c r="E595" s="14" t="s">
        <v>1772</v>
      </c>
      <c r="F595" s="14" t="s">
        <v>184</v>
      </c>
      <c r="G595" s="25" t="str">
        <f>HYPERLINK("http://vk.com/wall-62483764_580000")</f>
      </c>
      <c r="H595" s="14" t="s">
        <v>170</v>
      </c>
      <c r="I595" s="14" t="s">
        <v>194</v>
      </c>
      <c r="J595" s="14" t="s">
        <v>1773</v>
      </c>
      <c r="K595" s="26" t="str">
        <f>HYPERLINK("http://vk.com/club62483764")</f>
      </c>
      <c r="L595" s="14" t="s">
        <v>274</v>
      </c>
      <c r="O595" s="1"/>
      <c r="P595" s="1"/>
      <c r="Q595" s="1" t="n">
        <v>786498</v>
      </c>
      <c r="R595" s="1" t="n">
        <v>0</v>
      </c>
      <c r="S595" s="1"/>
      <c r="T595" s="1" t="n">
        <v>0</v>
      </c>
      <c r="U595" s="1" t="n">
        <v>19</v>
      </c>
      <c r="V595" s="1" t="n">
        <v>19</v>
      </c>
      <c r="W595" s="1" t="n">
        <v>11750</v>
      </c>
      <c r="Y595" s="1" t="n">
        <v>1</v>
      </c>
      <c r="Z595" s="0" t="s">
        <v>175</v>
      </c>
      <c r="AA595" s="0" t="s">
        <v>292</v>
      </c>
      <c r="AH595" s="0" t="s">
        <v>180</v>
      </c>
      <c r="AJ595" s="0" t="s">
        <v>437</v>
      </c>
      <c r="AK595" s="0" t="s">
        <v>94</v>
      </c>
      <c r="AN595" s="0" t="s">
        <v>97</v>
      </c>
      <c r="AP595" s="0" t="s">
        <v>99</v>
      </c>
      <c r="AS595" s="0" t="s">
        <v>102</v>
      </c>
      <c r="AT595" s="0" t="s">
        <v>103</v>
      </c>
      <c r="BF595" s="0" t="s">
        <v>115</v>
      </c>
      <c r="BK595" s="0" t="s">
        <v>120</v>
      </c>
      <c r="BM595" s="0" t="s">
        <v>122</v>
      </c>
    </row>
    <row r="596">
      <c r="B596" s="0" t="s">
        <v>1774</v>
      </c>
      <c r="C596" s="1" t="n">
        <v>353226</v>
      </c>
      <c r="E596" s="14" t="s">
        <v>1775</v>
      </c>
      <c r="F596" s="14" t="s">
        <v>184</v>
      </c>
      <c r="G596" s="25" t="str">
        <f>HYPERLINK("http://vk.com/wall-164339093_267557?reply=267668")</f>
      </c>
      <c r="H596" s="14" t="s">
        <v>170</v>
      </c>
      <c r="I596" s="14" t="s">
        <v>231</v>
      </c>
      <c r="J596" s="14" t="s">
        <v>1776</v>
      </c>
      <c r="K596" s="26" t="str">
        <f>HYPERLINK("http://vk.com/id18555294")</f>
      </c>
      <c r="L596" s="14" t="s">
        <v>173</v>
      </c>
      <c r="M596" s="14" t="s">
        <v>1777</v>
      </c>
      <c r="N596" s="25" t="str">
        <f>HYPERLINK("http://vk.com/club164339093")</f>
      </c>
      <c r="O596" s="1" t="s">
        <v>186</v>
      </c>
      <c r="P596" s="1"/>
      <c r="Q596" s="1" t="n">
        <v>25511</v>
      </c>
      <c r="R596" s="1" t="n">
        <v>0</v>
      </c>
      <c r="S596" s="1"/>
      <c r="T596" s="1" t="n">
        <v>0</v>
      </c>
      <c r="U596" s="1" t="n">
        <v>0</v>
      </c>
      <c r="V596" s="1" t="n">
        <v>0</v>
      </c>
      <c r="W596" s="1"/>
      <c r="Y596" s="1" t="n">
        <v>1</v>
      </c>
      <c r="Z596" s="0" t="s">
        <v>175</v>
      </c>
      <c r="AA596" s="0" t="s">
        <v>187</v>
      </c>
      <c r="AC596" s="0" t="s">
        <v>177</v>
      </c>
      <c r="AD596" s="0" t="s">
        <v>1778</v>
      </c>
      <c r="AE596" s="0" t="s">
        <v>1779</v>
      </c>
      <c r="AH596" s="0" t="s">
        <v>180</v>
      </c>
      <c r="AI596" s="0" t="s">
        <v>92</v>
      </c>
      <c r="AJ596" s="0" t="s">
        <v>437</v>
      </c>
      <c r="AK596" s="0" t="s">
        <v>94</v>
      </c>
      <c r="AN596" s="0" t="s">
        <v>97</v>
      </c>
      <c r="AP596" s="0" t="s">
        <v>99</v>
      </c>
      <c r="BG596" s="0" t="s">
        <v>116</v>
      </c>
      <c r="BN596" s="0" t="s">
        <v>123</v>
      </c>
    </row>
    <row r="597" ht="24.75">
      <c r="B597" s="0" t="s">
        <v>1774</v>
      </c>
      <c r="C597" s="1" t="n">
        <v>353221</v>
      </c>
      <c r="E597" s="14" t="s">
        <v>183</v>
      </c>
      <c r="F597" s="14" t="s">
        <v>184</v>
      </c>
      <c r="G597" s="25" t="str">
        <f>HYPERLINK("http://vk.com/wall105594936_5220")</f>
      </c>
      <c r="H597" s="14" t="s">
        <v>170</v>
      </c>
      <c r="I597" s="14" t="s">
        <v>171</v>
      </c>
      <c r="J597" s="14" t="s">
        <v>1780</v>
      </c>
      <c r="K597" s="26" t="str">
        <f>HYPERLINK("http://vk.com/id105594936")</f>
      </c>
      <c r="L597" s="14" t="s">
        <v>173</v>
      </c>
      <c r="O597" s="1" t="s">
        <v>186</v>
      </c>
      <c r="P597" s="1" t="n">
        <v>73</v>
      </c>
      <c r="Q597" s="1" t="n">
        <v>272</v>
      </c>
      <c r="R597" s="1" t="n">
        <v>0</v>
      </c>
      <c r="S597" s="1"/>
      <c r="T597" s="1" t="n">
        <v>0</v>
      </c>
      <c r="U597" s="1" t="n">
        <v>0</v>
      </c>
      <c r="V597" s="1" t="n">
        <v>0</v>
      </c>
      <c r="W597" s="1"/>
      <c r="Y597" s="1" t="n">
        <v>62</v>
      </c>
      <c r="Z597" s="0" t="s">
        <v>175</v>
      </c>
      <c r="AA597" s="0" t="s">
        <v>187</v>
      </c>
      <c r="AC597" s="0" t="s">
        <v>177</v>
      </c>
      <c r="AD597" s="0" t="s">
        <v>240</v>
      </c>
      <c r="AE597" s="0" t="s">
        <v>240</v>
      </c>
      <c r="AH597" s="0" t="s">
        <v>180</v>
      </c>
      <c r="AJ597" s="0" t="s">
        <v>437</v>
      </c>
      <c r="AK597" s="0" t="s">
        <v>94</v>
      </c>
      <c r="AO597" s="0" t="s">
        <v>98</v>
      </c>
      <c r="AP597" s="0" t="s">
        <v>99</v>
      </c>
      <c r="AR597" s="0" t="s">
        <v>101</v>
      </c>
      <c r="BA597" s="0" t="s">
        <v>110</v>
      </c>
      <c r="BH597" s="0" t="s">
        <v>117</v>
      </c>
    </row>
    <row r="598" ht="24.75">
      <c r="B598" s="0" t="s">
        <v>1774</v>
      </c>
      <c r="C598" s="1" t="n">
        <v>353236</v>
      </c>
      <c r="E598" s="14" t="s">
        <v>183</v>
      </c>
      <c r="F598" s="14" t="s">
        <v>184</v>
      </c>
      <c r="G598" s="25" t="str">
        <f>HYPERLINK("http://vk.com/wall259199897_4940")</f>
      </c>
      <c r="H598" s="14" t="s">
        <v>170</v>
      </c>
      <c r="I598" s="14" t="s">
        <v>171</v>
      </c>
      <c r="J598" s="14" t="s">
        <v>1781</v>
      </c>
      <c r="K598" s="26" t="str">
        <f>HYPERLINK("http://vk.com/id259199897")</f>
      </c>
      <c r="L598" s="14" t="s">
        <v>173</v>
      </c>
      <c r="O598" s="1" t="s">
        <v>186</v>
      </c>
      <c r="P598" s="1"/>
      <c r="Q598" s="1" t="n">
        <v>113</v>
      </c>
      <c r="R598" s="1" t="n">
        <v>0</v>
      </c>
      <c r="S598" s="1"/>
      <c r="T598" s="1" t="n">
        <v>0</v>
      </c>
      <c r="U598" s="1" t="n">
        <v>0</v>
      </c>
      <c r="V598" s="1" t="n">
        <v>0</v>
      </c>
      <c r="W598" s="1" t="n">
        <v>1</v>
      </c>
      <c r="Y598" s="1" t="n">
        <v>62</v>
      </c>
      <c r="Z598" s="0" t="s">
        <v>175</v>
      </c>
      <c r="AA598" s="0" t="s">
        <v>187</v>
      </c>
      <c r="AC598" s="0" t="s">
        <v>177</v>
      </c>
      <c r="AD598" s="0" t="s">
        <v>240</v>
      </c>
      <c r="AE598" s="0" t="s">
        <v>240</v>
      </c>
      <c r="AH598" s="0" t="s">
        <v>180</v>
      </c>
      <c r="AJ598" s="0" t="s">
        <v>437</v>
      </c>
      <c r="AK598" s="0" t="s">
        <v>94</v>
      </c>
      <c r="AO598" s="0" t="s">
        <v>98</v>
      </c>
      <c r="AP598" s="0" t="s">
        <v>99</v>
      </c>
      <c r="AR598" s="0" t="s">
        <v>101</v>
      </c>
      <c r="BA598" s="0" t="s">
        <v>110</v>
      </c>
      <c r="BH598" s="0" t="s">
        <v>117</v>
      </c>
    </row>
    <row r="599" ht="24.75">
      <c r="B599" s="0" t="s">
        <v>1774</v>
      </c>
      <c r="C599" s="1" t="n">
        <v>353217</v>
      </c>
      <c r="E599" s="14" t="s">
        <v>183</v>
      </c>
      <c r="F599" s="14" t="s">
        <v>184</v>
      </c>
      <c r="G599" s="25" t="str">
        <f>HYPERLINK("http://vk.com/wall145063410_2423")</f>
      </c>
      <c r="H599" s="14" t="s">
        <v>170</v>
      </c>
      <c r="I599" s="14" t="s">
        <v>171</v>
      </c>
      <c r="J599" s="14" t="s">
        <v>1782</v>
      </c>
      <c r="K599" s="26" t="str">
        <f>HYPERLINK("http://vk.com/id145063410")</f>
      </c>
      <c r="L599" s="14" t="s">
        <v>173</v>
      </c>
      <c r="O599" s="1" t="s">
        <v>186</v>
      </c>
      <c r="P599" s="1" t="n">
        <v>75</v>
      </c>
      <c r="Q599" s="1" t="n">
        <v>161</v>
      </c>
      <c r="R599" s="1" t="n">
        <v>0</v>
      </c>
      <c r="S599" s="1"/>
      <c r="T599" s="1" t="n">
        <v>0</v>
      </c>
      <c r="U599" s="1" t="n">
        <v>0</v>
      </c>
      <c r="V599" s="1" t="n">
        <v>0</v>
      </c>
      <c r="W599" s="1" t="n">
        <v>2</v>
      </c>
      <c r="Y599" s="1" t="n">
        <v>62</v>
      </c>
      <c r="Z599" s="0" t="s">
        <v>175</v>
      </c>
      <c r="AA599" s="0" t="s">
        <v>187</v>
      </c>
      <c r="AC599" s="0" t="s">
        <v>177</v>
      </c>
      <c r="AD599" s="0" t="s">
        <v>767</v>
      </c>
      <c r="AE599" s="0" t="s">
        <v>1783</v>
      </c>
      <c r="AH599" s="0" t="s">
        <v>180</v>
      </c>
      <c r="AJ599" s="0" t="s">
        <v>437</v>
      </c>
      <c r="AK599" s="0" t="s">
        <v>94</v>
      </c>
      <c r="AO599" s="0" t="s">
        <v>98</v>
      </c>
      <c r="AP599" s="0" t="s">
        <v>99</v>
      </c>
      <c r="AR599" s="0" t="s">
        <v>101</v>
      </c>
      <c r="BA599" s="0" t="s">
        <v>110</v>
      </c>
      <c r="BH599" s="0" t="s">
        <v>117</v>
      </c>
    </row>
    <row r="600" ht="48.75">
      <c r="B600" s="0" t="s">
        <v>1784</v>
      </c>
      <c r="C600" s="1" t="n">
        <v>353243</v>
      </c>
      <c r="D600" s="0" t="s">
        <v>1785</v>
      </c>
      <c r="E600" s="14" t="s">
        <v>1786</v>
      </c>
      <c r="F600" s="14" t="s">
        <v>870</v>
      </c>
      <c r="G600" s="25" t="str">
        <f>HYPERLINK("https://dzen.ru/a/ZDjd3QVoDBX7vQyN")</f>
      </c>
      <c r="H600" s="14" t="s">
        <v>376</v>
      </c>
      <c r="I600" s="14" t="s">
        <v>194</v>
      </c>
      <c r="J600" s="14" t="s">
        <v>1787</v>
      </c>
      <c r="K600" s="26" t="str">
        <f>HYPERLINK("https://dzen.ru/id/5b62dc1a511a6c00a838ed3b")</f>
      </c>
      <c r="L600" s="14" t="s">
        <v>173</v>
      </c>
      <c r="O600" s="1"/>
      <c r="P600" s="1"/>
      <c r="Q600" s="1" t="n">
        <v>9354</v>
      </c>
      <c r="R600" s="1" t="n">
        <v>0</v>
      </c>
      <c r="S600" s="1"/>
      <c r="T600" s="1" t="n">
        <v>0</v>
      </c>
      <c r="U600" s="1" t="n">
        <v>0</v>
      </c>
      <c r="V600" s="1" t="n">
        <v>0</v>
      </c>
      <c r="W600" s="1"/>
      <c r="Y600" s="1" t="n">
        <v>1</v>
      </c>
      <c r="Z600" s="0" t="s">
        <v>175</v>
      </c>
      <c r="AA600" s="0" t="s">
        <v>176</v>
      </c>
      <c r="AH600" s="0" t="s">
        <v>180</v>
      </c>
      <c r="AJ600" s="0" t="s">
        <v>437</v>
      </c>
      <c r="AK600" s="0" t="s">
        <v>94</v>
      </c>
      <c r="AL600" s="0" t="s">
        <v>95</v>
      </c>
      <c r="BD600" s="0" t="s">
        <v>113</v>
      </c>
      <c r="BJ600" s="0" t="s">
        <v>119</v>
      </c>
      <c r="BK600" s="0" t="s">
        <v>120</v>
      </c>
    </row>
    <row r="601" ht="36.75">
      <c r="B601" s="0" t="s">
        <v>1788</v>
      </c>
      <c r="C601" s="1" t="n">
        <v>353238</v>
      </c>
      <c r="E601" s="14" t="s">
        <v>1789</v>
      </c>
      <c r="F601" s="14" t="s">
        <v>184</v>
      </c>
      <c r="G601" s="25" t="str">
        <f>HYPERLINK("http://vk.com/wall-219236148_817")</f>
      </c>
      <c r="H601" s="14" t="s">
        <v>170</v>
      </c>
      <c r="I601" s="14" t="s">
        <v>194</v>
      </c>
      <c r="J601" s="14" t="s">
        <v>1790</v>
      </c>
      <c r="K601" s="26" t="str">
        <f>HYPERLINK("http://vk.com/club219236148")</f>
      </c>
      <c r="L601" s="14" t="s">
        <v>274</v>
      </c>
      <c r="O601" s="1"/>
      <c r="P601" s="1"/>
      <c r="Q601" s="1" t="n">
        <v>2</v>
      </c>
      <c r="R601" s="1" t="n">
        <v>0</v>
      </c>
      <c r="S601" s="1"/>
      <c r="T601" s="1" t="n">
        <v>0</v>
      </c>
      <c r="U601" s="1" t="n">
        <v>0</v>
      </c>
      <c r="V601" s="1" t="n">
        <v>0</v>
      </c>
      <c r="W601" s="1"/>
      <c r="Y601" s="1" t="n">
        <v>1</v>
      </c>
      <c r="Z601" s="0" t="s">
        <v>175</v>
      </c>
      <c r="AA601" s="0" t="s">
        <v>223</v>
      </c>
      <c r="AH601" s="0" t="s">
        <v>180</v>
      </c>
      <c r="AJ601" s="0" t="s">
        <v>437</v>
      </c>
      <c r="AK601" s="0" t="s">
        <v>94</v>
      </c>
      <c r="AL601" s="0" t="s">
        <v>95</v>
      </c>
      <c r="BD601" s="0" t="s">
        <v>113</v>
      </c>
      <c r="BJ601" s="0" t="s">
        <v>119</v>
      </c>
      <c r="BK601" s="0" t="s">
        <v>120</v>
      </c>
    </row>
    <row r="602" ht="24.75">
      <c r="B602" s="0" t="s">
        <v>1788</v>
      </c>
      <c r="C602" s="1" t="n">
        <v>353232</v>
      </c>
      <c r="E602" s="14" t="s">
        <v>183</v>
      </c>
      <c r="F602" s="14" t="s">
        <v>184</v>
      </c>
      <c r="G602" s="25" t="str">
        <f>HYPERLINK("http://vk.com/wall-193231553_545151")</f>
      </c>
      <c r="H602" s="14" t="s">
        <v>170</v>
      </c>
      <c r="I602" s="14" t="s">
        <v>194</v>
      </c>
      <c r="J602" s="14" t="s">
        <v>1791</v>
      </c>
      <c r="K602" s="26" t="str">
        <f>HYPERLINK("http://vk.com/club193231553")</f>
      </c>
      <c r="L602" s="14" t="s">
        <v>274</v>
      </c>
      <c r="O602" s="1"/>
      <c r="P602" s="1"/>
      <c r="Q602" s="1" t="n">
        <v>560121</v>
      </c>
      <c r="R602" s="1" t="n">
        <v>4</v>
      </c>
      <c r="S602" s="1"/>
      <c r="T602" s="1" t="n">
        <v>116</v>
      </c>
      <c r="U602" s="1" t="n">
        <v>96</v>
      </c>
      <c r="V602" s="1" t="n">
        <v>216</v>
      </c>
      <c r="W602" s="1" t="n">
        <v>9163</v>
      </c>
      <c r="Y602" s="1" t="n">
        <v>62</v>
      </c>
      <c r="Z602" s="0" t="s">
        <v>175</v>
      </c>
      <c r="AA602" s="0" t="s">
        <v>187</v>
      </c>
      <c r="AH602" s="0" t="s">
        <v>180</v>
      </c>
      <c r="AJ602" s="0" t="s">
        <v>437</v>
      </c>
      <c r="AK602" s="0" t="s">
        <v>94</v>
      </c>
      <c r="AO602" s="0" t="s">
        <v>98</v>
      </c>
      <c r="AP602" s="0" t="s">
        <v>99</v>
      </c>
      <c r="AR602" s="0" t="s">
        <v>101</v>
      </c>
      <c r="BA602" s="0" t="s">
        <v>110</v>
      </c>
      <c r="BH602" s="0" t="s">
        <v>117</v>
      </c>
    </row>
    <row r="603" ht="156.75">
      <c r="B603" s="0" t="s">
        <v>1788</v>
      </c>
      <c r="C603" s="1" t="n">
        <v>353227</v>
      </c>
      <c r="E603" s="14" t="s">
        <v>442</v>
      </c>
      <c r="F603" s="14" t="s">
        <v>184</v>
      </c>
      <c r="G603" s="25" t="str">
        <f>HYPERLINK("http://vk.com/wall-91883335_571379")</f>
      </c>
      <c r="H603" s="14" t="s">
        <v>170</v>
      </c>
      <c r="I603" s="14" t="s">
        <v>194</v>
      </c>
      <c r="J603" s="14" t="s">
        <v>1792</v>
      </c>
      <c r="K603" s="26" t="str">
        <f>HYPERLINK("http://vk.com/club91883335")</f>
      </c>
      <c r="L603" s="14" t="s">
        <v>274</v>
      </c>
      <c r="O603" s="1"/>
      <c r="P603" s="1"/>
      <c r="Q603" s="1" t="n">
        <v>857763</v>
      </c>
      <c r="R603" s="1" t="n">
        <v>0</v>
      </c>
      <c r="S603" s="1"/>
      <c r="T603" s="1" t="n">
        <v>1</v>
      </c>
      <c r="U603" s="1" t="n">
        <v>0</v>
      </c>
      <c r="V603" s="1" t="n">
        <v>1</v>
      </c>
      <c r="W603" s="1" t="n">
        <v>4026</v>
      </c>
      <c r="Y603" s="1" t="n">
        <v>5</v>
      </c>
      <c r="Z603" s="0" t="s">
        <v>175</v>
      </c>
      <c r="AA603" s="0" t="s">
        <v>292</v>
      </c>
      <c r="AH603" s="0" t="s">
        <v>180</v>
      </c>
      <c r="AJ603" s="0" t="s">
        <v>437</v>
      </c>
      <c r="AK603" s="0" t="s">
        <v>94</v>
      </c>
      <c r="AN603" s="0" t="s">
        <v>97</v>
      </c>
      <c r="AP603" s="0" t="s">
        <v>99</v>
      </c>
      <c r="AS603" s="0" t="s">
        <v>102</v>
      </c>
      <c r="AT603" s="0" t="s">
        <v>103</v>
      </c>
      <c r="BK603" s="0" t="s">
        <v>120</v>
      </c>
      <c r="BN603" s="0" t="s">
        <v>123</v>
      </c>
    </row>
    <row r="604" ht="156.75">
      <c r="B604" s="0" t="s">
        <v>1788</v>
      </c>
      <c r="C604" s="1" t="n">
        <v>353211</v>
      </c>
      <c r="E604" s="14" t="s">
        <v>442</v>
      </c>
      <c r="F604" s="14" t="s">
        <v>184</v>
      </c>
      <c r="G604" s="25" t="str">
        <f>HYPERLINK("http://vk.com/wall-170234932_719730")</f>
      </c>
      <c r="H604" s="14" t="s">
        <v>170</v>
      </c>
      <c r="I604" s="14" t="s">
        <v>194</v>
      </c>
      <c r="J604" s="14" t="s">
        <v>1793</v>
      </c>
      <c r="K604" s="26" t="str">
        <f>HYPERLINK("http://vk.com/club170234932")</f>
      </c>
      <c r="L604" s="14" t="s">
        <v>274</v>
      </c>
      <c r="O604" s="1"/>
      <c r="P604" s="1"/>
      <c r="Q604" s="1" t="n">
        <v>1333405</v>
      </c>
      <c r="R604" s="1" t="n">
        <v>0</v>
      </c>
      <c r="S604" s="1"/>
      <c r="T604" s="1" t="n">
        <v>5</v>
      </c>
      <c r="U604" s="1" t="n">
        <v>7</v>
      </c>
      <c r="V604" s="1" t="n">
        <v>12</v>
      </c>
      <c r="W604" s="1" t="n">
        <v>6529</v>
      </c>
      <c r="Y604" s="1" t="n">
        <v>5</v>
      </c>
      <c r="Z604" s="0" t="s">
        <v>175</v>
      </c>
      <c r="AA604" s="0" t="s">
        <v>292</v>
      </c>
      <c r="AC604" s="0" t="s">
        <v>177</v>
      </c>
      <c r="AD604" s="0" t="s">
        <v>332</v>
      </c>
      <c r="AE604" s="0" t="s">
        <v>332</v>
      </c>
      <c r="AH604" s="0" t="s">
        <v>180</v>
      </c>
      <c r="AJ604" s="0" t="s">
        <v>437</v>
      </c>
      <c r="AK604" s="0" t="s">
        <v>94</v>
      </c>
      <c r="AN604" s="0" t="s">
        <v>97</v>
      </c>
      <c r="AP604" s="0" t="s">
        <v>99</v>
      </c>
      <c r="AS604" s="0" t="s">
        <v>102</v>
      </c>
      <c r="AT604" s="0" t="s">
        <v>103</v>
      </c>
      <c r="BK604" s="0" t="s">
        <v>120</v>
      </c>
      <c r="BN604" s="0" t="s">
        <v>123</v>
      </c>
    </row>
    <row r="605" ht="60.75">
      <c r="B605" s="0" t="s">
        <v>1788</v>
      </c>
      <c r="C605" s="1" t="n">
        <v>353468</v>
      </c>
      <c r="E605" s="14" t="s">
        <v>1794</v>
      </c>
      <c r="F605" s="14" t="s">
        <v>192</v>
      </c>
      <c r="G605" s="25" t="str">
        <f>HYPERLINK("https://telegram.me/solo_ninka/2167?comment=41963")</f>
      </c>
      <c r="H605" s="14" t="s">
        <v>193</v>
      </c>
      <c r="I605" s="14" t="s">
        <v>231</v>
      </c>
      <c r="J605" s="14" t="s">
        <v>1795</v>
      </c>
      <c r="K605" s="26" t="str">
        <f>HYPERLINK("https://telegram.me/Xalazi")</f>
      </c>
      <c r="L605" s="14" t="s">
        <v>173</v>
      </c>
      <c r="M605" s="14" t="s">
        <v>1796</v>
      </c>
      <c r="N605" s="25" t="str">
        <f>HYPERLINK("https://telegram.me/solo_ninka")</f>
      </c>
      <c r="O605" s="1" t="s">
        <v>186</v>
      </c>
      <c r="P605" s="1"/>
      <c r="Q605" s="1" t="n">
        <v>54238</v>
      </c>
      <c r="R605" s="1" t="n">
        <v>0</v>
      </c>
      <c r="S605" s="1"/>
      <c r="T605" s="1" t="n">
        <v>0</v>
      </c>
      <c r="U605" s="1" t="n">
        <v>0</v>
      </c>
      <c r="V605" s="1" t="n">
        <v>0</v>
      </c>
      <c r="W605" s="1"/>
      <c r="Y605" s="1" t="n">
        <v>1</v>
      </c>
      <c r="Z605" s="0" t="s">
        <v>175</v>
      </c>
      <c r="AA605" s="0" t="s">
        <v>187</v>
      </c>
      <c r="AH605" s="0" t="s">
        <v>180</v>
      </c>
      <c r="AI605" s="0" t="s">
        <v>92</v>
      </c>
      <c r="AJ605" s="0" t="s">
        <v>437</v>
      </c>
      <c r="AK605" s="0" t="s">
        <v>94</v>
      </c>
      <c r="AN605" s="0" t="s">
        <v>97</v>
      </c>
      <c r="AP605" s="0" t="s">
        <v>99</v>
      </c>
      <c r="AT605" s="0" t="s">
        <v>103</v>
      </c>
      <c r="AW605" s="0" t="s">
        <v>106</v>
      </c>
      <c r="BM605" s="0" t="s">
        <v>122</v>
      </c>
      <c r="CA605" s="0" t="s">
        <v>136</v>
      </c>
    </row>
    <row r="606">
      <c r="B606" s="0" t="s">
        <v>1797</v>
      </c>
      <c r="C606" s="1" t="n">
        <v>353242</v>
      </c>
      <c r="E606" s="14" t="s">
        <v>1798</v>
      </c>
      <c r="F606" s="14" t="s">
        <v>375</v>
      </c>
      <c r="G606" s="25" t="str">
        <f>HYPERLINK("https://www.babyblog.ru/community/diseases/post/3125065")</f>
      </c>
      <c r="H606" s="14" t="s">
        <v>376</v>
      </c>
      <c r="I606" s="14" t="s">
        <v>231</v>
      </c>
      <c r="J606" s="14" t="s">
        <v>1799</v>
      </c>
      <c r="L606" s="14"/>
      <c r="M606" s="14" t="s">
        <v>378</v>
      </c>
      <c r="O606" s="1"/>
      <c r="P606" s="1"/>
      <c r="Q606" s="1"/>
      <c r="R606" s="1" t="n">
        <v>0</v>
      </c>
      <c r="S606" s="1"/>
      <c r="T606" s="1" t="n">
        <v>0</v>
      </c>
      <c r="U606" s="1" t="n">
        <v>0</v>
      </c>
      <c r="V606" s="1" t="n">
        <v>0</v>
      </c>
      <c r="W606" s="1"/>
      <c r="Y606" s="1" t="n">
        <v>1</v>
      </c>
      <c r="Z606" s="0" t="s">
        <v>463</v>
      </c>
      <c r="AA606" s="0" t="s">
        <v>187</v>
      </c>
      <c r="AH606" s="0" t="s">
        <v>180</v>
      </c>
      <c r="AJ606" s="0" t="s">
        <v>437</v>
      </c>
      <c r="AK606" s="0" t="s">
        <v>94</v>
      </c>
      <c r="AN606" s="0" t="s">
        <v>97</v>
      </c>
      <c r="AP606" s="0" t="s">
        <v>99</v>
      </c>
      <c r="AT606" s="0" t="s">
        <v>103</v>
      </c>
      <c r="BC606" s="0" t="s">
        <v>112</v>
      </c>
      <c r="BL606" s="0" t="s">
        <v>121</v>
      </c>
      <c r="CE606" s="0" t="s">
        <v>140</v>
      </c>
    </row>
    <row r="607" ht="708.75">
      <c r="B607" s="0" t="s">
        <v>1800</v>
      </c>
      <c r="C607" s="1" t="n">
        <v>353422</v>
      </c>
      <c r="E607" s="14" t="s">
        <v>1801</v>
      </c>
      <c r="F607" s="14" t="s">
        <v>169</v>
      </c>
      <c r="G607" s="25" t="str">
        <f>HYPERLINK("http://www.ok.ru/profile/553973577134/statuses/156494430253230")</f>
      </c>
      <c r="H607" s="14" t="s">
        <v>170</v>
      </c>
      <c r="I607" s="14" t="s">
        <v>171</v>
      </c>
      <c r="J607" s="14" t="s">
        <v>1802</v>
      </c>
      <c r="K607" s="26" t="str">
        <f>HYPERLINK("http://www.ok.ru/profile/553973577134")</f>
      </c>
      <c r="L607" s="14" t="s">
        <v>173</v>
      </c>
      <c r="O607" s="1" t="s">
        <v>186</v>
      </c>
      <c r="P607" s="1" t="n">
        <v>65</v>
      </c>
      <c r="Q607" s="1" t="n">
        <v>700</v>
      </c>
      <c r="R607" s="1" t="n">
        <v>0</v>
      </c>
      <c r="S607" s="1"/>
      <c r="T607" s="1" t="n">
        <v>0</v>
      </c>
      <c r="U607" s="1" t="n">
        <v>0</v>
      </c>
      <c r="V607" s="1" t="n">
        <v>0</v>
      </c>
      <c r="W607" s="1"/>
      <c r="Y607" s="1" t="n">
        <v>1</v>
      </c>
      <c r="Z607" s="0" t="s">
        <v>175</v>
      </c>
      <c r="AA607" s="0" t="s">
        <v>176</v>
      </c>
      <c r="AC607" s="0" t="s">
        <v>177</v>
      </c>
      <c r="AH607" s="0" t="s">
        <v>180</v>
      </c>
      <c r="AJ607" s="0" t="s">
        <v>437</v>
      </c>
      <c r="AK607" s="0" t="s">
        <v>94</v>
      </c>
      <c r="AO607" s="0" t="s">
        <v>98</v>
      </c>
      <c r="AP607" s="0" t="s">
        <v>99</v>
      </c>
      <c r="AR607" s="0" t="s">
        <v>101</v>
      </c>
      <c r="BA607" s="0" t="s">
        <v>110</v>
      </c>
      <c r="BH607" s="0" t="s">
        <v>117</v>
      </c>
    </row>
    <row r="608">
      <c r="B608" s="0" t="s">
        <v>1803</v>
      </c>
      <c r="C608" s="1" t="n">
        <v>353209</v>
      </c>
      <c r="E608" s="14" t="s">
        <v>1804</v>
      </c>
      <c r="F608" s="14" t="s">
        <v>184</v>
      </c>
      <c r="G608" s="25" t="str">
        <f>HYPERLINK("http://vk.com/wall-149047382_2415266?reply=2415327")</f>
      </c>
      <c r="H608" s="14" t="s">
        <v>170</v>
      </c>
      <c r="I608" s="14" t="s">
        <v>231</v>
      </c>
      <c r="J608" s="14" t="s">
        <v>1805</v>
      </c>
      <c r="K608" s="26" t="str">
        <f>HYPERLINK("http://vk.com/id67272581")</f>
      </c>
      <c r="L608" s="14" t="s">
        <v>173</v>
      </c>
      <c r="M608" s="14" t="s">
        <v>1514</v>
      </c>
      <c r="N608" s="25" t="str">
        <f>HYPERLINK("http://vk.com/club149047382")</f>
      </c>
      <c r="O608" s="1" t="s">
        <v>186</v>
      </c>
      <c r="P608" s="1" t="n">
        <v>35</v>
      </c>
      <c r="Q608" s="1" t="n">
        <v>77321</v>
      </c>
      <c r="R608" s="1" t="n">
        <v>0</v>
      </c>
      <c r="S608" s="1"/>
      <c r="T608" s="1" t="n">
        <v>0</v>
      </c>
      <c r="U608" s="1" t="n">
        <v>0</v>
      </c>
      <c r="V608" s="1" t="n">
        <v>0</v>
      </c>
      <c r="W608" s="1"/>
      <c r="Y608" s="1" t="n">
        <v>1</v>
      </c>
      <c r="Z608" s="0" t="s">
        <v>319</v>
      </c>
      <c r="AA608" s="0" t="s">
        <v>187</v>
      </c>
      <c r="AC608" s="0" t="s">
        <v>177</v>
      </c>
      <c r="AH608" s="0" t="s">
        <v>180</v>
      </c>
      <c r="AI608" s="0" t="s">
        <v>92</v>
      </c>
      <c r="AJ608" s="0" t="s">
        <v>437</v>
      </c>
      <c r="AK608" s="0" t="s">
        <v>94</v>
      </c>
      <c r="AN608" s="0" t="s">
        <v>97</v>
      </c>
      <c r="AP608" s="0" t="s">
        <v>99</v>
      </c>
      <c r="AR608" s="0" t="s">
        <v>101</v>
      </c>
      <c r="AS608" s="0" t="s">
        <v>102</v>
      </c>
      <c r="BG608" s="0" t="s">
        <v>116</v>
      </c>
      <c r="BW608" s="0" t="s">
        <v>132</v>
      </c>
    </row>
    <row r="609" ht="24.75">
      <c r="B609" s="0" t="s">
        <v>1806</v>
      </c>
      <c r="C609" s="1" t="n">
        <v>353210</v>
      </c>
      <c r="E609" s="14" t="s">
        <v>693</v>
      </c>
      <c r="F609" s="14" t="s">
        <v>184</v>
      </c>
      <c r="G609" s="25" t="str">
        <f>HYPERLINK("http://vk.com/wall387697715_8720")</f>
      </c>
      <c r="H609" s="14" t="s">
        <v>170</v>
      </c>
      <c r="I609" s="14" t="s">
        <v>171</v>
      </c>
      <c r="J609" s="14" t="s">
        <v>1807</v>
      </c>
      <c r="K609" s="26" t="str">
        <f>HYPERLINK("http://vk.com/id387697715")</f>
      </c>
      <c r="L609" s="14" t="s">
        <v>173</v>
      </c>
      <c r="O609" s="1" t="s">
        <v>186</v>
      </c>
      <c r="P609" s="1" t="n">
        <v>54</v>
      </c>
      <c r="Q609" s="1" t="n">
        <v>28</v>
      </c>
      <c r="R609" s="1" t="n">
        <v>0</v>
      </c>
      <c r="S609" s="1"/>
      <c r="T609" s="1" t="n">
        <v>0</v>
      </c>
      <c r="U609" s="1" t="n">
        <v>0</v>
      </c>
      <c r="V609" s="1" t="n">
        <v>0</v>
      </c>
      <c r="W609" s="1"/>
      <c r="Y609" s="1" t="n">
        <v>5</v>
      </c>
      <c r="Z609" s="0" t="s">
        <v>175</v>
      </c>
      <c r="AA609" s="0" t="s">
        <v>187</v>
      </c>
      <c r="AC609" s="0" t="s">
        <v>177</v>
      </c>
      <c r="AD609" s="0" t="s">
        <v>681</v>
      </c>
      <c r="AE609" s="0" t="s">
        <v>1808</v>
      </c>
      <c r="AH609" s="0" t="s">
        <v>180</v>
      </c>
      <c r="AJ609" s="0" t="s">
        <v>437</v>
      </c>
      <c r="AK609" s="0" t="s">
        <v>94</v>
      </c>
      <c r="AL609" s="0" t="s">
        <v>95</v>
      </c>
      <c r="AM609" s="0" t="s">
        <v>96</v>
      </c>
      <c r="AX609" s="0" t="s">
        <v>107</v>
      </c>
    </row>
    <row r="610" ht="156.75">
      <c r="B610" s="0" t="s">
        <v>1806</v>
      </c>
      <c r="C610" s="1" t="n">
        <v>353206</v>
      </c>
      <c r="E610" s="14" t="s">
        <v>442</v>
      </c>
      <c r="F610" s="14" t="s">
        <v>184</v>
      </c>
      <c r="G610" s="25" t="str">
        <f>HYPERLINK("http://vk.com/wall-80410546_502722")</f>
      </c>
      <c r="H610" s="14" t="s">
        <v>170</v>
      </c>
      <c r="I610" s="14" t="s">
        <v>194</v>
      </c>
      <c r="J610" s="14" t="s">
        <v>1809</v>
      </c>
      <c r="K610" s="26" t="str">
        <f>HYPERLINK("http://vk.com/club80410546")</f>
      </c>
      <c r="L610" s="14" t="s">
        <v>274</v>
      </c>
      <c r="O610" s="1"/>
      <c r="P610" s="1"/>
      <c r="Q610" s="1" t="n">
        <v>2044714</v>
      </c>
      <c r="R610" s="1" t="n">
        <v>0</v>
      </c>
      <c r="S610" s="1"/>
      <c r="T610" s="1" t="n">
        <v>2</v>
      </c>
      <c r="U610" s="1" t="n">
        <v>1</v>
      </c>
      <c r="V610" s="1" t="n">
        <v>3</v>
      </c>
      <c r="W610" s="1" t="n">
        <v>15916</v>
      </c>
      <c r="Y610" s="1" t="n">
        <v>5</v>
      </c>
      <c r="Z610" s="0" t="s">
        <v>175</v>
      </c>
      <c r="AA610" s="0" t="s">
        <v>292</v>
      </c>
      <c r="AH610" s="0" t="s">
        <v>180</v>
      </c>
      <c r="AJ610" s="0" t="s">
        <v>437</v>
      </c>
      <c r="AK610" s="0" t="s">
        <v>94</v>
      </c>
      <c r="AN610" s="0" t="s">
        <v>97</v>
      </c>
      <c r="AP610" s="0" t="s">
        <v>99</v>
      </c>
      <c r="AS610" s="0" t="s">
        <v>102</v>
      </c>
      <c r="AT610" s="0" t="s">
        <v>103</v>
      </c>
      <c r="BK610" s="0" t="s">
        <v>120</v>
      </c>
      <c r="BN610" s="0" t="s">
        <v>123</v>
      </c>
    </row>
    <row r="611" ht="720.75">
      <c r="B611" s="0" t="s">
        <v>1810</v>
      </c>
      <c r="C611" s="1" t="n">
        <v>353278</v>
      </c>
      <c r="E611" s="14" t="s">
        <v>1811</v>
      </c>
      <c r="F611" s="14" t="s">
        <v>169</v>
      </c>
      <c r="G611" s="25" t="str">
        <f>HYPERLINK("http://www.ok.ru/group/52047157264593/topic/156072033220049")</f>
      </c>
      <c r="H611" s="14" t="s">
        <v>170</v>
      </c>
      <c r="I611" s="14" t="s">
        <v>194</v>
      </c>
      <c r="J611" s="14" t="s">
        <v>1812</v>
      </c>
      <c r="K611" s="26" t="str">
        <f>HYPERLINK("http://www.ok.ru/profile/565251146826")</f>
      </c>
      <c r="L611" s="14" t="s">
        <v>173</v>
      </c>
      <c r="M611" s="14" t="s">
        <v>1813</v>
      </c>
      <c r="N611" s="25" t="str">
        <f>HYPERLINK("http://www.ok.ru/group/52047157264593")</f>
      </c>
      <c r="O611" s="1" t="s">
        <v>174</v>
      </c>
      <c r="P611" s="1" t="n">
        <v>44</v>
      </c>
      <c r="Q611" s="1" t="n">
        <v>12196</v>
      </c>
      <c r="R611" s="1" t="n">
        <v>0</v>
      </c>
      <c r="S611" s="1"/>
      <c r="T611" s="1" t="n">
        <v>0</v>
      </c>
      <c r="U611" s="1" t="n">
        <v>0</v>
      </c>
      <c r="V611" s="1" t="n">
        <v>0</v>
      </c>
      <c r="W611" s="1" t="n">
        <v>1924</v>
      </c>
      <c r="Y611" s="1" t="n">
        <v>13</v>
      </c>
      <c r="Z611" s="0" t="s">
        <v>175</v>
      </c>
      <c r="AA611" s="0" t="s">
        <v>176</v>
      </c>
      <c r="AC611" s="0" t="s">
        <v>177</v>
      </c>
      <c r="AD611" s="0" t="s">
        <v>1382</v>
      </c>
      <c r="AE611" s="0" t="s">
        <v>1814</v>
      </c>
      <c r="AH611" s="0" t="s">
        <v>180</v>
      </c>
      <c r="AJ611" s="0" t="s">
        <v>437</v>
      </c>
      <c r="AK611" s="0" t="s">
        <v>94</v>
      </c>
      <c r="AL611" s="0" t="s">
        <v>95</v>
      </c>
      <c r="AR611" s="0" t="s">
        <v>101</v>
      </c>
      <c r="BA611" s="0" t="s">
        <v>110</v>
      </c>
      <c r="BF611" s="0" t="s">
        <v>115</v>
      </c>
    </row>
    <row r="612">
      <c r="B612" s="0" t="s">
        <v>1810</v>
      </c>
      <c r="C612" s="1" t="n">
        <v>353244</v>
      </c>
      <c r="D612" s="0" t="s">
        <v>1695</v>
      </c>
      <c r="E612" s="14" t="s">
        <v>1815</v>
      </c>
      <c r="F612" s="14" t="s">
        <v>1787</v>
      </c>
      <c r="G612" s="25" t="str">
        <f>HYPERLINK("https://gorod55.ru/news/2023-04-14/polechimsya-v-drugoy-raz-v-omskoy-oblasti-vzleteli-tseny-na-lekarstva-2902964")</f>
      </c>
      <c r="H612" s="14" t="s">
        <v>208</v>
      </c>
      <c r="I612" s="14" t="s">
        <v>194</v>
      </c>
      <c r="J612" s="14"/>
      <c r="L612" s="14"/>
      <c r="O612" s="1"/>
      <c r="P612" s="1"/>
      <c r="Q612" s="1"/>
      <c r="R612" s="1" t="n">
        <v>0</v>
      </c>
      <c r="S612" s="1" t="n">
        <v>9862</v>
      </c>
      <c r="T612" s="1" t="n">
        <v>0</v>
      </c>
      <c r="U612" s="1" t="n">
        <v>0</v>
      </c>
      <c r="V612" s="1" t="n">
        <v>0</v>
      </c>
      <c r="W612" s="1"/>
      <c r="Y612" s="1" t="n">
        <v>1</v>
      </c>
      <c r="Z612" s="0" t="s">
        <v>175</v>
      </c>
      <c r="AA612" s="0" t="s">
        <v>176</v>
      </c>
      <c r="AH612" s="0" t="s">
        <v>180</v>
      </c>
      <c r="AJ612" s="0" t="s">
        <v>437</v>
      </c>
      <c r="AK612" s="0" t="s">
        <v>94</v>
      </c>
      <c r="AL612" s="0" t="s">
        <v>95</v>
      </c>
      <c r="BD612" s="0" t="s">
        <v>113</v>
      </c>
      <c r="BJ612" s="0" t="s">
        <v>119</v>
      </c>
      <c r="BK612" s="0" t="s">
        <v>120</v>
      </c>
    </row>
    <row r="613" ht="24.75">
      <c r="B613" s="0" t="s">
        <v>1816</v>
      </c>
      <c r="C613" s="1" t="n">
        <v>353207</v>
      </c>
      <c r="E613" s="14" t="s">
        <v>183</v>
      </c>
      <c r="F613" s="14" t="s">
        <v>184</v>
      </c>
      <c r="G613" s="25" t="str">
        <f>HYPERLINK("http://vk.com/wall169909138_4433")</f>
      </c>
      <c r="H613" s="14" t="s">
        <v>170</v>
      </c>
      <c r="I613" s="14" t="s">
        <v>171</v>
      </c>
      <c r="J613" s="14" t="s">
        <v>1817</v>
      </c>
      <c r="K613" s="26" t="str">
        <f>HYPERLINK("http://vk.com/id169909138")</f>
      </c>
      <c r="L613" s="14" t="s">
        <v>173</v>
      </c>
      <c r="O613" s="1" t="s">
        <v>186</v>
      </c>
      <c r="P613" s="1" t="n">
        <v>30</v>
      </c>
      <c r="Q613" s="1" t="n">
        <v>2219</v>
      </c>
      <c r="R613" s="1" t="n">
        <v>0</v>
      </c>
      <c r="S613" s="1"/>
      <c r="T613" s="1" t="n">
        <v>0</v>
      </c>
      <c r="U613" s="1" t="n">
        <v>0</v>
      </c>
      <c r="V613" s="1" t="n">
        <v>0</v>
      </c>
      <c r="W613" s="1" t="n">
        <v>9</v>
      </c>
      <c r="Y613" s="1" t="n">
        <v>62</v>
      </c>
      <c r="Z613" s="0" t="s">
        <v>175</v>
      </c>
      <c r="AA613" s="0" t="s">
        <v>187</v>
      </c>
      <c r="AC613" s="0" t="s">
        <v>177</v>
      </c>
      <c r="AD613" s="0" t="s">
        <v>384</v>
      </c>
      <c r="AE613" s="0" t="s">
        <v>1818</v>
      </c>
      <c r="AH613" s="0" t="s">
        <v>180</v>
      </c>
      <c r="AJ613" s="0" t="s">
        <v>437</v>
      </c>
      <c r="AK613" s="0" t="s">
        <v>94</v>
      </c>
      <c r="AO613" s="0" t="s">
        <v>98</v>
      </c>
      <c r="AP613" s="0" t="s">
        <v>99</v>
      </c>
      <c r="AR613" s="0" t="s">
        <v>101</v>
      </c>
      <c r="BA613" s="0" t="s">
        <v>110</v>
      </c>
      <c r="BH613" s="0" t="s">
        <v>117</v>
      </c>
    </row>
    <row r="614" ht="720.75">
      <c r="B614" s="0" t="s">
        <v>1816</v>
      </c>
      <c r="C614" s="1" t="n">
        <v>353292</v>
      </c>
      <c r="E614" s="14" t="s">
        <v>1811</v>
      </c>
      <c r="F614" s="14" t="s">
        <v>169</v>
      </c>
      <c r="G614" s="25" t="str">
        <f>HYPERLINK("http://www.ok.ru/group/51948234997919/topic/155031404126367")</f>
      </c>
      <c r="H614" s="14" t="s">
        <v>170</v>
      </c>
      <c r="I614" s="14" t="s">
        <v>194</v>
      </c>
      <c r="J614" s="14" t="s">
        <v>1812</v>
      </c>
      <c r="K614" s="26" t="str">
        <f>HYPERLINK("http://www.ok.ru/profile/565251146826")</f>
      </c>
      <c r="L614" s="14" t="s">
        <v>173</v>
      </c>
      <c r="M614" s="14" t="s">
        <v>1819</v>
      </c>
      <c r="N614" s="25" t="str">
        <f>HYPERLINK("http://www.ok.ru/group/51948234997919")</f>
      </c>
      <c r="O614" s="1" t="s">
        <v>174</v>
      </c>
      <c r="P614" s="1" t="n">
        <v>44</v>
      </c>
      <c r="Q614" s="1" t="n">
        <v>3849</v>
      </c>
      <c r="R614" s="1" t="n">
        <v>0</v>
      </c>
      <c r="S614" s="1"/>
      <c r="T614" s="1" t="n">
        <v>0</v>
      </c>
      <c r="U614" s="1" t="n">
        <v>0</v>
      </c>
      <c r="V614" s="1" t="n">
        <v>0</v>
      </c>
      <c r="W614" s="1" t="n">
        <v>1931</v>
      </c>
      <c r="Y614" s="1" t="n">
        <v>13</v>
      </c>
      <c r="Z614" s="0" t="s">
        <v>175</v>
      </c>
      <c r="AA614" s="0" t="s">
        <v>176</v>
      </c>
      <c r="AC614" s="0" t="s">
        <v>177</v>
      </c>
      <c r="AD614" s="0" t="s">
        <v>1382</v>
      </c>
      <c r="AE614" s="0" t="s">
        <v>1814</v>
      </c>
      <c r="AH614" s="0" t="s">
        <v>180</v>
      </c>
      <c r="AJ614" s="0" t="s">
        <v>437</v>
      </c>
      <c r="AK614" s="0" t="s">
        <v>94</v>
      </c>
      <c r="AL614" s="0" t="s">
        <v>95</v>
      </c>
      <c r="AR614" s="0" t="s">
        <v>101</v>
      </c>
      <c r="BA614" s="0" t="s">
        <v>110</v>
      </c>
      <c r="BF614" s="0" t="s">
        <v>115</v>
      </c>
    </row>
    <row r="615" ht="60.75">
      <c r="B615" s="0" t="s">
        <v>1820</v>
      </c>
      <c r="C615" s="1" t="n">
        <v>353202</v>
      </c>
      <c r="E615" s="14" t="s">
        <v>1821</v>
      </c>
      <c r="F615" s="14" t="s">
        <v>192</v>
      </c>
      <c r="G615" s="25" t="str">
        <f>HYPERLINK("https://telegram.me/Agitblog/18631?comment=1402533")</f>
      </c>
      <c r="H615" s="14" t="s">
        <v>193</v>
      </c>
      <c r="I615" s="14" t="s">
        <v>231</v>
      </c>
      <c r="J615" s="14" t="s">
        <v>1822</v>
      </c>
      <c r="K615" s="26" t="str">
        <f>HYPERLINK("https://telegram.me/Mariya_ariya")</f>
      </c>
      <c r="L615" s="14" t="s">
        <v>173</v>
      </c>
      <c r="M615" s="14" t="s">
        <v>1823</v>
      </c>
      <c r="N615" s="25" t="str">
        <f>HYPERLINK("https://telegram.me/Agitblog")</f>
      </c>
      <c r="O615" s="1" t="s">
        <v>186</v>
      </c>
      <c r="P615" s="1"/>
      <c r="Q615" s="1" t="n">
        <v>101251</v>
      </c>
      <c r="R615" s="1" t="n">
        <v>0</v>
      </c>
      <c r="S615" s="1"/>
      <c r="T615" s="1" t="n">
        <v>0</v>
      </c>
      <c r="U615" s="1" t="n">
        <v>0</v>
      </c>
      <c r="V615" s="1" t="n">
        <v>0</v>
      </c>
      <c r="W615" s="1"/>
      <c r="Y615" s="1" t="n">
        <v>1</v>
      </c>
      <c r="Z615" s="0" t="s">
        <v>175</v>
      </c>
      <c r="AA615" s="0" t="s">
        <v>187</v>
      </c>
      <c r="AH615" s="0" t="s">
        <v>180</v>
      </c>
      <c r="AI615" s="0" t="s">
        <v>92</v>
      </c>
      <c r="AJ615" s="0" t="s">
        <v>437</v>
      </c>
      <c r="AK615" s="0" t="s">
        <v>94</v>
      </c>
      <c r="AN615" s="0" t="s">
        <v>97</v>
      </c>
      <c r="AP615" s="0" t="s">
        <v>99</v>
      </c>
      <c r="AR615" s="0" t="s">
        <v>101</v>
      </c>
      <c r="AT615" s="0" t="s">
        <v>103</v>
      </c>
      <c r="AW615" s="0" t="s">
        <v>106</v>
      </c>
      <c r="CF615" s="0" t="s">
        <v>141</v>
      </c>
    </row>
    <row r="616" ht="48.75">
      <c r="B616" s="0" t="s">
        <v>1820</v>
      </c>
      <c r="C616" s="1" t="n">
        <v>353223</v>
      </c>
      <c r="D616" s="0" t="s">
        <v>1763</v>
      </c>
      <c r="E616" s="14" t="s">
        <v>1824</v>
      </c>
      <c r="F616" s="14" t="s">
        <v>1130</v>
      </c>
      <c r="G616" s="25" t="str">
        <f>HYPERLINK("https://omskgazzeta.ru/all-news/omskstat-rasskazal-kakie-lekarstva-podesheveli-a-kakie-podorozhali/")</f>
      </c>
      <c r="H616" s="14" t="s">
        <v>208</v>
      </c>
      <c r="I616" s="14" t="s">
        <v>194</v>
      </c>
      <c r="J616" s="14"/>
      <c r="L616" s="14"/>
      <c r="O616" s="1"/>
      <c r="P616" s="1"/>
      <c r="Q616" s="1"/>
      <c r="R616" s="1" t="n">
        <v>0</v>
      </c>
      <c r="S616" s="1" t="n">
        <v>4163</v>
      </c>
      <c r="T616" s="1" t="n">
        <v>0</v>
      </c>
      <c r="U616" s="1" t="n">
        <v>0</v>
      </c>
      <c r="V616" s="1" t="n">
        <v>0</v>
      </c>
      <c r="W616" s="1"/>
      <c r="Y616" s="1" t="n">
        <v>1</v>
      </c>
      <c r="Z616" s="0" t="s">
        <v>175</v>
      </c>
      <c r="AA616" s="0" t="s">
        <v>223</v>
      </c>
      <c r="AH616" s="0" t="s">
        <v>180</v>
      </c>
      <c r="AJ616" s="0" t="s">
        <v>437</v>
      </c>
      <c r="AK616" s="0" t="s">
        <v>94</v>
      </c>
      <c r="AL616" s="0" t="s">
        <v>95</v>
      </c>
      <c r="BD616" s="0" t="s">
        <v>113</v>
      </c>
      <c r="BJ616" s="0" t="s">
        <v>119</v>
      </c>
      <c r="BK616" s="0" t="s">
        <v>120</v>
      </c>
    </row>
    <row r="617" ht="24.75">
      <c r="B617" s="0" t="s">
        <v>1820</v>
      </c>
      <c r="C617" s="1" t="n">
        <v>353660</v>
      </c>
      <c r="E617" s="14" t="s">
        <v>554</v>
      </c>
      <c r="F617" s="14" t="s">
        <v>169</v>
      </c>
      <c r="G617" s="25" t="str">
        <f>HYPERLINK("http://www.ok.ru/profile/359365296655/statuses/156055076016143")</f>
      </c>
      <c r="H617" s="14" t="s">
        <v>170</v>
      </c>
      <c r="I617" s="14" t="s">
        <v>171</v>
      </c>
      <c r="J617" s="14" t="s">
        <v>1825</v>
      </c>
      <c r="K617" s="26" t="str">
        <f>HYPERLINK("http://www.ok.ru/profile/359365296655")</f>
      </c>
      <c r="L617" s="14" t="s">
        <v>173</v>
      </c>
      <c r="O617" s="1" t="s">
        <v>186</v>
      </c>
      <c r="P617" s="1" t="n">
        <v>65</v>
      </c>
      <c r="Q617" s="1" t="n">
        <v>336</v>
      </c>
      <c r="R617" s="1" t="n">
        <v>0</v>
      </c>
      <c r="S617" s="1"/>
      <c r="T617" s="1" t="n">
        <v>2</v>
      </c>
      <c r="U617" s="1" t="n">
        <v>2</v>
      </c>
      <c r="V617" s="1" t="n">
        <v>4</v>
      </c>
      <c r="W617" s="1"/>
      <c r="Y617" s="1" t="n">
        <v>59</v>
      </c>
      <c r="Z617" s="0" t="s">
        <v>175</v>
      </c>
      <c r="AA617" s="0" t="s">
        <v>176</v>
      </c>
      <c r="AC617" s="0" t="s">
        <v>177</v>
      </c>
      <c r="AD617" s="0" t="s">
        <v>1073</v>
      </c>
      <c r="AE617" s="0" t="s">
        <v>1826</v>
      </c>
      <c r="AH617" s="0" t="s">
        <v>180</v>
      </c>
      <c r="AJ617" s="0" t="s">
        <v>437</v>
      </c>
      <c r="AK617" s="0" t="s">
        <v>94</v>
      </c>
      <c r="AL617" s="0" t="s">
        <v>95</v>
      </c>
      <c r="AM617" s="0" t="s">
        <v>96</v>
      </c>
      <c r="AO617" s="0" t="s">
        <v>98</v>
      </c>
      <c r="AQ617" s="0" t="s">
        <v>100</v>
      </c>
    </row>
    <row r="618" ht="720.75">
      <c r="B618" s="0" t="s">
        <v>1827</v>
      </c>
      <c r="C618" s="1" t="n">
        <v>353280</v>
      </c>
      <c r="E618" s="14" t="s">
        <v>1811</v>
      </c>
      <c r="F618" s="14" t="s">
        <v>169</v>
      </c>
      <c r="G618" s="25" t="str">
        <f>HYPERLINK("http://www.ok.ru/group/52047157264593/topic/156072022537681")</f>
      </c>
      <c r="H618" s="14" t="s">
        <v>170</v>
      </c>
      <c r="I618" s="14" t="s">
        <v>194</v>
      </c>
      <c r="J618" s="14" t="s">
        <v>1812</v>
      </c>
      <c r="K618" s="26" t="str">
        <f>HYPERLINK("http://www.ok.ru/profile/565251146826")</f>
      </c>
      <c r="L618" s="14" t="s">
        <v>173</v>
      </c>
      <c r="M618" s="14" t="s">
        <v>1813</v>
      </c>
      <c r="N618" s="25" t="str">
        <f>HYPERLINK("http://www.ok.ru/group/52047157264593")</f>
      </c>
      <c r="O618" s="1" t="s">
        <v>174</v>
      </c>
      <c r="P618" s="1" t="n">
        <v>44</v>
      </c>
      <c r="Q618" s="1" t="n">
        <v>12196</v>
      </c>
      <c r="R618" s="1" t="n">
        <v>0</v>
      </c>
      <c r="S618" s="1"/>
      <c r="T618" s="1" t="n">
        <v>0</v>
      </c>
      <c r="U618" s="1" t="n">
        <v>0</v>
      </c>
      <c r="V618" s="1" t="n">
        <v>0</v>
      </c>
      <c r="W618" s="1" t="n">
        <v>1925</v>
      </c>
      <c r="Y618" s="1" t="n">
        <v>13</v>
      </c>
      <c r="Z618" s="0" t="s">
        <v>175</v>
      </c>
      <c r="AA618" s="0" t="s">
        <v>176</v>
      </c>
      <c r="AC618" s="0" t="s">
        <v>177</v>
      </c>
      <c r="AD618" s="0" t="s">
        <v>1382</v>
      </c>
      <c r="AE618" s="0" t="s">
        <v>1814</v>
      </c>
      <c r="AH618" s="0" t="s">
        <v>180</v>
      </c>
      <c r="AJ618" s="0" t="s">
        <v>437</v>
      </c>
      <c r="AK618" s="0" t="s">
        <v>94</v>
      </c>
      <c r="AL618" s="0" t="s">
        <v>95</v>
      </c>
      <c r="AR618" s="0" t="s">
        <v>101</v>
      </c>
      <c r="BA618" s="0" t="s">
        <v>110</v>
      </c>
      <c r="BF618" s="0" t="s">
        <v>115</v>
      </c>
    </row>
    <row r="619" ht="24.75">
      <c r="B619" s="0" t="s">
        <v>1827</v>
      </c>
      <c r="C619" s="1" t="n">
        <v>353204</v>
      </c>
      <c r="E619" s="14" t="s">
        <v>1828</v>
      </c>
      <c r="F619" s="14" t="s">
        <v>184</v>
      </c>
      <c r="G619" s="25" t="str">
        <f>HYPERLINK("http://vk.com/wall-164460003_1866301")</f>
      </c>
      <c r="H619" s="14" t="s">
        <v>170</v>
      </c>
      <c r="I619" s="14" t="s">
        <v>194</v>
      </c>
      <c r="J619" s="14" t="s">
        <v>1032</v>
      </c>
      <c r="K619" s="26" t="str">
        <f>HYPERLINK("http://vk.com/club164460003")</f>
      </c>
      <c r="L619" s="14" t="s">
        <v>274</v>
      </c>
      <c r="O619" s="1"/>
      <c r="P619" s="1"/>
      <c r="Q619" s="1" t="n">
        <v>126031</v>
      </c>
      <c r="R619" s="1" t="n">
        <v>4</v>
      </c>
      <c r="S619" s="1"/>
      <c r="T619" s="1" t="n">
        <v>0</v>
      </c>
      <c r="U619" s="1" t="n">
        <v>0</v>
      </c>
      <c r="V619" s="1" t="n">
        <v>4</v>
      </c>
      <c r="W619" s="1" t="n">
        <v>1116</v>
      </c>
      <c r="Y619" s="1" t="n">
        <v>1</v>
      </c>
      <c r="Z619" s="0" t="s">
        <v>175</v>
      </c>
      <c r="AA619" s="0" t="s">
        <v>187</v>
      </c>
      <c r="AC619" s="0" t="s">
        <v>177</v>
      </c>
      <c r="AH619" s="0" t="s">
        <v>180</v>
      </c>
      <c r="AI619" s="0" t="s">
        <v>92</v>
      </c>
      <c r="AJ619" s="0" t="s">
        <v>437</v>
      </c>
      <c r="AK619" s="0" t="s">
        <v>94</v>
      </c>
      <c r="AN619" s="0" t="s">
        <v>97</v>
      </c>
      <c r="AP619" s="0" t="s">
        <v>99</v>
      </c>
      <c r="AS619" s="0" t="s">
        <v>102</v>
      </c>
      <c r="AT619" s="0" t="s">
        <v>103</v>
      </c>
      <c r="BB619" s="0" t="s">
        <v>111</v>
      </c>
      <c r="CB619" s="0" t="s">
        <v>137</v>
      </c>
      <c r="CL619" s="0" t="s">
        <v>147</v>
      </c>
    </row>
    <row r="620" ht="24.75">
      <c r="B620" s="0" t="s">
        <v>1827</v>
      </c>
      <c r="C620" s="1" t="n">
        <v>353890</v>
      </c>
      <c r="E620" s="14" t="s">
        <v>1102</v>
      </c>
      <c r="F620" s="14" t="s">
        <v>169</v>
      </c>
      <c r="G620" s="25" t="str">
        <f>HYPERLINK("http://www.ok.ru/profile/259972109570/statuses/154611594855682")</f>
      </c>
      <c r="H620" s="14" t="s">
        <v>170</v>
      </c>
      <c r="I620" s="14" t="s">
        <v>171</v>
      </c>
      <c r="J620" s="14" t="s">
        <v>1829</v>
      </c>
      <c r="K620" s="26" t="str">
        <f>HYPERLINK("http://www.ok.ru/profile/259972109570")</f>
      </c>
      <c r="L620" s="14" t="s">
        <v>173</v>
      </c>
      <c r="O620" s="1" t="s">
        <v>186</v>
      </c>
      <c r="P620" s="1" t="n">
        <v>67</v>
      </c>
      <c r="Q620" s="1" t="n">
        <v>375</v>
      </c>
      <c r="R620" s="1" t="n">
        <v>0</v>
      </c>
      <c r="S620" s="1"/>
      <c r="T620" s="1" t="n">
        <v>1</v>
      </c>
      <c r="U620" s="1" t="n">
        <v>2</v>
      </c>
      <c r="V620" s="1" t="n">
        <v>3</v>
      </c>
      <c r="W620" s="1"/>
      <c r="Y620" s="1" t="n">
        <v>92</v>
      </c>
      <c r="Z620" s="0" t="s">
        <v>175</v>
      </c>
      <c r="AA620" s="0" t="s">
        <v>187</v>
      </c>
      <c r="AC620" s="0" t="s">
        <v>177</v>
      </c>
      <c r="AD620" s="0" t="s">
        <v>1580</v>
      </c>
      <c r="AE620" s="0" t="s">
        <v>1581</v>
      </c>
      <c r="AH620" s="0" t="s">
        <v>180</v>
      </c>
      <c r="AJ620" s="0" t="s">
        <v>437</v>
      </c>
      <c r="AK620" s="0" t="s">
        <v>94</v>
      </c>
      <c r="AM620" s="0" t="s">
        <v>96</v>
      </c>
      <c r="AP620" s="0" t="s">
        <v>99</v>
      </c>
      <c r="AU620" s="0" t="s">
        <v>104</v>
      </c>
      <c r="AV620" s="0" t="s">
        <v>105</v>
      </c>
    </row>
    <row r="621" ht="24.75">
      <c r="B621" s="0" t="s">
        <v>1830</v>
      </c>
      <c r="C621" s="1" t="n">
        <v>353411</v>
      </c>
      <c r="E621" s="14" t="s">
        <v>554</v>
      </c>
      <c r="F621" s="14" t="s">
        <v>169</v>
      </c>
      <c r="G621" s="25" t="str">
        <f>HYPERLINK("http://www.ok.ru/profile/188121208872/statuses/155439509216040")</f>
      </c>
      <c r="H621" s="14" t="s">
        <v>170</v>
      </c>
      <c r="I621" s="14" t="s">
        <v>171</v>
      </c>
      <c r="J621" s="14" t="s">
        <v>1831</v>
      </c>
      <c r="K621" s="26" t="str">
        <f>HYPERLINK("http://www.ok.ru/profile/188121208872")</f>
      </c>
      <c r="L621" s="14" t="s">
        <v>173</v>
      </c>
      <c r="O621" s="1" t="s">
        <v>186</v>
      </c>
      <c r="P621" s="1"/>
      <c r="Q621" s="1" t="n">
        <v>313</v>
      </c>
      <c r="R621" s="1" t="n">
        <v>0</v>
      </c>
      <c r="S621" s="1"/>
      <c r="T621" s="1" t="n">
        <v>1</v>
      </c>
      <c r="U621" s="1" t="n">
        <v>4</v>
      </c>
      <c r="V621" s="1" t="n">
        <v>5</v>
      </c>
      <c r="W621" s="1"/>
      <c r="Y621" s="1" t="n">
        <v>59</v>
      </c>
      <c r="Z621" s="0" t="s">
        <v>175</v>
      </c>
      <c r="AA621" s="0" t="s">
        <v>176</v>
      </c>
      <c r="AC621" s="0" t="s">
        <v>177</v>
      </c>
      <c r="AD621" s="0" t="s">
        <v>513</v>
      </c>
      <c r="AE621" s="0" t="s">
        <v>778</v>
      </c>
      <c r="AH621" s="0" t="s">
        <v>180</v>
      </c>
      <c r="AJ621" s="0" t="s">
        <v>437</v>
      </c>
      <c r="AK621" s="0" t="s">
        <v>94</v>
      </c>
      <c r="AL621" s="0" t="s">
        <v>95</v>
      </c>
      <c r="AM621" s="0" t="s">
        <v>96</v>
      </c>
      <c r="AO621" s="0" t="s">
        <v>98</v>
      </c>
      <c r="AQ621" s="0" t="s">
        <v>100</v>
      </c>
    </row>
    <row r="622" ht="720.75">
      <c r="B622" s="0" t="s">
        <v>1830</v>
      </c>
      <c r="C622" s="1" t="n">
        <v>353421</v>
      </c>
      <c r="E622" s="14" t="s">
        <v>1811</v>
      </c>
      <c r="F622" s="14" t="s">
        <v>169</v>
      </c>
      <c r="G622" s="25" t="str">
        <f>HYPERLINK("http://www.ok.ru/group/52311804215437/topic/156068734931085")</f>
      </c>
      <c r="H622" s="14" t="s">
        <v>170</v>
      </c>
      <c r="I622" s="14" t="s">
        <v>194</v>
      </c>
      <c r="J622" s="14" t="s">
        <v>1812</v>
      </c>
      <c r="K622" s="26" t="str">
        <f>HYPERLINK("http://www.ok.ru/profile/565251146826")</f>
      </c>
      <c r="L622" s="14" t="s">
        <v>173</v>
      </c>
      <c r="M622" s="14" t="s">
        <v>1832</v>
      </c>
      <c r="N622" s="25" t="str">
        <f>HYPERLINK("http://www.ok.ru/group/52311804215437")</f>
      </c>
      <c r="O622" s="1" t="s">
        <v>174</v>
      </c>
      <c r="P622" s="1" t="n">
        <v>44</v>
      </c>
      <c r="Q622" s="1" t="n">
        <v>555</v>
      </c>
      <c r="R622" s="1" t="n">
        <v>0</v>
      </c>
      <c r="S622" s="1"/>
      <c r="T622" s="1" t="n">
        <v>0</v>
      </c>
      <c r="U622" s="1" t="n">
        <v>0</v>
      </c>
      <c r="V622" s="1" t="n">
        <v>0</v>
      </c>
      <c r="W622" s="1" t="n">
        <v>1995</v>
      </c>
      <c r="Y622" s="1" t="n">
        <v>13</v>
      </c>
      <c r="Z622" s="0" t="s">
        <v>175</v>
      </c>
      <c r="AA622" s="0" t="s">
        <v>176</v>
      </c>
      <c r="AC622" s="0" t="s">
        <v>177</v>
      </c>
      <c r="AD622" s="0" t="s">
        <v>1382</v>
      </c>
      <c r="AE622" s="0" t="s">
        <v>1814</v>
      </c>
      <c r="AH622" s="0" t="s">
        <v>180</v>
      </c>
      <c r="AJ622" s="0" t="s">
        <v>437</v>
      </c>
      <c r="AK622" s="0" t="s">
        <v>94</v>
      </c>
      <c r="AL622" s="0" t="s">
        <v>95</v>
      </c>
      <c r="AR622" s="0" t="s">
        <v>101</v>
      </c>
      <c r="BA622" s="0" t="s">
        <v>110</v>
      </c>
      <c r="BF622" s="0" t="s">
        <v>115</v>
      </c>
    </row>
    <row r="623">
      <c r="B623" s="0" t="s">
        <v>1830</v>
      </c>
      <c r="C623" s="1" t="n">
        <v>353185</v>
      </c>
      <c r="E623" s="14" t="s">
        <v>1833</v>
      </c>
      <c r="F623" s="14" t="s">
        <v>192</v>
      </c>
      <c r="G623" s="25" t="str">
        <f>HYPERLINK("https://telegram.me/animeechatbeseda/1692749")</f>
      </c>
      <c r="H623" s="14" t="s">
        <v>193</v>
      </c>
      <c r="I623" s="14" t="s">
        <v>194</v>
      </c>
      <c r="J623" s="14" t="s">
        <v>1834</v>
      </c>
      <c r="K623" s="26" t="str">
        <f>HYPERLINK("https://telegram.me/")</f>
      </c>
      <c r="L623" s="14" t="s">
        <v>173</v>
      </c>
      <c r="M623" s="14" t="s">
        <v>1835</v>
      </c>
      <c r="N623" s="25" t="str">
        <f>HYPERLINK("https://telegram.me/animeechatbeseda")</f>
      </c>
      <c r="O623" s="1" t="s">
        <v>174</v>
      </c>
      <c r="P623" s="1"/>
      <c r="Q623" s="1" t="n">
        <v>9871</v>
      </c>
      <c r="R623" s="1" t="n">
        <v>0</v>
      </c>
      <c r="S623" s="1"/>
      <c r="T623" s="1" t="n">
        <v>0</v>
      </c>
      <c r="U623" s="1" t="n">
        <v>0</v>
      </c>
      <c r="V623" s="1" t="n">
        <v>0</v>
      </c>
      <c r="W623" s="1"/>
      <c r="Y623" s="1" t="n">
        <v>1</v>
      </c>
      <c r="Z623" s="0" t="s">
        <v>175</v>
      </c>
      <c r="AA623" s="0" t="s">
        <v>187</v>
      </c>
      <c r="AB623" s="0" t="s">
        <v>85</v>
      </c>
      <c r="AH623" s="0" t="s">
        <v>180</v>
      </c>
      <c r="AJ623" s="0" t="s">
        <v>437</v>
      </c>
      <c r="AK623" s="0" t="s">
        <v>94</v>
      </c>
      <c r="AP623" s="0" t="s">
        <v>99</v>
      </c>
      <c r="AT623" s="0" t="s">
        <v>103</v>
      </c>
      <c r="AU623" s="0" t="s">
        <v>104</v>
      </c>
    </row>
    <row r="624" ht="96.75">
      <c r="B624" s="0" t="s">
        <v>1836</v>
      </c>
      <c r="C624" s="1" t="n">
        <v>353263</v>
      </c>
      <c r="E624" s="14" t="s">
        <v>1049</v>
      </c>
      <c r="F624" s="14" t="s">
        <v>169</v>
      </c>
      <c r="G624" s="25" t="str">
        <f>HYPERLINK("http://www.ok.ru/profile/530750404755/statuses/156024492103827")</f>
      </c>
      <c r="H624" s="14" t="s">
        <v>170</v>
      </c>
      <c r="I624" s="14" t="s">
        <v>171</v>
      </c>
      <c r="J624" s="14" t="s">
        <v>1837</v>
      </c>
      <c r="K624" s="26" t="str">
        <f>HYPERLINK("http://www.ok.ru/profile/530750404755")</f>
      </c>
      <c r="L624" s="14" t="s">
        <v>173</v>
      </c>
      <c r="O624" s="1" t="s">
        <v>186</v>
      </c>
      <c r="P624" s="1" t="n">
        <v>69</v>
      </c>
      <c r="Q624" s="1" t="n">
        <v>319</v>
      </c>
      <c r="R624" s="1" t="n">
        <v>0</v>
      </c>
      <c r="S624" s="1"/>
      <c r="T624" s="1" t="n">
        <v>0</v>
      </c>
      <c r="U624" s="1" t="n">
        <v>0</v>
      </c>
      <c r="V624" s="1" t="n">
        <v>0</v>
      </c>
      <c r="W624" s="1"/>
      <c r="Y624" s="1" t="n">
        <v>6</v>
      </c>
      <c r="Z624" s="0" t="s">
        <v>175</v>
      </c>
      <c r="AA624" s="0" t="s">
        <v>187</v>
      </c>
      <c r="AC624" s="0" t="s">
        <v>177</v>
      </c>
      <c r="AD624" s="0" t="s">
        <v>402</v>
      </c>
      <c r="AE624" s="0" t="s">
        <v>1838</v>
      </c>
      <c r="AH624" s="0" t="s">
        <v>180</v>
      </c>
      <c r="AJ624" s="0" t="s">
        <v>437</v>
      </c>
      <c r="AK624" s="0" t="s">
        <v>94</v>
      </c>
      <c r="AP624" s="0" t="s">
        <v>99</v>
      </c>
      <c r="AU624" s="0" t="s">
        <v>104</v>
      </c>
      <c r="BA624" s="0" t="s">
        <v>110</v>
      </c>
      <c r="BJ624" s="0" t="s">
        <v>119</v>
      </c>
    </row>
    <row r="625" ht="1212.75">
      <c r="B625" s="0" t="s">
        <v>1839</v>
      </c>
      <c r="C625" s="1" t="n">
        <v>353196</v>
      </c>
      <c r="E625" s="14" t="s">
        <v>683</v>
      </c>
      <c r="F625" s="14" t="s">
        <v>184</v>
      </c>
      <c r="G625" s="25" t="str">
        <f>HYPERLINK("http://vk.com/wall149538968_17438")</f>
      </c>
      <c r="H625" s="14" t="s">
        <v>170</v>
      </c>
      <c r="I625" s="14" t="s">
        <v>171</v>
      </c>
      <c r="J625" s="14" t="s">
        <v>1840</v>
      </c>
      <c r="K625" s="26" t="str">
        <f>HYPERLINK("http://vk.com/id149538968")</f>
      </c>
      <c r="L625" s="14" t="s">
        <v>173</v>
      </c>
      <c r="O625" s="1" t="s">
        <v>186</v>
      </c>
      <c r="P625" s="1"/>
      <c r="Q625" s="1" t="n">
        <v>341</v>
      </c>
      <c r="R625" s="1" t="n">
        <v>0</v>
      </c>
      <c r="S625" s="1"/>
      <c r="T625" s="1" t="n">
        <v>0</v>
      </c>
      <c r="U625" s="1" t="n">
        <v>0</v>
      </c>
      <c r="V625" s="1" t="n">
        <v>0</v>
      </c>
      <c r="W625" s="1"/>
      <c r="Y625" s="1" t="n">
        <v>22</v>
      </c>
      <c r="Z625" s="0" t="s">
        <v>175</v>
      </c>
      <c r="AA625" s="0" t="s">
        <v>187</v>
      </c>
      <c r="AC625" s="0" t="s">
        <v>177</v>
      </c>
      <c r="AD625" s="0" t="s">
        <v>240</v>
      </c>
      <c r="AE625" s="0" t="s">
        <v>240</v>
      </c>
      <c r="AH625" s="0" t="s">
        <v>180</v>
      </c>
      <c r="AJ625" s="0" t="s">
        <v>437</v>
      </c>
      <c r="AK625" s="0" t="s">
        <v>94</v>
      </c>
      <c r="AL625" s="0" t="s">
        <v>95</v>
      </c>
      <c r="AM625" s="0" t="s">
        <v>96</v>
      </c>
      <c r="AU625" s="0" t="s">
        <v>104</v>
      </c>
      <c r="AV625" s="0" t="s">
        <v>105</v>
      </c>
      <c r="AX625" s="0" t="s">
        <v>107</v>
      </c>
    </row>
    <row r="626" ht="24.75">
      <c r="B626" s="0" t="s">
        <v>1839</v>
      </c>
      <c r="C626" s="1" t="n">
        <v>353192</v>
      </c>
      <c r="E626" s="14" t="s">
        <v>183</v>
      </c>
      <c r="F626" s="14" t="s">
        <v>184</v>
      </c>
      <c r="G626" s="25" t="str">
        <f>HYPERLINK("http://vk.com/wall676614947_51")</f>
      </c>
      <c r="H626" s="14" t="s">
        <v>170</v>
      </c>
      <c r="I626" s="14" t="s">
        <v>171</v>
      </c>
      <c r="J626" s="14" t="s">
        <v>1841</v>
      </c>
      <c r="K626" s="26" t="str">
        <f>HYPERLINK("http://vk.com/id676614947")</f>
      </c>
      <c r="L626" s="14" t="s">
        <v>173</v>
      </c>
      <c r="O626" s="1" t="s">
        <v>186</v>
      </c>
      <c r="P626" s="1" t="n">
        <v>53</v>
      </c>
      <c r="Q626" s="1" t="n">
        <v>233</v>
      </c>
      <c r="R626" s="1" t="n">
        <v>0</v>
      </c>
      <c r="S626" s="1"/>
      <c r="T626" s="1" t="n">
        <v>1</v>
      </c>
      <c r="U626" s="1" t="n">
        <v>0</v>
      </c>
      <c r="V626" s="1" t="n">
        <v>1</v>
      </c>
      <c r="W626" s="1" t="n">
        <v>2</v>
      </c>
      <c r="Y626" s="1" t="n">
        <v>62</v>
      </c>
      <c r="Z626" s="0" t="s">
        <v>175</v>
      </c>
      <c r="AA626" s="0" t="s">
        <v>187</v>
      </c>
      <c r="AH626" s="0" t="s">
        <v>180</v>
      </c>
      <c r="AJ626" s="0" t="s">
        <v>437</v>
      </c>
      <c r="AK626" s="0" t="s">
        <v>94</v>
      </c>
      <c r="AO626" s="0" t="s">
        <v>98</v>
      </c>
      <c r="AP626" s="0" t="s">
        <v>99</v>
      </c>
      <c r="AR626" s="0" t="s">
        <v>101</v>
      </c>
      <c r="BA626" s="0" t="s">
        <v>110</v>
      </c>
      <c r="BH626" s="0" t="s">
        <v>117</v>
      </c>
    </row>
    <row r="627" ht="24.75">
      <c r="B627" s="0" t="s">
        <v>1842</v>
      </c>
      <c r="C627" s="1" t="n">
        <v>354117</v>
      </c>
      <c r="E627" s="14" t="s">
        <v>1843</v>
      </c>
      <c r="F627" s="14" t="s">
        <v>169</v>
      </c>
      <c r="G627" s="25" t="str">
        <f>HYPERLINK("http://www.ok.ru/profile/589865463330/statuses/154840457876258")</f>
      </c>
      <c r="H627" s="14" t="s">
        <v>170</v>
      </c>
      <c r="I627" s="14" t="s">
        <v>171</v>
      </c>
      <c r="J627" s="14" t="s">
        <v>1844</v>
      </c>
      <c r="K627" s="26" t="str">
        <f>HYPERLINK("http://www.ok.ru/profile/589865463330")</f>
      </c>
      <c r="L627" s="14" t="s">
        <v>173</v>
      </c>
      <c r="O627" s="1" t="s">
        <v>186</v>
      </c>
      <c r="P627" s="1" t="n">
        <v>76</v>
      </c>
      <c r="Q627" s="1" t="n">
        <v>176</v>
      </c>
      <c r="R627" s="1" t="n">
        <v>0</v>
      </c>
      <c r="S627" s="1"/>
      <c r="T627" s="1" t="n">
        <v>0</v>
      </c>
      <c r="U627" s="1" t="n">
        <v>0</v>
      </c>
      <c r="V627" s="1" t="n">
        <v>0</v>
      </c>
      <c r="W627" s="1"/>
      <c r="Y627" s="1" t="n">
        <v>5</v>
      </c>
      <c r="Z627" s="0" t="s">
        <v>175</v>
      </c>
      <c r="AA627" s="0" t="s">
        <v>176</v>
      </c>
      <c r="AC627" s="0" t="s">
        <v>177</v>
      </c>
      <c r="AD627" s="0" t="s">
        <v>234</v>
      </c>
      <c r="AE627" s="0" t="s">
        <v>1845</v>
      </c>
      <c r="AH627" s="0" t="s">
        <v>180</v>
      </c>
      <c r="AJ627" s="0" t="s">
        <v>181</v>
      </c>
      <c r="AK627" s="0" t="s">
        <v>94</v>
      </c>
      <c r="AM627" s="0" t="s">
        <v>96</v>
      </c>
      <c r="AN627" s="0" t="s">
        <v>97</v>
      </c>
      <c r="AO627" s="0" t="s">
        <v>98</v>
      </c>
      <c r="AQ627" s="0" t="s">
        <v>100</v>
      </c>
      <c r="AS627" s="0" t="s">
        <v>102</v>
      </c>
      <c r="AW627" s="0" t="s">
        <v>106</v>
      </c>
      <c r="BB627" s="0" t="s">
        <v>111</v>
      </c>
      <c r="BG627" s="0" t="s">
        <v>116</v>
      </c>
      <c r="BL627" s="0" t="s">
        <v>121</v>
      </c>
      <c r="BM627" s="0" t="s">
        <v>122</v>
      </c>
      <c r="BQ627" s="0" t="s">
        <v>126</v>
      </c>
    </row>
    <row r="628" ht="120.75">
      <c r="B628" s="0" t="s">
        <v>1842</v>
      </c>
      <c r="C628" s="1" t="n">
        <v>353785</v>
      </c>
      <c r="E628" s="14" t="s">
        <v>1846</v>
      </c>
      <c r="F628" s="14" t="s">
        <v>169</v>
      </c>
      <c r="G628" s="25" t="str">
        <f>HYPERLINK("http://www.ok.ru/profile/553658141685/statuses/157996086232565")</f>
      </c>
      <c r="H628" s="14" t="s">
        <v>170</v>
      </c>
      <c r="I628" s="14" t="s">
        <v>171</v>
      </c>
      <c r="J628" s="14" t="s">
        <v>1847</v>
      </c>
      <c r="K628" s="26" t="str">
        <f>HYPERLINK("http://www.ok.ru/profile/553658141685")</f>
      </c>
      <c r="L628" s="14" t="s">
        <v>173</v>
      </c>
      <c r="O628" s="1" t="s">
        <v>186</v>
      </c>
      <c r="P628" s="1"/>
      <c r="Q628" s="1" t="n">
        <v>93</v>
      </c>
      <c r="R628" s="1" t="n">
        <v>0</v>
      </c>
      <c r="S628" s="1"/>
      <c r="T628" s="1" t="n">
        <v>1</v>
      </c>
      <c r="U628" s="1" t="n">
        <v>2</v>
      </c>
      <c r="V628" s="1" t="n">
        <v>3</v>
      </c>
      <c r="W628" s="1"/>
      <c r="Y628" s="1" t="n">
        <v>6</v>
      </c>
      <c r="Z628" s="0" t="s">
        <v>175</v>
      </c>
      <c r="AA628" s="0" t="s">
        <v>176</v>
      </c>
      <c r="AC628" s="0" t="s">
        <v>177</v>
      </c>
      <c r="AD628" s="0" t="s">
        <v>384</v>
      </c>
      <c r="AH628" s="0" t="s">
        <v>180</v>
      </c>
      <c r="AJ628" s="0" t="s">
        <v>437</v>
      </c>
      <c r="AL628" s="0" t="s">
        <v>95</v>
      </c>
      <c r="AM628" s="0" t="s">
        <v>96</v>
      </c>
      <c r="AO628" s="0" t="s">
        <v>98</v>
      </c>
    </row>
    <row r="629">
      <c r="B629" s="0" t="s">
        <v>1848</v>
      </c>
      <c r="C629" s="1" t="n">
        <v>353252</v>
      </c>
      <c r="E629" s="14" t="s">
        <v>1349</v>
      </c>
      <c r="F629" s="14" t="s">
        <v>169</v>
      </c>
      <c r="G629" s="25" t="str">
        <f>HYPERLINK("http://www.ok.ru/profile/538222657024/statuses/160958103291904")</f>
      </c>
      <c r="H629" s="14" t="s">
        <v>170</v>
      </c>
      <c r="I629" s="14" t="s">
        <v>194</v>
      </c>
      <c r="J629" s="14" t="s">
        <v>1849</v>
      </c>
      <c r="K629" s="26" t="str">
        <f>HYPERLINK("http://www.ok.ru/profile/538222657024")</f>
      </c>
      <c r="L629" s="14" t="s">
        <v>173</v>
      </c>
      <c r="O629" s="1" t="s">
        <v>186</v>
      </c>
      <c r="P629" s="1" t="n">
        <v>76</v>
      </c>
      <c r="Q629" s="1" t="n">
        <v>116</v>
      </c>
      <c r="R629" s="1" t="n">
        <v>0</v>
      </c>
      <c r="S629" s="1"/>
      <c r="T629" s="1" t="n">
        <v>0</v>
      </c>
      <c r="U629" s="1" t="n">
        <v>2</v>
      </c>
      <c r="V629" s="1" t="n">
        <v>2</v>
      </c>
      <c r="W629" s="1"/>
      <c r="Y629" s="1" t="n">
        <v>15</v>
      </c>
      <c r="Z629" s="0" t="s">
        <v>175</v>
      </c>
      <c r="AA629" s="0" t="s">
        <v>187</v>
      </c>
      <c r="AC629" s="0" t="s">
        <v>177</v>
      </c>
      <c r="AD629" s="0" t="s">
        <v>1051</v>
      </c>
      <c r="AE629" s="0" t="s">
        <v>1850</v>
      </c>
      <c r="AH629" s="0" t="s">
        <v>180</v>
      </c>
      <c r="AJ629" s="0" t="s">
        <v>437</v>
      </c>
      <c r="AK629" s="0" t="s">
        <v>94</v>
      </c>
      <c r="AL629" s="0" t="s">
        <v>95</v>
      </c>
      <c r="AM629" s="0" t="s">
        <v>96</v>
      </c>
      <c r="AX629" s="0" t="s">
        <v>107</v>
      </c>
      <c r="BF629" s="0" t="s">
        <v>115</v>
      </c>
      <c r="BR629" s="0" t="s">
        <v>127</v>
      </c>
    </row>
    <row r="630" ht="24.75">
      <c r="B630" s="0" t="s">
        <v>1848</v>
      </c>
      <c r="C630" s="1" t="n">
        <v>354126</v>
      </c>
      <c r="E630" s="14" t="s">
        <v>1102</v>
      </c>
      <c r="F630" s="14" t="s">
        <v>169</v>
      </c>
      <c r="G630" s="25" t="str">
        <f>HYPERLINK("http://www.ok.ru/profile/575503381903/statuses/156129590896015")</f>
      </c>
      <c r="H630" s="14" t="s">
        <v>170</v>
      </c>
      <c r="I630" s="14" t="s">
        <v>171</v>
      </c>
      <c r="J630" s="14" t="s">
        <v>1851</v>
      </c>
      <c r="K630" s="26" t="str">
        <f>HYPERLINK("http://www.ok.ru/profile/575503381903")</f>
      </c>
      <c r="L630" s="14" t="s">
        <v>173</v>
      </c>
      <c r="O630" s="1" t="s">
        <v>186</v>
      </c>
      <c r="P630" s="1" t="n">
        <v>43</v>
      </c>
      <c r="Q630" s="1" t="n">
        <v>840</v>
      </c>
      <c r="R630" s="1" t="n">
        <v>0</v>
      </c>
      <c r="S630" s="1"/>
      <c r="T630" s="1" t="n">
        <v>0</v>
      </c>
      <c r="U630" s="1" t="n">
        <v>0</v>
      </c>
      <c r="V630" s="1" t="n">
        <v>0</v>
      </c>
      <c r="W630" s="1"/>
      <c r="Y630" s="1" t="n">
        <v>92</v>
      </c>
      <c r="Z630" s="0" t="s">
        <v>175</v>
      </c>
      <c r="AA630" s="0" t="s">
        <v>187</v>
      </c>
      <c r="AC630" s="0" t="s">
        <v>177</v>
      </c>
      <c r="AH630" s="0" t="s">
        <v>180</v>
      </c>
      <c r="AJ630" s="0" t="s">
        <v>181</v>
      </c>
      <c r="AK630" s="0" t="s">
        <v>94</v>
      </c>
      <c r="AM630" s="0" t="s">
        <v>96</v>
      </c>
      <c r="AN630" s="0" t="s">
        <v>97</v>
      </c>
      <c r="AS630" s="0" t="s">
        <v>102</v>
      </c>
      <c r="AU630" s="0" t="s">
        <v>104</v>
      </c>
      <c r="AV630" s="0" t="s">
        <v>105</v>
      </c>
      <c r="AW630" s="0" t="s">
        <v>106</v>
      </c>
      <c r="BE630" s="0" t="s">
        <v>114</v>
      </c>
      <c r="BL630" s="0" t="s">
        <v>121</v>
      </c>
      <c r="BO630" s="0" t="s">
        <v>124</v>
      </c>
    </row>
    <row r="631" ht="24.75">
      <c r="B631" s="0" t="s">
        <v>1852</v>
      </c>
      <c r="C631" s="1" t="n">
        <v>353186</v>
      </c>
      <c r="E631" s="14" t="s">
        <v>183</v>
      </c>
      <c r="F631" s="14" t="s">
        <v>184</v>
      </c>
      <c r="G631" s="25" t="str">
        <f>HYPERLINK("http://vk.com/wall34965321_3200")</f>
      </c>
      <c r="H631" s="14" t="s">
        <v>170</v>
      </c>
      <c r="I631" s="14" t="s">
        <v>171</v>
      </c>
      <c r="J631" s="14" t="s">
        <v>1853</v>
      </c>
      <c r="K631" s="26" t="str">
        <f>HYPERLINK("http://vk.com/id34965321")</f>
      </c>
      <c r="L631" s="14" t="s">
        <v>173</v>
      </c>
      <c r="O631" s="1" t="s">
        <v>186</v>
      </c>
      <c r="P631" s="1" t="n">
        <v>43</v>
      </c>
      <c r="Q631" s="1" t="n">
        <v>312</v>
      </c>
      <c r="R631" s="1" t="n">
        <v>0</v>
      </c>
      <c r="S631" s="1"/>
      <c r="T631" s="1" t="n">
        <v>0</v>
      </c>
      <c r="U631" s="1" t="n">
        <v>0</v>
      </c>
      <c r="V631" s="1" t="n">
        <v>0</v>
      </c>
      <c r="W631" s="1" t="n">
        <v>8</v>
      </c>
      <c r="Y631" s="1" t="n">
        <v>62</v>
      </c>
      <c r="Z631" s="0" t="s">
        <v>175</v>
      </c>
      <c r="AA631" s="0" t="s">
        <v>187</v>
      </c>
      <c r="AC631" s="0" t="s">
        <v>177</v>
      </c>
      <c r="AD631" s="0" t="s">
        <v>484</v>
      </c>
      <c r="AE631" s="0" t="s">
        <v>1854</v>
      </c>
      <c r="AH631" s="0" t="s">
        <v>180</v>
      </c>
      <c r="AJ631" s="0" t="s">
        <v>437</v>
      </c>
      <c r="AK631" s="0" t="s">
        <v>94</v>
      </c>
      <c r="AO631" s="0" t="s">
        <v>98</v>
      </c>
      <c r="AP631" s="0" t="s">
        <v>99</v>
      </c>
      <c r="AR631" s="0" t="s">
        <v>101</v>
      </c>
      <c r="BA631" s="0" t="s">
        <v>110</v>
      </c>
      <c r="BH631" s="0" t="s">
        <v>117</v>
      </c>
    </row>
    <row r="632" ht="84.75">
      <c r="B632" s="0" t="s">
        <v>1855</v>
      </c>
      <c r="C632" s="1" t="n">
        <v>353170</v>
      </c>
      <c r="D632" s="0" t="s">
        <v>1758</v>
      </c>
      <c r="E632" s="14" t="s">
        <v>1856</v>
      </c>
      <c r="F632" s="14" t="s">
        <v>922</v>
      </c>
      <c r="G632" s="25" t="str">
        <f>HYPERLINK("https://omsk.bezformata.com/listnews/omske-podskochili-tceni-na-lekarstva/116229657/")</f>
      </c>
      <c r="H632" s="14" t="s">
        <v>208</v>
      </c>
      <c r="I632" s="14" t="s">
        <v>194</v>
      </c>
      <c r="J632" s="14"/>
      <c r="L632" s="14"/>
      <c r="O632" s="1"/>
      <c r="P632" s="1"/>
      <c r="Q632" s="1"/>
      <c r="R632" s="1" t="n">
        <v>0</v>
      </c>
      <c r="S632" s="1" t="n">
        <v>196</v>
      </c>
      <c r="T632" s="1" t="n">
        <v>0</v>
      </c>
      <c r="U632" s="1" t="n">
        <v>0</v>
      </c>
      <c r="V632" s="1" t="n">
        <v>0</v>
      </c>
      <c r="W632" s="1"/>
      <c r="Y632" s="1" t="n">
        <v>1</v>
      </c>
      <c r="Z632" s="0" t="s">
        <v>175</v>
      </c>
      <c r="AA632" s="0" t="s">
        <v>176</v>
      </c>
      <c r="AH632" s="0" t="s">
        <v>180</v>
      </c>
      <c r="AJ632" s="0" t="s">
        <v>437</v>
      </c>
      <c r="AM632" s="0" t="s">
        <v>96</v>
      </c>
      <c r="AP632" s="0" t="s">
        <v>99</v>
      </c>
      <c r="BD632" s="0" t="s">
        <v>113</v>
      </c>
    </row>
    <row r="633" ht="36.75">
      <c r="B633" s="0" t="s">
        <v>1857</v>
      </c>
      <c r="C633" s="1" t="n">
        <v>353319</v>
      </c>
      <c r="E633" s="14" t="s">
        <v>1858</v>
      </c>
      <c r="F633" s="14" t="s">
        <v>169</v>
      </c>
      <c r="G633" s="25" t="str">
        <f>HYPERLINK("http://www.ok.ru/profile/536306069978/statuses/156622571486682")</f>
      </c>
      <c r="H633" s="14" t="s">
        <v>170</v>
      </c>
      <c r="I633" s="14" t="s">
        <v>171</v>
      </c>
      <c r="J633" s="14" t="s">
        <v>1859</v>
      </c>
      <c r="K633" s="26" t="str">
        <f>HYPERLINK("http://www.ok.ru/profile/536306069978")</f>
      </c>
      <c r="L633" s="14" t="s">
        <v>173</v>
      </c>
      <c r="O633" s="1" t="s">
        <v>186</v>
      </c>
      <c r="P633" s="1" t="n">
        <v>53</v>
      </c>
      <c r="Q633" s="1" t="n">
        <v>427</v>
      </c>
      <c r="R633" s="1" t="n">
        <v>0</v>
      </c>
      <c r="S633" s="1"/>
      <c r="T633" s="1" t="n">
        <v>2</v>
      </c>
      <c r="U633" s="1" t="n">
        <v>3</v>
      </c>
      <c r="V633" s="1" t="n">
        <v>5</v>
      </c>
      <c r="W633" s="1"/>
      <c r="Y633" s="1" t="n">
        <v>2</v>
      </c>
      <c r="Z633" s="0" t="s">
        <v>175</v>
      </c>
      <c r="AA633" s="0" t="s">
        <v>187</v>
      </c>
      <c r="AC633" s="0" t="s">
        <v>177</v>
      </c>
      <c r="AD633" s="0" t="s">
        <v>556</v>
      </c>
      <c r="AE633" s="0" t="s">
        <v>1860</v>
      </c>
      <c r="AH633" s="0" t="s">
        <v>180</v>
      </c>
      <c r="AJ633" s="0" t="s">
        <v>437</v>
      </c>
      <c r="AK633" s="0" t="s">
        <v>94</v>
      </c>
      <c r="AL633" s="0" t="s">
        <v>95</v>
      </c>
      <c r="AM633" s="0" t="s">
        <v>96</v>
      </c>
      <c r="AW633" s="0" t="s">
        <v>106</v>
      </c>
      <c r="BC633" s="0" t="s">
        <v>112</v>
      </c>
      <c r="BI633" s="0" t="s">
        <v>118</v>
      </c>
      <c r="BN633" s="0" t="s">
        <v>123</v>
      </c>
    </row>
    <row r="634" ht="24.75">
      <c r="B634" s="0" t="s">
        <v>1857</v>
      </c>
      <c r="C634" s="1" t="n">
        <v>353177</v>
      </c>
      <c r="E634" s="14" t="s">
        <v>183</v>
      </c>
      <c r="F634" s="14" t="s">
        <v>184</v>
      </c>
      <c r="G634" s="25" t="str">
        <f>HYPERLINK("http://vk.com/wall533585223_145")</f>
      </c>
      <c r="H634" s="14" t="s">
        <v>170</v>
      </c>
      <c r="I634" s="14" t="s">
        <v>171</v>
      </c>
      <c r="J634" s="14" t="s">
        <v>1861</v>
      </c>
      <c r="K634" s="26" t="str">
        <f>HYPERLINK("http://vk.com/id533585223")</f>
      </c>
      <c r="L634" s="14" t="s">
        <v>173</v>
      </c>
      <c r="O634" s="1" t="s">
        <v>186</v>
      </c>
      <c r="P634" s="1"/>
      <c r="Q634" s="1" t="n">
        <v>85</v>
      </c>
      <c r="R634" s="1" t="n">
        <v>0</v>
      </c>
      <c r="S634" s="1"/>
      <c r="T634" s="1" t="n">
        <v>0</v>
      </c>
      <c r="U634" s="1" t="n">
        <v>0</v>
      </c>
      <c r="V634" s="1" t="n">
        <v>0</v>
      </c>
      <c r="W634" s="1"/>
      <c r="Y634" s="1" t="n">
        <v>62</v>
      </c>
      <c r="Z634" s="0" t="s">
        <v>175</v>
      </c>
      <c r="AA634" s="0" t="s">
        <v>187</v>
      </c>
      <c r="AC634" s="0" t="s">
        <v>177</v>
      </c>
      <c r="AH634" s="0" t="s">
        <v>180</v>
      </c>
      <c r="AJ634" s="0" t="s">
        <v>437</v>
      </c>
      <c r="AK634" s="0" t="s">
        <v>94</v>
      </c>
      <c r="AO634" s="0" t="s">
        <v>98</v>
      </c>
      <c r="AP634" s="0" t="s">
        <v>99</v>
      </c>
      <c r="AR634" s="0" t="s">
        <v>101</v>
      </c>
      <c r="BA634" s="0" t="s">
        <v>110</v>
      </c>
      <c r="BH634" s="0" t="s">
        <v>117</v>
      </c>
    </row>
    <row r="635" ht="24.75">
      <c r="B635" s="0" t="s">
        <v>1862</v>
      </c>
      <c r="C635" s="1" t="n">
        <v>353163</v>
      </c>
      <c r="E635" s="14" t="s">
        <v>296</v>
      </c>
      <c r="F635" s="14" t="s">
        <v>184</v>
      </c>
      <c r="G635" s="25" t="str">
        <f>HYPERLINK("http://vk.com/wall190679892_1056")</f>
      </c>
      <c r="H635" s="14" t="s">
        <v>170</v>
      </c>
      <c r="I635" s="14" t="s">
        <v>171</v>
      </c>
      <c r="J635" s="14" t="s">
        <v>1863</v>
      </c>
      <c r="K635" s="26" t="str">
        <f>HYPERLINK("http://vk.com/id190679892")</f>
      </c>
      <c r="L635" s="14" t="s">
        <v>173</v>
      </c>
      <c r="O635" s="1" t="s">
        <v>186</v>
      </c>
      <c r="P635" s="1"/>
      <c r="Q635" s="1" t="n">
        <v>371</v>
      </c>
      <c r="R635" s="1" t="n">
        <v>0</v>
      </c>
      <c r="S635" s="1"/>
      <c r="T635" s="1" t="n">
        <v>0</v>
      </c>
      <c r="U635" s="1" t="n">
        <v>0</v>
      </c>
      <c r="V635" s="1" t="n">
        <v>0</v>
      </c>
      <c r="W635" s="1" t="n">
        <v>11</v>
      </c>
      <c r="Y635" s="1" t="n">
        <v>92</v>
      </c>
      <c r="Z635" s="0" t="s">
        <v>175</v>
      </c>
      <c r="AA635" s="0" t="s">
        <v>187</v>
      </c>
      <c r="AC635" s="0" t="s">
        <v>177</v>
      </c>
      <c r="AD635" s="0" t="s">
        <v>384</v>
      </c>
      <c r="AE635" s="0" t="s">
        <v>1864</v>
      </c>
      <c r="AH635" s="0" t="s">
        <v>180</v>
      </c>
      <c r="AJ635" s="0" t="s">
        <v>437</v>
      </c>
      <c r="AK635" s="0" t="s">
        <v>94</v>
      </c>
      <c r="AL635" s="0" t="s">
        <v>95</v>
      </c>
      <c r="AM635" s="0" t="s">
        <v>96</v>
      </c>
      <c r="AU635" s="0" t="s">
        <v>104</v>
      </c>
      <c r="AV635" s="0" t="s">
        <v>105</v>
      </c>
    </row>
    <row r="636" ht="60.75">
      <c r="B636" s="0" t="s">
        <v>1865</v>
      </c>
      <c r="C636" s="1" t="n">
        <v>353407</v>
      </c>
      <c r="E636" s="14" t="s">
        <v>1866</v>
      </c>
      <c r="F636" s="14" t="s">
        <v>169</v>
      </c>
      <c r="G636" s="25" t="str">
        <f>HYPERLINK("http://www.ok.ru/profile/544707643032/statuses/155610262810008")</f>
      </c>
      <c r="H636" s="14" t="s">
        <v>170</v>
      </c>
      <c r="I636" s="14" t="s">
        <v>290</v>
      </c>
      <c r="J636" s="14" t="s">
        <v>1867</v>
      </c>
      <c r="K636" s="26" t="str">
        <f>HYPERLINK("http://www.ok.ru/profile/544707643032")</f>
      </c>
      <c r="L636" s="14" t="s">
        <v>173</v>
      </c>
      <c r="O636" s="1" t="s">
        <v>174</v>
      </c>
      <c r="P636" s="1"/>
      <c r="Q636" s="1" t="n">
        <v>433</v>
      </c>
      <c r="R636" s="1" t="n">
        <v>0</v>
      </c>
      <c r="S636" s="1"/>
      <c r="T636" s="1" t="n">
        <v>1</v>
      </c>
      <c r="U636" s="1" t="n">
        <v>1</v>
      </c>
      <c r="V636" s="1" t="n">
        <v>2</v>
      </c>
      <c r="W636" s="1"/>
      <c r="Y636" s="1" t="n">
        <v>1</v>
      </c>
      <c r="Z636" s="0" t="s">
        <v>175</v>
      </c>
      <c r="AA636" s="0" t="s">
        <v>176</v>
      </c>
      <c r="AC636" s="0" t="s">
        <v>177</v>
      </c>
      <c r="AD636" s="0" t="s">
        <v>556</v>
      </c>
      <c r="AE636" s="0" t="s">
        <v>1868</v>
      </c>
      <c r="AH636" s="0" t="s">
        <v>180</v>
      </c>
      <c r="AJ636" s="0" t="s">
        <v>437</v>
      </c>
      <c r="AK636" s="0" t="s">
        <v>94</v>
      </c>
      <c r="AL636" s="0" t="s">
        <v>95</v>
      </c>
      <c r="AM636" s="0" t="s">
        <v>96</v>
      </c>
      <c r="AO636" s="0" t="s">
        <v>98</v>
      </c>
      <c r="AQ636" s="0" t="s">
        <v>100</v>
      </c>
    </row>
    <row r="637" ht="24.75">
      <c r="B637" s="0" t="s">
        <v>1869</v>
      </c>
      <c r="C637" s="1" t="n">
        <v>353194</v>
      </c>
      <c r="E637" s="14" t="s">
        <v>1870</v>
      </c>
      <c r="F637" s="14" t="s">
        <v>169</v>
      </c>
      <c r="G637" s="25" t="str">
        <f>HYPERLINK("http://www.ok.ru/group/68983449583669/topic/156217696802101")</f>
      </c>
      <c r="H637" s="14" t="s">
        <v>170</v>
      </c>
      <c r="I637" s="14" t="s">
        <v>194</v>
      </c>
      <c r="J637" s="14" t="s">
        <v>1871</v>
      </c>
      <c r="K637" s="26" t="str">
        <f>HYPERLINK("http://www.ok.ru/group/68983449583669")</f>
      </c>
      <c r="L637" s="14" t="s">
        <v>274</v>
      </c>
      <c r="O637" s="1"/>
      <c r="P637" s="1"/>
      <c r="Q637" s="1" t="n">
        <v>23843</v>
      </c>
      <c r="R637" s="1" t="n">
        <v>0</v>
      </c>
      <c r="S637" s="1"/>
      <c r="T637" s="1" t="n">
        <v>6</v>
      </c>
      <c r="U637" s="1" t="n">
        <v>70</v>
      </c>
      <c r="V637" s="1" t="n">
        <v>76</v>
      </c>
      <c r="W637" s="1"/>
      <c r="Y637" s="1" t="n">
        <v>1</v>
      </c>
      <c r="Z637" s="0" t="s">
        <v>175</v>
      </c>
      <c r="AA637" s="0" t="s">
        <v>187</v>
      </c>
      <c r="AH637" s="0" t="s">
        <v>180</v>
      </c>
      <c r="AJ637" s="0" t="s">
        <v>437</v>
      </c>
      <c r="AK637" s="0" t="s">
        <v>94</v>
      </c>
      <c r="AL637" s="0" t="s">
        <v>95</v>
      </c>
      <c r="AM637" s="0" t="s">
        <v>96</v>
      </c>
      <c r="AU637" s="0" t="s">
        <v>104</v>
      </c>
      <c r="AV637" s="0" t="s">
        <v>105</v>
      </c>
    </row>
    <row r="638" ht="24.75">
      <c r="B638" s="0" t="s">
        <v>1869</v>
      </c>
      <c r="C638" s="1" t="n">
        <v>353156</v>
      </c>
      <c r="E638" s="14" t="s">
        <v>183</v>
      </c>
      <c r="F638" s="14" t="s">
        <v>184</v>
      </c>
      <c r="G638" s="25" t="str">
        <f>HYPERLINK("http://vk.com/wall-194617464_563082")</f>
      </c>
      <c r="H638" s="14" t="s">
        <v>170</v>
      </c>
      <c r="I638" s="14" t="s">
        <v>194</v>
      </c>
      <c r="J638" s="14" t="s">
        <v>1872</v>
      </c>
      <c r="K638" s="26" t="str">
        <f>HYPERLINK("http://vk.com/club194617464")</f>
      </c>
      <c r="L638" s="14" t="s">
        <v>274</v>
      </c>
      <c r="O638" s="1"/>
      <c r="P638" s="1"/>
      <c r="Q638" s="1" t="n">
        <v>506611</v>
      </c>
      <c r="R638" s="1" t="n">
        <v>6</v>
      </c>
      <c r="S638" s="1"/>
      <c r="T638" s="1" t="n">
        <v>100</v>
      </c>
      <c r="U638" s="1" t="n">
        <v>74</v>
      </c>
      <c r="V638" s="1" t="n">
        <v>180</v>
      </c>
      <c r="W638" s="1" t="n">
        <v>7099</v>
      </c>
      <c r="Y638" s="1" t="n">
        <v>62</v>
      </c>
      <c r="Z638" s="0" t="s">
        <v>175</v>
      </c>
      <c r="AA638" s="0" t="s">
        <v>187</v>
      </c>
      <c r="AH638" s="0" t="s">
        <v>180</v>
      </c>
      <c r="AJ638" s="0" t="s">
        <v>437</v>
      </c>
      <c r="AK638" s="0" t="s">
        <v>94</v>
      </c>
      <c r="AO638" s="0" t="s">
        <v>98</v>
      </c>
      <c r="AP638" s="0" t="s">
        <v>99</v>
      </c>
      <c r="AR638" s="0" t="s">
        <v>101</v>
      </c>
      <c r="BA638" s="0" t="s">
        <v>110</v>
      </c>
      <c r="BH638" s="0" t="s">
        <v>117</v>
      </c>
    </row>
    <row r="639">
      <c r="B639" s="0" t="s">
        <v>1873</v>
      </c>
      <c r="C639" s="1" t="n">
        <v>353152</v>
      </c>
      <c r="E639" s="14" t="s">
        <v>1874</v>
      </c>
      <c r="F639" s="14" t="s">
        <v>184</v>
      </c>
      <c r="G639" s="25" t="str">
        <f>HYPERLINK("http://vk.com/wall-188434551_134574?reply=134589")</f>
      </c>
      <c r="H639" s="14" t="s">
        <v>170</v>
      </c>
      <c r="I639" s="14" t="s">
        <v>231</v>
      </c>
      <c r="J639" s="14" t="s">
        <v>1875</v>
      </c>
      <c r="K639" s="26" t="str">
        <f>HYPERLINK("http://vk.com/id166694960")</f>
      </c>
      <c r="L639" s="14" t="s">
        <v>173</v>
      </c>
      <c r="M639" s="14" t="s">
        <v>1876</v>
      </c>
      <c r="N639" s="25" t="str">
        <f>HYPERLINK("http://vk.com/club188434551")</f>
      </c>
      <c r="O639" s="1" t="s">
        <v>186</v>
      </c>
      <c r="P639" s="1"/>
      <c r="Q639" s="1" t="n">
        <v>96741</v>
      </c>
      <c r="R639" s="1" t="n">
        <v>0</v>
      </c>
      <c r="S639" s="1"/>
      <c r="T639" s="1" t="n">
        <v>0</v>
      </c>
      <c r="U639" s="1" t="n">
        <v>0</v>
      </c>
      <c r="V639" s="1" t="n">
        <v>0</v>
      </c>
      <c r="W639" s="1"/>
      <c r="Y639" s="1" t="n">
        <v>1</v>
      </c>
      <c r="Z639" s="0" t="s">
        <v>319</v>
      </c>
      <c r="AA639" s="0" t="s">
        <v>187</v>
      </c>
      <c r="AC639" s="0" t="s">
        <v>177</v>
      </c>
      <c r="AD639" s="0" t="s">
        <v>234</v>
      </c>
      <c r="AE639" s="0" t="s">
        <v>1877</v>
      </c>
      <c r="AH639" s="0" t="s">
        <v>180</v>
      </c>
      <c r="AJ639" s="0" t="s">
        <v>437</v>
      </c>
      <c r="AK639" s="0" t="s">
        <v>94</v>
      </c>
      <c r="AN639" s="0" t="s">
        <v>97</v>
      </c>
      <c r="AP639" s="0" t="s">
        <v>99</v>
      </c>
      <c r="AW639" s="0" t="s">
        <v>106</v>
      </c>
      <c r="BB639" s="0" t="s">
        <v>111</v>
      </c>
      <c r="BC639" s="0" t="s">
        <v>112</v>
      </c>
      <c r="BM639" s="0" t="s">
        <v>122</v>
      </c>
    </row>
    <row r="640">
      <c r="B640" s="0" t="s">
        <v>1878</v>
      </c>
      <c r="C640" s="1" t="n">
        <v>353151</v>
      </c>
      <c r="E640" s="14" t="s">
        <v>1879</v>
      </c>
      <c r="F640" s="14" t="s">
        <v>192</v>
      </c>
      <c r="G640" s="25" t="str">
        <f>HYPERLINK("https://telegram.me/voenacher/42900?comment=5778264")</f>
      </c>
      <c r="H640" s="14" t="s">
        <v>193</v>
      </c>
      <c r="I640" s="14" t="s">
        <v>231</v>
      </c>
      <c r="J640" s="14" t="s">
        <v>1880</v>
      </c>
      <c r="K640" s="26" t="str">
        <f>HYPERLINK("https://telegram.me/SergeyEvgenievis")</f>
      </c>
      <c r="L640" s="14" t="s">
        <v>173</v>
      </c>
      <c r="M640" s="14" t="s">
        <v>1881</v>
      </c>
      <c r="N640" s="25" t="str">
        <f>HYPERLINK("https://telegram.me/voenacher")</f>
      </c>
      <c r="O640" s="1" t="s">
        <v>174</v>
      </c>
      <c r="P640" s="1"/>
      <c r="Q640" s="1" t="n">
        <v>652880</v>
      </c>
      <c r="R640" s="1" t="n">
        <v>0</v>
      </c>
      <c r="S640" s="1"/>
      <c r="T640" s="1" t="n">
        <v>0</v>
      </c>
      <c r="U640" s="1" t="n">
        <v>0</v>
      </c>
      <c r="V640" s="1" t="n">
        <v>0</v>
      </c>
      <c r="W640" s="1"/>
      <c r="Y640" s="1" t="n">
        <v>1</v>
      </c>
      <c r="Z640" s="0" t="s">
        <v>175</v>
      </c>
      <c r="AA640" s="0" t="s">
        <v>187</v>
      </c>
      <c r="AH640" s="0" t="s">
        <v>180</v>
      </c>
      <c r="AI640" s="0" t="s">
        <v>92</v>
      </c>
      <c r="AJ640" s="0" t="s">
        <v>437</v>
      </c>
      <c r="AK640" s="0" t="s">
        <v>94</v>
      </c>
      <c r="AP640" s="0" t="s">
        <v>99</v>
      </c>
      <c r="AR640" s="0" t="s">
        <v>101</v>
      </c>
      <c r="AT640" s="0" t="s">
        <v>103</v>
      </c>
    </row>
    <row r="641" ht="72.75">
      <c r="B641" s="0" t="s">
        <v>1882</v>
      </c>
      <c r="C641" s="1" t="n">
        <v>353153</v>
      </c>
      <c r="D641" s="0" t="s">
        <v>1758</v>
      </c>
      <c r="E641" s="14" t="s">
        <v>1883</v>
      </c>
      <c r="F641" s="14" t="s">
        <v>1095</v>
      </c>
      <c r="G641" s="25" t="str">
        <f>HYPERLINK("https://news.myseldon.com/ru/news/index/282035672")</f>
      </c>
      <c r="H641" s="14" t="s">
        <v>208</v>
      </c>
      <c r="I641" s="14" t="s">
        <v>194</v>
      </c>
      <c r="J641" s="14"/>
      <c r="L641" s="14"/>
      <c r="O641" s="1"/>
      <c r="P641" s="1"/>
      <c r="Q641" s="1"/>
      <c r="R641" s="1" t="n">
        <v>0</v>
      </c>
      <c r="S641" s="1" t="n">
        <v>3034</v>
      </c>
      <c r="T641" s="1" t="n">
        <v>0</v>
      </c>
      <c r="U641" s="1" t="n">
        <v>0</v>
      </c>
      <c r="V641" s="1" t="n">
        <v>0</v>
      </c>
      <c r="W641" s="1"/>
      <c r="Y641" s="1" t="n">
        <v>1</v>
      </c>
      <c r="Z641" s="0" t="s">
        <v>175</v>
      </c>
      <c r="AA641" s="0" t="s">
        <v>176</v>
      </c>
      <c r="AH641" s="0" t="s">
        <v>180</v>
      </c>
      <c r="AJ641" s="0" t="s">
        <v>437</v>
      </c>
      <c r="AM641" s="0" t="s">
        <v>96</v>
      </c>
      <c r="AP641" s="0" t="s">
        <v>99</v>
      </c>
      <c r="BD641" s="0" t="s">
        <v>113</v>
      </c>
    </row>
    <row r="642" ht="24.75">
      <c r="B642" s="0" t="s">
        <v>1882</v>
      </c>
      <c r="C642" s="1" t="n">
        <v>353144</v>
      </c>
      <c r="E642" s="14" t="s">
        <v>1884</v>
      </c>
      <c r="F642" s="14" t="s">
        <v>184</v>
      </c>
      <c r="G642" s="25" t="str">
        <f>HYPERLINK("http://vk.com/wall-51267957_560156?reply=560160")</f>
      </c>
      <c r="H642" s="14" t="s">
        <v>170</v>
      </c>
      <c r="I642" s="14" t="s">
        <v>231</v>
      </c>
      <c r="J642" s="14" t="s">
        <v>1885</v>
      </c>
      <c r="K642" s="26" t="str">
        <f>HYPERLINK("http://vk.com/id217973765")</f>
      </c>
      <c r="L642" s="14" t="s">
        <v>173</v>
      </c>
      <c r="M642" s="14" t="s">
        <v>1886</v>
      </c>
      <c r="N642" s="25" t="str">
        <f>HYPERLINK("http://vk.com/club51267957")</f>
      </c>
      <c r="O642" s="1" t="s">
        <v>174</v>
      </c>
      <c r="P642" s="1" t="n">
        <v>56</v>
      </c>
      <c r="Q642" s="1" t="n">
        <v>818591</v>
      </c>
      <c r="R642" s="1" t="n">
        <v>0</v>
      </c>
      <c r="S642" s="1"/>
      <c r="T642" s="1" t="n">
        <v>0</v>
      </c>
      <c r="U642" s="1" t="n">
        <v>0</v>
      </c>
      <c r="V642" s="1" t="n">
        <v>0</v>
      </c>
      <c r="W642" s="1"/>
      <c r="Y642" s="1" t="n">
        <v>1</v>
      </c>
      <c r="Z642" s="0" t="s">
        <v>175</v>
      </c>
      <c r="AA642" s="0" t="s">
        <v>187</v>
      </c>
      <c r="AC642" s="0" t="s">
        <v>177</v>
      </c>
      <c r="AH642" s="0" t="s">
        <v>180</v>
      </c>
      <c r="AJ642" s="0" t="s">
        <v>437</v>
      </c>
      <c r="AK642" s="0" t="s">
        <v>94</v>
      </c>
      <c r="AP642" s="0" t="s">
        <v>99</v>
      </c>
      <c r="AT642" s="0" t="s">
        <v>103</v>
      </c>
      <c r="BX642" s="0" t="s">
        <v>133</v>
      </c>
    </row>
    <row r="643">
      <c r="B643" s="0" t="s">
        <v>1887</v>
      </c>
      <c r="C643" s="1" t="n">
        <v>353146</v>
      </c>
      <c r="E643" s="14" t="s">
        <v>1888</v>
      </c>
      <c r="F643" s="14" t="s">
        <v>184</v>
      </c>
      <c r="G643" s="25" t="str">
        <f>HYPERLINK("http://vk.com/wall-158393246_1356109")</f>
      </c>
      <c r="H643" s="14" t="s">
        <v>170</v>
      </c>
      <c r="I643" s="14" t="s">
        <v>194</v>
      </c>
      <c r="J643" s="14" t="s">
        <v>590</v>
      </c>
      <c r="K643" s="26" t="str">
        <f>HYPERLINK("http://vk.com/club158393246")</f>
      </c>
      <c r="L643" s="14" t="s">
        <v>274</v>
      </c>
      <c r="O643" s="1"/>
      <c r="P643" s="1"/>
      <c r="Q643" s="1" t="n">
        <v>16513</v>
      </c>
      <c r="R643" s="1" t="n">
        <v>3</v>
      </c>
      <c r="S643" s="1"/>
      <c r="T643" s="1" t="n">
        <v>3</v>
      </c>
      <c r="U643" s="1" t="n">
        <v>0</v>
      </c>
      <c r="V643" s="1" t="n">
        <v>6</v>
      </c>
      <c r="W643" s="1" t="n">
        <v>952</v>
      </c>
      <c r="Y643" s="1" t="n">
        <v>1</v>
      </c>
      <c r="Z643" s="0" t="s">
        <v>175</v>
      </c>
      <c r="AA643" s="0" t="s">
        <v>187</v>
      </c>
      <c r="AC643" s="0" t="s">
        <v>177</v>
      </c>
      <c r="AD643" s="0" t="s">
        <v>246</v>
      </c>
      <c r="AE643" s="0" t="s">
        <v>863</v>
      </c>
      <c r="AH643" s="0" t="s">
        <v>180</v>
      </c>
      <c r="AJ643" s="0" t="s">
        <v>437</v>
      </c>
      <c r="AK643" s="0" t="s">
        <v>94</v>
      </c>
      <c r="AN643" s="0" t="s">
        <v>97</v>
      </c>
      <c r="AP643" s="0" t="s">
        <v>99</v>
      </c>
      <c r="AT643" s="0" t="s">
        <v>103</v>
      </c>
      <c r="AW643" s="0" t="s">
        <v>106</v>
      </c>
      <c r="BB643" s="0" t="s">
        <v>111</v>
      </c>
      <c r="BC643" s="0" t="s">
        <v>112</v>
      </c>
      <c r="BO643" s="0" t="s">
        <v>124</v>
      </c>
      <c r="BV643" s="0" t="s">
        <v>131</v>
      </c>
    </row>
    <row r="644" ht="96.75">
      <c r="B644" s="0" t="s">
        <v>1889</v>
      </c>
      <c r="C644" s="1" t="n">
        <v>353148</v>
      </c>
      <c r="E644" s="14" t="s">
        <v>1890</v>
      </c>
      <c r="F644" s="14" t="s">
        <v>184</v>
      </c>
      <c r="G644" s="25" t="str">
        <f>HYPERLINK("http://vk.com/wall317674441_4059")</f>
      </c>
      <c r="H644" s="14" t="s">
        <v>170</v>
      </c>
      <c r="I644" s="14" t="s">
        <v>171</v>
      </c>
      <c r="J644" s="14" t="s">
        <v>1891</v>
      </c>
      <c r="K644" s="26" t="str">
        <f>HYPERLINK("http://vk.com/id317674441")</f>
      </c>
      <c r="L644" s="14" t="s">
        <v>173</v>
      </c>
      <c r="O644" s="1" t="s">
        <v>186</v>
      </c>
      <c r="P644" s="1"/>
      <c r="Q644" s="1" t="n">
        <v>294</v>
      </c>
      <c r="R644" s="1" t="n">
        <v>0</v>
      </c>
      <c r="S644" s="1"/>
      <c r="T644" s="1" t="n">
        <v>0</v>
      </c>
      <c r="U644" s="1" t="n">
        <v>0</v>
      </c>
      <c r="V644" s="1" t="n">
        <v>0</v>
      </c>
      <c r="W644" s="1"/>
      <c r="Y644" s="1" t="n">
        <v>1</v>
      </c>
      <c r="Z644" s="0" t="s">
        <v>175</v>
      </c>
      <c r="AA644" s="0" t="s">
        <v>292</v>
      </c>
      <c r="AC644" s="0" t="s">
        <v>177</v>
      </c>
      <c r="AD644" s="0" t="s">
        <v>341</v>
      </c>
      <c r="AE644" s="0" t="s">
        <v>451</v>
      </c>
      <c r="AH644" s="0" t="s">
        <v>180</v>
      </c>
      <c r="AJ644" s="0" t="s">
        <v>437</v>
      </c>
      <c r="AK644" s="0" t="s">
        <v>94</v>
      </c>
      <c r="AP644" s="0" t="s">
        <v>99</v>
      </c>
      <c r="AT644" s="0" t="s">
        <v>103</v>
      </c>
      <c r="BJ644" s="0" t="s">
        <v>119</v>
      </c>
    </row>
    <row r="645" ht="84.75">
      <c r="B645" s="0" t="s">
        <v>1892</v>
      </c>
      <c r="C645" s="1" t="n">
        <v>353147</v>
      </c>
      <c r="E645" s="14" t="s">
        <v>1893</v>
      </c>
      <c r="F645" s="14" t="s">
        <v>184</v>
      </c>
      <c r="G645" s="25" t="str">
        <f>HYPERLINK("http://vk.com/wall-211308622_569")</f>
      </c>
      <c r="H645" s="14" t="s">
        <v>170</v>
      </c>
      <c r="I645" s="14" t="s">
        <v>194</v>
      </c>
      <c r="J645" s="14" t="s">
        <v>1894</v>
      </c>
      <c r="K645" s="26" t="str">
        <f>HYPERLINK("http://vk.com/club211308622")</f>
      </c>
      <c r="L645" s="14" t="s">
        <v>274</v>
      </c>
      <c r="O645" s="1"/>
      <c r="P645" s="1"/>
      <c r="Q645" s="1" t="n">
        <v>909</v>
      </c>
      <c r="R645" s="1" t="n">
        <v>0</v>
      </c>
      <c r="S645" s="1"/>
      <c r="T645" s="1" t="n">
        <v>1</v>
      </c>
      <c r="U645" s="1" t="n">
        <v>8</v>
      </c>
      <c r="V645" s="1" t="n">
        <v>9</v>
      </c>
      <c r="W645" s="1" t="n">
        <v>148</v>
      </c>
      <c r="Y645" s="1" t="n">
        <v>1</v>
      </c>
      <c r="Z645" s="0" t="s">
        <v>175</v>
      </c>
      <c r="AA645" s="0" t="s">
        <v>187</v>
      </c>
      <c r="AC645" s="0" t="s">
        <v>177</v>
      </c>
      <c r="AD645" s="0" t="s">
        <v>240</v>
      </c>
      <c r="AE645" s="0" t="s">
        <v>240</v>
      </c>
      <c r="AH645" s="0" t="s">
        <v>180</v>
      </c>
      <c r="AJ645" s="0" t="s">
        <v>437</v>
      </c>
      <c r="AK645" s="0" t="s">
        <v>94</v>
      </c>
      <c r="AN645" s="0" t="s">
        <v>97</v>
      </c>
      <c r="AP645" s="0" t="s">
        <v>99</v>
      </c>
      <c r="AR645" s="0" t="s">
        <v>101</v>
      </c>
      <c r="AS645" s="0" t="s">
        <v>102</v>
      </c>
      <c r="AT645" s="0" t="s">
        <v>103</v>
      </c>
      <c r="AW645" s="0" t="s">
        <v>106</v>
      </c>
      <c r="BF645" s="0" t="s">
        <v>115</v>
      </c>
      <c r="BK645" s="0" t="s">
        <v>120</v>
      </c>
      <c r="BM645" s="0" t="s">
        <v>122</v>
      </c>
    </row>
    <row r="646" ht="36.75">
      <c r="B646" s="0" t="s">
        <v>1895</v>
      </c>
      <c r="C646" s="1" t="n">
        <v>353142</v>
      </c>
      <c r="E646" s="14" t="s">
        <v>1700</v>
      </c>
      <c r="F646" s="14" t="s">
        <v>184</v>
      </c>
      <c r="G646" s="25" t="str">
        <f>HYPERLINK("http://vk.com/wall617408552_2508")</f>
      </c>
      <c r="H646" s="14" t="s">
        <v>170</v>
      </c>
      <c r="I646" s="14" t="s">
        <v>171</v>
      </c>
      <c r="J646" s="14" t="s">
        <v>1896</v>
      </c>
      <c r="K646" s="26" t="str">
        <f>HYPERLINK("http://vk.com/id617408552")</f>
      </c>
      <c r="L646" s="14" t="s">
        <v>173</v>
      </c>
      <c r="O646" s="1" t="s">
        <v>186</v>
      </c>
      <c r="P646" s="1" t="n">
        <v>38</v>
      </c>
      <c r="Q646" s="1" t="n">
        <v>18</v>
      </c>
      <c r="R646" s="1" t="n">
        <v>0</v>
      </c>
      <c r="S646" s="1"/>
      <c r="T646" s="1" t="n">
        <v>0</v>
      </c>
      <c r="U646" s="1" t="n">
        <v>0</v>
      </c>
      <c r="V646" s="1" t="n">
        <v>0</v>
      </c>
      <c r="W646" s="1"/>
      <c r="Y646" s="1" t="n">
        <v>2</v>
      </c>
      <c r="Z646" s="0" t="s">
        <v>175</v>
      </c>
      <c r="AA646" s="0" t="s">
        <v>187</v>
      </c>
      <c r="AH646" s="0" t="s">
        <v>180</v>
      </c>
      <c r="AJ646" s="0" t="s">
        <v>437</v>
      </c>
      <c r="AK646" s="0" t="s">
        <v>94</v>
      </c>
      <c r="AN646" s="0" t="s">
        <v>97</v>
      </c>
      <c r="AP646" s="0" t="s">
        <v>99</v>
      </c>
      <c r="AT646" s="0" t="s">
        <v>103</v>
      </c>
      <c r="AW646" s="0" t="s">
        <v>106</v>
      </c>
      <c r="BE646" s="0" t="s">
        <v>114</v>
      </c>
      <c r="BX646" s="0" t="s">
        <v>133</v>
      </c>
      <c r="CD646" s="0" t="s">
        <v>139</v>
      </c>
    </row>
    <row r="647" ht="84.75">
      <c r="B647" s="0" t="s">
        <v>1897</v>
      </c>
      <c r="C647" s="1" t="n">
        <v>353233</v>
      </c>
      <c r="E647" s="14" t="s">
        <v>1893</v>
      </c>
      <c r="F647" s="14" t="s">
        <v>1414</v>
      </c>
      <c r="G647" s="25" t="str">
        <f>HYPERLINK("http://instagram.com/reel/CrAKoDuM0mW")</f>
      </c>
      <c r="H647" s="14" t="s">
        <v>170</v>
      </c>
      <c r="I647" s="14" t="s">
        <v>194</v>
      </c>
      <c r="J647" s="14" t="s">
        <v>1898</v>
      </c>
      <c r="K647" s="26" t="str">
        <f>HYPERLINK("http://instagram.com/dr_vitalina_berezovskaya")</f>
      </c>
      <c r="L647" s="14" t="s">
        <v>173</v>
      </c>
      <c r="O647" s="1"/>
      <c r="P647" s="1"/>
      <c r="Q647" s="1" t="n">
        <v>28380</v>
      </c>
      <c r="R647" s="1" t="n">
        <v>0</v>
      </c>
      <c r="S647" s="1"/>
      <c r="T647" s="1" t="n">
        <v>0</v>
      </c>
      <c r="U647" s="1" t="n">
        <v>19</v>
      </c>
      <c r="V647" s="1" t="n">
        <v>19</v>
      </c>
      <c r="W647" s="1" t="n">
        <v>356</v>
      </c>
      <c r="Y647" s="1" t="n">
        <v>1</v>
      </c>
      <c r="Z647" s="0" t="s">
        <v>175</v>
      </c>
      <c r="AA647" s="0" t="s">
        <v>187</v>
      </c>
      <c r="AH647" s="0" t="s">
        <v>180</v>
      </c>
      <c r="AJ647" s="0" t="s">
        <v>437</v>
      </c>
      <c r="AK647" s="0" t="s">
        <v>94</v>
      </c>
      <c r="AN647" s="0" t="s">
        <v>97</v>
      </c>
      <c r="AP647" s="0" t="s">
        <v>99</v>
      </c>
      <c r="AR647" s="0" t="s">
        <v>101</v>
      </c>
      <c r="AS647" s="0" t="s">
        <v>102</v>
      </c>
      <c r="AT647" s="0" t="s">
        <v>103</v>
      </c>
      <c r="AW647" s="0" t="s">
        <v>106</v>
      </c>
      <c r="BF647" s="0" t="s">
        <v>115</v>
      </c>
      <c r="BK647" s="0" t="s">
        <v>120</v>
      </c>
      <c r="BM647" s="0" t="s">
        <v>122</v>
      </c>
    </row>
    <row r="648" ht="24.75">
      <c r="B648" s="0" t="s">
        <v>1899</v>
      </c>
      <c r="C648" s="1" t="n">
        <v>353545</v>
      </c>
      <c r="E648" s="14" t="s">
        <v>1102</v>
      </c>
      <c r="F648" s="14" t="s">
        <v>169</v>
      </c>
      <c r="G648" s="25" t="str">
        <f>HYPERLINK("http://www.ok.ru/profile/558022227661/statuses/156010504645581")</f>
      </c>
      <c r="H648" s="14" t="s">
        <v>170</v>
      </c>
      <c r="I648" s="14" t="s">
        <v>171</v>
      </c>
      <c r="J648" s="14" t="s">
        <v>1900</v>
      </c>
      <c r="K648" s="26" t="str">
        <f>HYPERLINK("http://www.ok.ru/profile/558022227661")</f>
      </c>
      <c r="L648" s="14" t="s">
        <v>173</v>
      </c>
      <c r="O648" s="1" t="s">
        <v>186</v>
      </c>
      <c r="P648" s="1" t="n">
        <v>46</v>
      </c>
      <c r="Q648" s="1" t="n">
        <v>380</v>
      </c>
      <c r="R648" s="1" t="n">
        <v>0</v>
      </c>
      <c r="S648" s="1"/>
      <c r="T648" s="1" t="n">
        <v>0</v>
      </c>
      <c r="U648" s="1" t="n">
        <v>2</v>
      </c>
      <c r="V648" s="1" t="n">
        <v>2</v>
      </c>
      <c r="W648" s="1"/>
      <c r="Y648" s="1" t="n">
        <v>92</v>
      </c>
      <c r="Z648" s="0" t="s">
        <v>175</v>
      </c>
      <c r="AA648" s="0" t="s">
        <v>187</v>
      </c>
      <c r="AC648" s="0" t="s">
        <v>177</v>
      </c>
      <c r="AD648" s="0" t="s">
        <v>760</v>
      </c>
      <c r="AE648" s="0" t="s">
        <v>1901</v>
      </c>
      <c r="AH648" s="0" t="s">
        <v>180</v>
      </c>
      <c r="AJ648" s="0" t="s">
        <v>437</v>
      </c>
      <c r="AK648" s="0" t="s">
        <v>94</v>
      </c>
      <c r="AM648" s="0" t="s">
        <v>96</v>
      </c>
      <c r="AP648" s="0" t="s">
        <v>99</v>
      </c>
      <c r="AU648" s="0" t="s">
        <v>104</v>
      </c>
      <c r="AV648" s="0" t="s">
        <v>105</v>
      </c>
    </row>
    <row r="649">
      <c r="B649" s="0" t="s">
        <v>1899</v>
      </c>
      <c r="C649" s="1" t="n">
        <v>353134</v>
      </c>
      <c r="E649" s="14" t="s">
        <v>1902</v>
      </c>
      <c r="F649" s="14" t="s">
        <v>184</v>
      </c>
      <c r="G649" s="25" t="str">
        <f>HYPERLINK("http://vk.com/wall-149047382_2415266?reply=2415270")</f>
      </c>
      <c r="H649" s="14" t="s">
        <v>170</v>
      </c>
      <c r="I649" s="14" t="s">
        <v>231</v>
      </c>
      <c r="J649" s="14" t="s">
        <v>1903</v>
      </c>
      <c r="K649" s="26" t="str">
        <f>HYPERLINK("http://vk.com/id171022826")</f>
      </c>
      <c r="L649" s="14" t="s">
        <v>173</v>
      </c>
      <c r="M649" s="14" t="s">
        <v>1514</v>
      </c>
      <c r="N649" s="25" t="str">
        <f>HYPERLINK("http://vk.com/club149047382")</f>
      </c>
      <c r="O649" s="1" t="s">
        <v>186</v>
      </c>
      <c r="P649" s="1"/>
      <c r="Q649" s="1" t="n">
        <v>77321</v>
      </c>
      <c r="R649" s="1" t="n">
        <v>0</v>
      </c>
      <c r="S649" s="1"/>
      <c r="T649" s="1" t="n">
        <v>0</v>
      </c>
      <c r="U649" s="1" t="n">
        <v>0</v>
      </c>
      <c r="V649" s="1" t="n">
        <v>0</v>
      </c>
      <c r="W649" s="1"/>
      <c r="Y649" s="1" t="n">
        <v>1</v>
      </c>
      <c r="Z649" s="0" t="s">
        <v>319</v>
      </c>
      <c r="AA649" s="0" t="s">
        <v>187</v>
      </c>
      <c r="AC649" s="0" t="s">
        <v>177</v>
      </c>
      <c r="AD649" s="0" t="s">
        <v>719</v>
      </c>
      <c r="AE649" s="0" t="s">
        <v>1515</v>
      </c>
      <c r="AH649" s="0" t="s">
        <v>180</v>
      </c>
      <c r="AI649" s="0" t="s">
        <v>92</v>
      </c>
      <c r="AJ649" s="0" t="s">
        <v>437</v>
      </c>
      <c r="AK649" s="0" t="s">
        <v>94</v>
      </c>
      <c r="AN649" s="0" t="s">
        <v>97</v>
      </c>
      <c r="AP649" s="0" t="s">
        <v>99</v>
      </c>
      <c r="AS649" s="0" t="s">
        <v>102</v>
      </c>
      <c r="BW649" s="0" t="s">
        <v>132</v>
      </c>
      <c r="CF649" s="0" t="s">
        <v>141</v>
      </c>
    </row>
    <row r="650">
      <c r="B650" s="0" t="s">
        <v>1904</v>
      </c>
      <c r="C650" s="1" t="n">
        <v>353308</v>
      </c>
      <c r="E650" s="14" t="s">
        <v>1447</v>
      </c>
      <c r="F650" s="14" t="s">
        <v>169</v>
      </c>
      <c r="G650" s="25" t="str">
        <f>HYPERLINK("http://www.ok.ru/profile/553579171185/statuses/155997680721265")</f>
      </c>
      <c r="H650" s="14" t="s">
        <v>170</v>
      </c>
      <c r="I650" s="14" t="s">
        <v>171</v>
      </c>
      <c r="J650" s="14" t="s">
        <v>1905</v>
      </c>
      <c r="K650" s="26" t="str">
        <f>HYPERLINK("http://www.ok.ru/profile/553579171185")</f>
      </c>
      <c r="L650" s="14" t="s">
        <v>173</v>
      </c>
      <c r="O650" s="1" t="s">
        <v>186</v>
      </c>
      <c r="P650" s="1"/>
      <c r="Q650" s="1" t="n">
        <v>112</v>
      </c>
      <c r="R650" s="1" t="n">
        <v>0</v>
      </c>
      <c r="S650" s="1"/>
      <c r="T650" s="1" t="n">
        <v>0</v>
      </c>
      <c r="U650" s="1" t="n">
        <v>0</v>
      </c>
      <c r="V650" s="1" t="n">
        <v>0</v>
      </c>
      <c r="W650" s="1"/>
      <c r="Y650" s="1" t="n">
        <v>9</v>
      </c>
      <c r="Z650" s="0" t="s">
        <v>175</v>
      </c>
      <c r="AA650" s="0" t="s">
        <v>187</v>
      </c>
      <c r="AC650" s="0" t="s">
        <v>177</v>
      </c>
      <c r="AD650" s="0" t="s">
        <v>881</v>
      </c>
      <c r="AE650" s="0" t="s">
        <v>1906</v>
      </c>
      <c r="AH650" s="0" t="s">
        <v>180</v>
      </c>
      <c r="AJ650" s="0" t="s">
        <v>437</v>
      </c>
      <c r="AK650" s="0" t="s">
        <v>94</v>
      </c>
      <c r="AL650" s="0" t="s">
        <v>95</v>
      </c>
      <c r="AM650" s="0" t="s">
        <v>96</v>
      </c>
      <c r="AU650" s="0" t="s">
        <v>104</v>
      </c>
      <c r="AV650" s="0" t="s">
        <v>105</v>
      </c>
    </row>
    <row r="651" ht="24.75">
      <c r="B651" s="0" t="s">
        <v>1907</v>
      </c>
      <c r="C651" s="1" t="n">
        <v>353321</v>
      </c>
      <c r="E651" s="14" t="s">
        <v>440</v>
      </c>
      <c r="F651" s="14" t="s">
        <v>169</v>
      </c>
      <c r="G651" s="25" t="str">
        <f>HYPERLINK("http://www.ok.ru/profile/539890705849/statuses/155683886560697")</f>
      </c>
      <c r="H651" s="14" t="s">
        <v>170</v>
      </c>
      <c r="I651" s="14" t="s">
        <v>171</v>
      </c>
      <c r="J651" s="14" t="s">
        <v>1908</v>
      </c>
      <c r="K651" s="26" t="str">
        <f>HYPERLINK("http://www.ok.ru/profile/539890705849")</f>
      </c>
      <c r="L651" s="14" t="s">
        <v>173</v>
      </c>
      <c r="O651" s="1" t="s">
        <v>186</v>
      </c>
      <c r="P651" s="1" t="n">
        <v>67</v>
      </c>
      <c r="Q651" s="1" t="n">
        <v>226</v>
      </c>
      <c r="R651" s="1" t="n">
        <v>0</v>
      </c>
      <c r="S651" s="1"/>
      <c r="T651" s="1" t="n">
        <v>0</v>
      </c>
      <c r="U651" s="1" t="n">
        <v>1</v>
      </c>
      <c r="V651" s="1" t="n">
        <v>1</v>
      </c>
      <c r="W651" s="1"/>
      <c r="Y651" s="1" t="n">
        <v>17</v>
      </c>
      <c r="Z651" s="0" t="s">
        <v>175</v>
      </c>
      <c r="AA651" s="0" t="s">
        <v>176</v>
      </c>
      <c r="AC651" s="0" t="s">
        <v>177</v>
      </c>
      <c r="AD651" s="0" t="s">
        <v>561</v>
      </c>
      <c r="AE651" s="0" t="s">
        <v>1909</v>
      </c>
      <c r="AH651" s="0" t="s">
        <v>180</v>
      </c>
      <c r="AJ651" s="0" t="s">
        <v>437</v>
      </c>
      <c r="AK651" s="0" t="s">
        <v>94</v>
      </c>
      <c r="AL651" s="0" t="s">
        <v>95</v>
      </c>
      <c r="AM651" s="0" t="s">
        <v>96</v>
      </c>
      <c r="AO651" s="0" t="s">
        <v>98</v>
      </c>
      <c r="AQ651" s="0" t="s">
        <v>100</v>
      </c>
    </row>
    <row r="652" ht="36.75">
      <c r="B652" s="0" t="s">
        <v>1910</v>
      </c>
      <c r="C652" s="1" t="n">
        <v>354011</v>
      </c>
      <c r="E652" s="14" t="s">
        <v>1911</v>
      </c>
      <c r="F652" s="14" t="s">
        <v>169</v>
      </c>
      <c r="G652" s="25" t="str">
        <f>HYPERLINK("http://www.ok.ru/profile/555801501433/statuses/155284041761017")</f>
      </c>
      <c r="H652" s="14" t="s">
        <v>170</v>
      </c>
      <c r="I652" s="14" t="s">
        <v>171</v>
      </c>
      <c r="J652" s="14" t="s">
        <v>1912</v>
      </c>
      <c r="K652" s="26" t="str">
        <f>HYPERLINK("http://www.ok.ru/profile/555801501433")</f>
      </c>
      <c r="L652" s="14" t="s">
        <v>173</v>
      </c>
      <c r="O652" s="1" t="s">
        <v>186</v>
      </c>
      <c r="P652" s="1" t="n">
        <v>67</v>
      </c>
      <c r="Q652" s="1" t="n">
        <v>691</v>
      </c>
      <c r="R652" s="1" t="n">
        <v>0</v>
      </c>
      <c r="S652" s="1"/>
      <c r="T652" s="1" t="n">
        <v>0</v>
      </c>
      <c r="U652" s="1" t="n">
        <v>2</v>
      </c>
      <c r="V652" s="1" t="n">
        <v>2</v>
      </c>
      <c r="W652" s="1"/>
      <c r="Y652" s="1" t="n">
        <v>1</v>
      </c>
      <c r="Z652" s="0" t="s">
        <v>175</v>
      </c>
      <c r="AA652" s="0" t="s">
        <v>176</v>
      </c>
      <c r="AC652" s="0" t="s">
        <v>177</v>
      </c>
      <c r="AH652" s="0" t="s">
        <v>180</v>
      </c>
      <c r="AJ652" s="0" t="s">
        <v>437</v>
      </c>
      <c r="AL652" s="0" t="s">
        <v>95</v>
      </c>
      <c r="AM652" s="0" t="s">
        <v>96</v>
      </c>
      <c r="AO652" s="0" t="s">
        <v>98</v>
      </c>
    </row>
    <row r="653" ht="108.75">
      <c r="B653" s="0" t="s">
        <v>1913</v>
      </c>
      <c r="C653" s="1" t="n">
        <v>353128</v>
      </c>
      <c r="E653" s="14" t="s">
        <v>529</v>
      </c>
      <c r="F653" s="14" t="s">
        <v>184</v>
      </c>
      <c r="G653" s="25" t="str">
        <f>HYPERLINK("http://vk.com/wall381386105_36746")</f>
      </c>
      <c r="H653" s="14" t="s">
        <v>170</v>
      </c>
      <c r="I653" s="14" t="s">
        <v>194</v>
      </c>
      <c r="J653" s="14" t="s">
        <v>1914</v>
      </c>
      <c r="K653" s="26" t="str">
        <f>HYPERLINK("http://vk.com/id381386105")</f>
      </c>
      <c r="L653" s="14" t="s">
        <v>173</v>
      </c>
      <c r="O653" s="1" t="s">
        <v>174</v>
      </c>
      <c r="P653" s="1" t="n">
        <v>60</v>
      </c>
      <c r="Q653" s="1" t="n">
        <v>2529</v>
      </c>
      <c r="R653" s="1" t="n">
        <v>0</v>
      </c>
      <c r="S653" s="1"/>
      <c r="T653" s="1" t="n">
        <v>0</v>
      </c>
      <c r="U653" s="1" t="n">
        <v>2</v>
      </c>
      <c r="V653" s="1" t="n">
        <v>2</v>
      </c>
      <c r="W653" s="1" t="n">
        <v>22</v>
      </c>
      <c r="Y653" s="1" t="n">
        <v>9</v>
      </c>
      <c r="Z653" s="0" t="s">
        <v>175</v>
      </c>
      <c r="AA653" s="0" t="s">
        <v>292</v>
      </c>
      <c r="AH653" s="0" t="s">
        <v>180</v>
      </c>
      <c r="AJ653" s="0" t="s">
        <v>437</v>
      </c>
      <c r="AK653" s="0" t="s">
        <v>94</v>
      </c>
      <c r="AL653" s="0" t="s">
        <v>95</v>
      </c>
      <c r="AR653" s="0" t="s">
        <v>101</v>
      </c>
      <c r="BA653" s="0" t="s">
        <v>110</v>
      </c>
      <c r="BF653" s="0" t="s">
        <v>115</v>
      </c>
    </row>
    <row r="654" ht="48.75">
      <c r="B654" s="0" t="s">
        <v>1915</v>
      </c>
      <c r="C654" s="1" t="n">
        <v>353135</v>
      </c>
      <c r="E654" s="14" t="s">
        <v>347</v>
      </c>
      <c r="F654" s="14" t="s">
        <v>169</v>
      </c>
      <c r="G654" s="25" t="str">
        <f>HYPERLINK("http://www.ok.ru/group/53329523048599/topic/155378633134999")</f>
      </c>
      <c r="H654" s="14" t="s">
        <v>170</v>
      </c>
      <c r="I654" s="14" t="s">
        <v>194</v>
      </c>
      <c r="J654" s="14" t="s">
        <v>1916</v>
      </c>
      <c r="K654" s="26" t="str">
        <f>HYPERLINK("http://www.ok.ru/group/53329523048599")</f>
      </c>
      <c r="L654" s="14" t="s">
        <v>274</v>
      </c>
      <c r="O654" s="1"/>
      <c r="P654" s="1"/>
      <c r="Q654" s="1" t="n">
        <v>20868</v>
      </c>
      <c r="R654" s="1" t="n">
        <v>4</v>
      </c>
      <c r="S654" s="1"/>
      <c r="T654" s="1" t="n">
        <v>2</v>
      </c>
      <c r="U654" s="1" t="n">
        <v>81</v>
      </c>
      <c r="V654" s="1" t="n">
        <v>87</v>
      </c>
      <c r="W654" s="1"/>
      <c r="Y654" s="1" t="n">
        <v>2</v>
      </c>
      <c r="Z654" s="0" t="s">
        <v>175</v>
      </c>
      <c r="AA654" s="0" t="s">
        <v>187</v>
      </c>
      <c r="AH654" s="0" t="s">
        <v>180</v>
      </c>
      <c r="AI654" s="0" t="s">
        <v>92</v>
      </c>
      <c r="AJ654" s="0" t="s">
        <v>437</v>
      </c>
      <c r="AK654" s="0" t="s">
        <v>94</v>
      </c>
      <c r="AL654" s="0" t="s">
        <v>95</v>
      </c>
      <c r="AM654" s="0" t="s">
        <v>96</v>
      </c>
      <c r="AX654" s="0" t="s">
        <v>107</v>
      </c>
    </row>
    <row r="655" ht="120.75">
      <c r="B655" s="0" t="s">
        <v>1917</v>
      </c>
      <c r="C655" s="1" t="n">
        <v>353190</v>
      </c>
      <c r="E655" s="14" t="s">
        <v>1846</v>
      </c>
      <c r="F655" s="14" t="s">
        <v>169</v>
      </c>
      <c r="G655" s="25" t="str">
        <f>HYPERLINK("http://www.ok.ru/profile/561247952113/statuses/156567547542513")</f>
      </c>
      <c r="H655" s="14" t="s">
        <v>170</v>
      </c>
      <c r="I655" s="14" t="s">
        <v>171</v>
      </c>
      <c r="J655" s="14" t="s">
        <v>1918</v>
      </c>
      <c r="K655" s="26" t="str">
        <f>HYPERLINK("http://www.ok.ru/profile/561247952113")</f>
      </c>
      <c r="L655" s="14" t="s">
        <v>173</v>
      </c>
      <c r="O655" s="1" t="s">
        <v>174</v>
      </c>
      <c r="P655" s="1"/>
      <c r="Q655" s="1" t="n">
        <v>1830</v>
      </c>
      <c r="R655" s="1" t="n">
        <v>0</v>
      </c>
      <c r="S655" s="1"/>
      <c r="T655" s="1" t="n">
        <v>0</v>
      </c>
      <c r="U655" s="1" t="n">
        <v>3</v>
      </c>
      <c r="V655" s="1" t="n">
        <v>3</v>
      </c>
      <c r="W655" s="1"/>
      <c r="Y655" s="1" t="n">
        <v>6</v>
      </c>
      <c r="Z655" s="0" t="s">
        <v>175</v>
      </c>
      <c r="AA655" s="0" t="s">
        <v>176</v>
      </c>
      <c r="AC655" s="0" t="s">
        <v>177</v>
      </c>
      <c r="AD655" s="0" t="s">
        <v>240</v>
      </c>
      <c r="AE655" s="0" t="s">
        <v>240</v>
      </c>
      <c r="AH655" s="0" t="s">
        <v>180</v>
      </c>
      <c r="AJ655" s="0" t="s">
        <v>437</v>
      </c>
      <c r="AL655" s="0" t="s">
        <v>95</v>
      </c>
      <c r="AM655" s="0" t="s">
        <v>96</v>
      </c>
      <c r="AO655" s="0" t="s">
        <v>98</v>
      </c>
    </row>
    <row r="656">
      <c r="B656" s="0" t="s">
        <v>1917</v>
      </c>
      <c r="C656" s="1" t="n">
        <v>353517</v>
      </c>
      <c r="E656" s="14" t="s">
        <v>1349</v>
      </c>
      <c r="F656" s="14" t="s">
        <v>169</v>
      </c>
      <c r="G656" s="25" t="str">
        <f>HYPERLINK("http://www.ok.ru/profile/562669683089/statuses/156515359902609")</f>
      </c>
      <c r="H656" s="14" t="s">
        <v>170</v>
      </c>
      <c r="I656" s="14" t="s">
        <v>194</v>
      </c>
      <c r="J656" s="14" t="s">
        <v>1919</v>
      </c>
      <c r="K656" s="26" t="str">
        <f>HYPERLINK("http://www.ok.ru/profile/562669683089")</f>
      </c>
      <c r="L656" s="14" t="s">
        <v>173</v>
      </c>
      <c r="O656" s="1" t="s">
        <v>186</v>
      </c>
      <c r="P656" s="1" t="n">
        <v>64</v>
      </c>
      <c r="Q656" s="1" t="n">
        <v>353</v>
      </c>
      <c r="R656" s="1" t="n">
        <v>0</v>
      </c>
      <c r="S656" s="1"/>
      <c r="T656" s="1" t="n">
        <v>0</v>
      </c>
      <c r="U656" s="1" t="n">
        <v>2</v>
      </c>
      <c r="V656" s="1" t="n">
        <v>2</v>
      </c>
      <c r="W656" s="1"/>
      <c r="Y656" s="1" t="n">
        <v>15</v>
      </c>
      <c r="Z656" s="0" t="s">
        <v>175</v>
      </c>
      <c r="AA656" s="0" t="s">
        <v>187</v>
      </c>
      <c r="AC656" s="0" t="s">
        <v>177</v>
      </c>
      <c r="AD656" s="0" t="s">
        <v>234</v>
      </c>
      <c r="AE656" s="0" t="s">
        <v>1920</v>
      </c>
      <c r="AH656" s="0" t="s">
        <v>180</v>
      </c>
      <c r="AJ656" s="0" t="s">
        <v>437</v>
      </c>
      <c r="AK656" s="0" t="s">
        <v>94</v>
      </c>
      <c r="AL656" s="0" t="s">
        <v>95</v>
      </c>
      <c r="AM656" s="0" t="s">
        <v>96</v>
      </c>
      <c r="AX656" s="0" t="s">
        <v>107</v>
      </c>
      <c r="BF656" s="0" t="s">
        <v>115</v>
      </c>
      <c r="BR656" s="0" t="s">
        <v>127</v>
      </c>
    </row>
    <row r="657">
      <c r="B657" s="0" t="s">
        <v>1921</v>
      </c>
      <c r="C657" s="1" t="n">
        <v>353575</v>
      </c>
      <c r="E657" s="14" t="s">
        <v>1922</v>
      </c>
      <c r="F657" s="14" t="s">
        <v>1923</v>
      </c>
      <c r="G657" s="25" t="str">
        <f>HYPERLINK("https://mom.life/post/6438cb35880b3a5230586947")</f>
      </c>
      <c r="H657" s="14" t="s">
        <v>264</v>
      </c>
      <c r="I657" s="14" t="s">
        <v>231</v>
      </c>
      <c r="J657" s="14" t="s">
        <v>1924</v>
      </c>
      <c r="K657" s="26" t="str">
        <f>HYPERLINK("https://mom.life/profile/5e734b0223d3e14ce82410db")</f>
      </c>
      <c r="L657" s="14"/>
      <c r="M657" s="14" t="s">
        <v>1925</v>
      </c>
      <c r="N657" s="25" t="str">
        <f>HYPERLINK("https://mom.life/")</f>
      </c>
      <c r="O657" s="1" t="s">
        <v>186</v>
      </c>
      <c r="P657" s="1"/>
      <c r="Q657" s="1"/>
      <c r="R657" s="1" t="n">
        <v>0</v>
      </c>
      <c r="S657" s="1"/>
      <c r="T657" s="1" t="n">
        <v>0</v>
      </c>
      <c r="U657" s="1" t="n">
        <v>0</v>
      </c>
      <c r="V657" s="1" t="n">
        <v>0</v>
      </c>
      <c r="W657" s="1"/>
      <c r="Y657" s="1" t="n">
        <v>1</v>
      </c>
      <c r="Z657" s="0" t="s">
        <v>463</v>
      </c>
      <c r="AA657" s="0" t="s">
        <v>187</v>
      </c>
      <c r="AC657" s="0" t="s">
        <v>177</v>
      </c>
      <c r="AD657" s="0" t="s">
        <v>881</v>
      </c>
      <c r="AE657" s="0" t="s">
        <v>882</v>
      </c>
      <c r="AH657" s="0" t="s">
        <v>180</v>
      </c>
      <c r="AI657" s="0" t="s">
        <v>92</v>
      </c>
      <c r="AJ657" s="0" t="s">
        <v>437</v>
      </c>
      <c r="AK657" s="0" t="s">
        <v>94</v>
      </c>
      <c r="AP657" s="0" t="s">
        <v>99</v>
      </c>
      <c r="AT657" s="0" t="s">
        <v>103</v>
      </c>
      <c r="CB657" s="0" t="s">
        <v>137</v>
      </c>
      <c r="CG657" s="0" t="s">
        <v>142</v>
      </c>
      <c r="CO657" s="0" t="s">
        <v>150</v>
      </c>
    </row>
    <row r="658">
      <c r="B658" s="0" t="s">
        <v>1926</v>
      </c>
      <c r="C658" s="1" t="n">
        <v>353137</v>
      </c>
      <c r="E658" s="14" t="s">
        <v>1927</v>
      </c>
      <c r="F658" s="14" t="s">
        <v>1923</v>
      </c>
      <c r="G658" s="25" t="str">
        <f>HYPERLINK("https://mom.life/post/6438cb35880b3a5230586947")</f>
      </c>
      <c r="H658" s="14" t="s">
        <v>264</v>
      </c>
      <c r="I658" s="14" t="s">
        <v>231</v>
      </c>
      <c r="J658" s="14" t="s">
        <v>1924</v>
      </c>
      <c r="K658" s="26" t="str">
        <f>HYPERLINK("https://mom.life/profile/5e734b0223d3e14ce82410db")</f>
      </c>
      <c r="L658" s="14"/>
      <c r="M658" s="14" t="s">
        <v>1925</v>
      </c>
      <c r="N658" s="25" t="str">
        <f>HYPERLINK("https://mom.life/")</f>
      </c>
      <c r="O658" s="1" t="s">
        <v>186</v>
      </c>
      <c r="P658" s="1"/>
      <c r="Q658" s="1"/>
      <c r="R658" s="1" t="n">
        <v>0</v>
      </c>
      <c r="S658" s="1"/>
      <c r="T658" s="1" t="n">
        <v>0</v>
      </c>
      <c r="U658" s="1" t="n">
        <v>0</v>
      </c>
      <c r="V658" s="1" t="n">
        <v>0</v>
      </c>
      <c r="W658" s="1"/>
      <c r="Y658" s="1" t="n">
        <v>1</v>
      </c>
      <c r="Z658" s="0" t="s">
        <v>463</v>
      </c>
      <c r="AA658" s="0" t="s">
        <v>187</v>
      </c>
      <c r="AC658" s="0" t="s">
        <v>177</v>
      </c>
      <c r="AD658" s="0" t="s">
        <v>881</v>
      </c>
      <c r="AE658" s="0" t="s">
        <v>882</v>
      </c>
      <c r="AH658" s="0" t="s">
        <v>180</v>
      </c>
      <c r="AI658" s="0" t="s">
        <v>92</v>
      </c>
      <c r="AJ658" s="0" t="s">
        <v>437</v>
      </c>
      <c r="AK658" s="0" t="s">
        <v>94</v>
      </c>
      <c r="AN658" s="0" t="s">
        <v>97</v>
      </c>
      <c r="AP658" s="0" t="s">
        <v>99</v>
      </c>
      <c r="AT658" s="0" t="s">
        <v>103</v>
      </c>
      <c r="BY658" s="0" t="s">
        <v>134</v>
      </c>
      <c r="CB658" s="0" t="s">
        <v>137</v>
      </c>
    </row>
    <row r="659" ht="24.75">
      <c r="B659" s="0" t="s">
        <v>1928</v>
      </c>
      <c r="C659" s="1" t="n">
        <v>354034</v>
      </c>
      <c r="E659" s="14" t="s">
        <v>390</v>
      </c>
      <c r="F659" s="14" t="s">
        <v>169</v>
      </c>
      <c r="G659" s="25" t="str">
        <f>HYPERLINK("http://www.ok.ru/profile/576168828394/statuses/156307592573162")</f>
      </c>
      <c r="H659" s="14" t="s">
        <v>170</v>
      </c>
      <c r="I659" s="14" t="s">
        <v>171</v>
      </c>
      <c r="J659" s="14" t="s">
        <v>1929</v>
      </c>
      <c r="K659" s="26" t="str">
        <f>HYPERLINK("http://www.ok.ru/profile/576168828394")</f>
      </c>
      <c r="L659" s="14" t="s">
        <v>173</v>
      </c>
      <c r="O659" s="1" t="s">
        <v>186</v>
      </c>
      <c r="P659" s="1" t="n">
        <v>62</v>
      </c>
      <c r="Q659" s="1" t="n">
        <v>152</v>
      </c>
      <c r="R659" s="1" t="n">
        <v>0</v>
      </c>
      <c r="S659" s="1"/>
      <c r="T659" s="1" t="n">
        <v>0</v>
      </c>
      <c r="U659" s="1" t="n">
        <v>1</v>
      </c>
      <c r="V659" s="1" t="n">
        <v>1</v>
      </c>
      <c r="W659" s="1"/>
      <c r="Y659" s="1" t="n">
        <v>6</v>
      </c>
      <c r="Z659" s="0" t="s">
        <v>175</v>
      </c>
      <c r="AA659" s="0" t="s">
        <v>292</v>
      </c>
      <c r="AC659" s="0" t="s">
        <v>177</v>
      </c>
      <c r="AD659" s="0" t="s">
        <v>1930</v>
      </c>
      <c r="AE659" s="0" t="s">
        <v>1931</v>
      </c>
      <c r="AH659" s="0" t="s">
        <v>180</v>
      </c>
      <c r="AJ659" s="0" t="s">
        <v>181</v>
      </c>
      <c r="AK659" s="0" t="s">
        <v>94</v>
      </c>
      <c r="AX659" s="0" t="s">
        <v>107</v>
      </c>
      <c r="BR659" s="0" t="s">
        <v>127</v>
      </c>
    </row>
    <row r="660" ht="72.75">
      <c r="B660" s="0" t="s">
        <v>1928</v>
      </c>
      <c r="C660" s="1" t="n">
        <v>353215</v>
      </c>
      <c r="D660" s="0" t="s">
        <v>1758</v>
      </c>
      <c r="E660" s="14" t="s">
        <v>1932</v>
      </c>
      <c r="F660" s="14" t="s">
        <v>1933</v>
      </c>
      <c r="G660" s="25" t="str">
        <f>HYPERLINK("https://superomsk.ru/news/124323-v_omske_podskochili_tsen_na_lekarstva_iz_spiska_ji/")</f>
      </c>
      <c r="H660" s="14" t="s">
        <v>208</v>
      </c>
      <c r="I660" s="14" t="s">
        <v>194</v>
      </c>
      <c r="J660" s="14"/>
      <c r="L660" s="14"/>
      <c r="O660" s="1"/>
      <c r="P660" s="1"/>
      <c r="Q660" s="1"/>
      <c r="R660" s="1" t="n">
        <v>0</v>
      </c>
      <c r="S660" s="1" t="n">
        <v>5216</v>
      </c>
      <c r="T660" s="1" t="n">
        <v>0</v>
      </c>
      <c r="U660" s="1" t="n">
        <v>0</v>
      </c>
      <c r="V660" s="1" t="n">
        <v>0</v>
      </c>
      <c r="W660" s="1"/>
      <c r="Y660" s="1" t="n">
        <v>1</v>
      </c>
      <c r="Z660" s="0" t="s">
        <v>175</v>
      </c>
      <c r="AA660" s="0" t="s">
        <v>176</v>
      </c>
      <c r="AH660" s="0" t="s">
        <v>180</v>
      </c>
      <c r="AJ660" s="0" t="s">
        <v>437</v>
      </c>
      <c r="AM660" s="0" t="s">
        <v>96</v>
      </c>
      <c r="AP660" s="0" t="s">
        <v>99</v>
      </c>
      <c r="BD660" s="0" t="s">
        <v>113</v>
      </c>
    </row>
    <row r="661" ht="36.75">
      <c r="B661" s="0" t="s">
        <v>1934</v>
      </c>
      <c r="C661" s="1" t="n">
        <v>353495</v>
      </c>
      <c r="E661" s="14" t="s">
        <v>1189</v>
      </c>
      <c r="F661" s="14" t="s">
        <v>169</v>
      </c>
      <c r="G661" s="25" t="str">
        <f>HYPERLINK("http://www.ok.ru/profile/563151551153/statuses/156717325007025")</f>
      </c>
      <c r="H661" s="14" t="s">
        <v>170</v>
      </c>
      <c r="I661" s="14" t="s">
        <v>171</v>
      </c>
      <c r="J661" s="14" t="s">
        <v>1935</v>
      </c>
      <c r="K661" s="26" t="str">
        <f>HYPERLINK("http://www.ok.ru/profile/563151551153")</f>
      </c>
      <c r="L661" s="14" t="s">
        <v>173</v>
      </c>
      <c r="O661" s="1" t="s">
        <v>174</v>
      </c>
      <c r="P661" s="1" t="n">
        <v>68</v>
      </c>
      <c r="Q661" s="1" t="n">
        <v>724</v>
      </c>
      <c r="R661" s="1" t="n">
        <v>0</v>
      </c>
      <c r="S661" s="1"/>
      <c r="T661" s="1" t="n">
        <v>0</v>
      </c>
      <c r="U661" s="1" t="n">
        <v>8</v>
      </c>
      <c r="V661" s="1" t="n">
        <v>8</v>
      </c>
      <c r="W661" s="1"/>
      <c r="Y661" s="1" t="n">
        <v>46</v>
      </c>
      <c r="Z661" s="0" t="s">
        <v>175</v>
      </c>
      <c r="AA661" s="0" t="s">
        <v>187</v>
      </c>
      <c r="AC661" s="0" t="s">
        <v>177</v>
      </c>
      <c r="AD661" s="0" t="s">
        <v>513</v>
      </c>
      <c r="AE661" s="0" t="s">
        <v>1936</v>
      </c>
      <c r="AH661" s="0" t="s">
        <v>180</v>
      </c>
      <c r="AJ661" s="0" t="s">
        <v>437</v>
      </c>
      <c r="AK661" s="0" t="s">
        <v>94</v>
      </c>
      <c r="AL661" s="0" t="s">
        <v>95</v>
      </c>
      <c r="AM661" s="0" t="s">
        <v>96</v>
      </c>
      <c r="AO661" s="0" t="s">
        <v>98</v>
      </c>
      <c r="AQ661" s="0" t="s">
        <v>100</v>
      </c>
    </row>
    <row r="662" ht="36.75">
      <c r="B662" s="0" t="s">
        <v>1937</v>
      </c>
      <c r="C662" s="1" t="n">
        <v>353127</v>
      </c>
      <c r="E662" s="14" t="s">
        <v>1938</v>
      </c>
      <c r="F662" s="14" t="s">
        <v>1923</v>
      </c>
      <c r="G662" s="25" t="str">
        <f>HYPERLINK("https://mom.life/post/6438cb35880b3a5230586947")</f>
      </c>
      <c r="H662" s="14" t="s">
        <v>264</v>
      </c>
      <c r="I662" s="14" t="s">
        <v>194</v>
      </c>
      <c r="J662" s="14" t="s">
        <v>1925</v>
      </c>
      <c r="K662" s="26" t="str">
        <f>HYPERLINK("https://mom.life/")</f>
      </c>
      <c r="L662" s="14"/>
      <c r="O662" s="1" t="s">
        <v>186</v>
      </c>
      <c r="P662" s="1"/>
      <c r="Q662" s="1"/>
      <c r="R662" s="1" t="n">
        <v>0</v>
      </c>
      <c r="S662" s="1"/>
      <c r="T662" s="1" t="n">
        <v>0</v>
      </c>
      <c r="U662" s="1" t="n">
        <v>0</v>
      </c>
      <c r="V662" s="1" t="n">
        <v>0</v>
      </c>
      <c r="W662" s="1"/>
      <c r="Y662" s="1" t="n">
        <v>1</v>
      </c>
      <c r="Z662" s="0" t="s">
        <v>175</v>
      </c>
      <c r="AA662" s="0" t="s">
        <v>187</v>
      </c>
      <c r="AB662" s="0" t="s">
        <v>85</v>
      </c>
      <c r="AC662" s="0" t="s">
        <v>177</v>
      </c>
      <c r="AD662" s="0" t="s">
        <v>681</v>
      </c>
      <c r="AE662" s="0" t="s">
        <v>682</v>
      </c>
      <c r="AH662" s="0" t="s">
        <v>180</v>
      </c>
      <c r="AJ662" s="0" t="s">
        <v>437</v>
      </c>
      <c r="AK662" s="0" t="s">
        <v>94</v>
      </c>
      <c r="AN662" s="0" t="s">
        <v>97</v>
      </c>
      <c r="AP662" s="0" t="s">
        <v>99</v>
      </c>
      <c r="AT662" s="0" t="s">
        <v>103</v>
      </c>
      <c r="AW662" s="0" t="s">
        <v>106</v>
      </c>
      <c r="BB662" s="0" t="s">
        <v>111</v>
      </c>
      <c r="BE662" s="0" t="s">
        <v>114</v>
      </c>
      <c r="BL662" s="0" t="s">
        <v>121</v>
      </c>
      <c r="BO662" s="0" t="s">
        <v>124</v>
      </c>
      <c r="CB662" s="0" t="s">
        <v>137</v>
      </c>
    </row>
    <row r="663" ht="24.75">
      <c r="B663" s="0" t="s">
        <v>1937</v>
      </c>
      <c r="C663" s="1" t="n">
        <v>353329</v>
      </c>
      <c r="E663" s="14" t="s">
        <v>440</v>
      </c>
      <c r="F663" s="14" t="s">
        <v>169</v>
      </c>
      <c r="G663" s="25" t="str">
        <f>HYPERLINK("http://www.ok.ru/profile/165636450528/statuses/154797371833824")</f>
      </c>
      <c r="H663" s="14" t="s">
        <v>170</v>
      </c>
      <c r="I663" s="14" t="s">
        <v>171</v>
      </c>
      <c r="J663" s="14" t="s">
        <v>1939</v>
      </c>
      <c r="K663" s="26" t="str">
        <f>HYPERLINK("http://www.ok.ru/profile/165636450528")</f>
      </c>
      <c r="L663" s="14" t="s">
        <v>173</v>
      </c>
      <c r="O663" s="1" t="s">
        <v>186</v>
      </c>
      <c r="P663" s="1" t="n">
        <v>67</v>
      </c>
      <c r="Q663" s="1" t="n">
        <v>224</v>
      </c>
      <c r="R663" s="1" t="n">
        <v>0</v>
      </c>
      <c r="S663" s="1"/>
      <c r="T663" s="1" t="n">
        <v>1</v>
      </c>
      <c r="U663" s="1" t="n">
        <v>0</v>
      </c>
      <c r="V663" s="1" t="n">
        <v>1</v>
      </c>
      <c r="W663" s="1"/>
      <c r="Y663" s="1" t="n">
        <v>17</v>
      </c>
      <c r="Z663" s="0" t="s">
        <v>175</v>
      </c>
      <c r="AA663" s="0" t="s">
        <v>176</v>
      </c>
      <c r="AC663" s="0" t="s">
        <v>177</v>
      </c>
      <c r="AD663" s="0" t="s">
        <v>1385</v>
      </c>
      <c r="AE663" s="0" t="s">
        <v>1386</v>
      </c>
      <c r="AH663" s="0" t="s">
        <v>180</v>
      </c>
      <c r="AJ663" s="0" t="s">
        <v>437</v>
      </c>
      <c r="AK663" s="0" t="s">
        <v>94</v>
      </c>
      <c r="AL663" s="0" t="s">
        <v>95</v>
      </c>
      <c r="AM663" s="0" t="s">
        <v>96</v>
      </c>
      <c r="AO663" s="0" t="s">
        <v>98</v>
      </c>
      <c r="AQ663" s="0" t="s">
        <v>100</v>
      </c>
    </row>
    <row r="664" ht="24.75">
      <c r="B664" s="0" t="s">
        <v>1937</v>
      </c>
      <c r="C664" s="1" t="n">
        <v>353314</v>
      </c>
      <c r="E664" s="14" t="s">
        <v>1940</v>
      </c>
      <c r="F664" s="14" t="s">
        <v>169</v>
      </c>
      <c r="G664" s="25" t="str">
        <f>HYPERLINK("http://www.ok.ru/profile/537829469693/statuses/155068676113405")</f>
      </c>
      <c r="H664" s="14" t="s">
        <v>170</v>
      </c>
      <c r="I664" s="14" t="s">
        <v>171</v>
      </c>
      <c r="J664" s="14" t="s">
        <v>1941</v>
      </c>
      <c r="K664" s="26" t="str">
        <f>HYPERLINK("http://www.ok.ru/profile/537829469693")</f>
      </c>
      <c r="L664" s="14" t="s">
        <v>173</v>
      </c>
      <c r="O664" s="1" t="s">
        <v>186</v>
      </c>
      <c r="P664" s="1" t="n">
        <v>58</v>
      </c>
      <c r="Q664" s="1" t="n">
        <v>163</v>
      </c>
      <c r="R664" s="1" t="n">
        <v>0</v>
      </c>
      <c r="S664" s="1"/>
      <c r="T664" s="1" t="n">
        <v>0</v>
      </c>
      <c r="U664" s="1" t="n">
        <v>0</v>
      </c>
      <c r="V664" s="1" t="n">
        <v>0</v>
      </c>
      <c r="W664" s="1"/>
      <c r="Y664" s="1" t="n">
        <v>2</v>
      </c>
      <c r="Z664" s="0" t="s">
        <v>175</v>
      </c>
      <c r="AA664" s="0" t="s">
        <v>187</v>
      </c>
      <c r="AC664" s="0" t="s">
        <v>177</v>
      </c>
      <c r="AH664" s="0" t="s">
        <v>180</v>
      </c>
      <c r="AJ664" s="0" t="s">
        <v>437</v>
      </c>
      <c r="AK664" s="0" t="s">
        <v>94</v>
      </c>
      <c r="AL664" s="0" t="s">
        <v>95</v>
      </c>
      <c r="AM664" s="0" t="s">
        <v>96</v>
      </c>
      <c r="AU664" s="0" t="s">
        <v>104</v>
      </c>
      <c r="AV664" s="0" t="s">
        <v>105</v>
      </c>
    </row>
    <row r="665" ht="1164.75">
      <c r="B665" s="0" t="s">
        <v>1937</v>
      </c>
      <c r="C665" s="1" t="n">
        <v>353105</v>
      </c>
      <c r="E665" s="14" t="s">
        <v>269</v>
      </c>
      <c r="F665" s="14" t="s">
        <v>184</v>
      </c>
      <c r="G665" s="25" t="str">
        <f>HYPERLINK("http://vk.com/wall425267596_2274")</f>
      </c>
      <c r="H665" s="14" t="s">
        <v>170</v>
      </c>
      <c r="I665" s="14" t="s">
        <v>171</v>
      </c>
      <c r="J665" s="14" t="s">
        <v>1942</v>
      </c>
      <c r="K665" s="26" t="str">
        <f>HYPERLINK("http://vk.com/id425267596")</f>
      </c>
      <c r="L665" s="14" t="s">
        <v>173</v>
      </c>
      <c r="O665" s="1" t="s">
        <v>186</v>
      </c>
      <c r="P665" s="1"/>
      <c r="Q665" s="1" t="n">
        <v>142</v>
      </c>
      <c r="R665" s="1" t="n">
        <v>0</v>
      </c>
      <c r="S665" s="1"/>
      <c r="T665" s="1" t="n">
        <v>0</v>
      </c>
      <c r="U665" s="1" t="n">
        <v>0</v>
      </c>
      <c r="V665" s="1" t="n">
        <v>0</v>
      </c>
      <c r="W665" s="1" t="n">
        <v>1</v>
      </c>
      <c r="Y665" s="1" t="n">
        <v>24</v>
      </c>
      <c r="Z665" s="0" t="s">
        <v>175</v>
      </c>
      <c r="AA665" s="0" t="s">
        <v>187</v>
      </c>
      <c r="AH665" s="0" t="s">
        <v>180</v>
      </c>
      <c r="AJ665" s="0" t="s">
        <v>437</v>
      </c>
      <c r="AK665" s="0" t="s">
        <v>94</v>
      </c>
      <c r="AL665" s="0" t="s">
        <v>95</v>
      </c>
      <c r="AM665" s="0" t="s">
        <v>96</v>
      </c>
      <c r="AX665" s="0" t="s">
        <v>107</v>
      </c>
    </row>
    <row r="666" ht="60.75">
      <c r="B666" s="0" t="s">
        <v>1943</v>
      </c>
      <c r="C666" s="1" t="n">
        <v>353101</v>
      </c>
      <c r="D666" s="0" t="s">
        <v>1944</v>
      </c>
      <c r="E666" s="14" t="s">
        <v>1945</v>
      </c>
      <c r="F666" s="14" t="s">
        <v>1946</v>
      </c>
      <c r="G666" s="25" t="str">
        <f>HYPERLINK("http://kvnews.ru/news-feed/pod-konets-zimy-v-omskoy-oblasti-zametno-podorozhalo-lekarstvo-ot-otkov")</f>
      </c>
      <c r="H666" s="14" t="s">
        <v>208</v>
      </c>
      <c r="I666" s="14" t="s">
        <v>194</v>
      </c>
      <c r="J666" s="14"/>
      <c r="L666" s="14"/>
      <c r="O666" s="1"/>
      <c r="P666" s="1"/>
      <c r="Q666" s="1"/>
      <c r="R666" s="1" t="n">
        <v>0</v>
      </c>
      <c r="S666" s="1" t="n">
        <v>4103</v>
      </c>
      <c r="T666" s="1" t="n">
        <v>0</v>
      </c>
      <c r="U666" s="1" t="n">
        <v>0</v>
      </c>
      <c r="V666" s="1" t="n">
        <v>0</v>
      </c>
      <c r="W666" s="1"/>
      <c r="Y666" s="1" t="n">
        <v>2</v>
      </c>
      <c r="Z666" s="0" t="s">
        <v>175</v>
      </c>
      <c r="AA666" s="0" t="s">
        <v>223</v>
      </c>
      <c r="AH666" s="0" t="s">
        <v>180</v>
      </c>
      <c r="AJ666" s="0" t="s">
        <v>437</v>
      </c>
      <c r="AM666" s="0" t="s">
        <v>96</v>
      </c>
      <c r="AP666" s="0" t="s">
        <v>99</v>
      </c>
      <c r="BD666" s="0" t="s">
        <v>113</v>
      </c>
    </row>
    <row r="667" ht="36.75">
      <c r="B667" s="0" t="s">
        <v>1943</v>
      </c>
      <c r="C667" s="1" t="n">
        <v>353197</v>
      </c>
      <c r="E667" s="14" t="s">
        <v>1189</v>
      </c>
      <c r="F667" s="14" t="s">
        <v>169</v>
      </c>
      <c r="G667" s="25" t="str">
        <f>HYPERLINK("http://www.ok.ru/profile/537036869178/statuses/155479325418298")</f>
      </c>
      <c r="H667" s="14" t="s">
        <v>170</v>
      </c>
      <c r="I667" s="14" t="s">
        <v>171</v>
      </c>
      <c r="J667" s="14" t="s">
        <v>1947</v>
      </c>
      <c r="K667" s="26" t="str">
        <f>HYPERLINK("http://www.ok.ru/profile/537036869178")</f>
      </c>
      <c r="L667" s="14" t="s">
        <v>173</v>
      </c>
      <c r="O667" s="1" t="s">
        <v>186</v>
      </c>
      <c r="P667" s="1" t="n">
        <v>67</v>
      </c>
      <c r="Q667" s="1" t="n">
        <v>195</v>
      </c>
      <c r="R667" s="1" t="n">
        <v>0</v>
      </c>
      <c r="S667" s="1"/>
      <c r="T667" s="1" t="n">
        <v>0</v>
      </c>
      <c r="U667" s="1" t="n">
        <v>1</v>
      </c>
      <c r="V667" s="1" t="n">
        <v>1</v>
      </c>
      <c r="W667" s="1"/>
      <c r="Y667" s="1" t="n">
        <v>46</v>
      </c>
      <c r="Z667" s="0" t="s">
        <v>175</v>
      </c>
      <c r="AA667" s="0" t="s">
        <v>187</v>
      </c>
      <c r="AC667" s="0" t="s">
        <v>177</v>
      </c>
      <c r="AD667" s="0" t="s">
        <v>188</v>
      </c>
      <c r="AE667" s="0" t="s">
        <v>1342</v>
      </c>
      <c r="AH667" s="0" t="s">
        <v>180</v>
      </c>
      <c r="AJ667" s="0" t="s">
        <v>437</v>
      </c>
      <c r="AK667" s="0" t="s">
        <v>94</v>
      </c>
      <c r="AL667" s="0" t="s">
        <v>95</v>
      </c>
      <c r="AM667" s="0" t="s">
        <v>96</v>
      </c>
      <c r="AO667" s="0" t="s">
        <v>98</v>
      </c>
      <c r="AQ667" s="0" t="s">
        <v>100</v>
      </c>
    </row>
    <row r="668" ht="504.75">
      <c r="B668" s="0" t="s">
        <v>1948</v>
      </c>
      <c r="C668" s="1" t="n">
        <v>353412</v>
      </c>
      <c r="D668" s="0" t="s">
        <v>1949</v>
      </c>
      <c r="E668" s="14" t="s">
        <v>1950</v>
      </c>
      <c r="F668" s="14" t="s">
        <v>1951</v>
      </c>
      <c r="G668" s="25" t="str">
        <f>HYPERLINK("https://compromat41.com/wiki/item/70756-virus-zhadnosti-glavnoe-rossiyskoe-lekarstvo-ot-covid-19-okazalos-pustyshkoy-zakuplennoy-v-kitae-i-krayne-toksichnoy")</f>
      </c>
      <c r="H668" s="14" t="s">
        <v>208</v>
      </c>
      <c r="I668" s="14" t="s">
        <v>194</v>
      </c>
      <c r="J668" s="14"/>
      <c r="L668" s="14"/>
      <c r="O668" s="1"/>
      <c r="P668" s="1"/>
      <c r="Q668" s="1"/>
      <c r="R668" s="1" t="n">
        <v>0</v>
      </c>
      <c r="S668" s="1" t="n">
        <v>1505</v>
      </c>
      <c r="T668" s="1" t="n">
        <v>0</v>
      </c>
      <c r="U668" s="1" t="n">
        <v>0</v>
      </c>
      <c r="V668" s="1" t="n">
        <v>0</v>
      </c>
      <c r="W668" s="1"/>
      <c r="Y668" s="1" t="n">
        <v>1</v>
      </c>
      <c r="Z668" s="0" t="s">
        <v>175</v>
      </c>
      <c r="AA668" s="0" t="s">
        <v>187</v>
      </c>
      <c r="AH668" s="0" t="s">
        <v>180</v>
      </c>
      <c r="AJ668" s="0" t="s">
        <v>437</v>
      </c>
      <c r="AK668" s="0" t="s">
        <v>94</v>
      </c>
      <c r="AP668" s="0" t="s">
        <v>99</v>
      </c>
      <c r="AR668" s="0" t="s">
        <v>101</v>
      </c>
      <c r="BA668" s="0" t="s">
        <v>110</v>
      </c>
    </row>
    <row r="669" ht="204.75">
      <c r="B669" s="0" t="s">
        <v>1952</v>
      </c>
      <c r="C669" s="1" t="n">
        <v>353100</v>
      </c>
      <c r="D669" s="0" t="s">
        <v>1953</v>
      </c>
      <c r="E669" s="14" t="s">
        <v>1954</v>
      </c>
      <c r="F669" s="14" t="s">
        <v>1955</v>
      </c>
      <c r="G669" s="25" t="str">
        <f>HYPERLINK("https://oha.bezformata.com/listnews/rasskazal-kak-izmenilis-tceni/116228214/")</f>
      </c>
      <c r="H669" s="14" t="s">
        <v>208</v>
      </c>
      <c r="I669" s="14" t="s">
        <v>194</v>
      </c>
      <c r="J669" s="14"/>
      <c r="L669" s="14"/>
      <c r="O669" s="1"/>
      <c r="P669" s="1"/>
      <c r="Q669" s="1"/>
      <c r="R669" s="1" t="n">
        <v>0</v>
      </c>
      <c r="S669" s="1" t="n">
        <v>40</v>
      </c>
      <c r="T669" s="1" t="n">
        <v>0</v>
      </c>
      <c r="U669" s="1" t="n">
        <v>0</v>
      </c>
      <c r="V669" s="1" t="n">
        <v>0</v>
      </c>
      <c r="W669" s="1"/>
      <c r="Y669" s="1" t="n">
        <v>1</v>
      </c>
      <c r="Z669" s="0" t="s">
        <v>175</v>
      </c>
      <c r="AA669" s="0" t="s">
        <v>187</v>
      </c>
      <c r="AH669" s="0" t="s">
        <v>180</v>
      </c>
      <c r="AJ669" s="0" t="s">
        <v>437</v>
      </c>
      <c r="AK669" s="0" t="s">
        <v>94</v>
      </c>
      <c r="AM669" s="0" t="s">
        <v>96</v>
      </c>
      <c r="AP669" s="0" t="s">
        <v>99</v>
      </c>
      <c r="BI669" s="0" t="s">
        <v>118</v>
      </c>
    </row>
    <row r="670">
      <c r="B670" s="0" t="s">
        <v>1956</v>
      </c>
      <c r="C670" s="1" t="n">
        <v>353111</v>
      </c>
      <c r="E670" s="14" t="s">
        <v>1957</v>
      </c>
      <c r="F670" s="14" t="s">
        <v>169</v>
      </c>
      <c r="G670" s="25" t="str">
        <f>HYPERLINK("http://www.ok.ru/group/53516342591590/topic/155236909279334")</f>
      </c>
      <c r="H670" s="14" t="s">
        <v>170</v>
      </c>
      <c r="I670" s="14" t="s">
        <v>171</v>
      </c>
      <c r="J670" s="14" t="s">
        <v>1958</v>
      </c>
      <c r="K670" s="26" t="str">
        <f>HYPERLINK("http://www.ok.ru/profile/569460760498")</f>
      </c>
      <c r="L670" s="14" t="s">
        <v>173</v>
      </c>
      <c r="M670" s="14" t="s">
        <v>1959</v>
      </c>
      <c r="N670" s="25" t="str">
        <f>HYPERLINK("http://www.ok.ru/group/53516342591590")</f>
      </c>
      <c r="O670" s="1" t="s">
        <v>174</v>
      </c>
      <c r="P670" s="1" t="n">
        <v>58</v>
      </c>
      <c r="Q670" s="1" t="n">
        <v>6501</v>
      </c>
      <c r="R670" s="1" t="n">
        <v>0</v>
      </c>
      <c r="S670" s="1"/>
      <c r="T670" s="1" t="n">
        <v>1</v>
      </c>
      <c r="U670" s="1" t="n">
        <v>4</v>
      </c>
      <c r="V670" s="1" t="n">
        <v>5</v>
      </c>
      <c r="W670" s="1"/>
      <c r="Y670" s="1" t="n">
        <v>1</v>
      </c>
      <c r="Z670" s="0" t="s">
        <v>175</v>
      </c>
      <c r="AA670" s="0" t="s">
        <v>187</v>
      </c>
      <c r="AC670" s="0" t="s">
        <v>177</v>
      </c>
      <c r="AD670" s="0" t="s">
        <v>1714</v>
      </c>
      <c r="AE670" s="0" t="s">
        <v>1960</v>
      </c>
      <c r="AH670" s="0" t="s">
        <v>180</v>
      </c>
      <c r="AJ670" s="0" t="s">
        <v>437</v>
      </c>
      <c r="AK670" s="0" t="s">
        <v>94</v>
      </c>
      <c r="AL670" s="0" t="s">
        <v>95</v>
      </c>
      <c r="AM670" s="0" t="s">
        <v>96</v>
      </c>
      <c r="AX670" s="0" t="s">
        <v>107</v>
      </c>
      <c r="BR670" s="0" t="s">
        <v>127</v>
      </c>
    </row>
    <row r="671">
      <c r="B671" s="0" t="s">
        <v>1961</v>
      </c>
      <c r="C671" s="1" t="n">
        <v>353728</v>
      </c>
      <c r="E671" s="14" t="s">
        <v>1962</v>
      </c>
      <c r="F671" s="14" t="s">
        <v>169</v>
      </c>
      <c r="G671" s="25" t="str">
        <f>HYPERLINK("http://www.ok.ru/profile/568025139843/statuses/154870451922307")</f>
      </c>
      <c r="H671" s="14" t="s">
        <v>170</v>
      </c>
      <c r="I671" s="14" t="s">
        <v>194</v>
      </c>
      <c r="J671" s="14" t="s">
        <v>1963</v>
      </c>
      <c r="K671" s="26" t="str">
        <f>HYPERLINK("http://www.ok.ru/profile/568025139843")</f>
      </c>
      <c r="L671" s="14" t="s">
        <v>173</v>
      </c>
      <c r="O671" s="1" t="s">
        <v>174</v>
      </c>
      <c r="P671" s="1" t="n">
        <v>70</v>
      </c>
      <c r="Q671" s="1" t="n">
        <v>105</v>
      </c>
      <c r="R671" s="1" t="n">
        <v>0</v>
      </c>
      <c r="S671" s="1"/>
      <c r="T671" s="1" t="n">
        <v>0</v>
      </c>
      <c r="U671" s="1" t="n">
        <v>0</v>
      </c>
      <c r="V671" s="1" t="n">
        <v>0</v>
      </c>
      <c r="W671" s="1"/>
      <c r="Y671" s="1" t="n">
        <v>1</v>
      </c>
      <c r="Z671" s="0" t="s">
        <v>175</v>
      </c>
      <c r="AA671" s="0" t="s">
        <v>187</v>
      </c>
      <c r="AC671" s="0" t="s">
        <v>177</v>
      </c>
      <c r="AD671" s="0" t="s">
        <v>556</v>
      </c>
      <c r="AE671" s="0" t="s">
        <v>1868</v>
      </c>
      <c r="AH671" s="0" t="s">
        <v>180</v>
      </c>
      <c r="AJ671" s="0" t="s">
        <v>437</v>
      </c>
      <c r="AK671" s="0" t="s">
        <v>94</v>
      </c>
      <c r="AL671" s="0" t="s">
        <v>95</v>
      </c>
      <c r="AO671" s="0" t="s">
        <v>98</v>
      </c>
      <c r="BA671" s="0" t="s">
        <v>110</v>
      </c>
      <c r="BC671" s="0" t="s">
        <v>112</v>
      </c>
    </row>
    <row r="672" ht="1212.75">
      <c r="B672" s="0" t="s">
        <v>1964</v>
      </c>
      <c r="C672" s="1" t="n">
        <v>353096</v>
      </c>
      <c r="E672" s="14" t="s">
        <v>683</v>
      </c>
      <c r="F672" s="14" t="s">
        <v>184</v>
      </c>
      <c r="G672" s="25" t="str">
        <f>HYPERLINK("http://vk.com/wall248074270_2980")</f>
      </c>
      <c r="H672" s="14" t="s">
        <v>170</v>
      </c>
      <c r="I672" s="14" t="s">
        <v>171</v>
      </c>
      <c r="J672" s="14" t="s">
        <v>1965</v>
      </c>
      <c r="K672" s="26" t="str">
        <f>HYPERLINK("http://vk.com/id248074270")</f>
      </c>
      <c r="L672" s="14" t="s">
        <v>173</v>
      </c>
      <c r="O672" s="1" t="s">
        <v>186</v>
      </c>
      <c r="P672" s="1"/>
      <c r="Q672" s="1" t="n">
        <v>513</v>
      </c>
      <c r="R672" s="1" t="n">
        <v>0</v>
      </c>
      <c r="S672" s="1"/>
      <c r="T672" s="1" t="n">
        <v>0</v>
      </c>
      <c r="U672" s="1" t="n">
        <v>0</v>
      </c>
      <c r="V672" s="1" t="n">
        <v>0</v>
      </c>
      <c r="W672" s="1" t="n">
        <v>13</v>
      </c>
      <c r="Y672" s="1" t="n">
        <v>22</v>
      </c>
      <c r="Z672" s="0" t="s">
        <v>175</v>
      </c>
      <c r="AA672" s="0" t="s">
        <v>187</v>
      </c>
      <c r="AC672" s="0" t="s">
        <v>177</v>
      </c>
      <c r="AD672" s="0" t="s">
        <v>1930</v>
      </c>
      <c r="AE672" s="0" t="s">
        <v>1966</v>
      </c>
      <c r="AH672" s="0" t="s">
        <v>180</v>
      </c>
      <c r="AJ672" s="0" t="s">
        <v>437</v>
      </c>
      <c r="AK672" s="0" t="s">
        <v>94</v>
      </c>
      <c r="AL672" s="0" t="s">
        <v>95</v>
      </c>
      <c r="AM672" s="0" t="s">
        <v>96</v>
      </c>
      <c r="AU672" s="0" t="s">
        <v>104</v>
      </c>
      <c r="AV672" s="0" t="s">
        <v>105</v>
      </c>
      <c r="AX672" s="0" t="s">
        <v>107</v>
      </c>
    </row>
    <row r="673" ht="24.75">
      <c r="B673" s="0" t="s">
        <v>1964</v>
      </c>
      <c r="C673" s="1" t="n">
        <v>353098</v>
      </c>
      <c r="E673" s="14" t="s">
        <v>1632</v>
      </c>
      <c r="F673" s="14" t="s">
        <v>169</v>
      </c>
      <c r="G673" s="25" t="str">
        <f>HYPERLINK("http://www.ok.ru/profile/572047729010/statuses/156144388175986")</f>
      </c>
      <c r="H673" s="14" t="s">
        <v>170</v>
      </c>
      <c r="I673" s="14" t="s">
        <v>171</v>
      </c>
      <c r="J673" s="14" t="s">
        <v>1967</v>
      </c>
      <c r="K673" s="26" t="str">
        <f>HYPERLINK("http://www.ok.ru/profile/572047729010")</f>
      </c>
      <c r="L673" s="14" t="s">
        <v>173</v>
      </c>
      <c r="O673" s="1" t="s">
        <v>186</v>
      </c>
      <c r="P673" s="1" t="n">
        <v>56</v>
      </c>
      <c r="Q673" s="1" t="n">
        <v>355</v>
      </c>
      <c r="R673" s="1" t="n">
        <v>0</v>
      </c>
      <c r="S673" s="1"/>
      <c r="T673" s="1" t="n">
        <v>0</v>
      </c>
      <c r="U673" s="1" t="n">
        <v>0</v>
      </c>
      <c r="V673" s="1" t="n">
        <v>0</v>
      </c>
      <c r="W673" s="1"/>
      <c r="Y673" s="1" t="n">
        <v>10</v>
      </c>
      <c r="Z673" s="0" t="s">
        <v>175</v>
      </c>
      <c r="AA673" s="0" t="s">
        <v>176</v>
      </c>
      <c r="AC673" s="0" t="s">
        <v>177</v>
      </c>
      <c r="AD673" s="0" t="s">
        <v>341</v>
      </c>
      <c r="AE673" s="0" t="s">
        <v>1968</v>
      </c>
      <c r="AH673" s="0" t="s">
        <v>180</v>
      </c>
      <c r="AJ673" s="0" t="s">
        <v>437</v>
      </c>
      <c r="AK673" s="0" t="s">
        <v>94</v>
      </c>
      <c r="AL673" s="0" t="s">
        <v>95</v>
      </c>
      <c r="AM673" s="0" t="s">
        <v>96</v>
      </c>
      <c r="AO673" s="0" t="s">
        <v>98</v>
      </c>
      <c r="AQ673" s="0" t="s">
        <v>100</v>
      </c>
    </row>
    <row r="674" ht="36.75">
      <c r="B674" s="0" t="s">
        <v>1969</v>
      </c>
      <c r="C674" s="1" t="n">
        <v>353093</v>
      </c>
      <c r="E674" s="14" t="s">
        <v>1218</v>
      </c>
      <c r="F674" s="14" t="s">
        <v>184</v>
      </c>
      <c r="G674" s="25" t="str">
        <f>HYPERLINK("http://vk.com/wall709523761_155")</f>
      </c>
      <c r="H674" s="14" t="s">
        <v>170</v>
      </c>
      <c r="I674" s="14" t="s">
        <v>171</v>
      </c>
      <c r="J674" s="14" t="s">
        <v>1970</v>
      </c>
      <c r="K674" s="26" t="str">
        <f>HYPERLINK("http://vk.com/id709523761")</f>
      </c>
      <c r="L674" s="14" t="s">
        <v>173</v>
      </c>
      <c r="O674" s="1" t="s">
        <v>186</v>
      </c>
      <c r="P674" s="1" t="n">
        <v>42</v>
      </c>
      <c r="Q674" s="1" t="n">
        <v>3</v>
      </c>
      <c r="R674" s="1" t="n">
        <v>0</v>
      </c>
      <c r="S674" s="1"/>
      <c r="T674" s="1" t="n">
        <v>0</v>
      </c>
      <c r="U674" s="1" t="n">
        <v>0</v>
      </c>
      <c r="V674" s="1" t="n">
        <v>0</v>
      </c>
      <c r="W674" s="1"/>
      <c r="Y674" s="1" t="n">
        <v>9</v>
      </c>
      <c r="Z674" s="0" t="s">
        <v>175</v>
      </c>
      <c r="AA674" s="0" t="s">
        <v>187</v>
      </c>
      <c r="AH674" s="0" t="s">
        <v>180</v>
      </c>
      <c r="AJ674" s="0" t="s">
        <v>437</v>
      </c>
      <c r="AK674" s="0" t="s">
        <v>94</v>
      </c>
      <c r="AL674" s="0" t="s">
        <v>95</v>
      </c>
      <c r="AM674" s="0" t="s">
        <v>96</v>
      </c>
      <c r="BC674" s="0" t="s">
        <v>112</v>
      </c>
      <c r="BI674" s="0" t="s">
        <v>118</v>
      </c>
      <c r="BN674" s="0" t="s">
        <v>123</v>
      </c>
    </row>
    <row r="675">
      <c r="B675" s="0" t="s">
        <v>1971</v>
      </c>
      <c r="C675" s="1" t="n">
        <v>353140</v>
      </c>
      <c r="E675" s="14" t="s">
        <v>1972</v>
      </c>
      <c r="F675" s="14" t="s">
        <v>169</v>
      </c>
      <c r="G675" s="25" t="str">
        <f>HYPERLINK("http://www.ok.ru/group/57532833464371/topic/156008583608371")</f>
      </c>
      <c r="H675" s="14" t="s">
        <v>170</v>
      </c>
      <c r="I675" s="14" t="s">
        <v>231</v>
      </c>
      <c r="J675" s="14" t="s">
        <v>1973</v>
      </c>
      <c r="K675" s="26" t="str">
        <f>HYPERLINK("http://www.ok.ru/profile/325218320462")</f>
      </c>
      <c r="L675" s="14" t="s">
        <v>173</v>
      </c>
      <c r="M675" s="14" t="s">
        <v>1974</v>
      </c>
      <c r="N675" s="25" t="str">
        <f>HYPERLINK("http://www.ok.ru/group/57532833464371")</f>
      </c>
      <c r="O675" s="1" t="s">
        <v>186</v>
      </c>
      <c r="P675" s="1" t="n">
        <v>50</v>
      </c>
      <c r="Q675" s="1" t="n">
        <v>10482</v>
      </c>
      <c r="R675" s="1" t="n">
        <v>0</v>
      </c>
      <c r="S675" s="1"/>
      <c r="T675" s="1" t="n">
        <v>0</v>
      </c>
      <c r="U675" s="1" t="n">
        <v>0</v>
      </c>
      <c r="V675" s="1" t="n">
        <v>0</v>
      </c>
      <c r="W675" s="1"/>
      <c r="Y675" s="1" t="n">
        <v>1</v>
      </c>
      <c r="Z675" s="0" t="s">
        <v>175</v>
      </c>
      <c r="AA675" s="0" t="s">
        <v>187</v>
      </c>
      <c r="AC675" s="0" t="s">
        <v>177</v>
      </c>
      <c r="AD675" s="0" t="s">
        <v>464</v>
      </c>
      <c r="AE675" s="0" t="s">
        <v>1975</v>
      </c>
      <c r="AH675" s="0" t="s">
        <v>180</v>
      </c>
      <c r="AI675" s="0" t="s">
        <v>92</v>
      </c>
      <c r="AJ675" s="0" t="s">
        <v>437</v>
      </c>
      <c r="AK675" s="0" t="s">
        <v>94</v>
      </c>
      <c r="AP675" s="0" t="s">
        <v>99</v>
      </c>
      <c r="AT675" s="0" t="s">
        <v>103</v>
      </c>
      <c r="BJ675" s="0" t="s">
        <v>119</v>
      </c>
    </row>
    <row r="676" ht="1212.75">
      <c r="B676" s="0" t="s">
        <v>1976</v>
      </c>
      <c r="C676" s="1" t="n">
        <v>353091</v>
      </c>
      <c r="E676" s="14" t="s">
        <v>683</v>
      </c>
      <c r="F676" s="14" t="s">
        <v>184</v>
      </c>
      <c r="G676" s="25" t="str">
        <f>HYPERLINK("http://vk.com/wall489488577_213")</f>
      </c>
      <c r="H676" s="14" t="s">
        <v>170</v>
      </c>
      <c r="I676" s="14" t="s">
        <v>171</v>
      </c>
      <c r="J676" s="14" t="s">
        <v>1977</v>
      </c>
      <c r="K676" s="26" t="str">
        <f>HYPERLINK("http://vk.com/id489488577")</f>
      </c>
      <c r="L676" s="14" t="s">
        <v>173</v>
      </c>
      <c r="O676" s="1" t="s">
        <v>186</v>
      </c>
      <c r="P676" s="1"/>
      <c r="Q676" s="1" t="n">
        <v>33</v>
      </c>
      <c r="R676" s="1" t="n">
        <v>0</v>
      </c>
      <c r="S676" s="1"/>
      <c r="T676" s="1" t="n">
        <v>0</v>
      </c>
      <c r="U676" s="1" t="n">
        <v>0</v>
      </c>
      <c r="V676" s="1" t="n">
        <v>0</v>
      </c>
      <c r="W676" s="1"/>
      <c r="Y676" s="1" t="n">
        <v>22</v>
      </c>
      <c r="Z676" s="0" t="s">
        <v>175</v>
      </c>
      <c r="AA676" s="0" t="s">
        <v>187</v>
      </c>
      <c r="AC676" s="0" t="s">
        <v>177</v>
      </c>
      <c r="AD676" s="0" t="s">
        <v>513</v>
      </c>
      <c r="AE676" s="0" t="s">
        <v>514</v>
      </c>
      <c r="AH676" s="0" t="s">
        <v>180</v>
      </c>
      <c r="AJ676" s="0" t="s">
        <v>437</v>
      </c>
      <c r="AK676" s="0" t="s">
        <v>94</v>
      </c>
      <c r="AL676" s="0" t="s">
        <v>95</v>
      </c>
      <c r="AM676" s="0" t="s">
        <v>96</v>
      </c>
      <c r="AU676" s="0" t="s">
        <v>104</v>
      </c>
      <c r="AV676" s="0" t="s">
        <v>105</v>
      </c>
      <c r="AX676" s="0" t="s">
        <v>107</v>
      </c>
    </row>
    <row r="677" ht="36.75">
      <c r="B677" s="0" t="s">
        <v>1978</v>
      </c>
      <c r="C677" s="1" t="n">
        <v>354137</v>
      </c>
      <c r="E677" s="14" t="s">
        <v>1189</v>
      </c>
      <c r="F677" s="14" t="s">
        <v>169</v>
      </c>
      <c r="G677" s="25" t="str">
        <f>HYPERLINK("http://www.ok.ru/profile/574051699097/statuses/155617962270873")</f>
      </c>
      <c r="H677" s="14" t="s">
        <v>170</v>
      </c>
      <c r="I677" s="14" t="s">
        <v>171</v>
      </c>
      <c r="J677" s="14" t="s">
        <v>1979</v>
      </c>
      <c r="K677" s="26" t="str">
        <f>HYPERLINK("http://www.ok.ru/profile/574051699097")</f>
      </c>
      <c r="L677" s="14" t="s">
        <v>173</v>
      </c>
      <c r="O677" s="1" t="s">
        <v>186</v>
      </c>
      <c r="P677" s="1" t="n">
        <v>67</v>
      </c>
      <c r="Q677" s="1" t="n">
        <v>585</v>
      </c>
      <c r="R677" s="1" t="n">
        <v>0</v>
      </c>
      <c r="S677" s="1"/>
      <c r="T677" s="1" t="n">
        <v>0</v>
      </c>
      <c r="U677" s="1" t="n">
        <v>0</v>
      </c>
      <c r="V677" s="1" t="n">
        <v>0</v>
      </c>
      <c r="W677" s="1"/>
      <c r="Y677" s="1" t="n">
        <v>46</v>
      </c>
      <c r="Z677" s="0" t="s">
        <v>175</v>
      </c>
      <c r="AA677" s="0" t="s">
        <v>187</v>
      </c>
      <c r="AC677" s="0" t="s">
        <v>177</v>
      </c>
      <c r="AD677" s="0" t="s">
        <v>767</v>
      </c>
      <c r="AE677" s="0" t="s">
        <v>1980</v>
      </c>
      <c r="AH677" s="0" t="s">
        <v>180</v>
      </c>
      <c r="AJ677" s="0" t="s">
        <v>181</v>
      </c>
      <c r="AK677" s="0" t="s">
        <v>94</v>
      </c>
      <c r="AM677" s="0" t="s">
        <v>96</v>
      </c>
      <c r="AN677" s="0" t="s">
        <v>97</v>
      </c>
      <c r="AQ677" s="0" t="s">
        <v>100</v>
      </c>
      <c r="AS677" s="0" t="s">
        <v>102</v>
      </c>
      <c r="AW677" s="0" t="s">
        <v>106</v>
      </c>
      <c r="BB677" s="0" t="s">
        <v>111</v>
      </c>
      <c r="BG677" s="0" t="s">
        <v>116</v>
      </c>
      <c r="BL677" s="0" t="s">
        <v>121</v>
      </c>
      <c r="BM677" s="0" t="s">
        <v>122</v>
      </c>
      <c r="BQ677" s="0" t="s">
        <v>126</v>
      </c>
    </row>
    <row r="678" ht="84.75">
      <c r="B678" s="0" t="s">
        <v>1978</v>
      </c>
      <c r="C678" s="1" t="n">
        <v>353097</v>
      </c>
      <c r="D678" s="0" t="s">
        <v>1981</v>
      </c>
      <c r="E678" s="14" t="s">
        <v>1982</v>
      </c>
      <c r="F678" s="14" t="s">
        <v>870</v>
      </c>
      <c r="G678" s="25" t="str">
        <f>HYPERLINK("https://dzen.ru/a/ZDhesJiDtg7PFCTV")</f>
      </c>
      <c r="H678" s="14" t="s">
        <v>376</v>
      </c>
      <c r="I678" s="14" t="s">
        <v>194</v>
      </c>
      <c r="J678" s="14" t="s">
        <v>1983</v>
      </c>
      <c r="K678" s="26" t="str">
        <f>HYPERLINK("https://dzen.ru/id/6162fa04e2620c7711b16269")</f>
      </c>
      <c r="L678" s="14" t="s">
        <v>173</v>
      </c>
      <c r="O678" s="1"/>
      <c r="P678" s="1"/>
      <c r="Q678" s="1" t="n">
        <v>4</v>
      </c>
      <c r="R678" s="1" t="n">
        <v>0</v>
      </c>
      <c r="S678" s="1"/>
      <c r="T678" s="1" t="n">
        <v>0</v>
      </c>
      <c r="U678" s="1" t="n">
        <v>0</v>
      </c>
      <c r="V678" s="1" t="n">
        <v>0</v>
      </c>
      <c r="W678" s="1"/>
      <c r="Y678" s="1" t="n">
        <v>1</v>
      </c>
      <c r="Z678" s="0" t="s">
        <v>463</v>
      </c>
      <c r="AA678" s="0" t="s">
        <v>187</v>
      </c>
      <c r="AH678" s="0" t="s">
        <v>180</v>
      </c>
      <c r="AJ678" s="0" t="s">
        <v>437</v>
      </c>
      <c r="AK678" s="0" t="s">
        <v>94</v>
      </c>
      <c r="AN678" s="0" t="s">
        <v>97</v>
      </c>
      <c r="AP678" s="0" t="s">
        <v>99</v>
      </c>
      <c r="AT678" s="0" t="s">
        <v>103</v>
      </c>
      <c r="AU678" s="0" t="s">
        <v>104</v>
      </c>
      <c r="AW678" s="0" t="s">
        <v>106</v>
      </c>
      <c r="BE678" s="0" t="s">
        <v>114</v>
      </c>
      <c r="BG678" s="0" t="s">
        <v>116</v>
      </c>
      <c r="BL678" s="0" t="s">
        <v>121</v>
      </c>
      <c r="CM678" s="0" t="s">
        <v>148</v>
      </c>
    </row>
    <row r="679" ht="60.75">
      <c r="B679" s="0" t="s">
        <v>1984</v>
      </c>
      <c r="C679" s="1" t="n">
        <v>353303</v>
      </c>
      <c r="D679" s="0" t="s">
        <v>1944</v>
      </c>
      <c r="E679" s="14" t="s">
        <v>1945</v>
      </c>
      <c r="F679" s="14" t="s">
        <v>1670</v>
      </c>
      <c r="G679" s="25" t="str">
        <f>HYPERLINK("http://gorodskoyportal.ru/omsk/news/biz/82550886/")</f>
      </c>
      <c r="H679" s="14" t="s">
        <v>208</v>
      </c>
      <c r="I679" s="14" t="s">
        <v>194</v>
      </c>
      <c r="J679" s="14"/>
      <c r="L679" s="14"/>
      <c r="O679" s="1"/>
      <c r="P679" s="1"/>
      <c r="Q679" s="1"/>
      <c r="R679" s="1" t="n">
        <v>0</v>
      </c>
      <c r="S679" s="1" t="n">
        <v>302</v>
      </c>
      <c r="T679" s="1" t="n">
        <v>0</v>
      </c>
      <c r="U679" s="1" t="n">
        <v>0</v>
      </c>
      <c r="V679" s="1" t="n">
        <v>0</v>
      </c>
      <c r="W679" s="1"/>
      <c r="Y679" s="1" t="n">
        <v>2</v>
      </c>
      <c r="Z679" s="0" t="s">
        <v>175</v>
      </c>
      <c r="AA679" s="0" t="s">
        <v>223</v>
      </c>
      <c r="AH679" s="0" t="s">
        <v>180</v>
      </c>
      <c r="AJ679" s="0" t="s">
        <v>437</v>
      </c>
      <c r="AM679" s="0" t="s">
        <v>96</v>
      </c>
      <c r="AP679" s="0" t="s">
        <v>99</v>
      </c>
      <c r="BD679" s="0" t="s">
        <v>113</v>
      </c>
    </row>
    <row r="680" ht="36.75">
      <c r="B680" s="0" t="s">
        <v>1985</v>
      </c>
      <c r="C680" s="1" t="n">
        <v>353875</v>
      </c>
      <c r="E680" s="14" t="s">
        <v>1189</v>
      </c>
      <c r="F680" s="14" t="s">
        <v>169</v>
      </c>
      <c r="G680" s="25" t="str">
        <f>HYPERLINK("http://www.ok.ru/profile/580969950263/statuses/155711994700599")</f>
      </c>
      <c r="H680" s="14" t="s">
        <v>170</v>
      </c>
      <c r="I680" s="14" t="s">
        <v>171</v>
      </c>
      <c r="J680" s="14" t="s">
        <v>1986</v>
      </c>
      <c r="K680" s="26" t="str">
        <f>HYPERLINK("http://www.ok.ru/profile/580969950263")</f>
      </c>
      <c r="L680" s="14" t="s">
        <v>173</v>
      </c>
      <c r="O680" s="1" t="s">
        <v>186</v>
      </c>
      <c r="P680" s="1" t="n">
        <v>43</v>
      </c>
      <c r="Q680" s="1" t="n">
        <v>256</v>
      </c>
      <c r="R680" s="1" t="n">
        <v>0</v>
      </c>
      <c r="S680" s="1"/>
      <c r="T680" s="1" t="n">
        <v>1</v>
      </c>
      <c r="U680" s="1" t="n">
        <v>1</v>
      </c>
      <c r="V680" s="1" t="n">
        <v>2</v>
      </c>
      <c r="W680" s="1"/>
      <c r="Y680" s="1" t="n">
        <v>46</v>
      </c>
      <c r="Z680" s="0" t="s">
        <v>175</v>
      </c>
      <c r="AA680" s="0" t="s">
        <v>187</v>
      </c>
      <c r="AC680" s="0" t="s">
        <v>177</v>
      </c>
      <c r="AD680" s="0" t="s">
        <v>178</v>
      </c>
      <c r="AE680" s="0" t="s">
        <v>1987</v>
      </c>
      <c r="AH680" s="0" t="s">
        <v>180</v>
      </c>
      <c r="AJ680" s="0" t="s">
        <v>437</v>
      </c>
      <c r="AK680" s="0" t="s">
        <v>94</v>
      </c>
      <c r="AL680" s="0" t="s">
        <v>95</v>
      </c>
      <c r="AM680" s="0" t="s">
        <v>96</v>
      </c>
      <c r="AO680" s="0" t="s">
        <v>98</v>
      </c>
      <c r="AQ680" s="0" t="s">
        <v>100</v>
      </c>
    </row>
    <row r="681" ht="36.75">
      <c r="B681" s="0" t="s">
        <v>1988</v>
      </c>
      <c r="C681" s="1" t="n">
        <v>353088</v>
      </c>
      <c r="E681" s="14" t="s">
        <v>1989</v>
      </c>
      <c r="F681" s="14" t="s">
        <v>184</v>
      </c>
      <c r="G681" s="25" t="str">
        <f>HYPERLINK("http://vk.com/wall448488219_797")</f>
      </c>
      <c r="H681" s="14" t="s">
        <v>170</v>
      </c>
      <c r="I681" s="14" t="s">
        <v>171</v>
      </c>
      <c r="J681" s="14" t="s">
        <v>1990</v>
      </c>
      <c r="K681" s="26" t="str">
        <f>HYPERLINK("http://vk.com/id448488219")</f>
      </c>
      <c r="L681" s="14" t="s">
        <v>173</v>
      </c>
      <c r="O681" s="1" t="s">
        <v>186</v>
      </c>
      <c r="P681" s="1"/>
      <c r="Q681" s="1" t="n">
        <v>363</v>
      </c>
      <c r="R681" s="1" t="n">
        <v>0</v>
      </c>
      <c r="S681" s="1"/>
      <c r="T681" s="1" t="n">
        <v>0</v>
      </c>
      <c r="U681" s="1" t="n">
        <v>0</v>
      </c>
      <c r="V681" s="1" t="n">
        <v>0</v>
      </c>
      <c r="W681" s="1" t="n">
        <v>2</v>
      </c>
      <c r="Y681" s="1" t="n">
        <v>3</v>
      </c>
      <c r="Z681" s="0" t="s">
        <v>175</v>
      </c>
      <c r="AA681" s="0" t="s">
        <v>176</v>
      </c>
      <c r="AC681" s="0" t="s">
        <v>177</v>
      </c>
      <c r="AD681" s="0" t="s">
        <v>1023</v>
      </c>
      <c r="AE681" s="0" t="s">
        <v>1412</v>
      </c>
      <c r="AH681" s="0" t="s">
        <v>180</v>
      </c>
      <c r="AJ681" s="0" t="s">
        <v>437</v>
      </c>
      <c r="AK681" s="0" t="s">
        <v>94</v>
      </c>
      <c r="AL681" s="0" t="s">
        <v>95</v>
      </c>
      <c r="AM681" s="0" t="s">
        <v>96</v>
      </c>
      <c r="AO681" s="0" t="s">
        <v>98</v>
      </c>
      <c r="AQ681" s="0" t="s">
        <v>100</v>
      </c>
    </row>
    <row r="682" ht="1164.75">
      <c r="B682" s="0" t="s">
        <v>1991</v>
      </c>
      <c r="C682" s="1" t="n">
        <v>353573</v>
      </c>
      <c r="E682" s="14" t="s">
        <v>269</v>
      </c>
      <c r="F682" s="14" t="s">
        <v>169</v>
      </c>
      <c r="G682" s="25" t="str">
        <f>HYPERLINK("http://www.ok.ru/profile/564537194458/statuses/156622234238426")</f>
      </c>
      <c r="H682" s="14" t="s">
        <v>170</v>
      </c>
      <c r="I682" s="14" t="s">
        <v>171</v>
      </c>
      <c r="J682" s="14" t="s">
        <v>1992</v>
      </c>
      <c r="K682" s="26" t="str">
        <f>HYPERLINK("http://www.ok.ru/profile/564537194458")</f>
      </c>
      <c r="L682" s="14" t="s">
        <v>173</v>
      </c>
      <c r="O682" s="1" t="s">
        <v>186</v>
      </c>
      <c r="P682" s="1"/>
      <c r="Q682" s="1" t="n">
        <v>657</v>
      </c>
      <c r="R682" s="1" t="n">
        <v>0</v>
      </c>
      <c r="S682" s="1"/>
      <c r="T682" s="1" t="n">
        <v>0</v>
      </c>
      <c r="U682" s="1" t="n">
        <v>3</v>
      </c>
      <c r="V682" s="1" t="n">
        <v>3</v>
      </c>
      <c r="W682" s="1"/>
      <c r="Y682" s="1" t="n">
        <v>24</v>
      </c>
      <c r="Z682" s="0" t="s">
        <v>175</v>
      </c>
      <c r="AA682" s="0" t="s">
        <v>187</v>
      </c>
      <c r="AC682" s="0" t="s">
        <v>177</v>
      </c>
      <c r="AD682" s="0" t="s">
        <v>910</v>
      </c>
      <c r="AE682" s="0" t="s">
        <v>1993</v>
      </c>
      <c r="AH682" s="0" t="s">
        <v>180</v>
      </c>
      <c r="AJ682" s="0" t="s">
        <v>437</v>
      </c>
      <c r="AK682" s="0" t="s">
        <v>94</v>
      </c>
      <c r="AL682" s="0" t="s">
        <v>95</v>
      </c>
      <c r="AM682" s="0" t="s">
        <v>96</v>
      </c>
      <c r="AP682" s="0" t="s">
        <v>99</v>
      </c>
      <c r="AX682" s="0" t="s">
        <v>107</v>
      </c>
    </row>
    <row r="683" ht="168.75">
      <c r="B683" s="0" t="s">
        <v>1991</v>
      </c>
      <c r="C683" s="1" t="n">
        <v>353076</v>
      </c>
      <c r="E683" s="14" t="s">
        <v>1994</v>
      </c>
      <c r="F683" s="14" t="s">
        <v>184</v>
      </c>
      <c r="G683" s="25" t="str">
        <f>HYPERLINK("http://vk.com/wall-12376406_2453")</f>
      </c>
      <c r="H683" s="14" t="s">
        <v>170</v>
      </c>
      <c r="I683" s="14" t="s">
        <v>194</v>
      </c>
      <c r="J683" s="14" t="s">
        <v>1995</v>
      </c>
      <c r="K683" s="26" t="str">
        <f>HYPERLINK("http://vk.com/club12376406")</f>
      </c>
      <c r="L683" s="14" t="s">
        <v>274</v>
      </c>
      <c r="O683" s="1"/>
      <c r="P683" s="1"/>
      <c r="Q683" s="1" t="n">
        <v>684</v>
      </c>
      <c r="R683" s="1" t="n">
        <v>0</v>
      </c>
      <c r="S683" s="1"/>
      <c r="T683" s="1" t="n">
        <v>0</v>
      </c>
      <c r="U683" s="1" t="n">
        <v>1</v>
      </c>
      <c r="V683" s="1" t="n">
        <v>1</v>
      </c>
      <c r="W683" s="1" t="n">
        <v>84</v>
      </c>
      <c r="Y683" s="1" t="n">
        <v>1</v>
      </c>
      <c r="Z683" s="0" t="s">
        <v>175</v>
      </c>
      <c r="AA683" s="0" t="s">
        <v>176</v>
      </c>
      <c r="AC683" s="0" t="s">
        <v>177</v>
      </c>
      <c r="AD683" s="0" t="s">
        <v>561</v>
      </c>
      <c r="AE683" s="0" t="s">
        <v>1996</v>
      </c>
      <c r="AH683" s="0" t="s">
        <v>180</v>
      </c>
      <c r="AJ683" s="0" t="s">
        <v>437</v>
      </c>
      <c r="AK683" s="0" t="s">
        <v>94</v>
      </c>
      <c r="AL683" s="0" t="s">
        <v>95</v>
      </c>
      <c r="BD683" s="0" t="s">
        <v>113</v>
      </c>
      <c r="BJ683" s="0" t="s">
        <v>119</v>
      </c>
      <c r="BK683" s="0" t="s">
        <v>120</v>
      </c>
    </row>
    <row r="684" ht="36.75">
      <c r="B684" s="0" t="s">
        <v>1997</v>
      </c>
      <c r="C684" s="1" t="n">
        <v>353525</v>
      </c>
      <c r="E684" s="14" t="s">
        <v>1189</v>
      </c>
      <c r="F684" s="14" t="s">
        <v>169</v>
      </c>
      <c r="G684" s="25" t="str">
        <f>HYPERLINK("http://www.ok.ru/profile/576339102256/statuses/156247510825008")</f>
      </c>
      <c r="H684" s="14" t="s">
        <v>170</v>
      </c>
      <c r="I684" s="14" t="s">
        <v>171</v>
      </c>
      <c r="J684" s="14" t="s">
        <v>1998</v>
      </c>
      <c r="K684" s="26" t="str">
        <f>HYPERLINK("http://www.ok.ru/profile/576339102256")</f>
      </c>
      <c r="L684" s="14" t="s">
        <v>173</v>
      </c>
      <c r="O684" s="1" t="s">
        <v>186</v>
      </c>
      <c r="P684" s="1" t="n">
        <v>46</v>
      </c>
      <c r="Q684" s="1" t="n">
        <v>738</v>
      </c>
      <c r="R684" s="1" t="n">
        <v>0</v>
      </c>
      <c r="S684" s="1"/>
      <c r="T684" s="1" t="n">
        <v>0</v>
      </c>
      <c r="U684" s="1" t="n">
        <v>4</v>
      </c>
      <c r="V684" s="1" t="n">
        <v>4</v>
      </c>
      <c r="W684" s="1"/>
      <c r="Y684" s="1" t="n">
        <v>46</v>
      </c>
      <c r="Z684" s="0" t="s">
        <v>175</v>
      </c>
      <c r="AA684" s="0" t="s">
        <v>187</v>
      </c>
      <c r="AC684" s="0" t="s">
        <v>177</v>
      </c>
      <c r="AD684" s="0" t="s">
        <v>556</v>
      </c>
      <c r="AE684" s="0" t="s">
        <v>1868</v>
      </c>
      <c r="AH684" s="0" t="s">
        <v>180</v>
      </c>
      <c r="AJ684" s="0" t="s">
        <v>437</v>
      </c>
      <c r="AK684" s="0" t="s">
        <v>94</v>
      </c>
      <c r="AM684" s="0" t="s">
        <v>96</v>
      </c>
      <c r="AP684" s="0" t="s">
        <v>99</v>
      </c>
      <c r="AQ684" s="0" t="s">
        <v>100</v>
      </c>
    </row>
    <row r="685" ht="24.75">
      <c r="B685" s="0" t="s">
        <v>1999</v>
      </c>
      <c r="C685" s="1" t="n">
        <v>353484</v>
      </c>
      <c r="E685" s="14" t="s">
        <v>554</v>
      </c>
      <c r="F685" s="14" t="s">
        <v>169</v>
      </c>
      <c r="G685" s="25" t="str">
        <f>HYPERLINK("http://www.ok.ru/profile/553862374363/statuses/155113854460123")</f>
      </c>
      <c r="H685" s="14" t="s">
        <v>170</v>
      </c>
      <c r="I685" s="14" t="s">
        <v>171</v>
      </c>
      <c r="J685" s="14" t="s">
        <v>2000</v>
      </c>
      <c r="K685" s="26" t="str">
        <f>HYPERLINK("http://www.ok.ru/profile/553862374363")</f>
      </c>
      <c r="L685" s="14" t="s">
        <v>173</v>
      </c>
      <c r="O685" s="1" t="s">
        <v>186</v>
      </c>
      <c r="P685" s="1" t="n">
        <v>59</v>
      </c>
      <c r="Q685" s="1" t="n">
        <v>625</v>
      </c>
      <c r="R685" s="1" t="n">
        <v>0</v>
      </c>
      <c r="S685" s="1"/>
      <c r="T685" s="1" t="n">
        <v>0</v>
      </c>
      <c r="U685" s="1" t="n">
        <v>1</v>
      </c>
      <c r="V685" s="1" t="n">
        <v>1</v>
      </c>
      <c r="W685" s="1"/>
      <c r="Y685" s="1" t="n">
        <v>59</v>
      </c>
      <c r="Z685" s="0" t="s">
        <v>175</v>
      </c>
      <c r="AA685" s="0" t="s">
        <v>176</v>
      </c>
      <c r="AC685" s="0" t="s">
        <v>177</v>
      </c>
      <c r="AD685" s="0" t="s">
        <v>1051</v>
      </c>
      <c r="AE685" s="0" t="s">
        <v>1850</v>
      </c>
      <c r="AH685" s="0" t="s">
        <v>180</v>
      </c>
      <c r="AJ685" s="0" t="s">
        <v>437</v>
      </c>
      <c r="AK685" s="0" t="s">
        <v>94</v>
      </c>
      <c r="AL685" s="0" t="s">
        <v>95</v>
      </c>
      <c r="AM685" s="0" t="s">
        <v>96</v>
      </c>
      <c r="AO685" s="0" t="s">
        <v>98</v>
      </c>
      <c r="AQ685" s="0" t="s">
        <v>100</v>
      </c>
    </row>
    <row r="686" ht="1212.75">
      <c r="B686" s="0" t="s">
        <v>2001</v>
      </c>
      <c r="C686" s="1" t="n">
        <v>353114</v>
      </c>
      <c r="E686" s="14" t="s">
        <v>1283</v>
      </c>
      <c r="F686" s="14" t="s">
        <v>169</v>
      </c>
      <c r="G686" s="25" t="str">
        <f>HYPERLINK("http://www.ok.ru/profile/518898259383/statuses/155817884694711")</f>
      </c>
      <c r="H686" s="14" t="s">
        <v>170</v>
      </c>
      <c r="I686" s="14" t="s">
        <v>171</v>
      </c>
      <c r="J686" s="14" t="s">
        <v>2002</v>
      </c>
      <c r="K686" s="26" t="str">
        <f>HYPERLINK("http://www.ok.ru/profile/518898259383")</f>
      </c>
      <c r="L686" s="14" t="s">
        <v>173</v>
      </c>
      <c r="O686" s="1" t="s">
        <v>186</v>
      </c>
      <c r="P686" s="1" t="n">
        <v>71</v>
      </c>
      <c r="Q686" s="1" t="n">
        <v>156</v>
      </c>
      <c r="R686" s="1" t="n">
        <v>0</v>
      </c>
      <c r="S686" s="1"/>
      <c r="T686" s="1" t="n">
        <v>0</v>
      </c>
      <c r="U686" s="1" t="n">
        <v>1</v>
      </c>
      <c r="V686" s="1" t="n">
        <v>1</v>
      </c>
      <c r="W686" s="1"/>
      <c r="Y686" s="1" t="n">
        <v>3</v>
      </c>
      <c r="Z686" s="0" t="s">
        <v>175</v>
      </c>
      <c r="AA686" s="0" t="s">
        <v>187</v>
      </c>
      <c r="AC686" s="0" t="s">
        <v>177</v>
      </c>
      <c r="AD686" s="0" t="s">
        <v>427</v>
      </c>
      <c r="AE686" s="0" t="s">
        <v>1500</v>
      </c>
      <c r="AH686" s="0" t="s">
        <v>180</v>
      </c>
      <c r="AJ686" s="0" t="s">
        <v>437</v>
      </c>
      <c r="AK686" s="0" t="s">
        <v>94</v>
      </c>
      <c r="AL686" s="0" t="s">
        <v>95</v>
      </c>
      <c r="AM686" s="0" t="s">
        <v>96</v>
      </c>
      <c r="AX686" s="0" t="s">
        <v>107</v>
      </c>
    </row>
    <row r="687">
      <c r="B687" s="0" t="s">
        <v>2003</v>
      </c>
      <c r="C687" s="1" t="n">
        <v>353057</v>
      </c>
      <c r="E687" s="14" t="s">
        <v>2004</v>
      </c>
      <c r="F687" s="14" t="s">
        <v>184</v>
      </c>
      <c r="G687" s="25" t="str">
        <f>HYPERLINK("http://vk.com/wall-141518790_2250357?reply=2250362")</f>
      </c>
      <c r="H687" s="14" t="s">
        <v>170</v>
      </c>
      <c r="I687" s="14" t="s">
        <v>231</v>
      </c>
      <c r="J687" s="14" t="s">
        <v>2005</v>
      </c>
      <c r="K687" s="26" t="str">
        <f>HYPERLINK("http://vk.com/id215922387")</f>
      </c>
      <c r="L687" s="14" t="s">
        <v>173</v>
      </c>
      <c r="M687" s="14" t="s">
        <v>567</v>
      </c>
      <c r="N687" s="25" t="str">
        <f>HYPERLINK("http://vk.com/club141518790")</f>
      </c>
      <c r="O687" s="1" t="s">
        <v>186</v>
      </c>
      <c r="P687" s="1" t="n">
        <v>20</v>
      </c>
      <c r="Q687" s="1" t="n">
        <v>61987</v>
      </c>
      <c r="R687" s="1" t="n">
        <v>0</v>
      </c>
      <c r="S687" s="1"/>
      <c r="T687" s="1" t="n">
        <v>0</v>
      </c>
      <c r="U687" s="1" t="n">
        <v>0</v>
      </c>
      <c r="V687" s="1" t="n">
        <v>0</v>
      </c>
      <c r="W687" s="1"/>
      <c r="Y687" s="1" t="n">
        <v>1</v>
      </c>
      <c r="Z687" s="0" t="s">
        <v>319</v>
      </c>
      <c r="AA687" s="0" t="s">
        <v>187</v>
      </c>
      <c r="AC687" s="0" t="s">
        <v>177</v>
      </c>
      <c r="AH687" s="0" t="s">
        <v>180</v>
      </c>
      <c r="AI687" s="0" t="s">
        <v>92</v>
      </c>
      <c r="AJ687" s="0" t="s">
        <v>437</v>
      </c>
      <c r="AK687" s="0" t="s">
        <v>94</v>
      </c>
      <c r="AN687" s="0" t="s">
        <v>97</v>
      </c>
      <c r="AP687" s="0" t="s">
        <v>99</v>
      </c>
      <c r="AU687" s="0" t="s">
        <v>104</v>
      </c>
      <c r="BB687" s="0" t="s">
        <v>111</v>
      </c>
      <c r="BE687" s="0" t="s">
        <v>114</v>
      </c>
    </row>
    <row r="688" ht="48.75">
      <c r="B688" s="0" t="s">
        <v>2006</v>
      </c>
      <c r="C688" s="1" t="n">
        <v>353059</v>
      </c>
      <c r="E688" s="14" t="s">
        <v>2007</v>
      </c>
      <c r="F688" s="14" t="s">
        <v>169</v>
      </c>
      <c r="G688" s="25" t="str">
        <f>HYPERLINK("http://www.ok.ru/profile/574961685209/statuses/155522788946905")</f>
      </c>
      <c r="H688" s="14" t="s">
        <v>170</v>
      </c>
      <c r="I688" s="14" t="s">
        <v>171</v>
      </c>
      <c r="J688" s="14" t="s">
        <v>2008</v>
      </c>
      <c r="K688" s="26" t="str">
        <f>HYPERLINK("http://www.ok.ru/profile/574961685209")</f>
      </c>
      <c r="L688" s="14" t="s">
        <v>173</v>
      </c>
      <c r="O688" s="1" t="s">
        <v>186</v>
      </c>
      <c r="P688" s="1"/>
      <c r="Q688" s="1" t="n">
        <v>146</v>
      </c>
      <c r="R688" s="1" t="n">
        <v>0</v>
      </c>
      <c r="S688" s="1"/>
      <c r="T688" s="1" t="n">
        <v>0</v>
      </c>
      <c r="U688" s="1" t="n">
        <v>0</v>
      </c>
      <c r="V688" s="1" t="n">
        <v>0</v>
      </c>
      <c r="W688" s="1"/>
      <c r="Y688" s="1" t="n">
        <v>1</v>
      </c>
      <c r="Z688" s="0" t="s">
        <v>175</v>
      </c>
      <c r="AA688" s="0" t="s">
        <v>187</v>
      </c>
      <c r="AC688" s="0" t="s">
        <v>177</v>
      </c>
      <c r="AD688" s="0" t="s">
        <v>561</v>
      </c>
      <c r="AE688" s="0" t="s">
        <v>562</v>
      </c>
      <c r="AH688" s="0" t="s">
        <v>180</v>
      </c>
      <c r="AJ688" s="0" t="s">
        <v>437</v>
      </c>
      <c r="AK688" s="0" t="s">
        <v>94</v>
      </c>
      <c r="AN688" s="0" t="s">
        <v>97</v>
      </c>
      <c r="AP688" s="0" t="s">
        <v>99</v>
      </c>
      <c r="AS688" s="0" t="s">
        <v>102</v>
      </c>
      <c r="AT688" s="0" t="s">
        <v>103</v>
      </c>
      <c r="BE688" s="0" t="s">
        <v>114</v>
      </c>
      <c r="BO688" s="0" t="s">
        <v>124</v>
      </c>
      <c r="BW688" s="0" t="s">
        <v>132</v>
      </c>
      <c r="CD688" s="0" t="s">
        <v>139</v>
      </c>
    </row>
    <row r="689">
      <c r="B689" s="0" t="s">
        <v>2009</v>
      </c>
      <c r="C689" s="1" t="n">
        <v>353053</v>
      </c>
      <c r="E689" s="14" t="s">
        <v>2010</v>
      </c>
      <c r="F689" s="14" t="s">
        <v>184</v>
      </c>
      <c r="G689" s="25" t="str">
        <f>HYPERLINK("http://vk.com/wall-141518790_2250357?reply=2250359")</f>
      </c>
      <c r="H689" s="14" t="s">
        <v>170</v>
      </c>
      <c r="I689" s="14" t="s">
        <v>231</v>
      </c>
      <c r="J689" s="14" t="s">
        <v>2011</v>
      </c>
      <c r="K689" s="26" t="str">
        <f>HYPERLINK("http://vk.com/id173834894")</f>
      </c>
      <c r="L689" s="14" t="s">
        <v>173</v>
      </c>
      <c r="M689" s="14" t="s">
        <v>567</v>
      </c>
      <c r="N689" s="25" t="str">
        <f>HYPERLINK("http://vk.com/club141518790")</f>
      </c>
      <c r="O689" s="1" t="s">
        <v>186</v>
      </c>
      <c r="P689" s="1" t="n">
        <v>28</v>
      </c>
      <c r="Q689" s="1" t="n">
        <v>61987</v>
      </c>
      <c r="R689" s="1" t="n">
        <v>0</v>
      </c>
      <c r="S689" s="1"/>
      <c r="T689" s="1" t="n">
        <v>0</v>
      </c>
      <c r="U689" s="1" t="n">
        <v>0</v>
      </c>
      <c r="V689" s="1" t="n">
        <v>0</v>
      </c>
      <c r="W689" s="1"/>
      <c r="Y689" s="1" t="n">
        <v>1</v>
      </c>
      <c r="Z689" s="0" t="s">
        <v>319</v>
      </c>
      <c r="AA689" s="0" t="s">
        <v>187</v>
      </c>
      <c r="AC689" s="0" t="s">
        <v>177</v>
      </c>
      <c r="AD689" s="0" t="s">
        <v>1385</v>
      </c>
      <c r="AE689" s="0" t="s">
        <v>1386</v>
      </c>
      <c r="AH689" s="0" t="s">
        <v>180</v>
      </c>
      <c r="AI689" s="0" t="s">
        <v>92</v>
      </c>
      <c r="AJ689" s="0" t="s">
        <v>437</v>
      </c>
      <c r="AK689" s="0" t="s">
        <v>94</v>
      </c>
      <c r="AN689" s="0" t="s">
        <v>97</v>
      </c>
      <c r="AP689" s="0" t="s">
        <v>99</v>
      </c>
      <c r="AU689" s="0" t="s">
        <v>104</v>
      </c>
      <c r="BB689" s="0" t="s">
        <v>111</v>
      </c>
      <c r="BE689" s="0" t="s">
        <v>114</v>
      </c>
    </row>
    <row r="690" ht="24.75">
      <c r="B690" s="0" t="s">
        <v>2009</v>
      </c>
      <c r="C690" s="1" t="n">
        <v>353459</v>
      </c>
      <c r="E690" s="14" t="s">
        <v>1102</v>
      </c>
      <c r="F690" s="14" t="s">
        <v>169</v>
      </c>
      <c r="G690" s="25" t="str">
        <f>HYPERLINK("http://www.ok.ru/profile/562686340784/statuses/156234164546992")</f>
      </c>
      <c r="H690" s="14" t="s">
        <v>170</v>
      </c>
      <c r="I690" s="14" t="s">
        <v>171</v>
      </c>
      <c r="J690" s="14" t="s">
        <v>2012</v>
      </c>
      <c r="K690" s="26" t="str">
        <f>HYPERLINK("http://www.ok.ru/profile/562686340784")</f>
      </c>
      <c r="L690" s="14" t="s">
        <v>173</v>
      </c>
      <c r="O690" s="1" t="s">
        <v>186</v>
      </c>
      <c r="P690" s="1"/>
      <c r="Q690" s="1" t="n">
        <v>217</v>
      </c>
      <c r="R690" s="1" t="n">
        <v>0</v>
      </c>
      <c r="S690" s="1"/>
      <c r="T690" s="1" t="n">
        <v>1</v>
      </c>
      <c r="U690" s="1" t="n">
        <v>3</v>
      </c>
      <c r="V690" s="1" t="n">
        <v>4</v>
      </c>
      <c r="W690" s="1"/>
      <c r="Y690" s="1" t="n">
        <v>92</v>
      </c>
      <c r="Z690" s="0" t="s">
        <v>175</v>
      </c>
      <c r="AA690" s="0" t="s">
        <v>187</v>
      </c>
      <c r="AC690" s="0" t="s">
        <v>177</v>
      </c>
      <c r="AD690" s="0" t="s">
        <v>341</v>
      </c>
      <c r="AE690" s="0" t="s">
        <v>451</v>
      </c>
      <c r="AH690" s="0" t="s">
        <v>180</v>
      </c>
      <c r="AJ690" s="0" t="s">
        <v>437</v>
      </c>
      <c r="AK690" s="0" t="s">
        <v>94</v>
      </c>
      <c r="AL690" s="0" t="s">
        <v>95</v>
      </c>
      <c r="AM690" s="0" t="s">
        <v>96</v>
      </c>
      <c r="AU690" s="0" t="s">
        <v>104</v>
      </c>
      <c r="AV690" s="0" t="s">
        <v>105</v>
      </c>
    </row>
    <row r="691" ht="24.75">
      <c r="B691" s="0" t="s">
        <v>2013</v>
      </c>
      <c r="C691" s="1" t="n">
        <v>354128</v>
      </c>
      <c r="E691" s="14" t="s">
        <v>1102</v>
      </c>
      <c r="F691" s="14" t="s">
        <v>169</v>
      </c>
      <c r="G691" s="25" t="str">
        <f>HYPERLINK("http://www.ok.ru/profile/582230377991/statuses/155120185805575")</f>
      </c>
      <c r="H691" s="14" t="s">
        <v>170</v>
      </c>
      <c r="I691" s="14" t="s">
        <v>171</v>
      </c>
      <c r="J691" s="14" t="s">
        <v>2014</v>
      </c>
      <c r="K691" s="26" t="str">
        <f>HYPERLINK("http://www.ok.ru/profile/582230377991")</f>
      </c>
      <c r="L691" s="14" t="s">
        <v>173</v>
      </c>
      <c r="O691" s="1" t="s">
        <v>186</v>
      </c>
      <c r="P691" s="1" t="n">
        <v>62</v>
      </c>
      <c r="Q691" s="1" t="n">
        <v>250</v>
      </c>
      <c r="R691" s="1" t="n">
        <v>0</v>
      </c>
      <c r="S691" s="1"/>
      <c r="T691" s="1" t="n">
        <v>0</v>
      </c>
      <c r="U691" s="1" t="n">
        <v>0</v>
      </c>
      <c r="V691" s="1" t="n">
        <v>0</v>
      </c>
      <c r="W691" s="1"/>
      <c r="Y691" s="1" t="n">
        <v>92</v>
      </c>
      <c r="Z691" s="0" t="s">
        <v>175</v>
      </c>
      <c r="AA691" s="0" t="s">
        <v>187</v>
      </c>
      <c r="AC691" s="0" t="s">
        <v>177</v>
      </c>
      <c r="AD691" s="0" t="s">
        <v>234</v>
      </c>
      <c r="AE691" s="0" t="s">
        <v>2015</v>
      </c>
      <c r="AH691" s="0" t="s">
        <v>180</v>
      </c>
      <c r="AJ691" s="0" t="s">
        <v>181</v>
      </c>
      <c r="AK691" s="0" t="s">
        <v>94</v>
      </c>
      <c r="AM691" s="0" t="s">
        <v>96</v>
      </c>
      <c r="AN691" s="0" t="s">
        <v>97</v>
      </c>
      <c r="AS691" s="0" t="s">
        <v>102</v>
      </c>
      <c r="AU691" s="0" t="s">
        <v>104</v>
      </c>
      <c r="AV691" s="0" t="s">
        <v>105</v>
      </c>
      <c r="AW691" s="0" t="s">
        <v>106</v>
      </c>
      <c r="BE691" s="0" t="s">
        <v>114</v>
      </c>
      <c r="BL691" s="0" t="s">
        <v>121</v>
      </c>
      <c r="BO691" s="0" t="s">
        <v>124</v>
      </c>
    </row>
    <row r="692" ht="24.75">
      <c r="B692" s="0" t="s">
        <v>2013</v>
      </c>
      <c r="C692" s="1" t="n">
        <v>353806</v>
      </c>
      <c r="E692" s="14" t="s">
        <v>554</v>
      </c>
      <c r="F692" s="14" t="s">
        <v>169</v>
      </c>
      <c r="G692" s="25" t="str">
        <f>HYPERLINK("http://www.ok.ru/profile/528350768432/statuses/156247482513456")</f>
      </c>
      <c r="H692" s="14" t="s">
        <v>170</v>
      </c>
      <c r="I692" s="14" t="s">
        <v>171</v>
      </c>
      <c r="J692" s="14" t="s">
        <v>2016</v>
      </c>
      <c r="K692" s="26" t="str">
        <f>HYPERLINK("http://www.ok.ru/profile/528350768432")</f>
      </c>
      <c r="L692" s="14" t="s">
        <v>173</v>
      </c>
      <c r="O692" s="1" t="s">
        <v>174</v>
      </c>
      <c r="P692" s="1" t="n">
        <v>69</v>
      </c>
      <c r="Q692" s="1" t="n">
        <v>922</v>
      </c>
      <c r="R692" s="1" t="n">
        <v>0</v>
      </c>
      <c r="S692" s="1"/>
      <c r="T692" s="1" t="n">
        <v>0</v>
      </c>
      <c r="U692" s="1" t="n">
        <v>7</v>
      </c>
      <c r="V692" s="1" t="n">
        <v>7</v>
      </c>
      <c r="W692" s="1"/>
      <c r="Y692" s="1" t="n">
        <v>59</v>
      </c>
      <c r="Z692" s="0" t="s">
        <v>175</v>
      </c>
      <c r="AA692" s="0" t="s">
        <v>176</v>
      </c>
      <c r="AC692" s="0" t="s">
        <v>177</v>
      </c>
      <c r="AD692" s="0" t="s">
        <v>246</v>
      </c>
      <c r="AE692" s="0" t="s">
        <v>504</v>
      </c>
      <c r="AH692" s="0" t="s">
        <v>180</v>
      </c>
      <c r="AJ692" s="0" t="s">
        <v>437</v>
      </c>
      <c r="AK692" s="0" t="s">
        <v>94</v>
      </c>
      <c r="AL692" s="0" t="s">
        <v>95</v>
      </c>
      <c r="AM692" s="0" t="s">
        <v>96</v>
      </c>
      <c r="AO692" s="0" t="s">
        <v>98</v>
      </c>
      <c r="AQ692" s="0" t="s">
        <v>100</v>
      </c>
    </row>
    <row r="693" ht="72.75">
      <c r="B693" s="0" t="s">
        <v>2013</v>
      </c>
      <c r="C693" s="1" t="n">
        <v>353095</v>
      </c>
      <c r="E693" s="14" t="s">
        <v>2017</v>
      </c>
      <c r="F693" s="14" t="s">
        <v>1414</v>
      </c>
      <c r="G693" s="25" t="str">
        <f>HYPERLINK("http://instagram.com/p/CrAA-3ooIzG/c/18286811008107295/")</f>
      </c>
      <c r="H693" s="14" t="s">
        <v>170</v>
      </c>
      <c r="I693" s="14" t="s">
        <v>231</v>
      </c>
      <c r="J693" s="14" t="s">
        <v>2018</v>
      </c>
      <c r="K693" s="26" t="str">
        <f>HYPERLINK("http://instagram.com/okha65ru")</f>
      </c>
      <c r="L693" s="14" t="s">
        <v>1312</v>
      </c>
      <c r="O693" s="1"/>
      <c r="P693" s="1"/>
      <c r="Q693" s="1" t="n">
        <v>12649</v>
      </c>
      <c r="R693" s="1" t="n">
        <v>0</v>
      </c>
      <c r="S693" s="1"/>
      <c r="T693" s="1" t="n">
        <v>0</v>
      </c>
      <c r="U693" s="1" t="n">
        <v>0</v>
      </c>
      <c r="V693" s="1" t="n">
        <v>0</v>
      </c>
      <c r="W693" s="1"/>
      <c r="Y693" s="1" t="n">
        <v>1</v>
      </c>
      <c r="Z693" s="0" t="s">
        <v>175</v>
      </c>
      <c r="AA693" s="0" t="s">
        <v>187</v>
      </c>
      <c r="AC693" s="0" t="s">
        <v>177</v>
      </c>
      <c r="AD693" s="0" t="s">
        <v>2019</v>
      </c>
      <c r="AE693" s="0" t="s">
        <v>2020</v>
      </c>
      <c r="AH693" s="0" t="s">
        <v>180</v>
      </c>
      <c r="AJ693" s="0" t="s">
        <v>437</v>
      </c>
      <c r="AK693" s="0" t="s">
        <v>94</v>
      </c>
      <c r="AM693" s="0" t="s">
        <v>96</v>
      </c>
      <c r="AP693" s="0" t="s">
        <v>99</v>
      </c>
      <c r="BI693" s="0" t="s">
        <v>118</v>
      </c>
    </row>
    <row r="694" ht="24.75">
      <c r="B694" s="0" t="s">
        <v>2021</v>
      </c>
      <c r="C694" s="1" t="n">
        <v>353112</v>
      </c>
      <c r="E694" s="14" t="s">
        <v>1843</v>
      </c>
      <c r="F694" s="14" t="s">
        <v>169</v>
      </c>
      <c r="G694" s="25" t="str">
        <f>HYPERLINK("http://www.ok.ru/profile/556735436761/statuses/155522774332377")</f>
      </c>
      <c r="H694" s="14" t="s">
        <v>170</v>
      </c>
      <c r="I694" s="14" t="s">
        <v>171</v>
      </c>
      <c r="J694" s="14" t="s">
        <v>2022</v>
      </c>
      <c r="K694" s="26" t="str">
        <f>HYPERLINK("http://www.ok.ru/profile/556735436761")</f>
      </c>
      <c r="L694" s="14" t="s">
        <v>173</v>
      </c>
      <c r="O694" s="1" t="s">
        <v>174</v>
      </c>
      <c r="P694" s="1" t="n">
        <v>57</v>
      </c>
      <c r="Q694" s="1" t="n">
        <v>356</v>
      </c>
      <c r="R694" s="1" t="n">
        <v>0</v>
      </c>
      <c r="S694" s="1"/>
      <c r="T694" s="1" t="n">
        <v>0</v>
      </c>
      <c r="U694" s="1" t="n">
        <v>0</v>
      </c>
      <c r="V694" s="1" t="n">
        <v>0</v>
      </c>
      <c r="W694" s="1"/>
      <c r="Y694" s="1" t="n">
        <v>5</v>
      </c>
      <c r="Z694" s="0" t="s">
        <v>175</v>
      </c>
      <c r="AA694" s="0" t="s">
        <v>176</v>
      </c>
      <c r="AC694" s="0" t="s">
        <v>177</v>
      </c>
      <c r="AD694" s="0" t="s">
        <v>410</v>
      </c>
      <c r="AE694" s="0" t="s">
        <v>2023</v>
      </c>
      <c r="AH694" s="0" t="s">
        <v>180</v>
      </c>
      <c r="AJ694" s="0" t="s">
        <v>437</v>
      </c>
      <c r="AK694" s="0" t="s">
        <v>94</v>
      </c>
      <c r="AL694" s="0" t="s">
        <v>95</v>
      </c>
      <c r="AM694" s="0" t="s">
        <v>96</v>
      </c>
      <c r="AO694" s="0" t="s">
        <v>98</v>
      </c>
      <c r="AQ694" s="0" t="s">
        <v>100</v>
      </c>
    </row>
    <row r="695" ht="192.75">
      <c r="B695" s="0" t="s">
        <v>2024</v>
      </c>
      <c r="C695" s="1" t="n">
        <v>353067</v>
      </c>
      <c r="D695" s="0" t="s">
        <v>1953</v>
      </c>
      <c r="E695" s="14" t="s">
        <v>2025</v>
      </c>
      <c r="F695" s="14" t="s">
        <v>2026</v>
      </c>
      <c r="G695" s="25" t="str">
        <f>HYPERLINK("https://okha65.ru/news/obschestvo/9920.html")</f>
      </c>
      <c r="H695" s="14" t="s">
        <v>208</v>
      </c>
      <c r="I695" s="14" t="s">
        <v>194</v>
      </c>
      <c r="J695" s="14"/>
      <c r="L695" s="14"/>
      <c r="O695" s="1"/>
      <c r="P695" s="1"/>
      <c r="Q695" s="1"/>
      <c r="R695" s="1" t="n">
        <v>0</v>
      </c>
      <c r="S695" s="1" t="n">
        <v>1683</v>
      </c>
      <c r="T695" s="1" t="n">
        <v>0</v>
      </c>
      <c r="U695" s="1" t="n">
        <v>0</v>
      </c>
      <c r="V695" s="1" t="n">
        <v>0</v>
      </c>
      <c r="W695" s="1"/>
      <c r="Y695" s="1" t="n">
        <v>1</v>
      </c>
      <c r="Z695" s="0" t="s">
        <v>175</v>
      </c>
      <c r="AA695" s="0" t="s">
        <v>187</v>
      </c>
      <c r="AH695" s="0" t="s">
        <v>180</v>
      </c>
      <c r="AJ695" s="0" t="s">
        <v>437</v>
      </c>
      <c r="AK695" s="0" t="s">
        <v>94</v>
      </c>
      <c r="AM695" s="0" t="s">
        <v>96</v>
      </c>
      <c r="AP695" s="0" t="s">
        <v>99</v>
      </c>
      <c r="BI695" s="0" t="s">
        <v>118</v>
      </c>
    </row>
    <row r="696" ht="24.75">
      <c r="B696" s="0" t="s">
        <v>2027</v>
      </c>
      <c r="C696" s="1" t="n">
        <v>353046</v>
      </c>
      <c r="E696" s="14" t="s">
        <v>2028</v>
      </c>
      <c r="F696" s="14" t="s">
        <v>184</v>
      </c>
      <c r="G696" s="25" t="str">
        <f>HYPERLINK("http://vk.com/wall594251889_54104")</f>
      </c>
      <c r="H696" s="14" t="s">
        <v>170</v>
      </c>
      <c r="I696" s="14" t="s">
        <v>171</v>
      </c>
      <c r="J696" s="14" t="s">
        <v>2029</v>
      </c>
      <c r="K696" s="26" t="str">
        <f>HYPERLINK("http://vk.com/id594251889")</f>
      </c>
      <c r="L696" s="14" t="s">
        <v>173</v>
      </c>
      <c r="O696" s="1" t="s">
        <v>186</v>
      </c>
      <c r="P696" s="1" t="n">
        <v>54</v>
      </c>
      <c r="Q696" s="1" t="n">
        <v>1669</v>
      </c>
      <c r="R696" s="1" t="n">
        <v>0</v>
      </c>
      <c r="S696" s="1"/>
      <c r="T696" s="1" t="n">
        <v>0</v>
      </c>
      <c r="U696" s="1" t="n">
        <v>0</v>
      </c>
      <c r="V696" s="1" t="n">
        <v>0</v>
      </c>
      <c r="W696" s="1" t="n">
        <v>1</v>
      </c>
      <c r="Y696" s="1" t="n">
        <v>1</v>
      </c>
      <c r="Z696" s="0" t="s">
        <v>175</v>
      </c>
      <c r="AA696" s="0" t="s">
        <v>176</v>
      </c>
      <c r="AH696" s="0" t="s">
        <v>180</v>
      </c>
      <c r="AJ696" s="0" t="s">
        <v>437</v>
      </c>
      <c r="AK696" s="0" t="s">
        <v>94</v>
      </c>
      <c r="AL696" s="0" t="s">
        <v>95</v>
      </c>
      <c r="AM696" s="0" t="s">
        <v>96</v>
      </c>
      <c r="AO696" s="0" t="s">
        <v>98</v>
      </c>
      <c r="AQ696" s="0" t="s">
        <v>100</v>
      </c>
    </row>
    <row r="697" ht="24.75">
      <c r="B697" s="0" t="s">
        <v>2030</v>
      </c>
      <c r="C697" s="1" t="n">
        <v>353910</v>
      </c>
      <c r="E697" s="14" t="s">
        <v>554</v>
      </c>
      <c r="F697" s="14" t="s">
        <v>169</v>
      </c>
      <c r="G697" s="25" t="str">
        <f>HYPERLINK("http://www.ok.ru/profile/567526711507/statuses/156201207000019")</f>
      </c>
      <c r="H697" s="14" t="s">
        <v>170</v>
      </c>
      <c r="I697" s="14" t="s">
        <v>171</v>
      </c>
      <c r="J697" s="14" t="s">
        <v>2031</v>
      </c>
      <c r="K697" s="26" t="str">
        <f>HYPERLINK("http://www.ok.ru/profile/567526711507")</f>
      </c>
      <c r="L697" s="14" t="s">
        <v>173</v>
      </c>
      <c r="O697" s="1" t="s">
        <v>186</v>
      </c>
      <c r="P697" s="1" t="n">
        <v>63</v>
      </c>
      <c r="Q697" s="1" t="n">
        <v>78</v>
      </c>
      <c r="R697" s="1" t="n">
        <v>0</v>
      </c>
      <c r="S697" s="1"/>
      <c r="T697" s="1" t="n">
        <v>0</v>
      </c>
      <c r="U697" s="1" t="n">
        <v>2</v>
      </c>
      <c r="V697" s="1" t="n">
        <v>2</v>
      </c>
      <c r="W697" s="1"/>
      <c r="Y697" s="1" t="n">
        <v>59</v>
      </c>
      <c r="Z697" s="0" t="s">
        <v>175</v>
      </c>
      <c r="AA697" s="0" t="s">
        <v>176</v>
      </c>
      <c r="AC697" s="0" t="s">
        <v>177</v>
      </c>
      <c r="AD697" s="0" t="s">
        <v>212</v>
      </c>
      <c r="AE697" s="0" t="s">
        <v>213</v>
      </c>
      <c r="AH697" s="0" t="s">
        <v>180</v>
      </c>
      <c r="AJ697" s="0" t="s">
        <v>437</v>
      </c>
      <c r="AK697" s="0" t="s">
        <v>94</v>
      </c>
      <c r="AL697" s="0" t="s">
        <v>95</v>
      </c>
      <c r="AM697" s="0" t="s">
        <v>96</v>
      </c>
      <c r="AO697" s="0" t="s">
        <v>98</v>
      </c>
      <c r="AQ697" s="0" t="s">
        <v>100</v>
      </c>
    </row>
    <row r="698" ht="36.75">
      <c r="B698" s="0" t="s">
        <v>2032</v>
      </c>
      <c r="C698" s="1" t="n">
        <v>353036</v>
      </c>
      <c r="E698" s="14" t="s">
        <v>202</v>
      </c>
      <c r="F698" s="14" t="s">
        <v>184</v>
      </c>
      <c r="G698" s="25" t="str">
        <f>HYPERLINK("http://vk.com/wall291475015_4232")</f>
      </c>
      <c r="H698" s="14" t="s">
        <v>170</v>
      </c>
      <c r="I698" s="14" t="s">
        <v>171</v>
      </c>
      <c r="J698" s="14" t="s">
        <v>2033</v>
      </c>
      <c r="K698" s="26" t="str">
        <f>HYPERLINK("http://vk.com/id291475015")</f>
      </c>
      <c r="L698" s="14" t="s">
        <v>173</v>
      </c>
      <c r="O698" s="1" t="s">
        <v>186</v>
      </c>
      <c r="P698" s="1" t="n">
        <v>66</v>
      </c>
      <c r="Q698" s="1" t="n">
        <v>141</v>
      </c>
      <c r="R698" s="1" t="n">
        <v>0</v>
      </c>
      <c r="S698" s="1"/>
      <c r="T698" s="1" t="n">
        <v>0</v>
      </c>
      <c r="U698" s="1" t="n">
        <v>0</v>
      </c>
      <c r="V698" s="1" t="n">
        <v>0</v>
      </c>
      <c r="W698" s="1" t="n">
        <v>1</v>
      </c>
      <c r="Y698" s="1" t="n">
        <v>60</v>
      </c>
      <c r="Z698" s="0" t="s">
        <v>175</v>
      </c>
      <c r="AA698" s="0" t="s">
        <v>176</v>
      </c>
      <c r="AH698" s="0" t="s">
        <v>180</v>
      </c>
      <c r="AJ698" s="0" t="s">
        <v>437</v>
      </c>
      <c r="AK698" s="0" t="s">
        <v>94</v>
      </c>
      <c r="AL698" s="0" t="s">
        <v>95</v>
      </c>
      <c r="AM698" s="0" t="s">
        <v>96</v>
      </c>
      <c r="AO698" s="0" t="s">
        <v>98</v>
      </c>
      <c r="AQ698" s="0" t="s">
        <v>100</v>
      </c>
    </row>
    <row r="699">
      <c r="B699" s="0" t="s">
        <v>2032</v>
      </c>
      <c r="C699" s="1" t="n">
        <v>353033</v>
      </c>
      <c r="E699" s="14" t="s">
        <v>2034</v>
      </c>
      <c r="F699" s="14" t="s">
        <v>184</v>
      </c>
      <c r="G699" s="25" t="str">
        <f>HYPERLINK("http://vk.com/wall-165932654_51869?reply=51871")</f>
      </c>
      <c r="H699" s="14" t="s">
        <v>170</v>
      </c>
      <c r="I699" s="14" t="s">
        <v>231</v>
      </c>
      <c r="J699" s="14" t="s">
        <v>2035</v>
      </c>
      <c r="K699" s="26" t="str">
        <f>HYPERLINK("http://vk.com/id790491887")</f>
      </c>
      <c r="L699" s="14" t="s">
        <v>173</v>
      </c>
      <c r="M699" s="14" t="s">
        <v>2036</v>
      </c>
      <c r="N699" s="25" t="str">
        <f>HYPERLINK("http://vk.com/club165932654")</f>
      </c>
      <c r="O699" s="1" t="s">
        <v>174</v>
      </c>
      <c r="P699" s="1" t="n">
        <v>38</v>
      </c>
      <c r="Q699" s="1" t="n">
        <v>3334</v>
      </c>
      <c r="R699" s="1" t="n">
        <v>0</v>
      </c>
      <c r="S699" s="1"/>
      <c r="T699" s="1" t="n">
        <v>0</v>
      </c>
      <c r="U699" s="1" t="n">
        <v>0</v>
      </c>
      <c r="V699" s="1" t="n">
        <v>0</v>
      </c>
      <c r="W699" s="1"/>
      <c r="Y699" s="1" t="n">
        <v>1</v>
      </c>
      <c r="Z699" s="0" t="s">
        <v>175</v>
      </c>
      <c r="AA699" s="0" t="s">
        <v>187</v>
      </c>
      <c r="AH699" s="0" t="s">
        <v>180</v>
      </c>
      <c r="AJ699" s="0" t="s">
        <v>437</v>
      </c>
      <c r="AK699" s="0" t="s">
        <v>94</v>
      </c>
      <c r="AP699" s="0" t="s">
        <v>99</v>
      </c>
      <c r="AR699" s="0" t="s">
        <v>101</v>
      </c>
      <c r="AT699" s="0" t="s">
        <v>103</v>
      </c>
    </row>
    <row r="700" ht="48.75">
      <c r="B700" s="0" t="s">
        <v>2037</v>
      </c>
      <c r="C700" s="1" t="n">
        <v>353024</v>
      </c>
      <c r="E700" s="14" t="s">
        <v>2038</v>
      </c>
      <c r="F700" s="14" t="s">
        <v>192</v>
      </c>
      <c r="G700" s="25" t="str">
        <f>HYPERLINK("https://telegram.me/forumsakhcom_family/187888")</f>
      </c>
      <c r="H700" s="14" t="s">
        <v>193</v>
      </c>
      <c r="I700" s="14" t="s">
        <v>194</v>
      </c>
      <c r="J700" s="14" t="s">
        <v>2039</v>
      </c>
      <c r="K700" s="26" t="str">
        <f>HYPERLINK("https://telegram.me/anetsakh")</f>
      </c>
      <c r="L700" s="14" t="s">
        <v>173</v>
      </c>
      <c r="M700" s="14" t="s">
        <v>2040</v>
      </c>
      <c r="N700" s="25" t="str">
        <f>HYPERLINK("https://telegram.me/forumsakhcom_family")</f>
      </c>
      <c r="O700" s="1" t="s">
        <v>186</v>
      </c>
      <c r="P700" s="1"/>
      <c r="Q700" s="1" t="n">
        <v>1848</v>
      </c>
      <c r="R700" s="1" t="n">
        <v>0</v>
      </c>
      <c r="S700" s="1"/>
      <c r="T700" s="1" t="n">
        <v>0</v>
      </c>
      <c r="U700" s="1" t="n">
        <v>0</v>
      </c>
      <c r="V700" s="1" t="n">
        <v>0</v>
      </c>
      <c r="W700" s="1"/>
      <c r="Y700" s="1" t="n">
        <v>1</v>
      </c>
      <c r="Z700" s="0" t="s">
        <v>175</v>
      </c>
      <c r="AA700" s="0" t="s">
        <v>187</v>
      </c>
      <c r="AH700" s="0" t="s">
        <v>180</v>
      </c>
      <c r="AJ700" s="0" t="s">
        <v>437</v>
      </c>
      <c r="AK700" s="0" t="s">
        <v>94</v>
      </c>
      <c r="AN700" s="0" t="s">
        <v>97</v>
      </c>
      <c r="AP700" s="0" t="s">
        <v>99</v>
      </c>
      <c r="AR700" s="0" t="s">
        <v>101</v>
      </c>
      <c r="AT700" s="0" t="s">
        <v>103</v>
      </c>
      <c r="BG700" s="0" t="s">
        <v>116</v>
      </c>
      <c r="BI700" s="0" t="s">
        <v>118</v>
      </c>
      <c r="BO700" s="0" t="s">
        <v>124</v>
      </c>
      <c r="BU700" s="0" t="s">
        <v>130</v>
      </c>
    </row>
    <row r="701" ht="36.75">
      <c r="B701" s="0" t="s">
        <v>2041</v>
      </c>
      <c r="C701" s="1" t="n">
        <v>353034</v>
      </c>
      <c r="E701" s="14" t="s">
        <v>1189</v>
      </c>
      <c r="F701" s="14" t="s">
        <v>169</v>
      </c>
      <c r="G701" s="25" t="str">
        <f>HYPERLINK("http://www.ok.ru/profile/557047970658/statuses/155245852466530")</f>
      </c>
      <c r="H701" s="14" t="s">
        <v>170</v>
      </c>
      <c r="I701" s="14" t="s">
        <v>171</v>
      </c>
      <c r="J701" s="14" t="s">
        <v>2042</v>
      </c>
      <c r="K701" s="26" t="str">
        <f>HYPERLINK("http://www.ok.ru/profile/557047970658")</f>
      </c>
      <c r="L701" s="14" t="s">
        <v>173</v>
      </c>
      <c r="O701" s="1" t="s">
        <v>174</v>
      </c>
      <c r="P701" s="1" t="n">
        <v>53</v>
      </c>
      <c r="Q701" s="1" t="n">
        <v>6484</v>
      </c>
      <c r="R701" s="1" t="n">
        <v>0</v>
      </c>
      <c r="S701" s="1"/>
      <c r="T701" s="1" t="n">
        <v>0</v>
      </c>
      <c r="U701" s="1" t="n">
        <v>0</v>
      </c>
      <c r="V701" s="1" t="n">
        <v>0</v>
      </c>
      <c r="W701" s="1"/>
      <c r="Y701" s="1" t="n">
        <v>46</v>
      </c>
      <c r="Z701" s="0" t="s">
        <v>175</v>
      </c>
      <c r="AA701" s="0" t="s">
        <v>187</v>
      </c>
      <c r="AC701" s="0" t="s">
        <v>177</v>
      </c>
      <c r="AD701" s="0" t="s">
        <v>556</v>
      </c>
      <c r="AE701" s="0" t="s">
        <v>2043</v>
      </c>
      <c r="AH701" s="0" t="s">
        <v>180</v>
      </c>
      <c r="AJ701" s="0" t="s">
        <v>437</v>
      </c>
      <c r="AK701" s="0" t="s">
        <v>94</v>
      </c>
      <c r="AL701" s="0" t="s">
        <v>95</v>
      </c>
      <c r="AM701" s="0" t="s">
        <v>96</v>
      </c>
      <c r="AO701" s="0" t="s">
        <v>98</v>
      </c>
      <c r="AQ701" s="0" t="s">
        <v>100</v>
      </c>
    </row>
    <row r="702">
      <c r="B702" s="0" t="s">
        <v>2044</v>
      </c>
      <c r="C702" s="1" t="n">
        <v>354108</v>
      </c>
      <c r="E702" s="14" t="s">
        <v>1447</v>
      </c>
      <c r="F702" s="14" t="s">
        <v>169</v>
      </c>
      <c r="G702" s="25" t="str">
        <f>HYPERLINK("http://www.ok.ru/profile/579278464934/statuses/155226073947046")</f>
      </c>
      <c r="H702" s="14" t="s">
        <v>170</v>
      </c>
      <c r="I702" s="14" t="s">
        <v>171</v>
      </c>
      <c r="J702" s="14" t="s">
        <v>2045</v>
      </c>
      <c r="K702" s="26" t="str">
        <f>HYPERLINK("http://www.ok.ru/profile/579278464934")</f>
      </c>
      <c r="L702" s="14" t="s">
        <v>173</v>
      </c>
      <c r="O702" s="1" t="s">
        <v>186</v>
      </c>
      <c r="P702" s="1" t="n">
        <v>61</v>
      </c>
      <c r="Q702" s="1" t="n">
        <v>421</v>
      </c>
      <c r="R702" s="1" t="n">
        <v>0</v>
      </c>
      <c r="S702" s="1"/>
      <c r="T702" s="1" t="n">
        <v>0</v>
      </c>
      <c r="U702" s="1" t="n">
        <v>2</v>
      </c>
      <c r="V702" s="1" t="n">
        <v>2</v>
      </c>
      <c r="W702" s="1"/>
      <c r="Y702" s="1" t="n">
        <v>9</v>
      </c>
      <c r="Z702" s="0" t="s">
        <v>175</v>
      </c>
      <c r="AA702" s="0" t="s">
        <v>187</v>
      </c>
      <c r="AC702" s="0" t="s">
        <v>177</v>
      </c>
      <c r="AH702" s="0" t="s">
        <v>180</v>
      </c>
      <c r="AJ702" s="0" t="s">
        <v>181</v>
      </c>
      <c r="AK702" s="0" t="s">
        <v>94</v>
      </c>
      <c r="AM702" s="0" t="s">
        <v>96</v>
      </c>
      <c r="AN702" s="0" t="s">
        <v>97</v>
      </c>
      <c r="AS702" s="0" t="s">
        <v>102</v>
      </c>
      <c r="AU702" s="0" t="s">
        <v>104</v>
      </c>
      <c r="AV702" s="0" t="s">
        <v>105</v>
      </c>
      <c r="AW702" s="0" t="s">
        <v>106</v>
      </c>
      <c r="BE702" s="0" t="s">
        <v>114</v>
      </c>
      <c r="BL702" s="0" t="s">
        <v>121</v>
      </c>
      <c r="BO702" s="0" t="s">
        <v>124</v>
      </c>
    </row>
    <row r="703">
      <c r="B703" s="0" t="s">
        <v>2046</v>
      </c>
      <c r="C703" s="1" t="n">
        <v>353019</v>
      </c>
      <c r="E703" s="14" t="s">
        <v>2047</v>
      </c>
      <c r="F703" s="14" t="s">
        <v>192</v>
      </c>
      <c r="G703" s="25" t="str">
        <f>HYPERLINK("https://telegram.me/forumsakhcom_family/187883")</f>
      </c>
      <c r="H703" s="14" t="s">
        <v>193</v>
      </c>
      <c r="I703" s="14" t="s">
        <v>194</v>
      </c>
      <c r="J703" s="14" t="s">
        <v>2048</v>
      </c>
      <c r="K703" s="26" t="str">
        <f>HYPERLINK("https://telegram.me/")</f>
      </c>
      <c r="L703" s="14" t="s">
        <v>173</v>
      </c>
      <c r="M703" s="14" t="s">
        <v>2040</v>
      </c>
      <c r="N703" s="25" t="str">
        <f>HYPERLINK("https://telegram.me/forumsakhcom_family")</f>
      </c>
      <c r="O703" s="1" t="s">
        <v>186</v>
      </c>
      <c r="P703" s="1"/>
      <c r="Q703" s="1" t="n">
        <v>1848</v>
      </c>
      <c r="R703" s="1" t="n">
        <v>0</v>
      </c>
      <c r="S703" s="1"/>
      <c r="T703" s="1" t="n">
        <v>0</v>
      </c>
      <c r="U703" s="1" t="n">
        <v>0</v>
      </c>
      <c r="V703" s="1" t="n">
        <v>0</v>
      </c>
      <c r="W703" s="1"/>
      <c r="Y703" s="1" t="n">
        <v>1</v>
      </c>
      <c r="Z703" s="0" t="s">
        <v>175</v>
      </c>
      <c r="AA703" s="0" t="s">
        <v>187</v>
      </c>
      <c r="AH703" s="0" t="s">
        <v>180</v>
      </c>
      <c r="AJ703" s="0" t="s">
        <v>437</v>
      </c>
      <c r="AK703" s="0" t="s">
        <v>94</v>
      </c>
      <c r="AN703" s="0" t="s">
        <v>97</v>
      </c>
      <c r="AP703" s="0" t="s">
        <v>99</v>
      </c>
      <c r="AT703" s="0" t="s">
        <v>103</v>
      </c>
      <c r="BC703" s="0" t="s">
        <v>112</v>
      </c>
      <c r="BG703" s="0" t="s">
        <v>116</v>
      </c>
      <c r="BO703" s="0" t="s">
        <v>124</v>
      </c>
    </row>
    <row r="704" ht="24.75">
      <c r="B704" s="0" t="s">
        <v>2049</v>
      </c>
      <c r="C704" s="1" t="n">
        <v>353160</v>
      </c>
      <c r="E704" s="14" t="s">
        <v>1632</v>
      </c>
      <c r="F704" s="14" t="s">
        <v>169</v>
      </c>
      <c r="G704" s="25" t="str">
        <f>HYPERLINK("http://www.ok.ru/profile/586908093700/statuses/155183588901636")</f>
      </c>
      <c r="H704" s="14" t="s">
        <v>170</v>
      </c>
      <c r="I704" s="14" t="s">
        <v>171</v>
      </c>
      <c r="J704" s="14" t="s">
        <v>2050</v>
      </c>
      <c r="K704" s="26" t="str">
        <f>HYPERLINK("http://www.ok.ru/profile/586908093700")</f>
      </c>
      <c r="L704" s="14" t="s">
        <v>173</v>
      </c>
      <c r="O704" s="1" t="s">
        <v>186</v>
      </c>
      <c r="P704" s="1" t="n">
        <v>68</v>
      </c>
      <c r="Q704" s="1" t="n">
        <v>41</v>
      </c>
      <c r="R704" s="1" t="n">
        <v>0</v>
      </c>
      <c r="S704" s="1"/>
      <c r="T704" s="1" t="n">
        <v>0</v>
      </c>
      <c r="U704" s="1" t="n">
        <v>0</v>
      </c>
      <c r="V704" s="1" t="n">
        <v>0</v>
      </c>
      <c r="W704" s="1"/>
      <c r="Y704" s="1" t="n">
        <v>10</v>
      </c>
      <c r="Z704" s="0" t="s">
        <v>175</v>
      </c>
      <c r="AA704" s="0" t="s">
        <v>176</v>
      </c>
      <c r="AC704" s="0" t="s">
        <v>177</v>
      </c>
      <c r="AD704" s="0" t="s">
        <v>1051</v>
      </c>
      <c r="AE704" s="0" t="s">
        <v>1850</v>
      </c>
      <c r="AH704" s="0" t="s">
        <v>180</v>
      </c>
      <c r="AJ704" s="0" t="s">
        <v>437</v>
      </c>
      <c r="AK704" s="0" t="s">
        <v>94</v>
      </c>
      <c r="AL704" s="0" t="s">
        <v>95</v>
      </c>
      <c r="AM704" s="0" t="s">
        <v>96</v>
      </c>
      <c r="AO704" s="0" t="s">
        <v>98</v>
      </c>
      <c r="AQ704" s="0" t="s">
        <v>100</v>
      </c>
    </row>
    <row r="705" ht="36.75">
      <c r="B705" s="0" t="s">
        <v>2051</v>
      </c>
      <c r="C705" s="1" t="n">
        <v>353018</v>
      </c>
      <c r="E705" s="14" t="s">
        <v>574</v>
      </c>
      <c r="F705" s="14" t="s">
        <v>184</v>
      </c>
      <c r="G705" s="25" t="str">
        <f>HYPERLINK("http://vk.com/wall213058610_3393")</f>
      </c>
      <c r="H705" s="14" t="s">
        <v>170</v>
      </c>
      <c r="I705" s="14" t="s">
        <v>171</v>
      </c>
      <c r="J705" s="14" t="s">
        <v>2052</v>
      </c>
      <c r="K705" s="26" t="str">
        <f>HYPERLINK("http://vk.com/id213058610")</f>
      </c>
      <c r="L705" s="14" t="s">
        <v>173</v>
      </c>
      <c r="O705" s="1" t="s">
        <v>186</v>
      </c>
      <c r="P705" s="1" t="n">
        <v>64</v>
      </c>
      <c r="Q705" s="1" t="n">
        <v>107</v>
      </c>
      <c r="R705" s="1" t="n">
        <v>0</v>
      </c>
      <c r="S705" s="1"/>
      <c r="T705" s="1" t="n">
        <v>0</v>
      </c>
      <c r="U705" s="1" t="n">
        <v>0</v>
      </c>
      <c r="V705" s="1" t="n">
        <v>0</v>
      </c>
      <c r="W705" s="1" t="n">
        <v>1</v>
      </c>
      <c r="Y705" s="1" t="n">
        <v>5</v>
      </c>
      <c r="Z705" s="0" t="s">
        <v>175</v>
      </c>
      <c r="AA705" s="0" t="s">
        <v>292</v>
      </c>
      <c r="AC705" s="0" t="s">
        <v>177</v>
      </c>
      <c r="AD705" s="0" t="s">
        <v>341</v>
      </c>
      <c r="AE705" s="0" t="s">
        <v>451</v>
      </c>
      <c r="AH705" s="0" t="s">
        <v>180</v>
      </c>
      <c r="AJ705" s="0" t="s">
        <v>437</v>
      </c>
      <c r="AK705" s="0" t="s">
        <v>94</v>
      </c>
      <c r="AL705" s="0" t="s">
        <v>95</v>
      </c>
      <c r="AR705" s="0" t="s">
        <v>101</v>
      </c>
      <c r="BA705" s="0" t="s">
        <v>110</v>
      </c>
      <c r="BF705" s="0" t="s">
        <v>115</v>
      </c>
    </row>
    <row r="706" ht="24.75">
      <c r="B706" s="0" t="s">
        <v>2051</v>
      </c>
      <c r="C706" s="1" t="n">
        <v>353500</v>
      </c>
      <c r="E706" s="14" t="s">
        <v>440</v>
      </c>
      <c r="F706" s="14" t="s">
        <v>169</v>
      </c>
      <c r="G706" s="25" t="str">
        <f>HYPERLINK("http://www.ok.ru/profile/564617526983/statuses/155842293853127")</f>
      </c>
      <c r="H706" s="14" t="s">
        <v>170</v>
      </c>
      <c r="I706" s="14" t="s">
        <v>171</v>
      </c>
      <c r="J706" s="14" t="s">
        <v>2053</v>
      </c>
      <c r="K706" s="26" t="str">
        <f>HYPERLINK("http://www.ok.ru/profile/564617526983")</f>
      </c>
      <c r="L706" s="14" t="s">
        <v>173</v>
      </c>
      <c r="O706" s="1" t="s">
        <v>186</v>
      </c>
      <c r="P706" s="1"/>
      <c r="Q706" s="1" t="n">
        <v>208</v>
      </c>
      <c r="R706" s="1" t="n">
        <v>0</v>
      </c>
      <c r="S706" s="1"/>
      <c r="T706" s="1" t="n">
        <v>0</v>
      </c>
      <c r="U706" s="1" t="n">
        <v>3</v>
      </c>
      <c r="V706" s="1" t="n">
        <v>3</v>
      </c>
      <c r="W706" s="1"/>
      <c r="Y706" s="1" t="n">
        <v>17</v>
      </c>
      <c r="Z706" s="0" t="s">
        <v>175</v>
      </c>
      <c r="AA706" s="0" t="s">
        <v>176</v>
      </c>
      <c r="AC706" s="0" t="s">
        <v>177</v>
      </c>
      <c r="AD706" s="0" t="s">
        <v>392</v>
      </c>
      <c r="AE706" s="0" t="s">
        <v>2054</v>
      </c>
      <c r="AH706" s="0" t="s">
        <v>180</v>
      </c>
      <c r="AJ706" s="0" t="s">
        <v>437</v>
      </c>
      <c r="AK706" s="0" t="s">
        <v>94</v>
      </c>
      <c r="AL706" s="0" t="s">
        <v>95</v>
      </c>
      <c r="AM706" s="0" t="s">
        <v>96</v>
      </c>
      <c r="AO706" s="0" t="s">
        <v>98</v>
      </c>
      <c r="AQ706" s="0" t="s">
        <v>100</v>
      </c>
    </row>
    <row r="707" ht="36.75">
      <c r="B707" s="0" t="s">
        <v>2055</v>
      </c>
      <c r="C707" s="1" t="n">
        <v>353023</v>
      </c>
      <c r="E707" s="14" t="s">
        <v>1189</v>
      </c>
      <c r="F707" s="14" t="s">
        <v>169</v>
      </c>
      <c r="G707" s="25" t="str">
        <f>HYPERLINK("http://www.ok.ru/profile/474498047233/statuses/154791686210305")</f>
      </c>
      <c r="H707" s="14" t="s">
        <v>170</v>
      </c>
      <c r="I707" s="14" t="s">
        <v>171</v>
      </c>
      <c r="J707" s="14" t="s">
        <v>2056</v>
      </c>
      <c r="K707" s="26" t="str">
        <f>HYPERLINK("http://www.ok.ru/profile/474498047233")</f>
      </c>
      <c r="L707" s="14" t="s">
        <v>173</v>
      </c>
      <c r="O707" s="1" t="s">
        <v>186</v>
      </c>
      <c r="P707" s="1" t="n">
        <v>63</v>
      </c>
      <c r="Q707" s="1" t="n">
        <v>444</v>
      </c>
      <c r="R707" s="1" t="n">
        <v>0</v>
      </c>
      <c r="S707" s="1"/>
      <c r="T707" s="1" t="n">
        <v>0</v>
      </c>
      <c r="U707" s="1" t="n">
        <v>0</v>
      </c>
      <c r="V707" s="1" t="n">
        <v>0</v>
      </c>
      <c r="W707" s="1"/>
      <c r="Y707" s="1" t="n">
        <v>46</v>
      </c>
      <c r="Z707" s="0" t="s">
        <v>175</v>
      </c>
      <c r="AA707" s="0" t="s">
        <v>187</v>
      </c>
      <c r="AC707" s="0" t="s">
        <v>177</v>
      </c>
      <c r="AD707" s="0" t="s">
        <v>427</v>
      </c>
      <c r="AE707" s="0" t="s">
        <v>428</v>
      </c>
      <c r="AH707" s="0" t="s">
        <v>180</v>
      </c>
      <c r="AJ707" s="0" t="s">
        <v>437</v>
      </c>
      <c r="AK707" s="0" t="s">
        <v>94</v>
      </c>
      <c r="AL707" s="0" t="s">
        <v>95</v>
      </c>
      <c r="AM707" s="0" t="s">
        <v>96</v>
      </c>
      <c r="AO707" s="0" t="s">
        <v>98</v>
      </c>
      <c r="AQ707" s="0" t="s">
        <v>100</v>
      </c>
    </row>
    <row r="708" ht="24.75">
      <c r="B708" s="0" t="s">
        <v>2057</v>
      </c>
      <c r="C708" s="1" t="n">
        <v>353085</v>
      </c>
      <c r="E708" s="14" t="s">
        <v>554</v>
      </c>
      <c r="F708" s="14" t="s">
        <v>169</v>
      </c>
      <c r="G708" s="25" t="str">
        <f>HYPERLINK("http://www.ok.ru/profile/519066942727/statuses/155120089729799")</f>
      </c>
      <c r="H708" s="14" t="s">
        <v>170</v>
      </c>
      <c r="I708" s="14" t="s">
        <v>171</v>
      </c>
      <c r="J708" s="14" t="s">
        <v>2058</v>
      </c>
      <c r="K708" s="26" t="str">
        <f>HYPERLINK("http://www.ok.ru/profile/519066942727")</f>
      </c>
      <c r="L708" s="14" t="s">
        <v>173</v>
      </c>
      <c r="O708" s="1" t="s">
        <v>186</v>
      </c>
      <c r="P708" s="1" t="n">
        <v>73</v>
      </c>
      <c r="Q708" s="1" t="n">
        <v>156</v>
      </c>
      <c r="R708" s="1" t="n">
        <v>0</v>
      </c>
      <c r="S708" s="1"/>
      <c r="T708" s="1" t="n">
        <v>0</v>
      </c>
      <c r="U708" s="1" t="n">
        <v>0</v>
      </c>
      <c r="V708" s="1" t="n">
        <v>0</v>
      </c>
      <c r="W708" s="1"/>
      <c r="Y708" s="1" t="n">
        <v>59</v>
      </c>
      <c r="Z708" s="0" t="s">
        <v>175</v>
      </c>
      <c r="AA708" s="0" t="s">
        <v>176</v>
      </c>
      <c r="AC708" s="0" t="s">
        <v>177</v>
      </c>
      <c r="AD708" s="0" t="s">
        <v>1385</v>
      </c>
      <c r="AE708" s="0" t="s">
        <v>1386</v>
      </c>
      <c r="AH708" s="0" t="s">
        <v>180</v>
      </c>
      <c r="AJ708" s="0" t="s">
        <v>437</v>
      </c>
      <c r="AK708" s="0" t="s">
        <v>94</v>
      </c>
      <c r="AL708" s="0" t="s">
        <v>95</v>
      </c>
      <c r="AM708" s="0" t="s">
        <v>96</v>
      </c>
      <c r="AO708" s="0" t="s">
        <v>98</v>
      </c>
      <c r="AQ708" s="0" t="s">
        <v>100</v>
      </c>
    </row>
    <row r="709">
      <c r="B709" s="0" t="s">
        <v>2059</v>
      </c>
      <c r="C709" s="1" t="n">
        <v>353155</v>
      </c>
      <c r="E709" s="14" t="s">
        <v>1349</v>
      </c>
      <c r="F709" s="14" t="s">
        <v>169</v>
      </c>
      <c r="G709" s="25" t="str">
        <f>HYPERLINK("http://www.ok.ru/profile/537613968913/statuses/155899677459729")</f>
      </c>
      <c r="H709" s="14" t="s">
        <v>170</v>
      </c>
      <c r="I709" s="14" t="s">
        <v>194</v>
      </c>
      <c r="J709" s="14" t="s">
        <v>2060</v>
      </c>
      <c r="K709" s="26" t="str">
        <f>HYPERLINK("http://www.ok.ru/profile/537613968913")</f>
      </c>
      <c r="L709" s="14" t="s">
        <v>173</v>
      </c>
      <c r="O709" s="1" t="s">
        <v>186</v>
      </c>
      <c r="P709" s="1" t="n">
        <v>61</v>
      </c>
      <c r="Q709" s="1" t="n">
        <v>111</v>
      </c>
      <c r="R709" s="1" t="n">
        <v>0</v>
      </c>
      <c r="S709" s="1"/>
      <c r="T709" s="1" t="n">
        <v>0</v>
      </c>
      <c r="U709" s="1" t="n">
        <v>1</v>
      </c>
      <c r="V709" s="1" t="n">
        <v>1</v>
      </c>
      <c r="W709" s="1"/>
      <c r="Y709" s="1" t="n">
        <v>15</v>
      </c>
      <c r="Z709" s="0" t="s">
        <v>175</v>
      </c>
      <c r="AA709" s="0" t="s">
        <v>187</v>
      </c>
      <c r="AC709" s="0" t="s">
        <v>177</v>
      </c>
      <c r="AD709" s="0" t="s">
        <v>178</v>
      </c>
      <c r="AE709" s="0" t="s">
        <v>2061</v>
      </c>
      <c r="AH709" s="0" t="s">
        <v>180</v>
      </c>
      <c r="AJ709" s="0" t="s">
        <v>437</v>
      </c>
      <c r="AK709" s="0" t="s">
        <v>94</v>
      </c>
      <c r="AL709" s="0" t="s">
        <v>95</v>
      </c>
      <c r="AM709" s="0" t="s">
        <v>96</v>
      </c>
      <c r="AX709" s="0" t="s">
        <v>107</v>
      </c>
      <c r="BF709" s="0" t="s">
        <v>115</v>
      </c>
      <c r="BR709" s="0" t="s">
        <v>127</v>
      </c>
    </row>
    <row r="710">
      <c r="B710" s="0" t="s">
        <v>2062</v>
      </c>
      <c r="C710" s="1" t="n">
        <v>353014</v>
      </c>
      <c r="E710" s="14" t="s">
        <v>2063</v>
      </c>
      <c r="F710" s="14" t="s">
        <v>192</v>
      </c>
      <c r="G710" s="25" t="str">
        <f>HYPERLINK("https://telegram.me/forumsakhcom_family/187853")</f>
      </c>
      <c r="H710" s="14" t="s">
        <v>193</v>
      </c>
      <c r="I710" s="14" t="s">
        <v>194</v>
      </c>
      <c r="J710" s="14" t="s">
        <v>2064</v>
      </c>
      <c r="K710" s="26" t="str">
        <f>HYPERLINK("https://telegram.me/")</f>
      </c>
      <c r="L710" s="14" t="s">
        <v>173</v>
      </c>
      <c r="M710" s="14" t="s">
        <v>2040</v>
      </c>
      <c r="N710" s="25" t="str">
        <f>HYPERLINK("https://telegram.me/forumsakhcom_family")</f>
      </c>
      <c r="O710" s="1" t="s">
        <v>186</v>
      </c>
      <c r="P710" s="1"/>
      <c r="Q710" s="1" t="n">
        <v>1848</v>
      </c>
      <c r="R710" s="1" t="n">
        <v>0</v>
      </c>
      <c r="S710" s="1"/>
      <c r="T710" s="1" t="n">
        <v>0</v>
      </c>
      <c r="U710" s="1" t="n">
        <v>0</v>
      </c>
      <c r="V710" s="1" t="n">
        <v>0</v>
      </c>
      <c r="W710" s="1"/>
      <c r="Y710" s="1" t="n">
        <v>1</v>
      </c>
      <c r="Z710" s="0" t="s">
        <v>175</v>
      </c>
      <c r="AA710" s="0" t="s">
        <v>187</v>
      </c>
      <c r="AH710" s="0" t="s">
        <v>180</v>
      </c>
      <c r="AI710" s="0" t="s">
        <v>92</v>
      </c>
      <c r="AJ710" s="0" t="s">
        <v>437</v>
      </c>
      <c r="AK710" s="0" t="s">
        <v>94</v>
      </c>
      <c r="AN710" s="0" t="s">
        <v>97</v>
      </c>
      <c r="AP710" s="0" t="s">
        <v>99</v>
      </c>
      <c r="AT710" s="0" t="s">
        <v>103</v>
      </c>
      <c r="AW710" s="0" t="s">
        <v>106</v>
      </c>
      <c r="BC710" s="0" t="s">
        <v>112</v>
      </c>
      <c r="BU710" s="0" t="s">
        <v>130</v>
      </c>
    </row>
    <row r="711">
      <c r="B711" s="0" t="s">
        <v>2065</v>
      </c>
      <c r="C711" s="1" t="n">
        <v>353815</v>
      </c>
      <c r="E711" s="14" t="s">
        <v>1349</v>
      </c>
      <c r="F711" s="14" t="s">
        <v>169</v>
      </c>
      <c r="G711" s="25" t="str">
        <f>HYPERLINK("http://www.ok.ru/profile/521322328899/statuses/154891174912835")</f>
      </c>
      <c r="H711" s="14" t="s">
        <v>170</v>
      </c>
      <c r="I711" s="14" t="s">
        <v>194</v>
      </c>
      <c r="J711" s="14" t="s">
        <v>2066</v>
      </c>
      <c r="K711" s="26" t="str">
        <f>HYPERLINK("http://www.ok.ru/profile/521322328899")</f>
      </c>
      <c r="L711" s="14" t="s">
        <v>173</v>
      </c>
      <c r="O711" s="1" t="s">
        <v>174</v>
      </c>
      <c r="P711" s="1"/>
      <c r="Q711" s="1" t="n">
        <v>304</v>
      </c>
      <c r="R711" s="1" t="n">
        <v>0</v>
      </c>
      <c r="S711" s="1"/>
      <c r="T711" s="1" t="n">
        <v>0</v>
      </c>
      <c r="U711" s="1" t="n">
        <v>0</v>
      </c>
      <c r="V711" s="1" t="n">
        <v>0</v>
      </c>
      <c r="W711" s="1"/>
      <c r="Y711" s="1" t="n">
        <v>15</v>
      </c>
      <c r="Z711" s="0" t="s">
        <v>175</v>
      </c>
      <c r="AA711" s="0" t="s">
        <v>187</v>
      </c>
      <c r="AC711" s="0" t="s">
        <v>177</v>
      </c>
      <c r="AD711" s="0" t="s">
        <v>234</v>
      </c>
      <c r="AE711" s="0" t="s">
        <v>235</v>
      </c>
      <c r="AH711" s="0" t="s">
        <v>180</v>
      </c>
      <c r="AJ711" s="0" t="s">
        <v>437</v>
      </c>
      <c r="AK711" s="0" t="s">
        <v>94</v>
      </c>
      <c r="AL711" s="0" t="s">
        <v>95</v>
      </c>
      <c r="AM711" s="0" t="s">
        <v>96</v>
      </c>
      <c r="AX711" s="0" t="s">
        <v>107</v>
      </c>
      <c r="BF711" s="0" t="s">
        <v>115</v>
      </c>
      <c r="BR711" s="0" t="s">
        <v>127</v>
      </c>
    </row>
    <row r="712">
      <c r="B712" s="0" t="s">
        <v>2067</v>
      </c>
      <c r="C712" s="1" t="n">
        <v>353011</v>
      </c>
      <c r="E712" s="14" t="s">
        <v>2068</v>
      </c>
      <c r="F712" s="14" t="s">
        <v>184</v>
      </c>
      <c r="G712" s="25" t="str">
        <f>HYPERLINK("http://vk.com/wall-200590246_862")</f>
      </c>
      <c r="H712" s="14" t="s">
        <v>170</v>
      </c>
      <c r="I712" s="14" t="s">
        <v>194</v>
      </c>
      <c r="J712" s="14" t="s">
        <v>2069</v>
      </c>
      <c r="K712" s="26" t="str">
        <f>HYPERLINK("http://vk.com/id302593432")</f>
      </c>
      <c r="L712" s="14" t="s">
        <v>173</v>
      </c>
      <c r="M712" s="14" t="s">
        <v>2070</v>
      </c>
      <c r="N712" s="25" t="str">
        <f>HYPERLINK("http://vk.com/club200590246")</f>
      </c>
      <c r="O712" s="1" t="s">
        <v>186</v>
      </c>
      <c r="P712" s="1" t="n">
        <v>53</v>
      </c>
      <c r="Q712" s="1" t="n">
        <v>2699</v>
      </c>
      <c r="R712" s="1" t="n">
        <v>0</v>
      </c>
      <c r="S712" s="1"/>
      <c r="T712" s="1" t="n">
        <v>0</v>
      </c>
      <c r="U712" s="1" t="n">
        <v>0</v>
      </c>
      <c r="V712" s="1" t="n">
        <v>0</v>
      </c>
      <c r="W712" s="1"/>
      <c r="Y712" s="1" t="n">
        <v>1</v>
      </c>
      <c r="Z712" s="0" t="s">
        <v>175</v>
      </c>
      <c r="AA712" s="0" t="s">
        <v>187</v>
      </c>
      <c r="AC712" s="0" t="s">
        <v>177</v>
      </c>
      <c r="AD712" s="0" t="s">
        <v>332</v>
      </c>
      <c r="AE712" s="0" t="s">
        <v>332</v>
      </c>
      <c r="AH712" s="0" t="s">
        <v>180</v>
      </c>
      <c r="AJ712" s="0" t="s">
        <v>437</v>
      </c>
      <c r="AK712" s="0" t="s">
        <v>94</v>
      </c>
      <c r="AN712" s="0" t="s">
        <v>97</v>
      </c>
      <c r="AP712" s="0" t="s">
        <v>99</v>
      </c>
      <c r="AR712" s="0" t="s">
        <v>101</v>
      </c>
      <c r="AS712" s="0" t="s">
        <v>102</v>
      </c>
      <c r="AT712" s="0" t="s">
        <v>103</v>
      </c>
      <c r="AW712" s="0" t="s">
        <v>106</v>
      </c>
      <c r="BO712" s="0" t="s">
        <v>124</v>
      </c>
      <c r="CF712" s="0" t="s">
        <v>141</v>
      </c>
    </row>
    <row r="713" ht="24.75">
      <c r="B713" s="0" t="s">
        <v>2071</v>
      </c>
      <c r="C713" s="1" t="n">
        <v>353615</v>
      </c>
      <c r="E713" s="14" t="s">
        <v>1102</v>
      </c>
      <c r="F713" s="14" t="s">
        <v>169</v>
      </c>
      <c r="G713" s="25" t="str">
        <f>HYPERLINK("http://www.ok.ru/profile/563997483623/statuses/155383780916071")</f>
      </c>
      <c r="H713" s="14" t="s">
        <v>170</v>
      </c>
      <c r="I713" s="14" t="s">
        <v>171</v>
      </c>
      <c r="J713" s="14" t="s">
        <v>2072</v>
      </c>
      <c r="K713" s="26" t="str">
        <f>HYPERLINK("http://www.ok.ru/profile/563997483623")</f>
      </c>
      <c r="L713" s="14" t="s">
        <v>173</v>
      </c>
      <c r="O713" s="1" t="s">
        <v>186</v>
      </c>
      <c r="P713" s="1"/>
      <c r="Q713" s="1" t="n">
        <v>295</v>
      </c>
      <c r="R713" s="1" t="n">
        <v>0</v>
      </c>
      <c r="S713" s="1"/>
      <c r="T713" s="1" t="n">
        <v>0</v>
      </c>
      <c r="U713" s="1" t="n">
        <v>1</v>
      </c>
      <c r="V713" s="1" t="n">
        <v>1</v>
      </c>
      <c r="W713" s="1"/>
      <c r="Y713" s="1" t="n">
        <v>93</v>
      </c>
      <c r="Z713" s="0" t="s">
        <v>175</v>
      </c>
      <c r="AA713" s="0" t="s">
        <v>187</v>
      </c>
      <c r="AC713" s="0" t="s">
        <v>177</v>
      </c>
      <c r="AD713" s="0" t="s">
        <v>1930</v>
      </c>
      <c r="AE713" s="0" t="s">
        <v>2073</v>
      </c>
      <c r="AH713" s="0" t="s">
        <v>180</v>
      </c>
      <c r="AJ713" s="0" t="s">
        <v>437</v>
      </c>
      <c r="AK713" s="0" t="s">
        <v>94</v>
      </c>
      <c r="AM713" s="0" t="s">
        <v>96</v>
      </c>
      <c r="AP713" s="0" t="s">
        <v>99</v>
      </c>
      <c r="AU713" s="0" t="s">
        <v>104</v>
      </c>
      <c r="AV713" s="0" t="s">
        <v>105</v>
      </c>
    </row>
    <row r="714" ht="24.75">
      <c r="B714" s="0" t="s">
        <v>2074</v>
      </c>
      <c r="C714" s="1" t="n">
        <v>353318</v>
      </c>
      <c r="E714" s="14" t="s">
        <v>1102</v>
      </c>
      <c r="F714" s="14" t="s">
        <v>169</v>
      </c>
      <c r="G714" s="25" t="str">
        <f>HYPERLINK("http://www.ok.ru/profile/553763013496/statuses/155584500891768")</f>
      </c>
      <c r="H714" s="14" t="s">
        <v>170</v>
      </c>
      <c r="I714" s="14" t="s">
        <v>171</v>
      </c>
      <c r="J714" s="14" t="s">
        <v>2075</v>
      </c>
      <c r="K714" s="26" t="str">
        <f>HYPERLINK("http://www.ok.ru/profile/553763013496")</f>
      </c>
      <c r="L714" s="14" t="s">
        <v>173</v>
      </c>
      <c r="O714" s="1" t="s">
        <v>186</v>
      </c>
      <c r="P714" s="1" t="n">
        <v>70</v>
      </c>
      <c r="Q714" s="1" t="n">
        <v>571</v>
      </c>
      <c r="R714" s="1" t="n">
        <v>0</v>
      </c>
      <c r="S714" s="1"/>
      <c r="T714" s="1" t="n">
        <v>0</v>
      </c>
      <c r="U714" s="1" t="n">
        <v>4</v>
      </c>
      <c r="V714" s="1" t="n">
        <v>4</v>
      </c>
      <c r="W714" s="1"/>
      <c r="Y714" s="1" t="n">
        <v>93</v>
      </c>
      <c r="Z714" s="0" t="s">
        <v>175</v>
      </c>
      <c r="AA714" s="0" t="s">
        <v>187</v>
      </c>
      <c r="AC714" s="0" t="s">
        <v>177</v>
      </c>
      <c r="AD714" s="0" t="s">
        <v>1385</v>
      </c>
      <c r="AE714" s="0" t="s">
        <v>2076</v>
      </c>
      <c r="AH714" s="0" t="s">
        <v>180</v>
      </c>
      <c r="AJ714" s="0" t="s">
        <v>437</v>
      </c>
      <c r="AK714" s="0" t="s">
        <v>94</v>
      </c>
      <c r="AL714" s="0" t="s">
        <v>95</v>
      </c>
      <c r="AM714" s="0" t="s">
        <v>96</v>
      </c>
      <c r="AU714" s="0" t="s">
        <v>104</v>
      </c>
      <c r="AV714" s="0" t="s">
        <v>105</v>
      </c>
    </row>
    <row r="715" ht="36.75">
      <c r="B715" s="0" t="s">
        <v>2077</v>
      </c>
      <c r="C715" s="1" t="n">
        <v>354005</v>
      </c>
      <c r="E715" s="14" t="s">
        <v>1189</v>
      </c>
      <c r="F715" s="14" t="s">
        <v>169</v>
      </c>
      <c r="G715" s="25" t="str">
        <f>HYPERLINK("http://www.ok.ru/profile/589203725861/statuses/155104884396837")</f>
      </c>
      <c r="H715" s="14" t="s">
        <v>170</v>
      </c>
      <c r="I715" s="14" t="s">
        <v>171</v>
      </c>
      <c r="J715" s="14" t="s">
        <v>2078</v>
      </c>
      <c r="K715" s="26" t="str">
        <f>HYPERLINK("http://www.ok.ru/profile/589203725861")</f>
      </c>
      <c r="L715" s="14" t="s">
        <v>173</v>
      </c>
      <c r="O715" s="1" t="s">
        <v>186</v>
      </c>
      <c r="P715" s="1" t="n">
        <v>71</v>
      </c>
      <c r="Q715" s="1" t="n">
        <v>113</v>
      </c>
      <c r="R715" s="1" t="n">
        <v>0</v>
      </c>
      <c r="S715" s="1"/>
      <c r="T715" s="1" t="n">
        <v>0</v>
      </c>
      <c r="U715" s="1" t="n">
        <v>0</v>
      </c>
      <c r="V715" s="1" t="n">
        <v>0</v>
      </c>
      <c r="W715" s="1"/>
      <c r="Y715" s="1" t="n">
        <v>46</v>
      </c>
      <c r="Z715" s="0" t="s">
        <v>175</v>
      </c>
      <c r="AA715" s="0" t="s">
        <v>187</v>
      </c>
      <c r="AC715" s="0" t="s">
        <v>177</v>
      </c>
      <c r="AH715" s="0" t="s">
        <v>180</v>
      </c>
      <c r="AJ715" s="0" t="s">
        <v>437</v>
      </c>
      <c r="AK715" s="0" t="s">
        <v>94</v>
      </c>
      <c r="AL715" s="0" t="s">
        <v>95</v>
      </c>
      <c r="AM715" s="0" t="s">
        <v>96</v>
      </c>
      <c r="AO715" s="0" t="s">
        <v>98</v>
      </c>
      <c r="AQ715" s="0" t="s">
        <v>100</v>
      </c>
    </row>
    <row r="716" ht="120.75">
      <c r="B716" s="0" t="s">
        <v>2079</v>
      </c>
      <c r="C716" s="1" t="n">
        <v>353010</v>
      </c>
      <c r="D716" s="0" t="s">
        <v>2080</v>
      </c>
      <c r="E716" s="14" t="s">
        <v>2081</v>
      </c>
      <c r="F716" s="14" t="s">
        <v>1955</v>
      </c>
      <c r="G716" s="25" t="str">
        <f>HYPERLINK("https://ujnosahalinsk.bezformata.com/listnews/podorozhali-shini-i-sol-podesheveli/116226934/")</f>
      </c>
      <c r="H716" s="14" t="s">
        <v>208</v>
      </c>
      <c r="I716" s="14" t="s">
        <v>194</v>
      </c>
      <c r="J716" s="14"/>
      <c r="L716" s="14"/>
      <c r="O716" s="1"/>
      <c r="P716" s="1"/>
      <c r="Q716" s="1"/>
      <c r="R716" s="1" t="n">
        <v>0</v>
      </c>
      <c r="S716" s="1" t="n">
        <v>40</v>
      </c>
      <c r="T716" s="1" t="n">
        <v>0</v>
      </c>
      <c r="U716" s="1" t="n">
        <v>0</v>
      </c>
      <c r="V716" s="1" t="n">
        <v>0</v>
      </c>
      <c r="W716" s="1"/>
      <c r="Y716" s="1" t="n">
        <v>1</v>
      </c>
      <c r="Z716" s="0" t="s">
        <v>175</v>
      </c>
      <c r="AA716" s="0" t="s">
        <v>187</v>
      </c>
      <c r="AH716" s="0" t="s">
        <v>180</v>
      </c>
      <c r="AJ716" s="0" t="s">
        <v>437</v>
      </c>
      <c r="AK716" s="0" t="s">
        <v>94</v>
      </c>
      <c r="AL716" s="0" t="s">
        <v>95</v>
      </c>
      <c r="AT716" s="0" t="s">
        <v>103</v>
      </c>
      <c r="BI716" s="0" t="s">
        <v>118</v>
      </c>
      <c r="BK716" s="0" t="s">
        <v>120</v>
      </c>
    </row>
    <row r="717" ht="24.75">
      <c r="B717" s="0" t="s">
        <v>2079</v>
      </c>
      <c r="C717" s="1" t="n">
        <v>353027</v>
      </c>
      <c r="E717" s="14" t="s">
        <v>1102</v>
      </c>
      <c r="F717" s="14" t="s">
        <v>169</v>
      </c>
      <c r="G717" s="25" t="str">
        <f>HYPERLINK("http://www.ok.ru/profile/483838394145/statuses/154877660506145")</f>
      </c>
      <c r="H717" s="14" t="s">
        <v>170</v>
      </c>
      <c r="I717" s="14" t="s">
        <v>171</v>
      </c>
      <c r="J717" s="14" t="s">
        <v>2082</v>
      </c>
      <c r="K717" s="26" t="str">
        <f>HYPERLINK("http://www.ok.ru/profile/483838394145")</f>
      </c>
      <c r="L717" s="14" t="s">
        <v>173</v>
      </c>
      <c r="O717" s="1" t="s">
        <v>186</v>
      </c>
      <c r="P717" s="1" t="n">
        <v>76</v>
      </c>
      <c r="Q717" s="1" t="n">
        <v>114</v>
      </c>
      <c r="R717" s="1" t="n">
        <v>0</v>
      </c>
      <c r="S717" s="1"/>
      <c r="T717" s="1" t="n">
        <v>0</v>
      </c>
      <c r="U717" s="1" t="n">
        <v>0</v>
      </c>
      <c r="V717" s="1" t="n">
        <v>0</v>
      </c>
      <c r="W717" s="1"/>
      <c r="Y717" s="1" t="n">
        <v>93</v>
      </c>
      <c r="Z717" s="0" t="s">
        <v>175</v>
      </c>
      <c r="AA717" s="0" t="s">
        <v>187</v>
      </c>
      <c r="AC717" s="0" t="s">
        <v>177</v>
      </c>
      <c r="AD717" s="0" t="s">
        <v>561</v>
      </c>
      <c r="AE717" s="0" t="s">
        <v>562</v>
      </c>
      <c r="AH717" s="0" t="s">
        <v>180</v>
      </c>
      <c r="AJ717" s="0" t="s">
        <v>437</v>
      </c>
      <c r="AK717" s="0" t="s">
        <v>94</v>
      </c>
      <c r="AL717" s="0" t="s">
        <v>95</v>
      </c>
      <c r="AM717" s="0" t="s">
        <v>96</v>
      </c>
      <c r="AU717" s="0" t="s">
        <v>104</v>
      </c>
      <c r="AV717" s="0" t="s">
        <v>105</v>
      </c>
    </row>
    <row r="718" ht="24.75">
      <c r="B718" s="0" t="s">
        <v>2083</v>
      </c>
      <c r="C718" s="1" t="n">
        <v>354038</v>
      </c>
      <c r="E718" s="14" t="s">
        <v>1102</v>
      </c>
      <c r="F718" s="14" t="s">
        <v>169</v>
      </c>
      <c r="G718" s="25" t="str">
        <f>HYPERLINK("http://www.ok.ru/profile/571665259586/statuses/155120636872770")</f>
      </c>
      <c r="H718" s="14" t="s">
        <v>170</v>
      </c>
      <c r="I718" s="14" t="s">
        <v>171</v>
      </c>
      <c r="J718" s="14" t="s">
        <v>2084</v>
      </c>
      <c r="K718" s="26" t="str">
        <f>HYPERLINK("http://www.ok.ru/profile/571665259586")</f>
      </c>
      <c r="L718" s="14" t="s">
        <v>173</v>
      </c>
      <c r="O718" s="1" t="s">
        <v>186</v>
      </c>
      <c r="P718" s="1" t="n">
        <v>76</v>
      </c>
      <c r="Q718" s="1" t="n">
        <v>186</v>
      </c>
      <c r="R718" s="1" t="n">
        <v>0</v>
      </c>
      <c r="S718" s="1"/>
      <c r="T718" s="1" t="n">
        <v>0</v>
      </c>
      <c r="U718" s="1" t="n">
        <v>2</v>
      </c>
      <c r="V718" s="1" t="n">
        <v>2</v>
      </c>
      <c r="W718" s="1"/>
      <c r="Y718" s="1" t="n">
        <v>93</v>
      </c>
      <c r="Z718" s="0" t="s">
        <v>175</v>
      </c>
      <c r="AA718" s="0" t="s">
        <v>187</v>
      </c>
      <c r="AC718" s="0" t="s">
        <v>177</v>
      </c>
      <c r="AD718" s="0" t="s">
        <v>842</v>
      </c>
      <c r="AE718" s="0" t="s">
        <v>843</v>
      </c>
      <c r="AH718" s="0" t="s">
        <v>180</v>
      </c>
      <c r="AJ718" s="0" t="s">
        <v>437</v>
      </c>
      <c r="AK718" s="0" t="s">
        <v>94</v>
      </c>
      <c r="AM718" s="0" t="s">
        <v>96</v>
      </c>
      <c r="AP718" s="0" t="s">
        <v>99</v>
      </c>
      <c r="AU718" s="0" t="s">
        <v>104</v>
      </c>
      <c r="AV718" s="0" t="s">
        <v>105</v>
      </c>
    </row>
    <row r="719" ht="36.75">
      <c r="B719" s="0" t="s">
        <v>2085</v>
      </c>
      <c r="C719" s="1" t="n">
        <v>353002</v>
      </c>
      <c r="E719" s="14" t="s">
        <v>202</v>
      </c>
      <c r="F719" s="14" t="s">
        <v>184</v>
      </c>
      <c r="G719" s="25" t="str">
        <f>HYPERLINK("http://vk.com/wall735635010_163")</f>
      </c>
      <c r="H719" s="14" t="s">
        <v>170</v>
      </c>
      <c r="I719" s="14" t="s">
        <v>171</v>
      </c>
      <c r="J719" s="14" t="s">
        <v>2086</v>
      </c>
      <c r="K719" s="26" t="str">
        <f>HYPERLINK("http://vk.com/id735635010")</f>
      </c>
      <c r="L719" s="14" t="s">
        <v>173</v>
      </c>
      <c r="O719" s="1" t="s">
        <v>186</v>
      </c>
      <c r="P719" s="1" t="n">
        <v>43</v>
      </c>
      <c r="Q719" s="1" t="n">
        <v>36</v>
      </c>
      <c r="R719" s="1" t="n">
        <v>0</v>
      </c>
      <c r="S719" s="1"/>
      <c r="T719" s="1" t="n">
        <v>0</v>
      </c>
      <c r="U719" s="1" t="n">
        <v>0</v>
      </c>
      <c r="V719" s="1" t="n">
        <v>0</v>
      </c>
      <c r="W719" s="1"/>
      <c r="Y719" s="1" t="n">
        <v>61</v>
      </c>
      <c r="Z719" s="0" t="s">
        <v>175</v>
      </c>
      <c r="AA719" s="0" t="s">
        <v>176</v>
      </c>
      <c r="AH719" s="0" t="s">
        <v>180</v>
      </c>
      <c r="AJ719" s="0" t="s">
        <v>437</v>
      </c>
      <c r="AK719" s="0" t="s">
        <v>94</v>
      </c>
      <c r="AL719" s="0" t="s">
        <v>95</v>
      </c>
      <c r="AM719" s="0" t="s">
        <v>96</v>
      </c>
      <c r="AO719" s="0" t="s">
        <v>98</v>
      </c>
      <c r="AQ719" s="0" t="s">
        <v>100</v>
      </c>
    </row>
    <row r="720" ht="24.75">
      <c r="B720" s="0" t="s">
        <v>2087</v>
      </c>
      <c r="C720" s="1" t="n">
        <v>353920</v>
      </c>
      <c r="E720" s="14" t="s">
        <v>1102</v>
      </c>
      <c r="F720" s="14" t="s">
        <v>169</v>
      </c>
      <c r="G720" s="25" t="str">
        <f>HYPERLINK("http://www.ok.ru/profile/569085364166/statuses/155220064979142")</f>
      </c>
      <c r="H720" s="14" t="s">
        <v>170</v>
      </c>
      <c r="I720" s="14" t="s">
        <v>171</v>
      </c>
      <c r="J720" s="14" t="s">
        <v>2088</v>
      </c>
      <c r="K720" s="26" t="str">
        <f>HYPERLINK("http://www.ok.ru/profile/569085364166")</f>
      </c>
      <c r="L720" s="14" t="s">
        <v>173</v>
      </c>
      <c r="O720" s="1" t="s">
        <v>186</v>
      </c>
      <c r="P720" s="1" t="n">
        <v>61</v>
      </c>
      <c r="Q720" s="1" t="n">
        <v>196</v>
      </c>
      <c r="R720" s="1" t="n">
        <v>0</v>
      </c>
      <c r="S720" s="1"/>
      <c r="T720" s="1" t="n">
        <v>0</v>
      </c>
      <c r="U720" s="1" t="n">
        <v>2</v>
      </c>
      <c r="V720" s="1" t="n">
        <v>2</v>
      </c>
      <c r="W720" s="1"/>
      <c r="Y720" s="1" t="n">
        <v>93</v>
      </c>
      <c r="Z720" s="0" t="s">
        <v>175</v>
      </c>
      <c r="AA720" s="0" t="s">
        <v>187</v>
      </c>
      <c r="AC720" s="0" t="s">
        <v>177</v>
      </c>
      <c r="AD720" s="0" t="s">
        <v>1580</v>
      </c>
      <c r="AE720" s="0" t="s">
        <v>2089</v>
      </c>
      <c r="AH720" s="0" t="s">
        <v>180</v>
      </c>
      <c r="AJ720" s="0" t="s">
        <v>437</v>
      </c>
      <c r="AK720" s="0" t="s">
        <v>94</v>
      </c>
      <c r="AM720" s="0" t="s">
        <v>96</v>
      </c>
      <c r="AP720" s="0" t="s">
        <v>99</v>
      </c>
      <c r="AU720" s="0" t="s">
        <v>104</v>
      </c>
      <c r="AV720" s="0" t="s">
        <v>105</v>
      </c>
    </row>
    <row r="721" ht="120.75">
      <c r="B721" s="0" t="s">
        <v>2090</v>
      </c>
      <c r="C721" s="1" t="n">
        <v>353000</v>
      </c>
      <c r="E721" s="14" t="s">
        <v>1326</v>
      </c>
      <c r="F721" s="14" t="s">
        <v>184</v>
      </c>
      <c r="G721" s="25" t="str">
        <f>HYPERLINK("http://vk.com/wall586634584_680")</f>
      </c>
      <c r="H721" s="14" t="s">
        <v>170</v>
      </c>
      <c r="I721" s="14" t="s">
        <v>171</v>
      </c>
      <c r="J721" s="14" t="s">
        <v>2091</v>
      </c>
      <c r="K721" s="26" t="str">
        <f>HYPERLINK("http://vk.com/id586634584")</f>
      </c>
      <c r="L721" s="14" t="s">
        <v>173</v>
      </c>
      <c r="O721" s="1" t="s">
        <v>186</v>
      </c>
      <c r="P721" s="1" t="n">
        <v>30</v>
      </c>
      <c r="Q721" s="1" t="n">
        <v>142</v>
      </c>
      <c r="R721" s="1" t="n">
        <v>0</v>
      </c>
      <c r="S721" s="1"/>
      <c r="T721" s="1" t="n">
        <v>0</v>
      </c>
      <c r="U721" s="1" t="n">
        <v>0</v>
      </c>
      <c r="V721" s="1" t="n">
        <v>0</v>
      </c>
      <c r="W721" s="1"/>
      <c r="Y721" s="1" t="n">
        <v>2</v>
      </c>
      <c r="Z721" s="0" t="s">
        <v>175</v>
      </c>
      <c r="AA721" s="0" t="s">
        <v>187</v>
      </c>
      <c r="AC721" s="0" t="s">
        <v>177</v>
      </c>
      <c r="AH721" s="0" t="s">
        <v>180</v>
      </c>
      <c r="AJ721" s="0" t="s">
        <v>437</v>
      </c>
      <c r="AK721" s="0" t="s">
        <v>94</v>
      </c>
      <c r="AP721" s="0" t="s">
        <v>99</v>
      </c>
      <c r="AU721" s="0" t="s">
        <v>104</v>
      </c>
      <c r="BA721" s="0" t="s">
        <v>110</v>
      </c>
      <c r="BJ721" s="0" t="s">
        <v>119</v>
      </c>
    </row>
    <row r="722" ht="1920.75">
      <c r="B722" s="0" t="s">
        <v>2092</v>
      </c>
      <c r="C722" s="1" t="n">
        <v>353029</v>
      </c>
      <c r="D722" s="0" t="s">
        <v>2080</v>
      </c>
      <c r="E722" s="14" t="s">
        <v>2093</v>
      </c>
      <c r="F722" s="14" t="s">
        <v>2094</v>
      </c>
      <c r="G722" s="25" t="str">
        <f>HYPERLINK("https://sakhalin-news.net/society/2023/04/14/163350.html")</f>
      </c>
      <c r="H722" s="14" t="s">
        <v>208</v>
      </c>
      <c r="I722" s="14" t="s">
        <v>194</v>
      </c>
      <c r="J722" s="14"/>
      <c r="L722" s="14"/>
      <c r="O722" s="1"/>
      <c r="P722" s="1"/>
      <c r="Q722" s="1"/>
      <c r="R722" s="1" t="n">
        <v>0</v>
      </c>
      <c r="S722" s="1" t="n">
        <v>847</v>
      </c>
      <c r="T722" s="1" t="n">
        <v>0</v>
      </c>
      <c r="U722" s="1" t="n">
        <v>0</v>
      </c>
      <c r="V722" s="1" t="n">
        <v>0</v>
      </c>
      <c r="W722" s="1"/>
      <c r="Y722" s="1" t="n">
        <v>1</v>
      </c>
      <c r="Z722" s="0" t="s">
        <v>175</v>
      </c>
      <c r="AA722" s="0" t="s">
        <v>176</v>
      </c>
      <c r="AH722" s="0" t="s">
        <v>180</v>
      </c>
      <c r="AJ722" s="0" t="s">
        <v>437</v>
      </c>
      <c r="AK722" s="0" t="s">
        <v>94</v>
      </c>
      <c r="AL722" s="0" t="s">
        <v>95</v>
      </c>
      <c r="AT722" s="0" t="s">
        <v>103</v>
      </c>
      <c r="BI722" s="0" t="s">
        <v>118</v>
      </c>
      <c r="BK722" s="0" t="s">
        <v>120</v>
      </c>
    </row>
    <row r="723" ht="36.75">
      <c r="B723" s="0" t="s">
        <v>2095</v>
      </c>
      <c r="C723" s="1" t="n">
        <v>353561</v>
      </c>
      <c r="E723" s="14" t="s">
        <v>1189</v>
      </c>
      <c r="F723" s="14" t="s">
        <v>169</v>
      </c>
      <c r="G723" s="25" t="str">
        <f>HYPERLINK("http://www.ok.ru/profile/565349469069/statuses/156068129706125")</f>
      </c>
      <c r="H723" s="14" t="s">
        <v>170</v>
      </c>
      <c r="I723" s="14" t="s">
        <v>171</v>
      </c>
      <c r="J723" s="14" t="s">
        <v>2096</v>
      </c>
      <c r="K723" s="26" t="str">
        <f>HYPERLINK("http://www.ok.ru/profile/565349469069")</f>
      </c>
      <c r="L723" s="14" t="s">
        <v>173</v>
      </c>
      <c r="O723" s="1" t="s">
        <v>186</v>
      </c>
      <c r="P723" s="1" t="n">
        <v>49</v>
      </c>
      <c r="Q723" s="1" t="n">
        <v>240</v>
      </c>
      <c r="R723" s="1" t="n">
        <v>0</v>
      </c>
      <c r="S723" s="1"/>
      <c r="T723" s="1" t="n">
        <v>0</v>
      </c>
      <c r="U723" s="1" t="n">
        <v>3</v>
      </c>
      <c r="V723" s="1" t="n">
        <v>3</v>
      </c>
      <c r="W723" s="1"/>
      <c r="Y723" s="1" t="n">
        <v>46</v>
      </c>
      <c r="Z723" s="0" t="s">
        <v>175</v>
      </c>
      <c r="AA723" s="0" t="s">
        <v>187</v>
      </c>
      <c r="AC723" s="0" t="s">
        <v>177</v>
      </c>
      <c r="AD723" s="0" t="s">
        <v>454</v>
      </c>
      <c r="AE723" s="0" t="s">
        <v>724</v>
      </c>
      <c r="AH723" s="0" t="s">
        <v>180</v>
      </c>
      <c r="AJ723" s="0" t="s">
        <v>437</v>
      </c>
      <c r="AK723" s="0" t="s">
        <v>94</v>
      </c>
      <c r="AM723" s="0" t="s">
        <v>96</v>
      </c>
      <c r="AP723" s="0" t="s">
        <v>99</v>
      </c>
      <c r="AQ723" s="0" t="s">
        <v>100</v>
      </c>
    </row>
    <row r="724" ht="48.75">
      <c r="B724" s="0" t="s">
        <v>2097</v>
      </c>
      <c r="C724" s="1" t="n">
        <v>352981</v>
      </c>
      <c r="E724" s="14" t="s">
        <v>2098</v>
      </c>
      <c r="F724" s="14" t="s">
        <v>184</v>
      </c>
      <c r="G724" s="25" t="str">
        <f>HYPERLINK("http://vk.com/wall-205165850_49")</f>
      </c>
      <c r="H724" s="14" t="s">
        <v>170</v>
      </c>
      <c r="I724" s="14" t="s">
        <v>171</v>
      </c>
      <c r="J724" s="14" t="s">
        <v>2099</v>
      </c>
      <c r="K724" s="26" t="str">
        <f>HYPERLINK("http://vk.com/club205165850")</f>
      </c>
      <c r="L724" s="14" t="s">
        <v>274</v>
      </c>
      <c r="O724" s="1"/>
      <c r="P724" s="1"/>
      <c r="Q724" s="1" t="n">
        <v>1</v>
      </c>
      <c r="R724" s="1" t="n">
        <v>0</v>
      </c>
      <c r="S724" s="1"/>
      <c r="T724" s="1" t="n">
        <v>0</v>
      </c>
      <c r="U724" s="1" t="n">
        <v>0</v>
      </c>
      <c r="V724" s="1" t="n">
        <v>0</v>
      </c>
      <c r="W724" s="1"/>
      <c r="Y724" s="1" t="n">
        <v>1</v>
      </c>
      <c r="Z724" s="0" t="s">
        <v>175</v>
      </c>
      <c r="AA724" s="0" t="s">
        <v>292</v>
      </c>
      <c r="AH724" s="0" t="s">
        <v>180</v>
      </c>
      <c r="AJ724" s="0" t="s">
        <v>437</v>
      </c>
      <c r="AK724" s="0" t="s">
        <v>94</v>
      </c>
      <c r="AL724" s="0" t="s">
        <v>95</v>
      </c>
      <c r="AR724" s="0" t="s">
        <v>101</v>
      </c>
      <c r="BA724" s="0" t="s">
        <v>110</v>
      </c>
      <c r="BF724" s="0" t="s">
        <v>115</v>
      </c>
    </row>
    <row r="725" ht="36.75">
      <c r="B725" s="0" t="s">
        <v>2100</v>
      </c>
      <c r="C725" s="1" t="n">
        <v>352978</v>
      </c>
      <c r="E725" s="14" t="s">
        <v>2101</v>
      </c>
      <c r="F725" s="14" t="s">
        <v>184</v>
      </c>
      <c r="G725" s="25" t="str">
        <f>HYPERLINK("http://vk.com/wall-219643098_651")</f>
      </c>
      <c r="H725" s="14" t="s">
        <v>170</v>
      </c>
      <c r="I725" s="14" t="s">
        <v>194</v>
      </c>
      <c r="J725" s="14" t="s">
        <v>2102</v>
      </c>
      <c r="K725" s="26" t="str">
        <f>HYPERLINK("http://vk.com/club219643098")</f>
      </c>
      <c r="L725" s="14" t="s">
        <v>274</v>
      </c>
      <c r="O725" s="1"/>
      <c r="P725" s="1"/>
      <c r="Q725" s="1"/>
      <c r="R725" s="1" t="n">
        <v>0</v>
      </c>
      <c r="S725" s="1"/>
      <c r="T725" s="1" t="n">
        <v>0</v>
      </c>
      <c r="U725" s="1" t="n">
        <v>0</v>
      </c>
      <c r="V725" s="1" t="n">
        <v>0</v>
      </c>
      <c r="W725" s="1" t="n">
        <v>5</v>
      </c>
      <c r="Y725" s="1" t="n">
        <v>1</v>
      </c>
      <c r="Z725" s="0" t="s">
        <v>175</v>
      </c>
      <c r="AA725" s="0" t="s">
        <v>292</v>
      </c>
      <c r="AC725" s="0" t="s">
        <v>177</v>
      </c>
      <c r="AD725" s="0" t="s">
        <v>2019</v>
      </c>
      <c r="AH725" s="0" t="s">
        <v>180</v>
      </c>
      <c r="AJ725" s="0" t="s">
        <v>437</v>
      </c>
      <c r="AK725" s="0" t="s">
        <v>94</v>
      </c>
      <c r="AL725" s="0" t="s">
        <v>95</v>
      </c>
      <c r="AT725" s="0" t="s">
        <v>103</v>
      </c>
      <c r="BI725" s="0" t="s">
        <v>118</v>
      </c>
      <c r="BK725" s="0" t="s">
        <v>120</v>
      </c>
    </row>
    <row r="726" ht="24.75">
      <c r="B726" s="0" t="s">
        <v>2103</v>
      </c>
      <c r="C726" s="1" t="n">
        <v>353035</v>
      </c>
      <c r="D726" s="0" t="s">
        <v>2080</v>
      </c>
      <c r="E726" s="14" t="s">
        <v>2104</v>
      </c>
      <c r="F726" s="14" t="s">
        <v>1440</v>
      </c>
      <c r="G726" s="25" t="str">
        <f>HYPERLINK("https://ru24.net/korsakov/346907570/")</f>
      </c>
      <c r="H726" s="14" t="s">
        <v>208</v>
      </c>
      <c r="I726" s="14" t="s">
        <v>194</v>
      </c>
      <c r="J726" s="14"/>
      <c r="L726" s="14"/>
      <c r="O726" s="1"/>
      <c r="P726" s="1"/>
      <c r="Q726" s="1"/>
      <c r="R726" s="1" t="n">
        <v>0</v>
      </c>
      <c r="S726" s="1" t="n">
        <v>674</v>
      </c>
      <c r="T726" s="1" t="n">
        <v>0</v>
      </c>
      <c r="U726" s="1" t="n">
        <v>0</v>
      </c>
      <c r="V726" s="1" t="n">
        <v>0</v>
      </c>
      <c r="W726" s="1"/>
      <c r="Y726" s="1" t="n">
        <v>6</v>
      </c>
      <c r="Z726" s="0" t="s">
        <v>175</v>
      </c>
      <c r="AA726" s="0" t="s">
        <v>187</v>
      </c>
      <c r="AH726" s="0" t="s">
        <v>180</v>
      </c>
      <c r="AJ726" s="0" t="s">
        <v>437</v>
      </c>
      <c r="AK726" s="0" t="s">
        <v>94</v>
      </c>
      <c r="AL726" s="0" t="s">
        <v>95</v>
      </c>
      <c r="AT726" s="0" t="s">
        <v>103</v>
      </c>
      <c r="BI726" s="0" t="s">
        <v>118</v>
      </c>
      <c r="BK726" s="0" t="s">
        <v>120</v>
      </c>
    </row>
    <row r="727" ht="24.75">
      <c r="B727" s="0" t="s">
        <v>2103</v>
      </c>
      <c r="C727" s="1" t="n">
        <v>353037</v>
      </c>
      <c r="D727" s="0" t="s">
        <v>2080</v>
      </c>
      <c r="E727" s="14" t="s">
        <v>2104</v>
      </c>
      <c r="F727" s="14" t="s">
        <v>1440</v>
      </c>
      <c r="G727" s="25" t="str">
        <f>HYPERLINK("https://ru24.net/oha/346907570/")</f>
      </c>
      <c r="H727" s="14" t="s">
        <v>208</v>
      </c>
      <c r="I727" s="14" t="s">
        <v>194</v>
      </c>
      <c r="J727" s="14"/>
      <c r="L727" s="14"/>
      <c r="O727" s="1"/>
      <c r="P727" s="1"/>
      <c r="Q727" s="1"/>
      <c r="R727" s="1" t="n">
        <v>0</v>
      </c>
      <c r="S727" s="1" t="n">
        <v>674</v>
      </c>
      <c r="T727" s="1" t="n">
        <v>0</v>
      </c>
      <c r="U727" s="1" t="n">
        <v>0</v>
      </c>
      <c r="V727" s="1" t="n">
        <v>0</v>
      </c>
      <c r="W727" s="1"/>
      <c r="Y727" s="1" t="n">
        <v>6</v>
      </c>
      <c r="Z727" s="0" t="s">
        <v>175</v>
      </c>
      <c r="AA727" s="0" t="s">
        <v>187</v>
      </c>
      <c r="AH727" s="0" t="s">
        <v>180</v>
      </c>
      <c r="AJ727" s="0" t="s">
        <v>437</v>
      </c>
      <c r="AK727" s="0" t="s">
        <v>94</v>
      </c>
      <c r="AL727" s="0" t="s">
        <v>95</v>
      </c>
      <c r="AT727" s="0" t="s">
        <v>103</v>
      </c>
      <c r="BI727" s="0" t="s">
        <v>118</v>
      </c>
      <c r="BK727" s="0" t="s">
        <v>120</v>
      </c>
    </row>
    <row r="728" ht="120.75">
      <c r="B728" s="0" t="s">
        <v>2103</v>
      </c>
      <c r="C728" s="1" t="n">
        <v>352977</v>
      </c>
      <c r="D728" s="0" t="s">
        <v>2080</v>
      </c>
      <c r="E728" s="14" t="s">
        <v>2105</v>
      </c>
      <c r="F728" s="14" t="s">
        <v>2106</v>
      </c>
      <c r="G728" s="25" t="str">
        <f>HYPERLINK("https://astv.ru/news/society/2023-04-14-kurtki-citramon-i-onlajn-servisy-podorozhali-shiny-i-sol-podesheveli-kak-izmenilis-ceny-na-sahaline-za-mart")</f>
      </c>
      <c r="H728" s="14" t="s">
        <v>208</v>
      </c>
      <c r="I728" s="14" t="s">
        <v>194</v>
      </c>
      <c r="J728" s="14"/>
      <c r="L728" s="14"/>
      <c r="O728" s="1"/>
      <c r="P728" s="1"/>
      <c r="Q728" s="1"/>
      <c r="R728" s="1" t="n">
        <v>0</v>
      </c>
      <c r="S728" s="1" t="n">
        <v>21798</v>
      </c>
      <c r="T728" s="1" t="n">
        <v>0</v>
      </c>
      <c r="U728" s="1" t="n">
        <v>0</v>
      </c>
      <c r="V728" s="1" t="n">
        <v>0</v>
      </c>
      <c r="W728" s="1"/>
      <c r="Y728" s="1" t="n">
        <v>6</v>
      </c>
      <c r="Z728" s="0" t="s">
        <v>175</v>
      </c>
      <c r="AA728" s="0" t="s">
        <v>187</v>
      </c>
      <c r="AH728" s="0" t="s">
        <v>180</v>
      </c>
      <c r="AJ728" s="0" t="s">
        <v>437</v>
      </c>
      <c r="AK728" s="0" t="s">
        <v>94</v>
      </c>
      <c r="AL728" s="0" t="s">
        <v>95</v>
      </c>
      <c r="AT728" s="0" t="s">
        <v>103</v>
      </c>
      <c r="BI728" s="0" t="s">
        <v>118</v>
      </c>
      <c r="BK728" s="0" t="s">
        <v>120</v>
      </c>
    </row>
    <row r="729" ht="24.75">
      <c r="B729" s="0" t="s">
        <v>2103</v>
      </c>
      <c r="C729" s="1" t="n">
        <v>353032</v>
      </c>
      <c r="D729" s="0" t="s">
        <v>2080</v>
      </c>
      <c r="E729" s="14" t="s">
        <v>2104</v>
      </c>
      <c r="F729" s="14" t="s">
        <v>1440</v>
      </c>
      <c r="G729" s="25" t="str">
        <f>HYPERLINK("https://ru24.net/yuzhno-sahalinsk/346907570/")</f>
      </c>
      <c r="H729" s="14" t="s">
        <v>208</v>
      </c>
      <c r="I729" s="14" t="s">
        <v>194</v>
      </c>
      <c r="J729" s="14"/>
      <c r="L729" s="14"/>
      <c r="O729" s="1"/>
      <c r="P729" s="1"/>
      <c r="Q729" s="1"/>
      <c r="R729" s="1" t="n">
        <v>0</v>
      </c>
      <c r="S729" s="1" t="n">
        <v>674</v>
      </c>
      <c r="T729" s="1" t="n">
        <v>0</v>
      </c>
      <c r="U729" s="1" t="n">
        <v>0</v>
      </c>
      <c r="V729" s="1" t="n">
        <v>0</v>
      </c>
      <c r="W729" s="1"/>
      <c r="Y729" s="1" t="n">
        <v>6</v>
      </c>
      <c r="Z729" s="0" t="s">
        <v>175</v>
      </c>
      <c r="AA729" s="0" t="s">
        <v>187</v>
      </c>
      <c r="AH729" s="0" t="s">
        <v>180</v>
      </c>
      <c r="AJ729" s="0" t="s">
        <v>437</v>
      </c>
      <c r="AK729" s="0" t="s">
        <v>94</v>
      </c>
      <c r="AL729" s="0" t="s">
        <v>95</v>
      </c>
      <c r="AT729" s="0" t="s">
        <v>103</v>
      </c>
      <c r="BI729" s="0" t="s">
        <v>118</v>
      </c>
      <c r="BK729" s="0" t="s">
        <v>120</v>
      </c>
    </row>
    <row r="730" ht="24.75">
      <c r="B730" s="0" t="s">
        <v>2103</v>
      </c>
      <c r="C730" s="1" t="n">
        <v>353039</v>
      </c>
      <c r="D730" s="0" t="s">
        <v>2080</v>
      </c>
      <c r="E730" s="14" t="s">
        <v>2104</v>
      </c>
      <c r="F730" s="14" t="s">
        <v>1440</v>
      </c>
      <c r="G730" s="25" t="str">
        <f>HYPERLINK("https://ru24.net/poronaysk/346907570/")</f>
      </c>
      <c r="H730" s="14" t="s">
        <v>208</v>
      </c>
      <c r="I730" s="14" t="s">
        <v>194</v>
      </c>
      <c r="J730" s="14"/>
      <c r="L730" s="14"/>
      <c r="O730" s="1"/>
      <c r="P730" s="1"/>
      <c r="Q730" s="1"/>
      <c r="R730" s="1" t="n">
        <v>0</v>
      </c>
      <c r="S730" s="1" t="n">
        <v>674</v>
      </c>
      <c r="T730" s="1" t="n">
        <v>0</v>
      </c>
      <c r="U730" s="1" t="n">
        <v>0</v>
      </c>
      <c r="V730" s="1" t="n">
        <v>0</v>
      </c>
      <c r="W730" s="1"/>
      <c r="Y730" s="1" t="n">
        <v>6</v>
      </c>
      <c r="Z730" s="0" t="s">
        <v>175</v>
      </c>
      <c r="AA730" s="0" t="s">
        <v>187</v>
      </c>
      <c r="AH730" s="0" t="s">
        <v>180</v>
      </c>
      <c r="AJ730" s="0" t="s">
        <v>437</v>
      </c>
      <c r="AK730" s="0" t="s">
        <v>94</v>
      </c>
      <c r="AL730" s="0" t="s">
        <v>95</v>
      </c>
      <c r="AT730" s="0" t="s">
        <v>103</v>
      </c>
      <c r="BI730" s="0" t="s">
        <v>118</v>
      </c>
      <c r="BK730" s="0" t="s">
        <v>120</v>
      </c>
    </row>
    <row r="731">
      <c r="B731" s="0" t="s">
        <v>2103</v>
      </c>
      <c r="C731" s="1" t="n">
        <v>353028</v>
      </c>
      <c r="D731" s="0" t="s">
        <v>2080</v>
      </c>
      <c r="E731" s="14" t="s">
        <v>2107</v>
      </c>
      <c r="F731" s="14" t="s">
        <v>1442</v>
      </c>
      <c r="G731" s="25" t="str">
        <f>HYPERLINK("https://news-life.pro/sakhalin-obl/346907570/")</f>
      </c>
      <c r="H731" s="14" t="s">
        <v>208</v>
      </c>
      <c r="I731" s="14" t="s">
        <v>194</v>
      </c>
      <c r="J731" s="14"/>
      <c r="L731" s="14"/>
      <c r="O731" s="1"/>
      <c r="P731" s="1"/>
      <c r="Q731" s="1"/>
      <c r="R731" s="1" t="n">
        <v>0</v>
      </c>
      <c r="S731" s="1" t="n">
        <v>2258</v>
      </c>
      <c r="T731" s="1" t="n">
        <v>0</v>
      </c>
      <c r="U731" s="1" t="n">
        <v>0</v>
      </c>
      <c r="V731" s="1" t="n">
        <v>0</v>
      </c>
      <c r="W731" s="1"/>
      <c r="Y731" s="1" t="n">
        <v>2</v>
      </c>
      <c r="Z731" s="0" t="s">
        <v>175</v>
      </c>
      <c r="AA731" s="0" t="s">
        <v>187</v>
      </c>
      <c r="AH731" s="0" t="s">
        <v>180</v>
      </c>
      <c r="AJ731" s="0" t="s">
        <v>437</v>
      </c>
      <c r="AK731" s="0" t="s">
        <v>94</v>
      </c>
      <c r="AL731" s="0" t="s">
        <v>95</v>
      </c>
      <c r="AT731" s="0" t="s">
        <v>103</v>
      </c>
      <c r="BI731" s="0" t="s">
        <v>118</v>
      </c>
      <c r="BK731" s="0" t="s">
        <v>120</v>
      </c>
    </row>
    <row r="732" ht="24.75">
      <c r="B732" s="0" t="s">
        <v>2103</v>
      </c>
      <c r="C732" s="1" t="n">
        <v>353049</v>
      </c>
      <c r="D732" s="0" t="s">
        <v>2080</v>
      </c>
      <c r="E732" s="14" t="s">
        <v>2104</v>
      </c>
      <c r="F732" s="14" t="s">
        <v>1438</v>
      </c>
      <c r="G732" s="25" t="str">
        <f>HYPERLINK("https://123ru.net/korsakov/346907570/")</f>
      </c>
      <c r="H732" s="14" t="s">
        <v>208</v>
      </c>
      <c r="I732" s="14" t="s">
        <v>194</v>
      </c>
      <c r="J732" s="14"/>
      <c r="L732" s="14"/>
      <c r="O732" s="1"/>
      <c r="P732" s="1"/>
      <c r="Q732" s="1"/>
      <c r="R732" s="1" t="n">
        <v>0</v>
      </c>
      <c r="S732" s="1" t="n">
        <v>830</v>
      </c>
      <c r="T732" s="1" t="n">
        <v>0</v>
      </c>
      <c r="U732" s="1" t="n">
        <v>0</v>
      </c>
      <c r="V732" s="1" t="n">
        <v>0</v>
      </c>
      <c r="W732" s="1"/>
      <c r="Y732" s="1" t="n">
        <v>6</v>
      </c>
      <c r="Z732" s="0" t="s">
        <v>175</v>
      </c>
      <c r="AA732" s="0" t="s">
        <v>187</v>
      </c>
      <c r="AH732" s="0" t="s">
        <v>180</v>
      </c>
      <c r="AJ732" s="0" t="s">
        <v>437</v>
      </c>
      <c r="AK732" s="0" t="s">
        <v>94</v>
      </c>
      <c r="AL732" s="0" t="s">
        <v>95</v>
      </c>
      <c r="AT732" s="0" t="s">
        <v>103</v>
      </c>
      <c r="BI732" s="0" t="s">
        <v>118</v>
      </c>
      <c r="BK732" s="0" t="s">
        <v>120</v>
      </c>
    </row>
    <row r="733" ht="924.75">
      <c r="B733" s="0" t="s">
        <v>2108</v>
      </c>
      <c r="C733" s="1" t="n">
        <v>352979</v>
      </c>
      <c r="E733" s="14" t="s">
        <v>780</v>
      </c>
      <c r="F733" s="14" t="s">
        <v>184</v>
      </c>
      <c r="G733" s="25" t="str">
        <f>HYPERLINK("http://vk.com/wall700534188_614")</f>
      </c>
      <c r="H733" s="14" t="s">
        <v>170</v>
      </c>
      <c r="I733" s="14" t="s">
        <v>171</v>
      </c>
      <c r="J733" s="14" t="s">
        <v>2109</v>
      </c>
      <c r="K733" s="26" t="str">
        <f>HYPERLINK("http://vk.com/id700534188")</f>
      </c>
      <c r="L733" s="14" t="s">
        <v>173</v>
      </c>
      <c r="O733" s="1" t="s">
        <v>186</v>
      </c>
      <c r="P733" s="1" t="n">
        <v>72</v>
      </c>
      <c r="Q733" s="1" t="n">
        <v>44</v>
      </c>
      <c r="R733" s="1" t="n">
        <v>0</v>
      </c>
      <c r="S733" s="1"/>
      <c r="T733" s="1" t="n">
        <v>0</v>
      </c>
      <c r="U733" s="1" t="n">
        <v>0</v>
      </c>
      <c r="V733" s="1" t="n">
        <v>0</v>
      </c>
      <c r="W733" s="1" t="n">
        <v>2</v>
      </c>
      <c r="Y733" s="1" t="n">
        <v>5</v>
      </c>
      <c r="Z733" s="0" t="s">
        <v>175</v>
      </c>
      <c r="AA733" s="0" t="s">
        <v>187</v>
      </c>
      <c r="AH733" s="0" t="s">
        <v>180</v>
      </c>
      <c r="AJ733" s="0" t="s">
        <v>437</v>
      </c>
      <c r="AK733" s="0" t="s">
        <v>94</v>
      </c>
      <c r="AM733" s="0" t="s">
        <v>96</v>
      </c>
      <c r="AP733" s="0" t="s">
        <v>99</v>
      </c>
      <c r="AQ733" s="0" t="s">
        <v>100</v>
      </c>
    </row>
    <row r="734">
      <c r="B734" s="0" t="s">
        <v>2108</v>
      </c>
      <c r="C734" s="1" t="n">
        <v>353013</v>
      </c>
      <c r="D734" s="0" t="s">
        <v>1020</v>
      </c>
      <c r="E734" s="14" t="s">
        <v>2110</v>
      </c>
      <c r="F734" s="14" t="s">
        <v>263</v>
      </c>
      <c r="G734" s="25" t="str">
        <f>HYPERLINK("https://www.baby.ru/blogs/post/2611546837-484832450/")</f>
      </c>
      <c r="H734" s="14" t="s">
        <v>264</v>
      </c>
      <c r="I734" s="14" t="s">
        <v>231</v>
      </c>
      <c r="J734" s="14" t="s">
        <v>2111</v>
      </c>
      <c r="K734" s="26" t="str">
        <f>HYPERLINK("https://www.baby.ru/u/usr2795461/")</f>
      </c>
      <c r="L734" s="14"/>
      <c r="M734" s="14" t="s">
        <v>1022</v>
      </c>
      <c r="N734" s="25" t="str">
        <f>HYPERLINK("https://www.baby.ru/u/usr1598110/")</f>
      </c>
      <c r="O734" s="1"/>
      <c r="P734" s="1"/>
      <c r="Q734" s="1"/>
      <c r="R734" s="1" t="n">
        <v>0</v>
      </c>
      <c r="S734" s="1"/>
      <c r="T734" s="1" t="n">
        <v>0</v>
      </c>
      <c r="U734" s="1" t="n">
        <v>0</v>
      </c>
      <c r="V734" s="1" t="n">
        <v>0</v>
      </c>
      <c r="W734" s="1"/>
      <c r="Y734" s="1" t="n">
        <v>1</v>
      </c>
      <c r="Z734" s="0" t="s">
        <v>319</v>
      </c>
      <c r="AA734" s="0" t="s">
        <v>187</v>
      </c>
      <c r="AC734" s="0" t="s">
        <v>177</v>
      </c>
      <c r="AD734" s="0" t="s">
        <v>1382</v>
      </c>
      <c r="AE734" s="0" t="s">
        <v>1530</v>
      </c>
      <c r="AH734" s="0" t="s">
        <v>180</v>
      </c>
      <c r="AI734" s="0" t="s">
        <v>92</v>
      </c>
      <c r="AJ734" s="0" t="s">
        <v>437</v>
      </c>
      <c r="AK734" s="0" t="s">
        <v>94</v>
      </c>
      <c r="AN734" s="0" t="s">
        <v>97</v>
      </c>
      <c r="AP734" s="0" t="s">
        <v>99</v>
      </c>
      <c r="BB734" s="0" t="s">
        <v>111</v>
      </c>
      <c r="BE734" s="0" t="s">
        <v>114</v>
      </c>
      <c r="BX734" s="0" t="s">
        <v>133</v>
      </c>
    </row>
    <row r="735" ht="852.75">
      <c r="B735" s="0" t="s">
        <v>2112</v>
      </c>
      <c r="C735" s="1" t="n">
        <v>352971</v>
      </c>
      <c r="E735" s="14" t="s">
        <v>865</v>
      </c>
      <c r="F735" s="14" t="s">
        <v>184</v>
      </c>
      <c r="G735" s="25" t="str">
        <f>HYPERLINK("http://vk.com/wall539331529_1016")</f>
      </c>
      <c r="H735" s="14" t="s">
        <v>170</v>
      </c>
      <c r="I735" s="14" t="s">
        <v>194</v>
      </c>
      <c r="J735" s="14" t="s">
        <v>2113</v>
      </c>
      <c r="K735" s="26" t="str">
        <f>HYPERLINK("http://vk.com/id539331529")</f>
      </c>
      <c r="L735" s="14" t="s">
        <v>173</v>
      </c>
      <c r="O735" s="1" t="s">
        <v>186</v>
      </c>
      <c r="P735" s="1"/>
      <c r="Q735" s="1" t="n">
        <v>127</v>
      </c>
      <c r="R735" s="1" t="n">
        <v>0</v>
      </c>
      <c r="S735" s="1"/>
      <c r="T735" s="1" t="n">
        <v>0</v>
      </c>
      <c r="U735" s="1" t="n">
        <v>0</v>
      </c>
      <c r="V735" s="1" t="n">
        <v>0</v>
      </c>
      <c r="W735" s="1" t="n">
        <v>1</v>
      </c>
      <c r="Y735" s="1" t="n">
        <v>4</v>
      </c>
      <c r="Z735" s="0" t="s">
        <v>175</v>
      </c>
      <c r="AA735" s="0" t="s">
        <v>176</v>
      </c>
      <c r="AC735" s="0" t="s">
        <v>177</v>
      </c>
      <c r="AD735" s="0" t="s">
        <v>1104</v>
      </c>
      <c r="AE735" s="0" t="s">
        <v>2114</v>
      </c>
      <c r="AH735" s="0" t="s">
        <v>180</v>
      </c>
      <c r="AJ735" s="0" t="s">
        <v>437</v>
      </c>
      <c r="AK735" s="0" t="s">
        <v>94</v>
      </c>
      <c r="AL735" s="0" t="s">
        <v>95</v>
      </c>
      <c r="AR735" s="0" t="s">
        <v>101</v>
      </c>
      <c r="BA735" s="0" t="s">
        <v>110</v>
      </c>
      <c r="BF735" s="0" t="s">
        <v>115</v>
      </c>
    </row>
    <row r="736" ht="36.75">
      <c r="B736" s="0" t="s">
        <v>2115</v>
      </c>
      <c r="C736" s="1" t="n">
        <v>352969</v>
      </c>
      <c r="E736" s="14" t="s">
        <v>1989</v>
      </c>
      <c r="F736" s="14" t="s">
        <v>184</v>
      </c>
      <c r="G736" s="25" t="str">
        <f>HYPERLINK("http://vk.com/wall687189675_136")</f>
      </c>
      <c r="H736" s="14" t="s">
        <v>170</v>
      </c>
      <c r="I736" s="14" t="s">
        <v>171</v>
      </c>
      <c r="J736" s="14" t="s">
        <v>2116</v>
      </c>
      <c r="K736" s="26" t="str">
        <f>HYPERLINK("http://vk.com/id687189675")</f>
      </c>
      <c r="L736" s="14" t="s">
        <v>173</v>
      </c>
      <c r="O736" s="1" t="s">
        <v>186</v>
      </c>
      <c r="P736" s="1"/>
      <c r="Q736" s="1" t="n">
        <v>87</v>
      </c>
      <c r="R736" s="1" t="n">
        <v>0</v>
      </c>
      <c r="S736" s="1"/>
      <c r="T736" s="1" t="n">
        <v>0</v>
      </c>
      <c r="U736" s="1" t="n">
        <v>0</v>
      </c>
      <c r="V736" s="1" t="n">
        <v>0</v>
      </c>
      <c r="W736" s="1" t="n">
        <v>2</v>
      </c>
      <c r="Y736" s="1" t="n">
        <v>3</v>
      </c>
      <c r="Z736" s="0" t="s">
        <v>175</v>
      </c>
      <c r="AA736" s="0" t="s">
        <v>176</v>
      </c>
      <c r="AC736" s="0" t="s">
        <v>177</v>
      </c>
      <c r="AD736" s="0" t="s">
        <v>454</v>
      </c>
      <c r="AE736" s="0" t="s">
        <v>687</v>
      </c>
      <c r="AH736" s="0" t="s">
        <v>180</v>
      </c>
      <c r="AJ736" s="0" t="s">
        <v>437</v>
      </c>
      <c r="AK736" s="0" t="s">
        <v>94</v>
      </c>
      <c r="AL736" s="0" t="s">
        <v>95</v>
      </c>
      <c r="AM736" s="0" t="s">
        <v>96</v>
      </c>
      <c r="AO736" s="0" t="s">
        <v>98</v>
      </c>
      <c r="AQ736" s="0" t="s">
        <v>100</v>
      </c>
    </row>
    <row r="737" ht="36.75">
      <c r="B737" s="0" t="s">
        <v>2117</v>
      </c>
      <c r="C737" s="1" t="n">
        <v>352966</v>
      </c>
      <c r="E737" s="14" t="s">
        <v>2118</v>
      </c>
      <c r="F737" s="14" t="s">
        <v>184</v>
      </c>
      <c r="G737" s="25" t="str">
        <f>HYPERLINK("http://vk.com/wall416920486_60057")</f>
      </c>
      <c r="H737" s="14" t="s">
        <v>170</v>
      </c>
      <c r="I737" s="14" t="s">
        <v>171</v>
      </c>
      <c r="J737" s="14" t="s">
        <v>2119</v>
      </c>
      <c r="K737" s="26" t="str">
        <f>HYPERLINK("http://vk.com/id416920486")</f>
      </c>
      <c r="L737" s="14" t="s">
        <v>173</v>
      </c>
      <c r="O737" s="1" t="s">
        <v>186</v>
      </c>
      <c r="P737" s="1" t="n">
        <v>36</v>
      </c>
      <c r="Q737" s="1" t="n">
        <v>1281</v>
      </c>
      <c r="R737" s="1" t="n">
        <v>0</v>
      </c>
      <c r="S737" s="1"/>
      <c r="T737" s="1" t="n">
        <v>0</v>
      </c>
      <c r="U737" s="1" t="n">
        <v>0</v>
      </c>
      <c r="V737" s="1" t="n">
        <v>0</v>
      </c>
      <c r="W737" s="1"/>
      <c r="Y737" s="1" t="n">
        <v>2</v>
      </c>
      <c r="Z737" s="0" t="s">
        <v>175</v>
      </c>
      <c r="AA737" s="0" t="s">
        <v>176</v>
      </c>
      <c r="AC737" s="0" t="s">
        <v>177</v>
      </c>
      <c r="AD737" s="0" t="s">
        <v>2120</v>
      </c>
      <c r="AE737" s="0" t="s">
        <v>2121</v>
      </c>
      <c r="AH737" s="0" t="s">
        <v>180</v>
      </c>
      <c r="AJ737" s="0" t="s">
        <v>437</v>
      </c>
      <c r="AK737" s="0" t="s">
        <v>94</v>
      </c>
      <c r="AL737" s="0" t="s">
        <v>95</v>
      </c>
      <c r="AM737" s="0" t="s">
        <v>96</v>
      </c>
      <c r="AO737" s="0" t="s">
        <v>98</v>
      </c>
      <c r="AQ737" s="0" t="s">
        <v>100</v>
      </c>
    </row>
    <row r="738" ht="720.75">
      <c r="B738" s="0" t="s">
        <v>2122</v>
      </c>
      <c r="C738" s="1" t="n">
        <v>353608</v>
      </c>
      <c r="E738" s="14" t="s">
        <v>1811</v>
      </c>
      <c r="F738" s="14" t="s">
        <v>169</v>
      </c>
      <c r="G738" s="25" t="str">
        <f>HYPERLINK("http://www.ok.ru/profile/568270414028/statuses/156123566297292")</f>
      </c>
      <c r="H738" s="14" t="s">
        <v>170</v>
      </c>
      <c r="I738" s="14" t="s">
        <v>171</v>
      </c>
      <c r="J738" s="14" t="s">
        <v>2123</v>
      </c>
      <c r="K738" s="26" t="str">
        <f>HYPERLINK("http://www.ok.ru/profile/568270414028")</f>
      </c>
      <c r="L738" s="14" t="s">
        <v>173</v>
      </c>
      <c r="O738" s="1" t="s">
        <v>186</v>
      </c>
      <c r="P738" s="1" t="n">
        <v>55</v>
      </c>
      <c r="Q738" s="1" t="n">
        <v>134</v>
      </c>
      <c r="R738" s="1" t="n">
        <v>0</v>
      </c>
      <c r="S738" s="1"/>
      <c r="T738" s="1" t="n">
        <v>0</v>
      </c>
      <c r="U738" s="1" t="n">
        <v>0</v>
      </c>
      <c r="V738" s="1" t="n">
        <v>0</v>
      </c>
      <c r="W738" s="1"/>
      <c r="Y738" s="1" t="n">
        <v>13</v>
      </c>
      <c r="Z738" s="0" t="s">
        <v>175</v>
      </c>
      <c r="AA738" s="0" t="s">
        <v>176</v>
      </c>
      <c r="AC738" s="0" t="s">
        <v>177</v>
      </c>
      <c r="AD738" s="0" t="s">
        <v>178</v>
      </c>
      <c r="AE738" s="0" t="s">
        <v>2124</v>
      </c>
      <c r="AH738" s="0" t="s">
        <v>180</v>
      </c>
      <c r="AJ738" s="0" t="s">
        <v>437</v>
      </c>
      <c r="AK738" s="0" t="s">
        <v>94</v>
      </c>
      <c r="AP738" s="0" t="s">
        <v>99</v>
      </c>
      <c r="AR738" s="0" t="s">
        <v>101</v>
      </c>
      <c r="BA738" s="0" t="s">
        <v>110</v>
      </c>
      <c r="BF738" s="0" t="s">
        <v>115</v>
      </c>
    </row>
    <row r="739">
      <c r="B739" s="0" t="s">
        <v>2125</v>
      </c>
      <c r="C739" s="1" t="n">
        <v>352976</v>
      </c>
      <c r="D739" s="0" t="s">
        <v>2126</v>
      </c>
      <c r="E739" s="14" t="s">
        <v>2127</v>
      </c>
      <c r="F739" s="14" t="s">
        <v>1095</v>
      </c>
      <c r="G739" s="25" t="str">
        <f>HYPERLINK("https://news.myseldon.com/ru/news/index/282029217")</f>
      </c>
      <c r="H739" s="14" t="s">
        <v>208</v>
      </c>
      <c r="I739" s="14" t="s">
        <v>194</v>
      </c>
      <c r="J739" s="14"/>
      <c r="L739" s="14"/>
      <c r="O739" s="1"/>
      <c r="P739" s="1"/>
      <c r="Q739" s="1"/>
      <c r="R739" s="1" t="n">
        <v>0</v>
      </c>
      <c r="S739" s="1" t="n">
        <v>3034</v>
      </c>
      <c r="T739" s="1" t="n">
        <v>0</v>
      </c>
      <c r="U739" s="1" t="n">
        <v>0</v>
      </c>
      <c r="V739" s="1" t="n">
        <v>0</v>
      </c>
      <c r="W739" s="1"/>
      <c r="Y739" s="1" t="n">
        <v>1</v>
      </c>
      <c r="Z739" s="0" t="s">
        <v>175</v>
      </c>
      <c r="AA739" s="0" t="s">
        <v>187</v>
      </c>
      <c r="AH739" s="0" t="s">
        <v>180</v>
      </c>
      <c r="AJ739" s="0" t="s">
        <v>437</v>
      </c>
      <c r="AK739" s="0" t="s">
        <v>94</v>
      </c>
      <c r="AL739" s="0" t="s">
        <v>95</v>
      </c>
      <c r="AT739" s="0" t="s">
        <v>103</v>
      </c>
      <c r="BI739" s="0" t="s">
        <v>118</v>
      </c>
      <c r="BK739" s="0" t="s">
        <v>120</v>
      </c>
    </row>
    <row r="740" ht="204.75">
      <c r="B740" s="0" t="s">
        <v>2128</v>
      </c>
      <c r="C740" s="1" t="n">
        <v>352962</v>
      </c>
      <c r="D740" s="0" t="s">
        <v>2126</v>
      </c>
      <c r="E740" s="14" t="s">
        <v>2129</v>
      </c>
      <c r="F740" s="14" t="s">
        <v>1955</v>
      </c>
      <c r="G740" s="25" t="str">
        <f>HYPERLINK("https://ujnosahalinsk.bezformata.com/listnews/goda-na-sahaline-podorozhali-produkti/116226559/")</f>
      </c>
      <c r="H740" s="14" t="s">
        <v>208</v>
      </c>
      <c r="I740" s="14" t="s">
        <v>194</v>
      </c>
      <c r="J740" s="14"/>
      <c r="L740" s="14"/>
      <c r="O740" s="1"/>
      <c r="P740" s="1"/>
      <c r="Q740" s="1"/>
      <c r="R740" s="1" t="n">
        <v>0</v>
      </c>
      <c r="S740" s="1" t="n">
        <v>40</v>
      </c>
      <c r="T740" s="1" t="n">
        <v>0</v>
      </c>
      <c r="U740" s="1" t="n">
        <v>0</v>
      </c>
      <c r="V740" s="1" t="n">
        <v>0</v>
      </c>
      <c r="W740" s="1"/>
      <c r="Y740" s="1" t="n">
        <v>1</v>
      </c>
      <c r="Z740" s="0" t="s">
        <v>175</v>
      </c>
      <c r="AA740" s="0" t="s">
        <v>187</v>
      </c>
      <c r="AH740" s="0" t="s">
        <v>180</v>
      </c>
      <c r="AJ740" s="0" t="s">
        <v>437</v>
      </c>
      <c r="AK740" s="0" t="s">
        <v>94</v>
      </c>
      <c r="AL740" s="0" t="s">
        <v>95</v>
      </c>
      <c r="AT740" s="0" t="s">
        <v>103</v>
      </c>
      <c r="BI740" s="0" t="s">
        <v>118</v>
      </c>
      <c r="BK740" s="0" t="s">
        <v>120</v>
      </c>
    </row>
    <row r="741">
      <c r="B741" s="0" t="s">
        <v>2130</v>
      </c>
      <c r="C741" s="1" t="n">
        <v>352957</v>
      </c>
      <c r="E741" s="14" t="s">
        <v>2131</v>
      </c>
      <c r="F741" s="14" t="s">
        <v>192</v>
      </c>
      <c r="G741" s="25" t="str">
        <f>HYPERLINK("https://telegram.me/neurokids_chat/12113")</f>
      </c>
      <c r="H741" s="14" t="s">
        <v>193</v>
      </c>
      <c r="I741" s="14" t="s">
        <v>194</v>
      </c>
      <c r="J741" s="14" t="s">
        <v>1022</v>
      </c>
      <c r="K741" s="26" t="str">
        <f>HYPERLINK("https://telegram.me/")</f>
      </c>
      <c r="L741" s="14" t="s">
        <v>173</v>
      </c>
      <c r="M741" s="14" t="s">
        <v>2132</v>
      </c>
      <c r="N741" s="25" t="str">
        <f>HYPERLINK("https://telegram.me/neurokids_chat")</f>
      </c>
      <c r="O741" s="1" t="s">
        <v>186</v>
      </c>
      <c r="P741" s="1"/>
      <c r="Q741" s="1" t="n">
        <v>618</v>
      </c>
      <c r="R741" s="1" t="n">
        <v>0</v>
      </c>
      <c r="S741" s="1"/>
      <c r="T741" s="1" t="n">
        <v>0</v>
      </c>
      <c r="U741" s="1" t="n">
        <v>0</v>
      </c>
      <c r="V741" s="1" t="n">
        <v>0</v>
      </c>
      <c r="W741" s="1"/>
      <c r="Y741" s="1" t="n">
        <v>1</v>
      </c>
      <c r="Z741" s="0" t="s">
        <v>175</v>
      </c>
      <c r="AA741" s="0" t="s">
        <v>187</v>
      </c>
      <c r="AH741" s="0" t="s">
        <v>180</v>
      </c>
      <c r="AJ741" s="0" t="s">
        <v>437</v>
      </c>
      <c r="AK741" s="0" t="s">
        <v>94</v>
      </c>
      <c r="AN741" s="0" t="s">
        <v>97</v>
      </c>
      <c r="AP741" s="0" t="s">
        <v>99</v>
      </c>
      <c r="AT741" s="0" t="s">
        <v>103</v>
      </c>
      <c r="CB741" s="0" t="s">
        <v>137</v>
      </c>
    </row>
    <row r="742" ht="396.75">
      <c r="B742" s="0" t="s">
        <v>2133</v>
      </c>
      <c r="C742" s="1" t="n">
        <v>352985</v>
      </c>
      <c r="D742" s="0" t="s">
        <v>2134</v>
      </c>
      <c r="E742" s="14" t="s">
        <v>2135</v>
      </c>
      <c r="F742" s="14" t="s">
        <v>2136</v>
      </c>
      <c r="G742" s="25" t="str">
        <f>HYPERLINK("https://03.rosstat.gov.ru/statcurrentevents/document/203372")</f>
      </c>
      <c r="H742" s="14" t="s">
        <v>208</v>
      </c>
      <c r="I742" s="14" t="s">
        <v>194</v>
      </c>
      <c r="J742" s="14"/>
      <c r="L742" s="14"/>
      <c r="O742" s="1"/>
      <c r="P742" s="1"/>
      <c r="Q742" s="1"/>
      <c r="R742" s="1" t="n">
        <v>0</v>
      </c>
      <c r="S742" s="1"/>
      <c r="T742" s="1" t="n">
        <v>0</v>
      </c>
      <c r="U742" s="1" t="n">
        <v>0</v>
      </c>
      <c r="V742" s="1" t="n">
        <v>0</v>
      </c>
      <c r="W742" s="1"/>
      <c r="Y742" s="1" t="n">
        <v>1</v>
      </c>
      <c r="Z742" s="0" t="s">
        <v>175</v>
      </c>
      <c r="AA742" s="0" t="s">
        <v>176</v>
      </c>
      <c r="AH742" s="0" t="s">
        <v>180</v>
      </c>
      <c r="AJ742" s="0" t="s">
        <v>437</v>
      </c>
      <c r="AK742" s="0" t="s">
        <v>94</v>
      </c>
      <c r="AM742" s="0" t="s">
        <v>96</v>
      </c>
      <c r="AP742" s="0" t="s">
        <v>99</v>
      </c>
      <c r="AR742" s="0" t="s">
        <v>101</v>
      </c>
      <c r="BD742" s="0" t="s">
        <v>113</v>
      </c>
      <c r="BP742" s="0" t="s">
        <v>125</v>
      </c>
      <c r="BW742" s="0" t="s">
        <v>132</v>
      </c>
    </row>
    <row r="743" ht="36.75">
      <c r="B743" s="0" t="s">
        <v>2133</v>
      </c>
      <c r="C743" s="1" t="n">
        <v>352955</v>
      </c>
      <c r="E743" s="14" t="s">
        <v>2137</v>
      </c>
      <c r="F743" s="14" t="s">
        <v>184</v>
      </c>
      <c r="G743" s="25" t="str">
        <f>HYPERLINK("http://vk.com/wall378824526_267")</f>
      </c>
      <c r="H743" s="14" t="s">
        <v>170</v>
      </c>
      <c r="I743" s="14" t="s">
        <v>171</v>
      </c>
      <c r="J743" s="14" t="s">
        <v>2138</v>
      </c>
      <c r="K743" s="26" t="str">
        <f>HYPERLINK("http://vk.com/id378824526")</f>
      </c>
      <c r="L743" s="14" t="s">
        <v>173</v>
      </c>
      <c r="O743" s="1" t="s">
        <v>186</v>
      </c>
      <c r="P743" s="1" t="n">
        <v>59</v>
      </c>
      <c r="Q743" s="1" t="n">
        <v>61</v>
      </c>
      <c r="R743" s="1" t="n">
        <v>0</v>
      </c>
      <c r="S743" s="1"/>
      <c r="T743" s="1" t="n">
        <v>0</v>
      </c>
      <c r="U743" s="1" t="n">
        <v>0</v>
      </c>
      <c r="V743" s="1" t="n">
        <v>0</v>
      </c>
      <c r="W743" s="1" t="n">
        <v>1</v>
      </c>
      <c r="Y743" s="1" t="n">
        <v>1</v>
      </c>
      <c r="Z743" s="0" t="s">
        <v>175</v>
      </c>
      <c r="AA743" s="0" t="s">
        <v>176</v>
      </c>
      <c r="AH743" s="0" t="s">
        <v>180</v>
      </c>
      <c r="AJ743" s="0" t="s">
        <v>437</v>
      </c>
      <c r="AK743" s="0" t="s">
        <v>94</v>
      </c>
      <c r="AL743" s="0" t="s">
        <v>95</v>
      </c>
      <c r="AM743" s="0" t="s">
        <v>96</v>
      </c>
      <c r="AO743" s="0" t="s">
        <v>98</v>
      </c>
      <c r="AQ743" s="0" t="s">
        <v>100</v>
      </c>
    </row>
    <row r="744" ht="204.75">
      <c r="B744" s="0" t="s">
        <v>2133</v>
      </c>
      <c r="C744" s="1" t="n">
        <v>353022</v>
      </c>
      <c r="D744" s="0" t="s">
        <v>2126</v>
      </c>
      <c r="E744" s="14" t="s">
        <v>2139</v>
      </c>
      <c r="F744" s="14" t="s">
        <v>2094</v>
      </c>
      <c r="G744" s="25" t="str">
        <f>HYPERLINK("https://sakhalin-news.net/society/2023/04/14/163330.html")</f>
      </c>
      <c r="H744" s="14" t="s">
        <v>208</v>
      </c>
      <c r="I744" s="14" t="s">
        <v>194</v>
      </c>
      <c r="J744" s="14"/>
      <c r="L744" s="14"/>
      <c r="O744" s="1"/>
      <c r="P744" s="1"/>
      <c r="Q744" s="1"/>
      <c r="R744" s="1" t="n">
        <v>0</v>
      </c>
      <c r="S744" s="1" t="n">
        <v>847</v>
      </c>
      <c r="T744" s="1" t="n">
        <v>0</v>
      </c>
      <c r="U744" s="1" t="n">
        <v>0</v>
      </c>
      <c r="V744" s="1" t="n">
        <v>0</v>
      </c>
      <c r="W744" s="1"/>
      <c r="Y744" s="1" t="n">
        <v>1</v>
      </c>
      <c r="Z744" s="0" t="s">
        <v>175</v>
      </c>
      <c r="AA744" s="0" t="s">
        <v>176</v>
      </c>
      <c r="AH744" s="0" t="s">
        <v>180</v>
      </c>
      <c r="AJ744" s="0" t="s">
        <v>437</v>
      </c>
      <c r="AK744" s="0" t="s">
        <v>94</v>
      </c>
      <c r="AL744" s="0" t="s">
        <v>95</v>
      </c>
      <c r="AT744" s="0" t="s">
        <v>103</v>
      </c>
      <c r="BI744" s="0" t="s">
        <v>118</v>
      </c>
      <c r="BK744" s="0" t="s">
        <v>120</v>
      </c>
    </row>
    <row r="745" ht="24.75">
      <c r="B745" s="0" t="s">
        <v>2140</v>
      </c>
      <c r="C745" s="1" t="n">
        <v>353090</v>
      </c>
      <c r="E745" s="14" t="s">
        <v>1102</v>
      </c>
      <c r="F745" s="14" t="s">
        <v>169</v>
      </c>
      <c r="G745" s="25" t="str">
        <f>HYPERLINK("http://www.ok.ru/profile/577814807790/statuses/156610374892526")</f>
      </c>
      <c r="H745" s="14" t="s">
        <v>170</v>
      </c>
      <c r="I745" s="14" t="s">
        <v>171</v>
      </c>
      <c r="J745" s="14" t="s">
        <v>2141</v>
      </c>
      <c r="K745" s="26" t="str">
        <f>HYPERLINK("http://www.ok.ru/profile/577814807790")</f>
      </c>
      <c r="L745" s="14" t="s">
        <v>173</v>
      </c>
      <c r="O745" s="1" t="s">
        <v>186</v>
      </c>
      <c r="P745" s="1"/>
      <c r="Q745" s="1" t="n">
        <v>245</v>
      </c>
      <c r="R745" s="1" t="n">
        <v>0</v>
      </c>
      <c r="S745" s="1"/>
      <c r="T745" s="1" t="n">
        <v>0</v>
      </c>
      <c r="U745" s="1" t="n">
        <v>0</v>
      </c>
      <c r="V745" s="1" t="n">
        <v>0</v>
      </c>
      <c r="W745" s="1"/>
      <c r="Y745" s="1" t="n">
        <v>93</v>
      </c>
      <c r="Z745" s="0" t="s">
        <v>175</v>
      </c>
      <c r="AA745" s="0" t="s">
        <v>187</v>
      </c>
      <c r="AC745" s="0" t="s">
        <v>177</v>
      </c>
      <c r="AH745" s="0" t="s">
        <v>180</v>
      </c>
      <c r="AJ745" s="0" t="s">
        <v>437</v>
      </c>
      <c r="AK745" s="0" t="s">
        <v>94</v>
      </c>
      <c r="AL745" s="0" t="s">
        <v>95</v>
      </c>
      <c r="AM745" s="0" t="s">
        <v>96</v>
      </c>
      <c r="AU745" s="0" t="s">
        <v>104</v>
      </c>
      <c r="AV745" s="0" t="s">
        <v>105</v>
      </c>
    </row>
    <row r="746" ht="60.75">
      <c r="B746" s="0" t="s">
        <v>2142</v>
      </c>
      <c r="C746" s="1" t="n">
        <v>353026</v>
      </c>
      <c r="E746" s="14" t="s">
        <v>2143</v>
      </c>
      <c r="F746" s="14" t="s">
        <v>870</v>
      </c>
      <c r="G746" s="25" t="str">
        <f>HYPERLINK("https://dzen.ru/a/ZDVQIrdvd34J2Uos#comment_1615800063")</f>
      </c>
      <c r="H746" s="14" t="s">
        <v>376</v>
      </c>
      <c r="I746" s="14" t="s">
        <v>231</v>
      </c>
      <c r="J746" s="14" t="s">
        <v>2144</v>
      </c>
      <c r="K746" s="26" t="str">
        <f>HYPERLINK("https://dzen.ru/user/qjnwev7mhbej54xkeye3yb3zz4")</f>
      </c>
      <c r="L746" s="14" t="s">
        <v>173</v>
      </c>
      <c r="M746" s="14" t="s">
        <v>2145</v>
      </c>
      <c r="N746" s="25" t="str">
        <f>HYPERLINK("https://dzen.ru/id/626eb47ab8794d4e747d8f74")</f>
      </c>
      <c r="O746" s="1"/>
      <c r="P746" s="1"/>
      <c r="Q746" s="1" t="n">
        <v>4224</v>
      </c>
      <c r="R746" s="1" t="n">
        <v>0</v>
      </c>
      <c r="S746" s="1"/>
      <c r="T746" s="1" t="n">
        <v>0</v>
      </c>
      <c r="U746" s="1" t="n">
        <v>0</v>
      </c>
      <c r="V746" s="1" t="n">
        <v>0</v>
      </c>
      <c r="W746" s="1"/>
      <c r="Y746" s="1" t="n">
        <v>1</v>
      </c>
      <c r="Z746" s="0" t="s">
        <v>175</v>
      </c>
      <c r="AA746" s="0" t="s">
        <v>187</v>
      </c>
      <c r="AH746" s="0" t="s">
        <v>180</v>
      </c>
      <c r="AJ746" s="0" t="s">
        <v>437</v>
      </c>
      <c r="AK746" s="0" t="s">
        <v>94</v>
      </c>
      <c r="AN746" s="0" t="s">
        <v>97</v>
      </c>
      <c r="AP746" s="0" t="s">
        <v>99</v>
      </c>
      <c r="AR746" s="0" t="s">
        <v>101</v>
      </c>
      <c r="AS746" s="0" t="s">
        <v>102</v>
      </c>
      <c r="AT746" s="0" t="s">
        <v>103</v>
      </c>
      <c r="AW746" s="0" t="s">
        <v>106</v>
      </c>
      <c r="BG746" s="0" t="s">
        <v>116</v>
      </c>
      <c r="BL746" s="0" t="s">
        <v>121</v>
      </c>
      <c r="CV746" s="0" t="s">
        <v>157</v>
      </c>
    </row>
    <row r="747" ht="36.75">
      <c r="B747" s="0" t="s">
        <v>2146</v>
      </c>
      <c r="C747" s="1" t="n">
        <v>352980</v>
      </c>
      <c r="E747" s="14" t="s">
        <v>1189</v>
      </c>
      <c r="F747" s="14" t="s">
        <v>169</v>
      </c>
      <c r="G747" s="25" t="str">
        <f>HYPERLINK("http://www.ok.ru/profile/345828524029/statuses/155068324054013")</f>
      </c>
      <c r="H747" s="14" t="s">
        <v>170</v>
      </c>
      <c r="I747" s="14" t="s">
        <v>171</v>
      </c>
      <c r="J747" s="14" t="s">
        <v>2147</v>
      </c>
      <c r="K747" s="26" t="str">
        <f>HYPERLINK("http://www.ok.ru/profile/345828524029")</f>
      </c>
      <c r="L747" s="14" t="s">
        <v>173</v>
      </c>
      <c r="O747" s="1" t="s">
        <v>186</v>
      </c>
      <c r="P747" s="1" t="n">
        <v>74</v>
      </c>
      <c r="Q747" s="1" t="n">
        <v>335</v>
      </c>
      <c r="R747" s="1" t="n">
        <v>0</v>
      </c>
      <c r="S747" s="1"/>
      <c r="T747" s="1" t="n">
        <v>0</v>
      </c>
      <c r="U747" s="1" t="n">
        <v>1</v>
      </c>
      <c r="V747" s="1" t="n">
        <v>1</v>
      </c>
      <c r="W747" s="1"/>
      <c r="Y747" s="1" t="n">
        <v>46</v>
      </c>
      <c r="Z747" s="0" t="s">
        <v>175</v>
      </c>
      <c r="AA747" s="0" t="s">
        <v>187</v>
      </c>
      <c r="AC747" s="0" t="s">
        <v>177</v>
      </c>
      <c r="AD747" s="0" t="s">
        <v>767</v>
      </c>
      <c r="AE747" s="0" t="s">
        <v>2148</v>
      </c>
      <c r="AH747" s="0" t="s">
        <v>180</v>
      </c>
      <c r="AJ747" s="0" t="s">
        <v>437</v>
      </c>
      <c r="AK747" s="0" t="s">
        <v>94</v>
      </c>
      <c r="AL747" s="0" t="s">
        <v>95</v>
      </c>
      <c r="AM747" s="0" t="s">
        <v>96</v>
      </c>
      <c r="AO747" s="0" t="s">
        <v>98</v>
      </c>
      <c r="AQ747" s="0" t="s">
        <v>100</v>
      </c>
    </row>
    <row r="748" ht="24.75">
      <c r="B748" s="0" t="s">
        <v>2149</v>
      </c>
      <c r="C748" s="1" t="n">
        <v>352951</v>
      </c>
      <c r="E748" s="14" t="s">
        <v>2150</v>
      </c>
      <c r="F748" s="14" t="s">
        <v>184</v>
      </c>
      <c r="G748" s="25" t="str">
        <f>HYPERLINK("http://vk.com/wall599380216_2655")</f>
      </c>
      <c r="H748" s="14" t="s">
        <v>170</v>
      </c>
      <c r="I748" s="14" t="s">
        <v>171</v>
      </c>
      <c r="J748" s="14" t="s">
        <v>2151</v>
      </c>
      <c r="K748" s="26" t="str">
        <f>HYPERLINK("http://vk.com/id599380216")</f>
      </c>
      <c r="L748" s="14" t="s">
        <v>173</v>
      </c>
      <c r="O748" s="1" t="s">
        <v>186</v>
      </c>
      <c r="P748" s="1" t="n">
        <v>55</v>
      </c>
      <c r="Q748" s="1" t="n">
        <v>273</v>
      </c>
      <c r="R748" s="1" t="n">
        <v>0</v>
      </c>
      <c r="S748" s="1"/>
      <c r="T748" s="1" t="n">
        <v>0</v>
      </c>
      <c r="U748" s="1" t="n">
        <v>0</v>
      </c>
      <c r="V748" s="1" t="n">
        <v>0</v>
      </c>
      <c r="W748" s="1" t="n">
        <v>2</v>
      </c>
      <c r="Y748" s="1" t="n">
        <v>1</v>
      </c>
      <c r="Z748" s="0" t="s">
        <v>175</v>
      </c>
      <c r="AA748" s="0" t="s">
        <v>176</v>
      </c>
      <c r="AH748" s="0" t="s">
        <v>180</v>
      </c>
      <c r="AJ748" s="0" t="s">
        <v>437</v>
      </c>
      <c r="AK748" s="0" t="s">
        <v>94</v>
      </c>
      <c r="AL748" s="0" t="s">
        <v>95</v>
      </c>
      <c r="AM748" s="0" t="s">
        <v>96</v>
      </c>
      <c r="AO748" s="0" t="s">
        <v>98</v>
      </c>
      <c r="AQ748" s="0" t="s">
        <v>100</v>
      </c>
    </row>
    <row r="749" ht="156.75">
      <c r="B749" s="0" t="s">
        <v>2149</v>
      </c>
      <c r="C749" s="1" t="n">
        <v>352942</v>
      </c>
      <c r="D749" s="0" t="s">
        <v>2126</v>
      </c>
      <c r="E749" s="14" t="s">
        <v>2152</v>
      </c>
      <c r="F749" s="14" t="s">
        <v>2153</v>
      </c>
      <c r="G749" s="25" t="str">
        <f>HYPERLINK("https://sakhalinmedia.ru/news/1486312/")</f>
      </c>
      <c r="H749" s="14" t="s">
        <v>208</v>
      </c>
      <c r="I749" s="14" t="s">
        <v>194</v>
      </c>
      <c r="J749" s="14"/>
      <c r="L749" s="14"/>
      <c r="O749" s="1"/>
      <c r="P749" s="1"/>
      <c r="Q749" s="1"/>
      <c r="R749" s="1" t="n">
        <v>0</v>
      </c>
      <c r="S749" s="1" t="n">
        <v>9767</v>
      </c>
      <c r="T749" s="1" t="n">
        <v>0</v>
      </c>
      <c r="U749" s="1" t="n">
        <v>0</v>
      </c>
      <c r="V749" s="1" t="n">
        <v>0</v>
      </c>
      <c r="W749" s="1"/>
      <c r="Y749" s="1" t="n">
        <v>1</v>
      </c>
      <c r="Z749" s="0" t="s">
        <v>175</v>
      </c>
      <c r="AA749" s="0" t="s">
        <v>187</v>
      </c>
      <c r="AH749" s="0" t="s">
        <v>180</v>
      </c>
      <c r="AJ749" s="0" t="s">
        <v>437</v>
      </c>
      <c r="AK749" s="0" t="s">
        <v>94</v>
      </c>
      <c r="AL749" s="0" t="s">
        <v>95</v>
      </c>
      <c r="AT749" s="0" t="s">
        <v>103</v>
      </c>
      <c r="BI749" s="0" t="s">
        <v>118</v>
      </c>
      <c r="BK749" s="0" t="s">
        <v>120</v>
      </c>
    </row>
    <row r="750" ht="24.75">
      <c r="B750" s="0" t="s">
        <v>2154</v>
      </c>
      <c r="C750" s="1" t="n">
        <v>352940</v>
      </c>
      <c r="E750" s="14" t="s">
        <v>2155</v>
      </c>
      <c r="F750" s="14" t="s">
        <v>184</v>
      </c>
      <c r="G750" s="25" t="str">
        <f>HYPERLINK("http://vk.com/wall614440065_166")</f>
      </c>
      <c r="H750" s="14" t="s">
        <v>170</v>
      </c>
      <c r="I750" s="14" t="s">
        <v>171</v>
      </c>
      <c r="J750" s="14" t="s">
        <v>2156</v>
      </c>
      <c r="K750" s="26" t="str">
        <f>HYPERLINK("http://vk.com/id614440065")</f>
      </c>
      <c r="L750" s="14" t="s">
        <v>173</v>
      </c>
      <c r="O750" s="1" t="s">
        <v>186</v>
      </c>
      <c r="P750" s="1"/>
      <c r="Q750" s="1" t="n">
        <v>51</v>
      </c>
      <c r="R750" s="1" t="n">
        <v>0</v>
      </c>
      <c r="S750" s="1"/>
      <c r="T750" s="1" t="n">
        <v>0</v>
      </c>
      <c r="U750" s="1" t="n">
        <v>0</v>
      </c>
      <c r="V750" s="1" t="n">
        <v>0</v>
      </c>
      <c r="W750" s="1"/>
      <c r="Y750" s="1" t="n">
        <v>1</v>
      </c>
      <c r="Z750" s="0" t="s">
        <v>175</v>
      </c>
      <c r="AA750" s="0" t="s">
        <v>176</v>
      </c>
      <c r="AC750" s="0" t="s">
        <v>177</v>
      </c>
      <c r="AD750" s="0" t="s">
        <v>332</v>
      </c>
      <c r="AE750" s="0" t="s">
        <v>332</v>
      </c>
      <c r="AH750" s="0" t="s">
        <v>180</v>
      </c>
      <c r="AJ750" s="0" t="s">
        <v>437</v>
      </c>
      <c r="AK750" s="0" t="s">
        <v>94</v>
      </c>
      <c r="AL750" s="0" t="s">
        <v>95</v>
      </c>
      <c r="AM750" s="0" t="s">
        <v>96</v>
      </c>
      <c r="AO750" s="0" t="s">
        <v>98</v>
      </c>
      <c r="AQ750" s="0" t="s">
        <v>100</v>
      </c>
    </row>
    <row r="751" ht="36.75">
      <c r="B751" s="0" t="s">
        <v>2157</v>
      </c>
      <c r="C751" s="1" t="n">
        <v>352939</v>
      </c>
      <c r="E751" s="14" t="s">
        <v>202</v>
      </c>
      <c r="F751" s="14" t="s">
        <v>184</v>
      </c>
      <c r="G751" s="25" t="str">
        <f>HYPERLINK("http://vk.com/wall688425923_963")</f>
      </c>
      <c r="H751" s="14" t="s">
        <v>170</v>
      </c>
      <c r="I751" s="14" t="s">
        <v>171</v>
      </c>
      <c r="J751" s="14" t="s">
        <v>2158</v>
      </c>
      <c r="K751" s="26" t="str">
        <f>HYPERLINK("http://vk.com/id688425923")</f>
      </c>
      <c r="L751" s="14" t="s">
        <v>173</v>
      </c>
      <c r="O751" s="1" t="s">
        <v>186</v>
      </c>
      <c r="P751" s="1" t="n">
        <v>58</v>
      </c>
      <c r="Q751" s="1" t="n">
        <v>48</v>
      </c>
      <c r="R751" s="1" t="n">
        <v>0</v>
      </c>
      <c r="S751" s="1"/>
      <c r="T751" s="1" t="n">
        <v>0</v>
      </c>
      <c r="U751" s="1" t="n">
        <v>0</v>
      </c>
      <c r="V751" s="1" t="n">
        <v>0</v>
      </c>
      <c r="W751" s="1"/>
      <c r="Y751" s="1" t="n">
        <v>61</v>
      </c>
      <c r="Z751" s="0" t="s">
        <v>175</v>
      </c>
      <c r="AA751" s="0" t="s">
        <v>176</v>
      </c>
      <c r="AC751" s="0" t="s">
        <v>177</v>
      </c>
      <c r="AD751" s="0" t="s">
        <v>1058</v>
      </c>
      <c r="AE751" s="0" t="s">
        <v>2159</v>
      </c>
      <c r="AH751" s="0" t="s">
        <v>180</v>
      </c>
      <c r="AJ751" s="0" t="s">
        <v>437</v>
      </c>
      <c r="AK751" s="0" t="s">
        <v>94</v>
      </c>
      <c r="AL751" s="0" t="s">
        <v>95</v>
      </c>
      <c r="AM751" s="0" t="s">
        <v>96</v>
      </c>
      <c r="AO751" s="0" t="s">
        <v>98</v>
      </c>
      <c r="AQ751" s="0" t="s">
        <v>100</v>
      </c>
    </row>
    <row r="752" ht="36.75">
      <c r="B752" s="0" t="s">
        <v>2160</v>
      </c>
      <c r="C752" s="1" t="n">
        <v>352934</v>
      </c>
      <c r="E752" s="14" t="s">
        <v>202</v>
      </c>
      <c r="F752" s="14" t="s">
        <v>184</v>
      </c>
      <c r="G752" s="25" t="str">
        <f>HYPERLINK("http://vk.com/wall195604528_1513")</f>
      </c>
      <c r="H752" s="14" t="s">
        <v>170</v>
      </c>
      <c r="I752" s="14" t="s">
        <v>171</v>
      </c>
      <c r="J752" s="14" t="s">
        <v>2161</v>
      </c>
      <c r="K752" s="26" t="str">
        <f>HYPERLINK("http://vk.com/id195604528")</f>
      </c>
      <c r="L752" s="14" t="s">
        <v>173</v>
      </c>
      <c r="O752" s="1" t="s">
        <v>186</v>
      </c>
      <c r="P752" s="1" t="n">
        <v>69</v>
      </c>
      <c r="Q752" s="1" t="n">
        <v>90</v>
      </c>
      <c r="R752" s="1" t="n">
        <v>0</v>
      </c>
      <c r="S752" s="1"/>
      <c r="T752" s="1" t="n">
        <v>0</v>
      </c>
      <c r="U752" s="1" t="n">
        <v>0</v>
      </c>
      <c r="V752" s="1" t="n">
        <v>0</v>
      </c>
      <c r="W752" s="1"/>
      <c r="Y752" s="1" t="n">
        <v>61</v>
      </c>
      <c r="Z752" s="0" t="s">
        <v>175</v>
      </c>
      <c r="AA752" s="0" t="s">
        <v>176</v>
      </c>
      <c r="AC752" s="0" t="s">
        <v>177</v>
      </c>
      <c r="AD752" s="0" t="s">
        <v>484</v>
      </c>
      <c r="AE752" s="0" t="s">
        <v>485</v>
      </c>
      <c r="AH752" s="0" t="s">
        <v>180</v>
      </c>
      <c r="AJ752" s="0" t="s">
        <v>437</v>
      </c>
      <c r="AK752" s="0" t="s">
        <v>94</v>
      </c>
      <c r="AL752" s="0" t="s">
        <v>95</v>
      </c>
      <c r="AM752" s="0" t="s">
        <v>96</v>
      </c>
      <c r="AO752" s="0" t="s">
        <v>98</v>
      </c>
      <c r="AQ752" s="0" t="s">
        <v>100</v>
      </c>
    </row>
    <row r="753" ht="24.75">
      <c r="B753" s="0" t="s">
        <v>2162</v>
      </c>
      <c r="C753" s="1" t="n">
        <v>352935</v>
      </c>
      <c r="E753" s="14" t="s">
        <v>296</v>
      </c>
      <c r="F753" s="14" t="s">
        <v>184</v>
      </c>
      <c r="G753" s="25" t="str">
        <f>HYPERLINK("http://vk.com/wall382213682_2809")</f>
      </c>
      <c r="H753" s="14" t="s">
        <v>170</v>
      </c>
      <c r="I753" s="14" t="s">
        <v>171</v>
      </c>
      <c r="J753" s="14" t="s">
        <v>2163</v>
      </c>
      <c r="K753" s="26" t="str">
        <f>HYPERLINK("http://vk.com/id382213682")</f>
      </c>
      <c r="L753" s="14" t="s">
        <v>173</v>
      </c>
      <c r="O753" s="1" t="s">
        <v>186</v>
      </c>
      <c r="P753" s="1" t="n">
        <v>40</v>
      </c>
      <c r="Q753" s="1" t="n">
        <v>54</v>
      </c>
      <c r="R753" s="1" t="n">
        <v>0</v>
      </c>
      <c r="S753" s="1"/>
      <c r="T753" s="1" t="n">
        <v>0</v>
      </c>
      <c r="U753" s="1" t="n">
        <v>0</v>
      </c>
      <c r="V753" s="1" t="n">
        <v>0</v>
      </c>
      <c r="W753" s="1"/>
      <c r="Y753" s="1" t="n">
        <v>93</v>
      </c>
      <c r="Z753" s="0" t="s">
        <v>175</v>
      </c>
      <c r="AA753" s="0" t="s">
        <v>187</v>
      </c>
      <c r="AC753" s="0" t="s">
        <v>177</v>
      </c>
      <c r="AD753" s="0" t="s">
        <v>188</v>
      </c>
      <c r="AE753" s="0" t="s">
        <v>1505</v>
      </c>
      <c r="AH753" s="0" t="s">
        <v>180</v>
      </c>
      <c r="AJ753" s="0" t="s">
        <v>437</v>
      </c>
      <c r="AK753" s="0" t="s">
        <v>94</v>
      </c>
      <c r="AL753" s="0" t="s">
        <v>95</v>
      </c>
      <c r="AM753" s="0" t="s">
        <v>96</v>
      </c>
      <c r="AU753" s="0" t="s">
        <v>104</v>
      </c>
      <c r="AV753" s="0" t="s">
        <v>105</v>
      </c>
    </row>
    <row r="754" ht="144.75">
      <c r="B754" s="0" t="s">
        <v>2164</v>
      </c>
      <c r="C754" s="1" t="n">
        <v>352933</v>
      </c>
      <c r="D754" s="0" t="s">
        <v>2165</v>
      </c>
      <c r="E754" s="14" t="s">
        <v>2166</v>
      </c>
      <c r="F754" s="14" t="s">
        <v>207</v>
      </c>
      <c r="G754" s="25" t="str">
        <f>HYPERLINK("https://omsk.media/news/obschestvo/131087-v-omskih-aptekah-podorozhali-zhiznenno-neobhodimye-lekarstva-novosti-obschestvo-omsk.html")</f>
      </c>
      <c r="H754" s="14" t="s">
        <v>208</v>
      </c>
      <c r="I754" s="14" t="s">
        <v>194</v>
      </c>
      <c r="J754" s="14"/>
      <c r="L754" s="14"/>
      <c r="O754" s="1"/>
      <c r="P754" s="1"/>
      <c r="Q754" s="1"/>
      <c r="R754" s="1" t="n">
        <v>0</v>
      </c>
      <c r="S754" s="1" t="n">
        <v>3</v>
      </c>
      <c r="T754" s="1" t="n">
        <v>0</v>
      </c>
      <c r="U754" s="1" t="n">
        <v>0</v>
      </c>
      <c r="V754" s="1" t="n">
        <v>0</v>
      </c>
      <c r="W754" s="1"/>
      <c r="Y754" s="1" t="n">
        <v>1</v>
      </c>
      <c r="Z754" s="0" t="s">
        <v>175</v>
      </c>
      <c r="AA754" s="0" t="s">
        <v>176</v>
      </c>
      <c r="AH754" s="0" t="s">
        <v>180</v>
      </c>
      <c r="AJ754" s="0" t="s">
        <v>437</v>
      </c>
      <c r="AK754" s="0" t="s">
        <v>94</v>
      </c>
      <c r="AL754" s="0" t="s">
        <v>95</v>
      </c>
      <c r="BD754" s="0" t="s">
        <v>113</v>
      </c>
      <c r="BJ754" s="0" t="s">
        <v>119</v>
      </c>
      <c r="BK754" s="0" t="s">
        <v>120</v>
      </c>
    </row>
    <row r="755" ht="36.75">
      <c r="B755" s="0" t="s">
        <v>2167</v>
      </c>
      <c r="C755" s="1" t="n">
        <v>352950</v>
      </c>
      <c r="E755" s="14" t="s">
        <v>1189</v>
      </c>
      <c r="F755" s="14" t="s">
        <v>169</v>
      </c>
      <c r="G755" s="25" t="str">
        <f>HYPERLINK("http://www.ok.ru/profile/522415280054/statuses/160045318256054")</f>
      </c>
      <c r="H755" s="14" t="s">
        <v>170</v>
      </c>
      <c r="I755" s="14" t="s">
        <v>171</v>
      </c>
      <c r="J755" s="14" t="s">
        <v>2168</v>
      </c>
      <c r="K755" s="26" t="str">
        <f>HYPERLINK("http://www.ok.ru/profile/522415280054")</f>
      </c>
      <c r="L755" s="14" t="s">
        <v>173</v>
      </c>
      <c r="O755" s="1" t="s">
        <v>186</v>
      </c>
      <c r="P755" s="1" t="n">
        <v>73</v>
      </c>
      <c r="Q755" s="1" t="n">
        <v>2302</v>
      </c>
      <c r="R755" s="1" t="n">
        <v>0</v>
      </c>
      <c r="S755" s="1"/>
      <c r="T755" s="1" t="n">
        <v>0</v>
      </c>
      <c r="U755" s="1" t="n">
        <v>3</v>
      </c>
      <c r="V755" s="1" t="n">
        <v>3</v>
      </c>
      <c r="W755" s="1"/>
      <c r="Y755" s="1" t="n">
        <v>46</v>
      </c>
      <c r="Z755" s="0" t="s">
        <v>175</v>
      </c>
      <c r="AA755" s="0" t="s">
        <v>187</v>
      </c>
      <c r="AC755" s="0" t="s">
        <v>177</v>
      </c>
      <c r="AD755" s="0" t="s">
        <v>1104</v>
      </c>
      <c r="AE755" s="0" t="s">
        <v>2169</v>
      </c>
      <c r="AH755" s="0" t="s">
        <v>180</v>
      </c>
      <c r="AJ755" s="0" t="s">
        <v>437</v>
      </c>
      <c r="AK755" s="0" t="s">
        <v>94</v>
      </c>
      <c r="AL755" s="0" t="s">
        <v>95</v>
      </c>
      <c r="AM755" s="0" t="s">
        <v>96</v>
      </c>
      <c r="AO755" s="0" t="s">
        <v>98</v>
      </c>
      <c r="AQ755" s="0" t="s">
        <v>100</v>
      </c>
    </row>
    <row r="756" ht="1332.75">
      <c r="B756" s="0" t="s">
        <v>2170</v>
      </c>
      <c r="C756" s="1" t="n">
        <v>352930</v>
      </c>
      <c r="E756" s="14" t="s">
        <v>2171</v>
      </c>
      <c r="F756" s="14" t="s">
        <v>184</v>
      </c>
      <c r="G756" s="25" t="str">
        <f>HYPERLINK("http://vk.com/wall199409160_21")</f>
      </c>
      <c r="H756" s="14" t="s">
        <v>170</v>
      </c>
      <c r="I756" s="14" t="s">
        <v>171</v>
      </c>
      <c r="J756" s="14" t="s">
        <v>2172</v>
      </c>
      <c r="K756" s="26" t="str">
        <f>HYPERLINK("http://vk.com/id199409160")</f>
      </c>
      <c r="L756" s="14" t="s">
        <v>173</v>
      </c>
      <c r="O756" s="1" t="s">
        <v>174</v>
      </c>
      <c r="P756" s="1" t="n">
        <v>15</v>
      </c>
      <c r="Q756" s="1" t="n">
        <v>4</v>
      </c>
      <c r="R756" s="1" t="n">
        <v>0</v>
      </c>
      <c r="S756" s="1"/>
      <c r="T756" s="1" t="n">
        <v>0</v>
      </c>
      <c r="U756" s="1" t="n">
        <v>0</v>
      </c>
      <c r="V756" s="1" t="n">
        <v>0</v>
      </c>
      <c r="W756" s="1"/>
      <c r="Y756" s="1" t="n">
        <v>1</v>
      </c>
      <c r="Z756" s="0" t="s">
        <v>175</v>
      </c>
      <c r="AA756" s="0" t="s">
        <v>176</v>
      </c>
      <c r="AC756" s="0" t="s">
        <v>177</v>
      </c>
      <c r="AD756" s="0" t="s">
        <v>240</v>
      </c>
      <c r="AE756" s="0" t="s">
        <v>240</v>
      </c>
      <c r="AH756" s="0" t="s">
        <v>180</v>
      </c>
      <c r="AJ756" s="0" t="s">
        <v>437</v>
      </c>
      <c r="AK756" s="0" t="s">
        <v>94</v>
      </c>
      <c r="AL756" s="0" t="s">
        <v>95</v>
      </c>
      <c r="AM756" s="0" t="s">
        <v>96</v>
      </c>
      <c r="AO756" s="0" t="s">
        <v>98</v>
      </c>
      <c r="AQ756" s="0" t="s">
        <v>100</v>
      </c>
    </row>
    <row r="757">
      <c r="B757" s="0" t="s">
        <v>2173</v>
      </c>
      <c r="C757" s="1" t="n">
        <v>352923</v>
      </c>
      <c r="E757" s="14" t="s">
        <v>2174</v>
      </c>
      <c r="F757" s="14" t="s">
        <v>184</v>
      </c>
      <c r="G757" s="25" t="str">
        <f>HYPERLINK("http://vk.com/wall244346838_1086")</f>
      </c>
      <c r="H757" s="14" t="s">
        <v>170</v>
      </c>
      <c r="I757" s="14" t="s">
        <v>171</v>
      </c>
      <c r="J757" s="14" t="s">
        <v>2175</v>
      </c>
      <c r="K757" s="26" t="str">
        <f>HYPERLINK("http://vk.com/id244346838")</f>
      </c>
      <c r="L757" s="14" t="s">
        <v>173</v>
      </c>
      <c r="O757" s="1" t="s">
        <v>186</v>
      </c>
      <c r="P757" s="1"/>
      <c r="Q757" s="1" t="n">
        <v>112</v>
      </c>
      <c r="R757" s="1" t="n">
        <v>0</v>
      </c>
      <c r="S757" s="1"/>
      <c r="T757" s="1" t="n">
        <v>0</v>
      </c>
      <c r="U757" s="1" t="n">
        <v>0</v>
      </c>
      <c r="V757" s="1" t="n">
        <v>0</v>
      </c>
      <c r="W757" s="1" t="n">
        <v>2</v>
      </c>
      <c r="Y757" s="1" t="n">
        <v>1</v>
      </c>
      <c r="Z757" s="0" t="s">
        <v>175</v>
      </c>
      <c r="AA757" s="0" t="s">
        <v>187</v>
      </c>
      <c r="AH757" s="0" t="s">
        <v>180</v>
      </c>
      <c r="AJ757" s="0" t="s">
        <v>437</v>
      </c>
      <c r="AK757" s="0" t="s">
        <v>94</v>
      </c>
      <c r="AM757" s="0" t="s">
        <v>96</v>
      </c>
      <c r="AP757" s="0" t="s">
        <v>99</v>
      </c>
      <c r="BF757" s="0" t="s">
        <v>115</v>
      </c>
    </row>
    <row r="758" ht="216.75">
      <c r="B758" s="0" t="s">
        <v>2176</v>
      </c>
      <c r="C758" s="1" t="n">
        <v>353040</v>
      </c>
      <c r="D758" s="0" t="s">
        <v>2080</v>
      </c>
      <c r="E758" s="14" t="s">
        <v>2177</v>
      </c>
      <c r="F758" s="14" t="s">
        <v>2178</v>
      </c>
      <c r="G758" s="25" t="str">
        <f>HYPERLINK("https://okaygorod.com/yuzhnosakhalinsk/news/15436")</f>
      </c>
      <c r="H758" s="14" t="s">
        <v>208</v>
      </c>
      <c r="I758" s="14" t="s">
        <v>194</v>
      </c>
      <c r="J758" s="14"/>
      <c r="L758" s="14"/>
      <c r="O758" s="1"/>
      <c r="P758" s="1"/>
      <c r="Q758" s="1"/>
      <c r="R758" s="1" t="n">
        <v>0</v>
      </c>
      <c r="S758" s="1"/>
      <c r="T758" s="1" t="n">
        <v>0</v>
      </c>
      <c r="U758" s="1" t="n">
        <v>0</v>
      </c>
      <c r="V758" s="1" t="n">
        <v>0</v>
      </c>
      <c r="W758" s="1"/>
      <c r="Y758" s="1" t="n">
        <v>2</v>
      </c>
      <c r="Z758" s="0" t="s">
        <v>175</v>
      </c>
      <c r="AA758" s="0" t="s">
        <v>187</v>
      </c>
      <c r="AH758" s="0" t="s">
        <v>180</v>
      </c>
      <c r="AJ758" s="0" t="s">
        <v>437</v>
      </c>
      <c r="AK758" s="0" t="s">
        <v>94</v>
      </c>
      <c r="AL758" s="0" t="s">
        <v>95</v>
      </c>
      <c r="AT758" s="0" t="s">
        <v>103</v>
      </c>
      <c r="BI758" s="0" t="s">
        <v>118</v>
      </c>
      <c r="BK758" s="0" t="s">
        <v>120</v>
      </c>
    </row>
    <row r="759" ht="36.75">
      <c r="B759" s="0" t="s">
        <v>2179</v>
      </c>
      <c r="C759" s="1" t="n">
        <v>352970</v>
      </c>
      <c r="E759" s="14" t="s">
        <v>2180</v>
      </c>
      <c r="F759" s="14" t="s">
        <v>192</v>
      </c>
      <c r="G759" s="25" t="str">
        <f>HYPERLINK("https://telegram.me/dr_shefova/1356?comment=28310")</f>
      </c>
      <c r="H759" s="14" t="s">
        <v>193</v>
      </c>
      <c r="I759" s="14" t="s">
        <v>231</v>
      </c>
      <c r="J759" s="14" t="s">
        <v>2181</v>
      </c>
      <c r="K759" s="26" t="str">
        <f>HYPERLINK("https://telegram.me/Altynai_Ihsanova")</f>
      </c>
      <c r="L759" s="14" t="s">
        <v>173</v>
      </c>
      <c r="M759" s="14" t="s">
        <v>2182</v>
      </c>
      <c r="N759" s="25" t="str">
        <f>HYPERLINK("https://telegram.me/dr_shefova")</f>
      </c>
      <c r="O759" s="1"/>
      <c r="P759" s="1"/>
      <c r="Q759" s="1" t="n">
        <v>49159</v>
      </c>
      <c r="R759" s="1" t="n">
        <v>0</v>
      </c>
      <c r="S759" s="1"/>
      <c r="T759" s="1" t="n">
        <v>0</v>
      </c>
      <c r="U759" s="1" t="n">
        <v>0</v>
      </c>
      <c r="V759" s="1" t="n">
        <v>0</v>
      </c>
      <c r="W759" s="1"/>
      <c r="Y759" s="1" t="n">
        <v>1</v>
      </c>
      <c r="Z759" s="0" t="s">
        <v>175</v>
      </c>
      <c r="AA759" s="0" t="s">
        <v>187</v>
      </c>
      <c r="AH759" s="0" t="s">
        <v>180</v>
      </c>
      <c r="AJ759" s="0" t="s">
        <v>437</v>
      </c>
      <c r="AK759" s="0" t="s">
        <v>94</v>
      </c>
      <c r="AP759" s="0" t="s">
        <v>99</v>
      </c>
      <c r="AT759" s="0" t="s">
        <v>103</v>
      </c>
      <c r="BJ759" s="0" t="s">
        <v>119</v>
      </c>
    </row>
    <row r="760" ht="36.75">
      <c r="B760" s="0" t="s">
        <v>2183</v>
      </c>
      <c r="C760" s="1" t="n">
        <v>352924</v>
      </c>
      <c r="E760" s="14" t="s">
        <v>202</v>
      </c>
      <c r="F760" s="14" t="s">
        <v>184</v>
      </c>
      <c r="G760" s="25" t="str">
        <f>HYPERLINK("http://vk.com/wall688085432_1411")</f>
      </c>
      <c r="H760" s="14" t="s">
        <v>170</v>
      </c>
      <c r="I760" s="14" t="s">
        <v>171</v>
      </c>
      <c r="J760" s="14" t="s">
        <v>2184</v>
      </c>
      <c r="K760" s="26" t="str">
        <f>HYPERLINK("http://vk.com/id688085432")</f>
      </c>
      <c r="L760" s="14" t="s">
        <v>173</v>
      </c>
      <c r="O760" s="1" t="s">
        <v>186</v>
      </c>
      <c r="P760" s="1" t="n">
        <v>68</v>
      </c>
      <c r="Q760" s="1" t="n">
        <v>3</v>
      </c>
      <c r="R760" s="1" t="n">
        <v>0</v>
      </c>
      <c r="S760" s="1"/>
      <c r="T760" s="1" t="n">
        <v>0</v>
      </c>
      <c r="U760" s="1" t="n">
        <v>0</v>
      </c>
      <c r="V760" s="1" t="n">
        <v>0</v>
      </c>
      <c r="W760" s="1"/>
      <c r="Y760" s="1" t="n">
        <v>61</v>
      </c>
      <c r="Z760" s="0" t="s">
        <v>175</v>
      </c>
      <c r="AA760" s="0" t="s">
        <v>176</v>
      </c>
      <c r="AH760" s="0" t="s">
        <v>180</v>
      </c>
      <c r="AJ760" s="0" t="s">
        <v>437</v>
      </c>
      <c r="AK760" s="0" t="s">
        <v>94</v>
      </c>
      <c r="AL760" s="0" t="s">
        <v>95</v>
      </c>
      <c r="AM760" s="0" t="s">
        <v>96</v>
      </c>
      <c r="AO760" s="0" t="s">
        <v>98</v>
      </c>
      <c r="AQ760" s="0" t="s">
        <v>100</v>
      </c>
    </row>
    <row r="761" ht="24.75">
      <c r="B761" s="0" t="s">
        <v>2185</v>
      </c>
      <c r="C761" s="1" t="n">
        <v>352916</v>
      </c>
      <c r="E761" s="14" t="s">
        <v>2186</v>
      </c>
      <c r="F761" s="14" t="s">
        <v>184</v>
      </c>
      <c r="G761" s="25" t="str">
        <f>HYPERLINK("http://vk.com/wall136056469_204")</f>
      </c>
      <c r="H761" s="14" t="s">
        <v>170</v>
      </c>
      <c r="I761" s="14" t="s">
        <v>171</v>
      </c>
      <c r="J761" s="14" t="s">
        <v>2187</v>
      </c>
      <c r="K761" s="26" t="str">
        <f>HYPERLINK("http://vk.com/id136056469")</f>
      </c>
      <c r="L761" s="14" t="s">
        <v>173</v>
      </c>
      <c r="O761" s="1" t="s">
        <v>174</v>
      </c>
      <c r="P761" s="1" t="n">
        <v>53</v>
      </c>
      <c r="Q761" s="1" t="n">
        <v>76</v>
      </c>
      <c r="R761" s="1" t="n">
        <v>0</v>
      </c>
      <c r="S761" s="1"/>
      <c r="T761" s="1" t="n">
        <v>0</v>
      </c>
      <c r="U761" s="1" t="n">
        <v>0</v>
      </c>
      <c r="V761" s="1" t="n">
        <v>0</v>
      </c>
      <c r="W761" s="1" t="n">
        <v>8</v>
      </c>
      <c r="Y761" s="1" t="n">
        <v>1</v>
      </c>
      <c r="Z761" s="0" t="s">
        <v>175</v>
      </c>
      <c r="AA761" s="0" t="s">
        <v>176</v>
      </c>
      <c r="AC761" s="0" t="s">
        <v>177</v>
      </c>
      <c r="AD761" s="0" t="s">
        <v>1058</v>
      </c>
      <c r="AE761" s="0" t="s">
        <v>2188</v>
      </c>
      <c r="AH761" s="0" t="s">
        <v>180</v>
      </c>
      <c r="AJ761" s="0" t="s">
        <v>437</v>
      </c>
      <c r="AK761" s="0" t="s">
        <v>94</v>
      </c>
      <c r="AL761" s="0" t="s">
        <v>95</v>
      </c>
      <c r="AM761" s="0" t="s">
        <v>96</v>
      </c>
      <c r="AO761" s="0" t="s">
        <v>98</v>
      </c>
      <c r="AQ761" s="0" t="s">
        <v>100</v>
      </c>
    </row>
    <row r="762" ht="96.75">
      <c r="B762" s="0" t="s">
        <v>2189</v>
      </c>
      <c r="C762" s="1" t="n">
        <v>352925</v>
      </c>
      <c r="E762" s="14" t="s">
        <v>1049</v>
      </c>
      <c r="F762" s="14" t="s">
        <v>169</v>
      </c>
      <c r="G762" s="25" t="str">
        <f>HYPERLINK("http://www.ok.ru/group/64343868834022/topic/156600881102310")</f>
      </c>
      <c r="H762" s="14" t="s">
        <v>170</v>
      </c>
      <c r="I762" s="14" t="s">
        <v>194</v>
      </c>
      <c r="J762" s="14" t="s">
        <v>2190</v>
      </c>
      <c r="K762" s="26" t="str">
        <f>HYPERLINK("http://www.ok.ru/group/64343868834022")</f>
      </c>
      <c r="L762" s="14" t="s">
        <v>274</v>
      </c>
      <c r="O762" s="1"/>
      <c r="P762" s="1"/>
      <c r="Q762" s="1" t="n">
        <v>47325</v>
      </c>
      <c r="R762" s="1" t="n">
        <v>0</v>
      </c>
      <c r="S762" s="1"/>
      <c r="T762" s="1" t="n">
        <v>6</v>
      </c>
      <c r="U762" s="1" t="n">
        <v>44</v>
      </c>
      <c r="V762" s="1" t="n">
        <v>50</v>
      </c>
      <c r="W762" s="1"/>
      <c r="Y762" s="1" t="n">
        <v>6</v>
      </c>
      <c r="Z762" s="0" t="s">
        <v>175</v>
      </c>
      <c r="AA762" s="0" t="s">
        <v>187</v>
      </c>
      <c r="AH762" s="0" t="s">
        <v>180</v>
      </c>
      <c r="AJ762" s="0" t="s">
        <v>437</v>
      </c>
      <c r="AK762" s="0" t="s">
        <v>94</v>
      </c>
      <c r="AP762" s="0" t="s">
        <v>99</v>
      </c>
      <c r="AU762" s="0" t="s">
        <v>104</v>
      </c>
      <c r="BA762" s="0" t="s">
        <v>110</v>
      </c>
      <c r="BJ762" s="0" t="s">
        <v>119</v>
      </c>
    </row>
    <row r="763" ht="36.75">
      <c r="B763" s="0" t="s">
        <v>2191</v>
      </c>
      <c r="C763" s="1" t="n">
        <v>353092</v>
      </c>
      <c r="E763" s="14" t="s">
        <v>1189</v>
      </c>
      <c r="F763" s="14" t="s">
        <v>169</v>
      </c>
      <c r="G763" s="25" t="str">
        <f>HYPERLINK("http://www.ok.ru/profile/525920298302/statuses/154923190097214")</f>
      </c>
      <c r="H763" s="14" t="s">
        <v>170</v>
      </c>
      <c r="I763" s="14" t="s">
        <v>171</v>
      </c>
      <c r="J763" s="14" t="s">
        <v>2192</v>
      </c>
      <c r="K763" s="26" t="str">
        <f>HYPERLINK("http://www.ok.ru/profile/525920298302")</f>
      </c>
      <c r="L763" s="14" t="s">
        <v>173</v>
      </c>
      <c r="O763" s="1" t="s">
        <v>174</v>
      </c>
      <c r="P763" s="1"/>
      <c r="Q763" s="1" t="n">
        <v>442</v>
      </c>
      <c r="R763" s="1" t="n">
        <v>0</v>
      </c>
      <c r="S763" s="1"/>
      <c r="T763" s="1" t="n">
        <v>0</v>
      </c>
      <c r="U763" s="1" t="n">
        <v>0</v>
      </c>
      <c r="V763" s="1" t="n">
        <v>0</v>
      </c>
      <c r="W763" s="1"/>
      <c r="Y763" s="1" t="n">
        <v>46</v>
      </c>
      <c r="Z763" s="0" t="s">
        <v>175</v>
      </c>
      <c r="AA763" s="0" t="s">
        <v>187</v>
      </c>
      <c r="AC763" s="0" t="s">
        <v>177</v>
      </c>
      <c r="AH763" s="0" t="s">
        <v>180</v>
      </c>
      <c r="AJ763" s="0" t="s">
        <v>437</v>
      </c>
      <c r="AK763" s="0" t="s">
        <v>94</v>
      </c>
      <c r="AL763" s="0" t="s">
        <v>95</v>
      </c>
      <c r="AM763" s="0" t="s">
        <v>96</v>
      </c>
      <c r="AO763" s="0" t="s">
        <v>98</v>
      </c>
      <c r="AQ763" s="0" t="s">
        <v>100</v>
      </c>
    </row>
    <row r="764">
      <c r="B764" s="0" t="s">
        <v>2193</v>
      </c>
      <c r="C764" s="1" t="n">
        <v>352913</v>
      </c>
      <c r="E764" s="14" t="s">
        <v>2194</v>
      </c>
      <c r="F764" s="14" t="s">
        <v>184</v>
      </c>
      <c r="G764" s="25" t="str">
        <f>HYPERLINK("http://vk.com/wall-150337440_368111?reply=375066")</f>
      </c>
      <c r="H764" s="14" t="s">
        <v>170</v>
      </c>
      <c r="I764" s="14" t="s">
        <v>231</v>
      </c>
      <c r="J764" s="14" t="s">
        <v>2195</v>
      </c>
      <c r="K764" s="26" t="str">
        <f>HYPERLINK("http://vk.com/id793606446")</f>
      </c>
      <c r="L764" s="14" t="s">
        <v>173</v>
      </c>
      <c r="M764" s="14" t="s">
        <v>1018</v>
      </c>
      <c r="N764" s="25" t="str">
        <f>HYPERLINK("http://vk.com/club150337440")</f>
      </c>
      <c r="O764" s="1" t="s">
        <v>186</v>
      </c>
      <c r="P764" s="1"/>
      <c r="Q764" s="1" t="n">
        <v>7943</v>
      </c>
      <c r="R764" s="1" t="n">
        <v>0</v>
      </c>
      <c r="S764" s="1"/>
      <c r="T764" s="1" t="n">
        <v>0</v>
      </c>
      <c r="U764" s="1" t="n">
        <v>0</v>
      </c>
      <c r="V764" s="1" t="n">
        <v>0</v>
      </c>
      <c r="W764" s="1"/>
      <c r="Y764" s="1" t="n">
        <v>1</v>
      </c>
      <c r="Z764" s="0" t="s">
        <v>319</v>
      </c>
      <c r="AA764" s="0" t="s">
        <v>292</v>
      </c>
      <c r="AH764" s="0" t="s">
        <v>180</v>
      </c>
      <c r="AJ764" s="0" t="s">
        <v>437</v>
      </c>
      <c r="AK764" s="0" t="s">
        <v>94</v>
      </c>
      <c r="AN764" s="0" t="s">
        <v>97</v>
      </c>
      <c r="AO764" s="0" t="s">
        <v>98</v>
      </c>
      <c r="AY764" s="0" t="s">
        <v>108</v>
      </c>
      <c r="BO764" s="0" t="s">
        <v>124</v>
      </c>
      <c r="CO764" s="0" t="s">
        <v>150</v>
      </c>
    </row>
    <row r="765" ht="36.75">
      <c r="B765" s="0" t="s">
        <v>2196</v>
      </c>
      <c r="C765" s="1" t="n">
        <v>352910</v>
      </c>
      <c r="E765" s="14" t="s">
        <v>2197</v>
      </c>
      <c r="F765" s="14" t="s">
        <v>184</v>
      </c>
      <c r="G765" s="25" t="str">
        <f>HYPERLINK("http://vk.com/wall279447849_5400")</f>
      </c>
      <c r="H765" s="14" t="s">
        <v>170</v>
      </c>
      <c r="I765" s="14" t="s">
        <v>171</v>
      </c>
      <c r="J765" s="14" t="s">
        <v>2198</v>
      </c>
      <c r="K765" s="26" t="str">
        <f>HYPERLINK("http://vk.com/id279447849")</f>
      </c>
      <c r="L765" s="14" t="s">
        <v>173</v>
      </c>
      <c r="O765" s="1" t="s">
        <v>186</v>
      </c>
      <c r="P765" s="1"/>
      <c r="Q765" s="1" t="n">
        <v>328</v>
      </c>
      <c r="R765" s="1" t="n">
        <v>0</v>
      </c>
      <c r="S765" s="1"/>
      <c r="T765" s="1" t="n">
        <v>0</v>
      </c>
      <c r="U765" s="1" t="n">
        <v>0</v>
      </c>
      <c r="V765" s="1" t="n">
        <v>0</v>
      </c>
      <c r="W765" s="1" t="n">
        <v>1</v>
      </c>
      <c r="Y765" s="1" t="n">
        <v>2</v>
      </c>
      <c r="Z765" s="0" t="s">
        <v>175</v>
      </c>
      <c r="AA765" s="0" t="s">
        <v>187</v>
      </c>
      <c r="AC765" s="0" t="s">
        <v>177</v>
      </c>
      <c r="AD765" s="0" t="s">
        <v>1526</v>
      </c>
      <c r="AE765" s="0" t="s">
        <v>2199</v>
      </c>
      <c r="AH765" s="0" t="s">
        <v>180</v>
      </c>
      <c r="AJ765" s="0" t="s">
        <v>437</v>
      </c>
      <c r="AK765" s="0" t="s">
        <v>94</v>
      </c>
      <c r="AL765" s="0" t="s">
        <v>95</v>
      </c>
      <c r="AR765" s="0" t="s">
        <v>101</v>
      </c>
      <c r="BA765" s="0" t="s">
        <v>110</v>
      </c>
      <c r="BF765" s="0" t="s">
        <v>115</v>
      </c>
    </row>
    <row r="766">
      <c r="B766" s="0" t="s">
        <v>2196</v>
      </c>
      <c r="C766" s="1" t="n">
        <v>352905</v>
      </c>
      <c r="E766" s="14" t="s">
        <v>2200</v>
      </c>
      <c r="F766" s="14" t="s">
        <v>184</v>
      </c>
      <c r="G766" s="25" t="str">
        <f>HYPERLINK("http://vk.com/wall-196716269_1248233?reply=1464519&amp;thread=1249443")</f>
      </c>
      <c r="H766" s="14" t="s">
        <v>170</v>
      </c>
      <c r="I766" s="14" t="s">
        <v>231</v>
      </c>
      <c r="J766" s="14" t="s">
        <v>2195</v>
      </c>
      <c r="K766" s="26" t="str">
        <f>HYPERLINK("http://vk.com/id793606446")</f>
      </c>
      <c r="L766" s="14" t="s">
        <v>173</v>
      </c>
      <c r="M766" s="14" t="s">
        <v>989</v>
      </c>
      <c r="N766" s="25" t="str">
        <f>HYPERLINK("http://vk.com/club196716269")</f>
      </c>
      <c r="O766" s="1" t="s">
        <v>186</v>
      </c>
      <c r="P766" s="1"/>
      <c r="Q766" s="1" t="n">
        <v>47084</v>
      </c>
      <c r="R766" s="1" t="n">
        <v>0</v>
      </c>
      <c r="S766" s="1"/>
      <c r="T766" s="1" t="n">
        <v>0</v>
      </c>
      <c r="U766" s="1" t="n">
        <v>0</v>
      </c>
      <c r="V766" s="1" t="n">
        <v>0</v>
      </c>
      <c r="W766" s="1"/>
      <c r="Y766" s="1" t="n">
        <v>1</v>
      </c>
      <c r="Z766" s="0" t="s">
        <v>319</v>
      </c>
      <c r="AA766" s="0" t="s">
        <v>292</v>
      </c>
      <c r="AH766" s="0" t="s">
        <v>180</v>
      </c>
      <c r="AI766" s="0" t="s">
        <v>92</v>
      </c>
      <c r="AJ766" s="0" t="s">
        <v>437</v>
      </c>
      <c r="AK766" s="0" t="s">
        <v>94</v>
      </c>
      <c r="AN766" s="0" t="s">
        <v>97</v>
      </c>
      <c r="AO766" s="0" t="s">
        <v>98</v>
      </c>
      <c r="AW766" s="0" t="s">
        <v>106</v>
      </c>
      <c r="AY766" s="0" t="s">
        <v>108</v>
      </c>
      <c r="BC766" s="0" t="s">
        <v>112</v>
      </c>
    </row>
    <row r="767">
      <c r="B767" s="0" t="s">
        <v>2201</v>
      </c>
      <c r="C767" s="1" t="n">
        <v>352899</v>
      </c>
      <c r="E767" s="14" t="s">
        <v>2202</v>
      </c>
      <c r="F767" s="14" t="s">
        <v>184</v>
      </c>
      <c r="G767" s="25" t="str">
        <f>HYPERLINK("http://vk.com/wall-98506288_2854359?reply=2907421&amp;thread=2854389")</f>
      </c>
      <c r="H767" s="14" t="s">
        <v>170</v>
      </c>
      <c r="I767" s="14" t="s">
        <v>231</v>
      </c>
      <c r="J767" s="14" t="s">
        <v>2195</v>
      </c>
      <c r="K767" s="26" t="str">
        <f>HYPERLINK("http://vk.com/id793606446")</f>
      </c>
      <c r="L767" s="14" t="s">
        <v>173</v>
      </c>
      <c r="M767" s="14" t="s">
        <v>974</v>
      </c>
      <c r="N767" s="25" t="str">
        <f>HYPERLINK("http://vk.com/club98506288")</f>
      </c>
      <c r="O767" s="1" t="s">
        <v>186</v>
      </c>
      <c r="P767" s="1"/>
      <c r="Q767" s="1" t="n">
        <v>44496</v>
      </c>
      <c r="R767" s="1" t="n">
        <v>0</v>
      </c>
      <c r="S767" s="1"/>
      <c r="T767" s="1" t="n">
        <v>0</v>
      </c>
      <c r="U767" s="1" t="n">
        <v>0</v>
      </c>
      <c r="V767" s="1" t="n">
        <v>0</v>
      </c>
      <c r="W767" s="1"/>
      <c r="Y767" s="1" t="n">
        <v>1</v>
      </c>
      <c r="Z767" s="0" t="s">
        <v>319</v>
      </c>
      <c r="AA767" s="0" t="s">
        <v>292</v>
      </c>
      <c r="AH767" s="0" t="s">
        <v>180</v>
      </c>
      <c r="AI767" s="0" t="s">
        <v>92</v>
      </c>
      <c r="AJ767" s="0" t="s">
        <v>437</v>
      </c>
      <c r="AK767" s="0" t="s">
        <v>94</v>
      </c>
      <c r="AN767" s="0" t="s">
        <v>97</v>
      </c>
      <c r="AO767" s="0" t="s">
        <v>98</v>
      </c>
      <c r="AW767" s="0" t="s">
        <v>106</v>
      </c>
      <c r="AY767" s="0" t="s">
        <v>108</v>
      </c>
      <c r="BC767" s="0" t="s">
        <v>112</v>
      </c>
    </row>
    <row r="768">
      <c r="B768" s="0" t="s">
        <v>2203</v>
      </c>
      <c r="C768" s="1" t="n">
        <v>352898</v>
      </c>
      <c r="E768" s="14" t="s">
        <v>2204</v>
      </c>
      <c r="F768" s="14" t="s">
        <v>184</v>
      </c>
      <c r="G768" s="25" t="str">
        <f>HYPERLINK("http://vk.com/wall-161957723_25668?reply=48081&amp;thread=25788")</f>
      </c>
      <c r="H768" s="14" t="s">
        <v>170</v>
      </c>
      <c r="I768" s="14" t="s">
        <v>231</v>
      </c>
      <c r="J768" s="14" t="s">
        <v>2195</v>
      </c>
      <c r="K768" s="26" t="str">
        <f>HYPERLINK("http://vk.com/id793606446")</f>
      </c>
      <c r="L768" s="14" t="s">
        <v>173</v>
      </c>
      <c r="M768" s="14" t="s">
        <v>944</v>
      </c>
      <c r="N768" s="25" t="str">
        <f>HYPERLINK("http://vk.com/club161957723")</f>
      </c>
      <c r="O768" s="1" t="s">
        <v>186</v>
      </c>
      <c r="P768" s="1"/>
      <c r="Q768" s="1" t="n">
        <v>7459</v>
      </c>
      <c r="R768" s="1" t="n">
        <v>0</v>
      </c>
      <c r="S768" s="1"/>
      <c r="T768" s="1" t="n">
        <v>0</v>
      </c>
      <c r="U768" s="1" t="n">
        <v>0</v>
      </c>
      <c r="V768" s="1" t="n">
        <v>0</v>
      </c>
      <c r="W768" s="1"/>
      <c r="Y768" s="1" t="n">
        <v>1</v>
      </c>
      <c r="Z768" s="0" t="s">
        <v>319</v>
      </c>
      <c r="AA768" s="0" t="s">
        <v>292</v>
      </c>
      <c r="AH768" s="0" t="s">
        <v>180</v>
      </c>
      <c r="AI768" s="0" t="s">
        <v>92</v>
      </c>
      <c r="AJ768" s="0" t="s">
        <v>437</v>
      </c>
      <c r="AN768" s="0" t="s">
        <v>97</v>
      </c>
      <c r="AO768" s="0" t="s">
        <v>98</v>
      </c>
      <c r="AY768" s="0" t="s">
        <v>108</v>
      </c>
      <c r="BO768" s="0" t="s">
        <v>124</v>
      </c>
    </row>
    <row r="769" ht="36.75">
      <c r="B769" s="0" t="s">
        <v>2205</v>
      </c>
      <c r="C769" s="1" t="n">
        <v>352902</v>
      </c>
      <c r="E769" s="14" t="s">
        <v>2118</v>
      </c>
      <c r="F769" s="14" t="s">
        <v>184</v>
      </c>
      <c r="G769" s="25" t="str">
        <f>HYPERLINK("http://vk.com/wall-142438839_84439")</f>
      </c>
      <c r="H769" s="14" t="s">
        <v>170</v>
      </c>
      <c r="I769" s="14" t="s">
        <v>194</v>
      </c>
      <c r="J769" s="14" t="s">
        <v>2206</v>
      </c>
      <c r="K769" s="26" t="str">
        <f>HYPERLINK("http://vk.com/club142438839")</f>
      </c>
      <c r="L769" s="14" t="s">
        <v>274</v>
      </c>
      <c r="O769" s="1"/>
      <c r="P769" s="1"/>
      <c r="Q769" s="1" t="n">
        <v>198276</v>
      </c>
      <c r="R769" s="1" t="n">
        <v>4</v>
      </c>
      <c r="S769" s="1"/>
      <c r="T769" s="1" t="n">
        <v>65</v>
      </c>
      <c r="U769" s="1" t="n">
        <v>38</v>
      </c>
      <c r="V769" s="1" t="n">
        <v>107</v>
      </c>
      <c r="W769" s="1" t="n">
        <v>4773</v>
      </c>
      <c r="Y769" s="1" t="n">
        <v>2</v>
      </c>
      <c r="Z769" s="0" t="s">
        <v>175</v>
      </c>
      <c r="AA769" s="0" t="s">
        <v>176</v>
      </c>
      <c r="AH769" s="0" t="s">
        <v>180</v>
      </c>
      <c r="AJ769" s="0" t="s">
        <v>437</v>
      </c>
      <c r="AK769" s="0" t="s">
        <v>94</v>
      </c>
      <c r="AL769" s="0" t="s">
        <v>95</v>
      </c>
      <c r="AM769" s="0" t="s">
        <v>96</v>
      </c>
      <c r="AO769" s="0" t="s">
        <v>98</v>
      </c>
      <c r="AQ769" s="0" t="s">
        <v>100</v>
      </c>
    </row>
    <row r="770">
      <c r="B770" s="0" t="s">
        <v>2207</v>
      </c>
      <c r="C770" s="1" t="n">
        <v>352893</v>
      </c>
      <c r="E770" s="14" t="s">
        <v>2208</v>
      </c>
      <c r="F770" s="14" t="s">
        <v>184</v>
      </c>
      <c r="G770" s="25" t="str">
        <f>HYPERLINK("http://vk.com/wall-92006241_344055?reply=424435&amp;thread=344107")</f>
      </c>
      <c r="H770" s="14" t="s">
        <v>170</v>
      </c>
      <c r="I770" s="14" t="s">
        <v>231</v>
      </c>
      <c r="J770" s="14" t="s">
        <v>2195</v>
      </c>
      <c r="K770" s="26" t="str">
        <f>HYPERLINK("http://vk.com/id793606446")</f>
      </c>
      <c r="L770" s="14" t="s">
        <v>173</v>
      </c>
      <c r="M770" s="14" t="s">
        <v>532</v>
      </c>
      <c r="N770" s="25" t="str">
        <f>HYPERLINK("http://vk.com/club92006241")</f>
      </c>
      <c r="O770" s="1" t="s">
        <v>186</v>
      </c>
      <c r="P770" s="1"/>
      <c r="Q770" s="1" t="n">
        <v>149410</v>
      </c>
      <c r="R770" s="1" t="n">
        <v>0</v>
      </c>
      <c r="S770" s="1"/>
      <c r="T770" s="1" t="n">
        <v>0</v>
      </c>
      <c r="U770" s="1" t="n">
        <v>0</v>
      </c>
      <c r="V770" s="1" t="n">
        <v>0</v>
      </c>
      <c r="W770" s="1"/>
      <c r="Y770" s="1" t="n">
        <v>1</v>
      </c>
      <c r="Z770" s="0" t="s">
        <v>319</v>
      </c>
      <c r="AA770" s="0" t="s">
        <v>292</v>
      </c>
      <c r="AH770" s="0" t="s">
        <v>180</v>
      </c>
      <c r="AI770" s="0" t="s">
        <v>92</v>
      </c>
      <c r="AJ770" s="0" t="s">
        <v>437</v>
      </c>
      <c r="AN770" s="0" t="s">
        <v>97</v>
      </c>
      <c r="AO770" s="0" t="s">
        <v>98</v>
      </c>
      <c r="AY770" s="0" t="s">
        <v>108</v>
      </c>
    </row>
    <row r="771" ht="24.75">
      <c r="B771" s="0" t="s">
        <v>2207</v>
      </c>
      <c r="C771" s="1" t="n">
        <v>353395</v>
      </c>
      <c r="E771" s="14" t="s">
        <v>1012</v>
      </c>
      <c r="F771" s="14" t="s">
        <v>169</v>
      </c>
      <c r="G771" s="25" t="str">
        <f>HYPERLINK("http://www.ok.ru/profile/557429871714/statuses/155245717658978")</f>
      </c>
      <c r="H771" s="14" t="s">
        <v>170</v>
      </c>
      <c r="I771" s="14" t="s">
        <v>171</v>
      </c>
      <c r="J771" s="14" t="s">
        <v>2209</v>
      </c>
      <c r="K771" s="26" t="str">
        <f>HYPERLINK("http://www.ok.ru/profile/557429871714")</f>
      </c>
      <c r="L771" s="14" t="s">
        <v>173</v>
      </c>
      <c r="O771" s="1" t="s">
        <v>174</v>
      </c>
      <c r="P771" s="1" t="n">
        <v>64</v>
      </c>
      <c r="Q771" s="1" t="n">
        <v>411</v>
      </c>
      <c r="R771" s="1" t="n">
        <v>0</v>
      </c>
      <c r="S771" s="1"/>
      <c r="T771" s="1" t="n">
        <v>0</v>
      </c>
      <c r="U771" s="1" t="n">
        <v>0</v>
      </c>
      <c r="V771" s="1" t="n">
        <v>0</v>
      </c>
      <c r="W771" s="1"/>
      <c r="Y771" s="1" t="n">
        <v>4</v>
      </c>
      <c r="Z771" s="0" t="s">
        <v>175</v>
      </c>
      <c r="AA771" s="0" t="s">
        <v>187</v>
      </c>
      <c r="AC771" s="0" t="s">
        <v>177</v>
      </c>
      <c r="AD771" s="0" t="s">
        <v>1382</v>
      </c>
      <c r="AE771" s="0" t="s">
        <v>1554</v>
      </c>
      <c r="AH771" s="0" t="s">
        <v>180</v>
      </c>
      <c r="AJ771" s="0" t="s">
        <v>437</v>
      </c>
      <c r="AK771" s="0" t="s">
        <v>94</v>
      </c>
      <c r="AL771" s="0" t="s">
        <v>95</v>
      </c>
      <c r="AM771" s="0" t="s">
        <v>96</v>
      </c>
      <c r="AX771" s="0" t="s">
        <v>107</v>
      </c>
    </row>
    <row r="772" ht="36.75">
      <c r="B772" s="0" t="s">
        <v>2210</v>
      </c>
      <c r="C772" s="1" t="n">
        <v>352904</v>
      </c>
      <c r="E772" s="14" t="s">
        <v>1989</v>
      </c>
      <c r="F772" s="14" t="s">
        <v>184</v>
      </c>
      <c r="G772" s="25" t="str">
        <f>HYPERLINK("http://vk.com/wall698459177_293")</f>
      </c>
      <c r="H772" s="14" t="s">
        <v>170</v>
      </c>
      <c r="I772" s="14" t="s">
        <v>171</v>
      </c>
      <c r="J772" s="14" t="s">
        <v>2211</v>
      </c>
      <c r="K772" s="26" t="str">
        <f>HYPERLINK("http://vk.com/id698459177")</f>
      </c>
      <c r="L772" s="14" t="s">
        <v>173</v>
      </c>
      <c r="O772" s="1" t="s">
        <v>186</v>
      </c>
      <c r="P772" s="1"/>
      <c r="Q772" s="1" t="n">
        <v>6</v>
      </c>
      <c r="R772" s="1" t="n">
        <v>0</v>
      </c>
      <c r="S772" s="1"/>
      <c r="T772" s="1" t="n">
        <v>0</v>
      </c>
      <c r="U772" s="1" t="n">
        <v>0</v>
      </c>
      <c r="V772" s="1" t="n">
        <v>0</v>
      </c>
      <c r="W772" s="1"/>
      <c r="Y772" s="1" t="n">
        <v>3</v>
      </c>
      <c r="Z772" s="0" t="s">
        <v>175</v>
      </c>
      <c r="AA772" s="0" t="s">
        <v>176</v>
      </c>
      <c r="AH772" s="0" t="s">
        <v>180</v>
      </c>
      <c r="AJ772" s="0" t="s">
        <v>437</v>
      </c>
      <c r="AK772" s="0" t="s">
        <v>94</v>
      </c>
      <c r="AL772" s="0" t="s">
        <v>95</v>
      </c>
      <c r="AM772" s="0" t="s">
        <v>96</v>
      </c>
      <c r="AO772" s="0" t="s">
        <v>98</v>
      </c>
      <c r="AQ772" s="0" t="s">
        <v>100</v>
      </c>
    </row>
    <row r="773">
      <c r="B773" s="0" t="s">
        <v>2212</v>
      </c>
      <c r="C773" s="1" t="n">
        <v>352892</v>
      </c>
      <c r="E773" s="14" t="s">
        <v>2213</v>
      </c>
      <c r="F773" s="14" t="s">
        <v>184</v>
      </c>
      <c r="G773" s="25" t="str">
        <f>HYPERLINK("http://vk.com/wall-162659411_50697?reply=53478&amp;thread=50699")</f>
      </c>
      <c r="H773" s="14" t="s">
        <v>170</v>
      </c>
      <c r="I773" s="14" t="s">
        <v>231</v>
      </c>
      <c r="J773" s="14" t="s">
        <v>2195</v>
      </c>
      <c r="K773" s="26" t="str">
        <f>HYPERLINK("http://vk.com/id793606446")</f>
      </c>
      <c r="L773" s="14" t="s">
        <v>173</v>
      </c>
      <c r="M773" s="14" t="s">
        <v>2214</v>
      </c>
      <c r="N773" s="25" t="str">
        <f>HYPERLINK("http://vk.com/club162659411")</f>
      </c>
      <c r="O773" s="1" t="s">
        <v>186</v>
      </c>
      <c r="P773" s="1"/>
      <c r="Q773" s="1" t="n">
        <v>12165</v>
      </c>
      <c r="R773" s="1" t="n">
        <v>0</v>
      </c>
      <c r="S773" s="1"/>
      <c r="T773" s="1" t="n">
        <v>0</v>
      </c>
      <c r="U773" s="1" t="n">
        <v>0</v>
      </c>
      <c r="V773" s="1" t="n">
        <v>0</v>
      </c>
      <c r="W773" s="1"/>
      <c r="Y773" s="1" t="n">
        <v>1</v>
      </c>
      <c r="Z773" s="0" t="s">
        <v>319</v>
      </c>
      <c r="AA773" s="0" t="s">
        <v>292</v>
      </c>
      <c r="AH773" s="0" t="s">
        <v>180</v>
      </c>
      <c r="AI773" s="0" t="s">
        <v>92</v>
      </c>
      <c r="AJ773" s="0" t="s">
        <v>437</v>
      </c>
      <c r="AK773" s="0" t="s">
        <v>94</v>
      </c>
      <c r="AN773" s="0" t="s">
        <v>97</v>
      </c>
      <c r="AO773" s="0" t="s">
        <v>98</v>
      </c>
      <c r="AY773" s="0" t="s">
        <v>108</v>
      </c>
      <c r="BM773" s="0" t="s">
        <v>122</v>
      </c>
      <c r="BN773" s="0" t="s">
        <v>123</v>
      </c>
    </row>
    <row r="774">
      <c r="B774" s="0" t="s">
        <v>2215</v>
      </c>
      <c r="C774" s="1" t="n">
        <v>352890</v>
      </c>
      <c r="E774" s="14" t="s">
        <v>2216</v>
      </c>
      <c r="F774" s="14" t="s">
        <v>184</v>
      </c>
      <c r="G774" s="25" t="str">
        <f>HYPERLINK("http://vk.com/wall-158339750_476571?reply=491681&amp;thread=476572")</f>
      </c>
      <c r="H774" s="14" t="s">
        <v>170</v>
      </c>
      <c r="I774" s="14" t="s">
        <v>231</v>
      </c>
      <c r="J774" s="14" t="s">
        <v>2195</v>
      </c>
      <c r="K774" s="26" t="str">
        <f>HYPERLINK("http://vk.com/id793606446")</f>
      </c>
      <c r="L774" s="14" t="s">
        <v>173</v>
      </c>
      <c r="M774" s="14" t="s">
        <v>2217</v>
      </c>
      <c r="N774" s="25" t="str">
        <f>HYPERLINK("http://vk.com/club158339750")</f>
      </c>
      <c r="O774" s="1" t="s">
        <v>186</v>
      </c>
      <c r="P774" s="1"/>
      <c r="Q774" s="1" t="n">
        <v>36661</v>
      </c>
      <c r="R774" s="1" t="n">
        <v>0</v>
      </c>
      <c r="S774" s="1"/>
      <c r="T774" s="1" t="n">
        <v>0</v>
      </c>
      <c r="U774" s="1" t="n">
        <v>0</v>
      </c>
      <c r="V774" s="1" t="n">
        <v>0</v>
      </c>
      <c r="W774" s="1"/>
      <c r="Y774" s="1" t="n">
        <v>1</v>
      </c>
      <c r="Z774" s="0" t="s">
        <v>319</v>
      </c>
      <c r="AA774" s="0" t="s">
        <v>292</v>
      </c>
      <c r="AH774" s="0" t="s">
        <v>180</v>
      </c>
      <c r="AI774" s="0" t="s">
        <v>92</v>
      </c>
      <c r="AJ774" s="0" t="s">
        <v>437</v>
      </c>
      <c r="AK774" s="0" t="s">
        <v>94</v>
      </c>
      <c r="AN774" s="0" t="s">
        <v>97</v>
      </c>
      <c r="AO774" s="0" t="s">
        <v>98</v>
      </c>
      <c r="AS774" s="0" t="s">
        <v>102</v>
      </c>
      <c r="AY774" s="0" t="s">
        <v>108</v>
      </c>
      <c r="BI774" s="0" t="s">
        <v>118</v>
      </c>
    </row>
    <row r="775">
      <c r="B775" s="0" t="s">
        <v>2218</v>
      </c>
      <c r="C775" s="1" t="n">
        <v>352885</v>
      </c>
      <c r="E775" s="14" t="s">
        <v>2219</v>
      </c>
      <c r="F775" s="14" t="s">
        <v>184</v>
      </c>
      <c r="G775" s="25" t="str">
        <f>HYPERLINK("http://vk.com/wall-47120073_3193668?reply=3253620")</f>
      </c>
      <c r="H775" s="14" t="s">
        <v>170</v>
      </c>
      <c r="I775" s="14" t="s">
        <v>231</v>
      </c>
      <c r="J775" s="14" t="s">
        <v>2220</v>
      </c>
      <c r="K775" s="26" t="str">
        <f>HYPERLINK("http://vk.com/id793581951")</f>
      </c>
      <c r="L775" s="14" t="s">
        <v>173</v>
      </c>
      <c r="M775" s="14" t="s">
        <v>848</v>
      </c>
      <c r="N775" s="25" t="str">
        <f>HYPERLINK("http://vk.com/club47120073")</f>
      </c>
      <c r="O775" s="1" t="s">
        <v>186</v>
      </c>
      <c r="P775" s="1" t="n">
        <v>26</v>
      </c>
      <c r="Q775" s="1" t="n">
        <v>393157</v>
      </c>
      <c r="R775" s="1" t="n">
        <v>0</v>
      </c>
      <c r="S775" s="1"/>
      <c r="T775" s="1" t="n">
        <v>0</v>
      </c>
      <c r="U775" s="1" t="n">
        <v>0</v>
      </c>
      <c r="V775" s="1" t="n">
        <v>0</v>
      </c>
      <c r="W775" s="1"/>
      <c r="Y775" s="1" t="n">
        <v>1</v>
      </c>
      <c r="Z775" s="0" t="s">
        <v>319</v>
      </c>
      <c r="AA775" s="0" t="s">
        <v>292</v>
      </c>
      <c r="AH775" s="0" t="s">
        <v>180</v>
      </c>
      <c r="AJ775" s="0" t="s">
        <v>437</v>
      </c>
      <c r="AK775" s="0" t="s">
        <v>94</v>
      </c>
      <c r="AN775" s="0" t="s">
        <v>97</v>
      </c>
      <c r="AO775" s="0" t="s">
        <v>98</v>
      </c>
      <c r="AS775" s="0" t="s">
        <v>102</v>
      </c>
      <c r="AW775" s="0" t="s">
        <v>106</v>
      </c>
      <c r="AY775" s="0" t="s">
        <v>108</v>
      </c>
      <c r="BC775" s="0" t="s">
        <v>112</v>
      </c>
    </row>
    <row r="776">
      <c r="B776" s="0" t="s">
        <v>2221</v>
      </c>
      <c r="C776" s="1" t="n">
        <v>352881</v>
      </c>
      <c r="E776" s="14" t="s">
        <v>2222</v>
      </c>
      <c r="F776" s="14" t="s">
        <v>184</v>
      </c>
      <c r="G776" s="25" t="str">
        <f>HYPERLINK("http://vk.com/wall-48067990_757711?reply=913823&amp;thread=758110")</f>
      </c>
      <c r="H776" s="14" t="s">
        <v>170</v>
      </c>
      <c r="I776" s="14" t="s">
        <v>231</v>
      </c>
      <c r="J776" s="14" t="s">
        <v>2220</v>
      </c>
      <c r="K776" s="26" t="str">
        <f>HYPERLINK("http://vk.com/id793581951")</f>
      </c>
      <c r="L776" s="14" t="s">
        <v>173</v>
      </c>
      <c r="M776" s="14" t="s">
        <v>759</v>
      </c>
      <c r="N776" s="25" t="str">
        <f>HYPERLINK("http://vk.com/club48067990")</f>
      </c>
      <c r="O776" s="1" t="s">
        <v>186</v>
      </c>
      <c r="P776" s="1" t="n">
        <v>26</v>
      </c>
      <c r="Q776" s="1" t="n">
        <v>59093</v>
      </c>
      <c r="R776" s="1" t="n">
        <v>0</v>
      </c>
      <c r="S776" s="1"/>
      <c r="T776" s="1" t="n">
        <v>0</v>
      </c>
      <c r="U776" s="1" t="n">
        <v>0</v>
      </c>
      <c r="V776" s="1" t="n">
        <v>0</v>
      </c>
      <c r="W776" s="1"/>
      <c r="Y776" s="1" t="n">
        <v>1</v>
      </c>
      <c r="Z776" s="0" t="s">
        <v>319</v>
      </c>
      <c r="AA776" s="0" t="s">
        <v>292</v>
      </c>
      <c r="AH776" s="0" t="s">
        <v>180</v>
      </c>
      <c r="AI776" s="0" t="s">
        <v>92</v>
      </c>
      <c r="AJ776" s="0" t="s">
        <v>437</v>
      </c>
      <c r="AO776" s="0" t="s">
        <v>98</v>
      </c>
      <c r="AW776" s="0" t="s">
        <v>106</v>
      </c>
      <c r="AY776" s="0" t="s">
        <v>108</v>
      </c>
    </row>
    <row r="777">
      <c r="B777" s="0" t="s">
        <v>2223</v>
      </c>
      <c r="C777" s="1" t="n">
        <v>353055</v>
      </c>
      <c r="E777" s="14" t="s">
        <v>2224</v>
      </c>
      <c r="F777" s="14" t="s">
        <v>192</v>
      </c>
      <c r="G777" s="25" t="str">
        <f>HYPERLINK("https://telegram.me/cardiodokstories/5376?comment=122572")</f>
      </c>
      <c r="H777" s="14" t="s">
        <v>193</v>
      </c>
      <c r="I777" s="14" t="s">
        <v>231</v>
      </c>
      <c r="J777" s="14" t="s">
        <v>2225</v>
      </c>
      <c r="K777" s="26" t="str">
        <f>HYPERLINK("https://telegram.me/krasnodar551")</f>
      </c>
      <c r="L777" s="14" t="s">
        <v>173</v>
      </c>
      <c r="M777" s="14" t="s">
        <v>2226</v>
      </c>
      <c r="N777" s="25" t="str">
        <f>HYPERLINK("https://telegram.me/cardiodokstories")</f>
      </c>
      <c r="O777" s="1"/>
      <c r="P777" s="1"/>
      <c r="Q777" s="1" t="n">
        <v>45451</v>
      </c>
      <c r="R777" s="1" t="n">
        <v>0</v>
      </c>
      <c r="S777" s="1"/>
      <c r="T777" s="1" t="n">
        <v>0</v>
      </c>
      <c r="U777" s="1" t="n">
        <v>0</v>
      </c>
      <c r="V777" s="1" t="n">
        <v>0</v>
      </c>
      <c r="W777" s="1"/>
      <c r="Y777" s="1" t="n">
        <v>1</v>
      </c>
      <c r="Z777" s="0" t="s">
        <v>319</v>
      </c>
      <c r="AA777" s="0" t="s">
        <v>187</v>
      </c>
      <c r="AH777" s="0" t="s">
        <v>180</v>
      </c>
      <c r="AJ777" s="0" t="s">
        <v>437</v>
      </c>
      <c r="AK777" s="0" t="s">
        <v>94</v>
      </c>
      <c r="AN777" s="0" t="s">
        <v>97</v>
      </c>
      <c r="AP777" s="0" t="s">
        <v>99</v>
      </c>
      <c r="AT777" s="0" t="s">
        <v>103</v>
      </c>
      <c r="BG777" s="0" t="s">
        <v>116</v>
      </c>
      <c r="CB777" s="0" t="s">
        <v>137</v>
      </c>
    </row>
    <row r="778">
      <c r="B778" s="0" t="s">
        <v>2227</v>
      </c>
      <c r="C778" s="1" t="n">
        <v>352883</v>
      </c>
      <c r="E778" s="14" t="s">
        <v>2228</v>
      </c>
      <c r="F778" s="14" t="s">
        <v>184</v>
      </c>
      <c r="G778" s="25" t="str">
        <f>HYPERLINK("http://vk.com/wall-112011819_882893?reply=989870&amp;thread=882897")</f>
      </c>
      <c r="H778" s="14" t="s">
        <v>170</v>
      </c>
      <c r="I778" s="14" t="s">
        <v>231</v>
      </c>
      <c r="J778" s="14" t="s">
        <v>2220</v>
      </c>
      <c r="K778" s="26" t="str">
        <f>HYPERLINK("http://vk.com/id793581951")</f>
      </c>
      <c r="L778" s="14" t="s">
        <v>173</v>
      </c>
      <c r="M778" s="14" t="s">
        <v>807</v>
      </c>
      <c r="N778" s="25" t="str">
        <f>HYPERLINK("http://vk.com/club112011819")</f>
      </c>
      <c r="O778" s="1" t="s">
        <v>186</v>
      </c>
      <c r="P778" s="1" t="n">
        <v>26</v>
      </c>
      <c r="Q778" s="1" t="n">
        <v>143001</v>
      </c>
      <c r="R778" s="1" t="n">
        <v>0</v>
      </c>
      <c r="S778" s="1"/>
      <c r="T778" s="1" t="n">
        <v>0</v>
      </c>
      <c r="U778" s="1" t="n">
        <v>0</v>
      </c>
      <c r="V778" s="1" t="n">
        <v>0</v>
      </c>
      <c r="W778" s="1"/>
      <c r="Y778" s="1" t="n">
        <v>1</v>
      </c>
      <c r="Z778" s="0" t="s">
        <v>319</v>
      </c>
      <c r="AA778" s="0" t="s">
        <v>292</v>
      </c>
      <c r="AH778" s="0" t="s">
        <v>180</v>
      </c>
      <c r="AI778" s="0" t="s">
        <v>92</v>
      </c>
      <c r="AJ778" s="0" t="s">
        <v>437</v>
      </c>
      <c r="AK778" s="0" t="s">
        <v>94</v>
      </c>
      <c r="AN778" s="0" t="s">
        <v>97</v>
      </c>
      <c r="AO778" s="0" t="s">
        <v>98</v>
      </c>
      <c r="AY778" s="0" t="s">
        <v>108</v>
      </c>
      <c r="BI778" s="0" t="s">
        <v>118</v>
      </c>
      <c r="BO778" s="0" t="s">
        <v>124</v>
      </c>
    </row>
    <row r="779">
      <c r="B779" s="0" t="s">
        <v>2229</v>
      </c>
      <c r="C779" s="1" t="n">
        <v>352877</v>
      </c>
      <c r="E779" s="14" t="s">
        <v>2230</v>
      </c>
      <c r="F779" s="14" t="s">
        <v>184</v>
      </c>
      <c r="G779" s="25" t="str">
        <f>HYPERLINK("http://vk.com/wall-155386267_985789?reply=1061219&amp;thread=990783")</f>
      </c>
      <c r="H779" s="14" t="s">
        <v>170</v>
      </c>
      <c r="I779" s="14" t="s">
        <v>231</v>
      </c>
      <c r="J779" s="14" t="s">
        <v>2220</v>
      </c>
      <c r="K779" s="26" t="str">
        <f>HYPERLINK("http://vk.com/id793581951")</f>
      </c>
      <c r="L779" s="14" t="s">
        <v>173</v>
      </c>
      <c r="M779" s="14" t="s">
        <v>406</v>
      </c>
      <c r="N779" s="25" t="str">
        <f>HYPERLINK("http://vk.com/club155386267")</f>
      </c>
      <c r="O779" s="1" t="s">
        <v>186</v>
      </c>
      <c r="P779" s="1" t="n">
        <v>26</v>
      </c>
      <c r="Q779" s="1" t="n">
        <v>112977</v>
      </c>
      <c r="R779" s="1" t="n">
        <v>0</v>
      </c>
      <c r="S779" s="1"/>
      <c r="T779" s="1" t="n">
        <v>0</v>
      </c>
      <c r="U779" s="1" t="n">
        <v>0</v>
      </c>
      <c r="V779" s="1" t="n">
        <v>0</v>
      </c>
      <c r="W779" s="1"/>
      <c r="Y779" s="1" t="n">
        <v>1</v>
      </c>
      <c r="Z779" s="0" t="s">
        <v>319</v>
      </c>
      <c r="AA779" s="0" t="s">
        <v>292</v>
      </c>
      <c r="AH779" s="0" t="s">
        <v>180</v>
      </c>
      <c r="AI779" s="0" t="s">
        <v>92</v>
      </c>
      <c r="AJ779" s="0" t="s">
        <v>437</v>
      </c>
      <c r="AO779" s="0" t="s">
        <v>98</v>
      </c>
      <c r="AY779" s="0" t="s">
        <v>108</v>
      </c>
    </row>
    <row r="780" ht="36.75">
      <c r="B780" s="0" t="s">
        <v>2231</v>
      </c>
      <c r="C780" s="1" t="n">
        <v>353110</v>
      </c>
      <c r="E780" s="14" t="s">
        <v>1189</v>
      </c>
      <c r="F780" s="14" t="s">
        <v>169</v>
      </c>
      <c r="G780" s="25" t="str">
        <f>HYPERLINK("http://www.ok.ru/profile/551777025406/statuses/154971996717182")</f>
      </c>
      <c r="H780" s="14" t="s">
        <v>170</v>
      </c>
      <c r="I780" s="14" t="s">
        <v>171</v>
      </c>
      <c r="J780" s="14" t="s">
        <v>2232</v>
      </c>
      <c r="K780" s="26" t="str">
        <f>HYPERLINK("http://www.ok.ru/profile/551777025406")</f>
      </c>
      <c r="L780" s="14" t="s">
        <v>173</v>
      </c>
      <c r="O780" s="1" t="s">
        <v>174</v>
      </c>
      <c r="P780" s="1" t="n">
        <v>51</v>
      </c>
      <c r="Q780" s="1" t="n">
        <v>210</v>
      </c>
      <c r="R780" s="1" t="n">
        <v>0</v>
      </c>
      <c r="S780" s="1"/>
      <c r="T780" s="1" t="n">
        <v>0</v>
      </c>
      <c r="U780" s="1" t="n">
        <v>1</v>
      </c>
      <c r="V780" s="1" t="n">
        <v>1</v>
      </c>
      <c r="W780" s="1"/>
      <c r="Y780" s="1" t="n">
        <v>46</v>
      </c>
      <c r="Z780" s="0" t="s">
        <v>175</v>
      </c>
      <c r="AA780" s="0" t="s">
        <v>187</v>
      </c>
      <c r="AC780" s="0" t="s">
        <v>177</v>
      </c>
      <c r="AD780" s="0" t="s">
        <v>234</v>
      </c>
      <c r="AH780" s="0" t="s">
        <v>180</v>
      </c>
      <c r="AJ780" s="0" t="s">
        <v>437</v>
      </c>
      <c r="AK780" s="0" t="s">
        <v>94</v>
      </c>
      <c r="AL780" s="0" t="s">
        <v>95</v>
      </c>
      <c r="AM780" s="0" t="s">
        <v>96</v>
      </c>
      <c r="AO780" s="0" t="s">
        <v>98</v>
      </c>
      <c r="AQ780" s="0" t="s">
        <v>100</v>
      </c>
    </row>
    <row r="781">
      <c r="B781" s="0" t="s">
        <v>2233</v>
      </c>
      <c r="C781" s="1" t="n">
        <v>352876</v>
      </c>
      <c r="E781" s="14" t="s">
        <v>2234</v>
      </c>
      <c r="F781" s="14" t="s">
        <v>184</v>
      </c>
      <c r="G781" s="25" t="str">
        <f>HYPERLINK("http://vk.com/wall-153326247_488693?reply=489332&amp;thread=488734")</f>
      </c>
      <c r="H781" s="14" t="s">
        <v>170</v>
      </c>
      <c r="I781" s="14" t="s">
        <v>231</v>
      </c>
      <c r="J781" s="14" t="s">
        <v>2220</v>
      </c>
      <c r="K781" s="26" t="str">
        <f>HYPERLINK("http://vk.com/id793581951")</f>
      </c>
      <c r="L781" s="14" t="s">
        <v>173</v>
      </c>
      <c r="M781" s="14" t="s">
        <v>663</v>
      </c>
      <c r="N781" s="25" t="str">
        <f>HYPERLINK("http://vk.com/club153326247")</f>
      </c>
      <c r="O781" s="1" t="s">
        <v>186</v>
      </c>
      <c r="P781" s="1" t="n">
        <v>26</v>
      </c>
      <c r="Q781" s="1" t="n">
        <v>27180</v>
      </c>
      <c r="R781" s="1" t="n">
        <v>0</v>
      </c>
      <c r="S781" s="1"/>
      <c r="T781" s="1" t="n">
        <v>0</v>
      </c>
      <c r="U781" s="1" t="n">
        <v>0</v>
      </c>
      <c r="V781" s="1" t="n">
        <v>0</v>
      </c>
      <c r="W781" s="1"/>
      <c r="Y781" s="1" t="n">
        <v>1</v>
      </c>
      <c r="Z781" s="0" t="s">
        <v>319</v>
      </c>
      <c r="AA781" s="0" t="s">
        <v>292</v>
      </c>
      <c r="AH781" s="0" t="s">
        <v>180</v>
      </c>
      <c r="AI781" s="0" t="s">
        <v>92</v>
      </c>
      <c r="AJ781" s="0" t="s">
        <v>437</v>
      </c>
      <c r="AK781" s="0" t="s">
        <v>94</v>
      </c>
      <c r="AN781" s="0" t="s">
        <v>97</v>
      </c>
      <c r="AO781" s="0" t="s">
        <v>98</v>
      </c>
      <c r="AW781" s="0" t="s">
        <v>106</v>
      </c>
      <c r="AY781" s="0" t="s">
        <v>108</v>
      </c>
      <c r="BI781" s="0" t="s">
        <v>118</v>
      </c>
    </row>
    <row r="782">
      <c r="B782" s="0" t="s">
        <v>2235</v>
      </c>
      <c r="C782" s="1" t="n">
        <v>352873</v>
      </c>
      <c r="E782" s="14" t="s">
        <v>2236</v>
      </c>
      <c r="F782" s="14" t="s">
        <v>184</v>
      </c>
      <c r="G782" s="25" t="str">
        <f>HYPERLINK("http://vk.com/wall-47120073_3250059?reply=3253618&amp;thread=3250236")</f>
      </c>
      <c r="H782" s="14" t="s">
        <v>170</v>
      </c>
      <c r="I782" s="14" t="s">
        <v>231</v>
      </c>
      <c r="J782" s="14" t="s">
        <v>2220</v>
      </c>
      <c r="K782" s="26" t="str">
        <f>HYPERLINK("http://vk.com/id793581951")</f>
      </c>
      <c r="L782" s="14" t="s">
        <v>173</v>
      </c>
      <c r="M782" s="14" t="s">
        <v>848</v>
      </c>
      <c r="N782" s="25" t="str">
        <f>HYPERLINK("http://vk.com/club47120073")</f>
      </c>
      <c r="O782" s="1" t="s">
        <v>186</v>
      </c>
      <c r="P782" s="1" t="n">
        <v>26</v>
      </c>
      <c r="Q782" s="1" t="n">
        <v>393157</v>
      </c>
      <c r="R782" s="1" t="n">
        <v>0</v>
      </c>
      <c r="S782" s="1"/>
      <c r="T782" s="1" t="n">
        <v>0</v>
      </c>
      <c r="U782" s="1" t="n">
        <v>0</v>
      </c>
      <c r="V782" s="1" t="n">
        <v>0</v>
      </c>
      <c r="W782" s="1"/>
      <c r="Y782" s="1" t="n">
        <v>1</v>
      </c>
      <c r="Z782" s="0" t="s">
        <v>319</v>
      </c>
      <c r="AA782" s="0" t="s">
        <v>292</v>
      </c>
      <c r="AH782" s="0" t="s">
        <v>180</v>
      </c>
      <c r="AI782" s="0" t="s">
        <v>92</v>
      </c>
      <c r="AJ782" s="0" t="s">
        <v>437</v>
      </c>
      <c r="AO782" s="0" t="s">
        <v>98</v>
      </c>
      <c r="AY782" s="0" t="s">
        <v>108</v>
      </c>
    </row>
    <row r="783">
      <c r="B783" s="0" t="s">
        <v>2237</v>
      </c>
      <c r="C783" s="1" t="n">
        <v>352874</v>
      </c>
      <c r="E783" s="14" t="s">
        <v>2238</v>
      </c>
      <c r="F783" s="14" t="s">
        <v>184</v>
      </c>
      <c r="G783" s="25" t="str">
        <f>HYPERLINK("http://vk.com/wall-164460003_1863466?reply=1866267&amp;thread=1864239")</f>
      </c>
      <c r="H783" s="14" t="s">
        <v>170</v>
      </c>
      <c r="I783" s="14" t="s">
        <v>231</v>
      </c>
      <c r="J783" s="14" t="s">
        <v>2220</v>
      </c>
      <c r="K783" s="26" t="str">
        <f>HYPERLINK("http://vk.com/id793581951")</f>
      </c>
      <c r="L783" s="14" t="s">
        <v>173</v>
      </c>
      <c r="M783" s="14" t="s">
        <v>1032</v>
      </c>
      <c r="N783" s="25" t="str">
        <f>HYPERLINK("http://vk.com/club164460003")</f>
      </c>
      <c r="O783" s="1" t="s">
        <v>186</v>
      </c>
      <c r="P783" s="1" t="n">
        <v>26</v>
      </c>
      <c r="Q783" s="1" t="n">
        <v>126023</v>
      </c>
      <c r="R783" s="1" t="n">
        <v>0</v>
      </c>
      <c r="S783" s="1"/>
      <c r="T783" s="1" t="n">
        <v>0</v>
      </c>
      <c r="U783" s="1" t="n">
        <v>0</v>
      </c>
      <c r="V783" s="1" t="n">
        <v>0</v>
      </c>
      <c r="W783" s="1"/>
      <c r="Y783" s="1" t="n">
        <v>1</v>
      </c>
      <c r="Z783" s="0" t="s">
        <v>319</v>
      </c>
      <c r="AA783" s="0" t="s">
        <v>292</v>
      </c>
      <c r="AH783" s="0" t="s">
        <v>180</v>
      </c>
      <c r="AI783" s="0" t="s">
        <v>92</v>
      </c>
      <c r="AJ783" s="0" t="s">
        <v>437</v>
      </c>
      <c r="AK783" s="0" t="s">
        <v>94</v>
      </c>
      <c r="AO783" s="0" t="s">
        <v>98</v>
      </c>
      <c r="AY783" s="0" t="s">
        <v>108</v>
      </c>
      <c r="BB783" s="0" t="s">
        <v>111</v>
      </c>
      <c r="BC783" s="0" t="s">
        <v>112</v>
      </c>
    </row>
    <row r="784">
      <c r="B784" s="0" t="s">
        <v>2239</v>
      </c>
      <c r="C784" s="1" t="n">
        <v>352864</v>
      </c>
      <c r="E784" s="14" t="s">
        <v>2240</v>
      </c>
      <c r="F784" s="14" t="s">
        <v>184</v>
      </c>
      <c r="G784" s="25" t="str">
        <f>HYPERLINK("http://vk.com/wall-115360655_1077226?reply=1078136&amp;thread=1077406")</f>
      </c>
      <c r="H784" s="14" t="s">
        <v>170</v>
      </c>
      <c r="I784" s="14" t="s">
        <v>231</v>
      </c>
      <c r="J784" s="14" t="s">
        <v>2220</v>
      </c>
      <c r="K784" s="26" t="str">
        <f>HYPERLINK("http://vk.com/id793581951")</f>
      </c>
      <c r="L784" s="14" t="s">
        <v>173</v>
      </c>
      <c r="M784" s="14" t="s">
        <v>1576</v>
      </c>
      <c r="N784" s="25" t="str">
        <f>HYPERLINK("http://vk.com/club115360655")</f>
      </c>
      <c r="O784" s="1" t="s">
        <v>186</v>
      </c>
      <c r="P784" s="1" t="n">
        <v>26</v>
      </c>
      <c r="Q784" s="1" t="n">
        <v>26413</v>
      </c>
      <c r="R784" s="1" t="n">
        <v>0</v>
      </c>
      <c r="S784" s="1"/>
      <c r="T784" s="1" t="n">
        <v>0</v>
      </c>
      <c r="U784" s="1" t="n">
        <v>0</v>
      </c>
      <c r="V784" s="1" t="n">
        <v>0</v>
      </c>
      <c r="W784" s="1"/>
      <c r="Y784" s="1" t="n">
        <v>1</v>
      </c>
      <c r="Z784" s="0" t="s">
        <v>319</v>
      </c>
      <c r="AA784" s="0" t="s">
        <v>292</v>
      </c>
      <c r="AH784" s="0" t="s">
        <v>180</v>
      </c>
      <c r="AI784" s="0" t="s">
        <v>92</v>
      </c>
      <c r="AJ784" s="0" t="s">
        <v>437</v>
      </c>
      <c r="AN784" s="0" t="s">
        <v>97</v>
      </c>
      <c r="AO784" s="0" t="s">
        <v>98</v>
      </c>
      <c r="AS784" s="0" t="s">
        <v>102</v>
      </c>
      <c r="AW784" s="0" t="s">
        <v>106</v>
      </c>
      <c r="AY784" s="0" t="s">
        <v>108</v>
      </c>
      <c r="BM784" s="0" t="s">
        <v>122</v>
      </c>
    </row>
    <row r="785" ht="108.75">
      <c r="B785" s="0" t="s">
        <v>2241</v>
      </c>
      <c r="C785" s="1" t="n">
        <v>352869</v>
      </c>
      <c r="E785" s="14" t="s">
        <v>529</v>
      </c>
      <c r="F785" s="14" t="s">
        <v>184</v>
      </c>
      <c r="G785" s="25" t="str">
        <f>HYPERLINK("http://vk.com/wall401016901_1327")</f>
      </c>
      <c r="H785" s="14" t="s">
        <v>170</v>
      </c>
      <c r="I785" s="14" t="s">
        <v>194</v>
      </c>
      <c r="J785" s="14" t="s">
        <v>828</v>
      </c>
      <c r="K785" s="26" t="str">
        <f>HYPERLINK("http://vk.com/id401016901")</f>
      </c>
      <c r="L785" s="14" t="s">
        <v>173</v>
      </c>
      <c r="O785" s="1" t="s">
        <v>186</v>
      </c>
      <c r="P785" s="1" t="n">
        <v>26</v>
      </c>
      <c r="Q785" s="1" t="n">
        <v>17</v>
      </c>
      <c r="R785" s="1" t="n">
        <v>0</v>
      </c>
      <c r="S785" s="1"/>
      <c r="T785" s="1" t="n">
        <v>0</v>
      </c>
      <c r="U785" s="1" t="n">
        <v>0</v>
      </c>
      <c r="V785" s="1" t="n">
        <v>0</v>
      </c>
      <c r="W785" s="1" t="n">
        <v>2</v>
      </c>
      <c r="Y785" s="1" t="n">
        <v>9</v>
      </c>
      <c r="Z785" s="0" t="s">
        <v>175</v>
      </c>
      <c r="AA785" s="0" t="s">
        <v>292</v>
      </c>
      <c r="AC785" s="0" t="s">
        <v>177</v>
      </c>
      <c r="AD785" s="0" t="s">
        <v>349</v>
      </c>
      <c r="AE785" s="0" t="s">
        <v>829</v>
      </c>
      <c r="AH785" s="0" t="s">
        <v>180</v>
      </c>
      <c r="AJ785" s="0" t="s">
        <v>437</v>
      </c>
      <c r="AK785" s="0" t="s">
        <v>94</v>
      </c>
      <c r="AL785" s="0" t="s">
        <v>95</v>
      </c>
      <c r="AR785" s="0" t="s">
        <v>101</v>
      </c>
      <c r="BA785" s="0" t="s">
        <v>110</v>
      </c>
      <c r="BF785" s="0" t="s">
        <v>115</v>
      </c>
    </row>
    <row r="786">
      <c r="B786" s="0" t="s">
        <v>2242</v>
      </c>
      <c r="C786" s="1" t="n">
        <v>352911</v>
      </c>
      <c r="D786" s="0" t="s">
        <v>735</v>
      </c>
      <c r="E786" s="14" t="s">
        <v>2243</v>
      </c>
      <c r="F786" s="14" t="s">
        <v>263</v>
      </c>
      <c r="G786" s="25" t="str">
        <f>HYPERLINK("https://www.baby.ru/blogs/post/2611406742-1969574877/")</f>
      </c>
      <c r="H786" s="14" t="s">
        <v>264</v>
      </c>
      <c r="I786" s="14" t="s">
        <v>231</v>
      </c>
      <c r="J786" s="14" t="s">
        <v>2244</v>
      </c>
      <c r="K786" s="26" t="str">
        <f>HYPERLINK("https://www.baby.ru/u/usr2677890/")</f>
      </c>
      <c r="L786" s="14"/>
      <c r="M786" s="14" t="s">
        <v>737</v>
      </c>
      <c r="N786" s="25" t="str">
        <f>HYPERLINK("https://www.baby.ru/u/usr2516130/")</f>
      </c>
      <c r="O786" s="1"/>
      <c r="P786" s="1"/>
      <c r="Q786" s="1"/>
      <c r="R786" s="1" t="n">
        <v>0</v>
      </c>
      <c r="S786" s="1"/>
      <c r="T786" s="1" t="n">
        <v>0</v>
      </c>
      <c r="U786" s="1" t="n">
        <v>0</v>
      </c>
      <c r="V786" s="1" t="n">
        <v>0</v>
      </c>
      <c r="W786" s="1"/>
      <c r="Y786" s="1" t="n">
        <v>1</v>
      </c>
      <c r="Z786" s="0" t="s">
        <v>319</v>
      </c>
      <c r="AA786" s="0" t="s">
        <v>292</v>
      </c>
      <c r="AC786" s="0" t="s">
        <v>177</v>
      </c>
      <c r="AD786" s="0" t="s">
        <v>332</v>
      </c>
      <c r="AE786" s="0" t="s">
        <v>332</v>
      </c>
      <c r="AH786" s="0" t="s">
        <v>180</v>
      </c>
      <c r="AJ786" s="0" t="s">
        <v>437</v>
      </c>
      <c r="AK786" s="0" t="s">
        <v>94</v>
      </c>
      <c r="AO786" s="0" t="s">
        <v>98</v>
      </c>
      <c r="AY786" s="0" t="s">
        <v>108</v>
      </c>
      <c r="BI786" s="0" t="s">
        <v>118</v>
      </c>
    </row>
    <row r="787" ht="36.75">
      <c r="B787" s="0" t="s">
        <v>2245</v>
      </c>
      <c r="C787" s="1" t="n">
        <v>353045</v>
      </c>
      <c r="E787" s="14" t="s">
        <v>202</v>
      </c>
      <c r="F787" s="14" t="s">
        <v>169</v>
      </c>
      <c r="G787" s="25" t="str">
        <f>HYPERLINK("http://www.ok.ru/profile/482834041816/statuses/155638151897304")</f>
      </c>
      <c r="H787" s="14" t="s">
        <v>170</v>
      </c>
      <c r="I787" s="14" t="s">
        <v>171</v>
      </c>
      <c r="J787" s="14" t="s">
        <v>2246</v>
      </c>
      <c r="K787" s="26" t="str">
        <f>HYPERLINK("http://www.ok.ru/profile/482834041816")</f>
      </c>
      <c r="L787" s="14" t="s">
        <v>173</v>
      </c>
      <c r="O787" s="1" t="s">
        <v>174</v>
      </c>
      <c r="P787" s="1" t="n">
        <v>63</v>
      </c>
      <c r="Q787" s="1" t="n">
        <v>753</v>
      </c>
      <c r="R787" s="1" t="n">
        <v>0</v>
      </c>
      <c r="S787" s="1"/>
      <c r="T787" s="1" t="n">
        <v>0</v>
      </c>
      <c r="U787" s="1" t="n">
        <v>1</v>
      </c>
      <c r="V787" s="1" t="n">
        <v>1</v>
      </c>
      <c r="W787" s="1"/>
      <c r="Y787" s="1" t="n">
        <v>4</v>
      </c>
      <c r="Z787" s="0" t="s">
        <v>175</v>
      </c>
      <c r="AA787" s="0" t="s">
        <v>176</v>
      </c>
      <c r="AC787" s="0" t="s">
        <v>177</v>
      </c>
      <c r="AD787" s="0" t="s">
        <v>1382</v>
      </c>
      <c r="AE787" s="0" t="s">
        <v>2247</v>
      </c>
      <c r="AH787" s="0" t="s">
        <v>180</v>
      </c>
      <c r="AJ787" s="0" t="s">
        <v>437</v>
      </c>
      <c r="AK787" s="0" t="s">
        <v>94</v>
      </c>
      <c r="AL787" s="0" t="s">
        <v>95</v>
      </c>
      <c r="AM787" s="0" t="s">
        <v>96</v>
      </c>
      <c r="AO787" s="0" t="s">
        <v>98</v>
      </c>
      <c r="AQ787" s="0" t="s">
        <v>100</v>
      </c>
    </row>
    <row r="788">
      <c r="B788" s="0" t="s">
        <v>2245</v>
      </c>
      <c r="C788" s="1" t="n">
        <v>352863</v>
      </c>
      <c r="E788" s="14" t="s">
        <v>2248</v>
      </c>
      <c r="F788" s="14" t="s">
        <v>184</v>
      </c>
      <c r="G788" s="25" t="str">
        <f>HYPERLINK("http://vk.com/wall-124426990_212398?reply=213186&amp;thread=212415")</f>
      </c>
      <c r="H788" s="14" t="s">
        <v>170</v>
      </c>
      <c r="I788" s="14" t="s">
        <v>231</v>
      </c>
      <c r="J788" s="14" t="s">
        <v>2220</v>
      </c>
      <c r="K788" s="26" t="str">
        <f>HYPERLINK("http://vk.com/id793581951")</f>
      </c>
      <c r="L788" s="14" t="s">
        <v>173</v>
      </c>
      <c r="M788" s="14" t="s">
        <v>2249</v>
      </c>
      <c r="N788" s="25" t="str">
        <f>HYPERLINK("http://vk.com/club124426990")</f>
      </c>
      <c r="O788" s="1" t="s">
        <v>186</v>
      </c>
      <c r="P788" s="1"/>
      <c r="Q788" s="1" t="n">
        <v>36337</v>
      </c>
      <c r="R788" s="1" t="n">
        <v>0</v>
      </c>
      <c r="S788" s="1"/>
      <c r="T788" s="1" t="n">
        <v>0</v>
      </c>
      <c r="U788" s="1" t="n">
        <v>0</v>
      </c>
      <c r="V788" s="1" t="n">
        <v>0</v>
      </c>
      <c r="W788" s="1"/>
      <c r="Y788" s="1" t="n">
        <v>1</v>
      </c>
      <c r="Z788" s="0" t="s">
        <v>319</v>
      </c>
      <c r="AA788" s="0" t="s">
        <v>292</v>
      </c>
      <c r="AH788" s="0" t="s">
        <v>180</v>
      </c>
      <c r="AI788" s="0" t="s">
        <v>92</v>
      </c>
      <c r="AJ788" s="0" t="s">
        <v>437</v>
      </c>
      <c r="AK788" s="0" t="s">
        <v>94</v>
      </c>
      <c r="AO788" s="0" t="s">
        <v>98</v>
      </c>
      <c r="AW788" s="0" t="s">
        <v>106</v>
      </c>
      <c r="AY788" s="0" t="s">
        <v>108</v>
      </c>
      <c r="BC788" s="0" t="s">
        <v>112</v>
      </c>
      <c r="BT788" s="0" t="s">
        <v>129</v>
      </c>
    </row>
    <row r="789" ht="24.75">
      <c r="B789" s="0" t="s">
        <v>2250</v>
      </c>
      <c r="C789" s="1" t="n">
        <v>352855</v>
      </c>
      <c r="E789" s="14" t="s">
        <v>2251</v>
      </c>
      <c r="F789" s="14" t="s">
        <v>184</v>
      </c>
      <c r="G789" s="25" t="str">
        <f>HYPERLINK("http://vk.com/wall429694262_32567")</f>
      </c>
      <c r="H789" s="14" t="s">
        <v>170</v>
      </c>
      <c r="I789" s="14" t="s">
        <v>171</v>
      </c>
      <c r="J789" s="14" t="s">
        <v>2252</v>
      </c>
      <c r="K789" s="26" t="str">
        <f>HYPERLINK("http://vk.com/id429694262")</f>
      </c>
      <c r="L789" s="14" t="s">
        <v>173</v>
      </c>
      <c r="O789" s="1" t="s">
        <v>186</v>
      </c>
      <c r="P789" s="1" t="n">
        <v>64</v>
      </c>
      <c r="Q789" s="1" t="n">
        <v>387</v>
      </c>
      <c r="R789" s="1" t="n">
        <v>0</v>
      </c>
      <c r="S789" s="1"/>
      <c r="T789" s="1" t="n">
        <v>0</v>
      </c>
      <c r="U789" s="1" t="n">
        <v>0</v>
      </c>
      <c r="V789" s="1" t="n">
        <v>0</v>
      </c>
      <c r="W789" s="1" t="n">
        <v>1</v>
      </c>
      <c r="Y789" s="1" t="n">
        <v>1</v>
      </c>
      <c r="Z789" s="0" t="s">
        <v>175</v>
      </c>
      <c r="AA789" s="0" t="s">
        <v>187</v>
      </c>
      <c r="AH789" s="0" t="s">
        <v>180</v>
      </c>
      <c r="AJ789" s="0" t="s">
        <v>437</v>
      </c>
      <c r="AK789" s="0" t="s">
        <v>94</v>
      </c>
      <c r="AL789" s="0" t="s">
        <v>95</v>
      </c>
      <c r="AM789" s="0" t="s">
        <v>96</v>
      </c>
      <c r="AX789" s="0" t="s">
        <v>107</v>
      </c>
    </row>
    <row r="790" ht="96.75">
      <c r="B790" s="0" t="s">
        <v>2253</v>
      </c>
      <c r="C790" s="1" t="n">
        <v>353793</v>
      </c>
      <c r="E790" s="14" t="s">
        <v>2254</v>
      </c>
      <c r="F790" s="14" t="s">
        <v>192</v>
      </c>
      <c r="G790" s="25" t="str">
        <f>HYPERLINK("https://telegram.me/VICTORIA_UA1/147906")</f>
      </c>
      <c r="H790" s="14" t="s">
        <v>655</v>
      </c>
      <c r="I790" s="14" t="s">
        <v>194</v>
      </c>
      <c r="J790" s="14" t="s">
        <v>2255</v>
      </c>
      <c r="K790" s="26" t="str">
        <f>HYPERLINK("https://telegram.me/VICTORIA_UA1")</f>
      </c>
      <c r="L790" s="14" t="s">
        <v>274</v>
      </c>
      <c r="O790" s="1"/>
      <c r="P790" s="1"/>
      <c r="Q790" s="1" t="n">
        <v>341</v>
      </c>
      <c r="R790" s="1" t="n">
        <v>0</v>
      </c>
      <c r="S790" s="1"/>
      <c r="T790" s="1" t="n">
        <v>0</v>
      </c>
      <c r="U790" s="1" t="n">
        <v>0</v>
      </c>
      <c r="V790" s="1" t="n">
        <v>0</v>
      </c>
      <c r="W790" s="1" t="n">
        <v>15</v>
      </c>
      <c r="Y790" s="1" t="n">
        <v>1</v>
      </c>
      <c r="Z790" s="0" t="s">
        <v>175</v>
      </c>
      <c r="AA790" s="0" t="s">
        <v>187</v>
      </c>
      <c r="AB790" s="0" t="s">
        <v>85</v>
      </c>
      <c r="AH790" s="0" t="s">
        <v>180</v>
      </c>
      <c r="AJ790" s="0" t="s">
        <v>437</v>
      </c>
      <c r="AK790" s="0" t="s">
        <v>94</v>
      </c>
      <c r="AL790" s="0" t="s">
        <v>95</v>
      </c>
      <c r="AR790" s="0" t="s">
        <v>101</v>
      </c>
      <c r="BA790" s="0" t="s">
        <v>110</v>
      </c>
      <c r="BJ790" s="0" t="s">
        <v>119</v>
      </c>
    </row>
    <row r="791" ht="36.75">
      <c r="B791" s="0" t="s">
        <v>2256</v>
      </c>
      <c r="C791" s="1" t="n">
        <v>352937</v>
      </c>
      <c r="D791" s="0" t="s">
        <v>2257</v>
      </c>
      <c r="E791" s="14" t="s">
        <v>2258</v>
      </c>
      <c r="F791" s="14" t="s">
        <v>263</v>
      </c>
      <c r="G791" s="25" t="str">
        <f>HYPERLINK("https://www.baby.ru/blogs/post/2611547795-2605572884/")</f>
      </c>
      <c r="H791" s="14" t="s">
        <v>264</v>
      </c>
      <c r="I791" s="14" t="s">
        <v>194</v>
      </c>
      <c r="J791" s="14" t="s">
        <v>2259</v>
      </c>
      <c r="K791" s="26" t="str">
        <f>HYPERLINK("https://www.baby.ru/u/usr2712105/")</f>
      </c>
      <c r="L791" s="14"/>
      <c r="O791" s="1"/>
      <c r="P791" s="1"/>
      <c r="Q791" s="1"/>
      <c r="R791" s="1" t="n">
        <v>4</v>
      </c>
      <c r="S791" s="1"/>
      <c r="T791" s="1" t="n">
        <v>0</v>
      </c>
      <c r="U791" s="1" t="n">
        <v>0</v>
      </c>
      <c r="V791" s="1" t="n">
        <v>4</v>
      </c>
      <c r="W791" s="1"/>
      <c r="Y791" s="1" t="n">
        <v>1</v>
      </c>
      <c r="Z791" s="0" t="s">
        <v>175</v>
      </c>
      <c r="AA791" s="0" t="s">
        <v>187</v>
      </c>
      <c r="AC791" s="0" t="s">
        <v>177</v>
      </c>
      <c r="AD791" s="0" t="s">
        <v>332</v>
      </c>
      <c r="AE791" s="0" t="s">
        <v>332</v>
      </c>
      <c r="AH791" s="0" t="s">
        <v>180</v>
      </c>
      <c r="AJ791" s="0" t="s">
        <v>437</v>
      </c>
      <c r="AK791" s="0" t="s">
        <v>94</v>
      </c>
      <c r="AN791" s="0" t="s">
        <v>97</v>
      </c>
      <c r="AP791" s="0" t="s">
        <v>99</v>
      </c>
      <c r="AQ791" s="0" t="s">
        <v>100</v>
      </c>
      <c r="AS791" s="0" t="s">
        <v>102</v>
      </c>
      <c r="AT791" s="0" t="s">
        <v>103</v>
      </c>
      <c r="AW791" s="0" t="s">
        <v>106</v>
      </c>
      <c r="BG791" s="0" t="s">
        <v>116</v>
      </c>
    </row>
    <row r="792">
      <c r="B792" s="0" t="s">
        <v>2260</v>
      </c>
      <c r="C792" s="1" t="n">
        <v>353081</v>
      </c>
      <c r="E792" s="14" t="s">
        <v>2261</v>
      </c>
      <c r="F792" s="14" t="s">
        <v>192</v>
      </c>
      <c r="G792" s="25" t="str">
        <f>HYPERLINK("https://telegram.me/mamochkipoimyt/18326")</f>
      </c>
      <c r="H792" s="14" t="s">
        <v>193</v>
      </c>
      <c r="I792" s="14" t="s">
        <v>194</v>
      </c>
      <c r="J792" s="14" t="s">
        <v>1022</v>
      </c>
      <c r="K792" s="26" t="str">
        <f>HYPERLINK("https://telegram.me/")</f>
      </c>
      <c r="L792" s="14" t="s">
        <v>173</v>
      </c>
      <c r="M792" s="14" t="s">
        <v>2262</v>
      </c>
      <c r="N792" s="25" t="str">
        <f>HYPERLINK("https://telegram.me/mamochkipoimyt")</f>
      </c>
      <c r="O792" s="1" t="s">
        <v>186</v>
      </c>
      <c r="P792" s="1"/>
      <c r="Q792" s="1" t="n">
        <v>1221</v>
      </c>
      <c r="R792" s="1" t="n">
        <v>0</v>
      </c>
      <c r="S792" s="1"/>
      <c r="T792" s="1" t="n">
        <v>0</v>
      </c>
      <c r="U792" s="1" t="n">
        <v>0</v>
      </c>
      <c r="V792" s="1" t="n">
        <v>0</v>
      </c>
      <c r="W792" s="1"/>
      <c r="Y792" s="1" t="n">
        <v>1</v>
      </c>
      <c r="Z792" s="0" t="s">
        <v>175</v>
      </c>
      <c r="AA792" s="0" t="s">
        <v>187</v>
      </c>
      <c r="AH792" s="0" t="s">
        <v>180</v>
      </c>
      <c r="AJ792" s="0" t="s">
        <v>437</v>
      </c>
      <c r="AK792" s="0" t="s">
        <v>94</v>
      </c>
      <c r="AN792" s="0" t="s">
        <v>97</v>
      </c>
      <c r="AP792" s="0" t="s">
        <v>99</v>
      </c>
      <c r="AT792" s="0" t="s">
        <v>103</v>
      </c>
      <c r="BC792" s="0" t="s">
        <v>112</v>
      </c>
      <c r="BO792" s="0" t="s">
        <v>124</v>
      </c>
    </row>
    <row r="793" ht="132.75">
      <c r="B793" s="0" t="s">
        <v>2260</v>
      </c>
      <c r="C793" s="1" t="n">
        <v>352840</v>
      </c>
      <c r="E793" s="14" t="s">
        <v>2263</v>
      </c>
      <c r="F793" s="14" t="s">
        <v>184</v>
      </c>
      <c r="G793" s="25" t="str">
        <f>HYPERLINK("http://vk.com/wall-217172909_17")</f>
      </c>
      <c r="H793" s="14" t="s">
        <v>170</v>
      </c>
      <c r="I793" s="14" t="s">
        <v>194</v>
      </c>
      <c r="J793" s="14" t="s">
        <v>2264</v>
      </c>
      <c r="K793" s="26" t="str">
        <f>HYPERLINK("http://vk.com/club217172909")</f>
      </c>
      <c r="L793" s="14" t="s">
        <v>274</v>
      </c>
      <c r="O793" s="1"/>
      <c r="P793" s="1"/>
      <c r="Q793" s="1" t="n">
        <v>13</v>
      </c>
      <c r="R793" s="1" t="n">
        <v>0</v>
      </c>
      <c r="S793" s="1"/>
      <c r="T793" s="1" t="n">
        <v>0</v>
      </c>
      <c r="U793" s="1" t="n">
        <v>3</v>
      </c>
      <c r="V793" s="1" t="n">
        <v>3</v>
      </c>
      <c r="W793" s="1" t="n">
        <v>21</v>
      </c>
      <c r="Y793" s="1" t="n">
        <v>1</v>
      </c>
      <c r="Z793" s="0" t="s">
        <v>175</v>
      </c>
      <c r="AA793" s="0" t="s">
        <v>187</v>
      </c>
      <c r="AC793" s="0" t="s">
        <v>177</v>
      </c>
      <c r="AD793" s="0" t="s">
        <v>2265</v>
      </c>
      <c r="AE793" s="0" t="s">
        <v>2266</v>
      </c>
      <c r="AH793" s="0" t="s">
        <v>180</v>
      </c>
      <c r="AJ793" s="0" t="s">
        <v>437</v>
      </c>
      <c r="AK793" s="0" t="s">
        <v>94</v>
      </c>
      <c r="AN793" s="0" t="s">
        <v>97</v>
      </c>
      <c r="AP793" s="0" t="s">
        <v>99</v>
      </c>
      <c r="AT793" s="0" t="s">
        <v>103</v>
      </c>
      <c r="AW793" s="0" t="s">
        <v>106</v>
      </c>
      <c r="BI793" s="0" t="s">
        <v>118</v>
      </c>
      <c r="BU793" s="0" t="s">
        <v>130</v>
      </c>
    </row>
    <row r="794" ht="1212.75">
      <c r="B794" s="0" t="s">
        <v>2267</v>
      </c>
      <c r="C794" s="1" t="n">
        <v>352844</v>
      </c>
      <c r="E794" s="14" t="s">
        <v>683</v>
      </c>
      <c r="F794" s="14" t="s">
        <v>184</v>
      </c>
      <c r="G794" s="25" t="str">
        <f>HYPERLINK("http://vk.com/wall134254005_3876")</f>
      </c>
      <c r="H794" s="14" t="s">
        <v>170</v>
      </c>
      <c r="I794" s="14" t="s">
        <v>171</v>
      </c>
      <c r="J794" s="14" t="s">
        <v>2268</v>
      </c>
      <c r="K794" s="26" t="str">
        <f>HYPERLINK("http://vk.com/id134254005")</f>
      </c>
      <c r="L794" s="14" t="s">
        <v>173</v>
      </c>
      <c r="O794" s="1" t="s">
        <v>186</v>
      </c>
      <c r="P794" s="1" t="n">
        <v>48</v>
      </c>
      <c r="Q794" s="1" t="n">
        <v>164</v>
      </c>
      <c r="R794" s="1" t="n">
        <v>0</v>
      </c>
      <c r="S794" s="1"/>
      <c r="T794" s="1" t="n">
        <v>0</v>
      </c>
      <c r="U794" s="1" t="n">
        <v>0</v>
      </c>
      <c r="V794" s="1" t="n">
        <v>0</v>
      </c>
      <c r="W794" s="1" t="n">
        <v>2</v>
      </c>
      <c r="Y794" s="1" t="n">
        <v>22</v>
      </c>
      <c r="Z794" s="0" t="s">
        <v>175</v>
      </c>
      <c r="AA794" s="0" t="s">
        <v>187</v>
      </c>
      <c r="AC794" s="0" t="s">
        <v>177</v>
      </c>
      <c r="AD794" s="0" t="s">
        <v>332</v>
      </c>
      <c r="AE794" s="0" t="s">
        <v>332</v>
      </c>
      <c r="AH794" s="0" t="s">
        <v>180</v>
      </c>
      <c r="AJ794" s="0" t="s">
        <v>437</v>
      </c>
      <c r="AK794" s="0" t="s">
        <v>94</v>
      </c>
      <c r="AL794" s="0" t="s">
        <v>95</v>
      </c>
      <c r="AM794" s="0" t="s">
        <v>96</v>
      </c>
      <c r="AU794" s="0" t="s">
        <v>104</v>
      </c>
      <c r="AV794" s="0" t="s">
        <v>105</v>
      </c>
      <c r="AX794" s="0" t="s">
        <v>107</v>
      </c>
    </row>
    <row r="795" ht="24.75">
      <c r="B795" s="0" t="s">
        <v>2267</v>
      </c>
      <c r="C795" s="1" t="n">
        <v>352838</v>
      </c>
      <c r="E795" s="14" t="s">
        <v>183</v>
      </c>
      <c r="F795" s="14" t="s">
        <v>184</v>
      </c>
      <c r="G795" s="25" t="str">
        <f>HYPERLINK("http://vk.com/wall528466769_859")</f>
      </c>
      <c r="H795" s="14" t="s">
        <v>170</v>
      </c>
      <c r="I795" s="14" t="s">
        <v>171</v>
      </c>
      <c r="J795" s="14" t="s">
        <v>2269</v>
      </c>
      <c r="K795" s="26" t="str">
        <f>HYPERLINK("http://vk.com/id528466769")</f>
      </c>
      <c r="L795" s="14" t="s">
        <v>173</v>
      </c>
      <c r="O795" s="1" t="s">
        <v>186</v>
      </c>
      <c r="P795" s="1" t="n">
        <v>58</v>
      </c>
      <c r="Q795" s="1" t="n">
        <v>24</v>
      </c>
      <c r="R795" s="1" t="n">
        <v>0</v>
      </c>
      <c r="S795" s="1"/>
      <c r="T795" s="1" t="n">
        <v>0</v>
      </c>
      <c r="U795" s="1" t="n">
        <v>0</v>
      </c>
      <c r="V795" s="1" t="n">
        <v>0</v>
      </c>
      <c r="W795" s="1"/>
      <c r="Y795" s="1" t="n">
        <v>62</v>
      </c>
      <c r="Z795" s="0" t="s">
        <v>175</v>
      </c>
      <c r="AA795" s="0" t="s">
        <v>187</v>
      </c>
      <c r="AH795" s="0" t="s">
        <v>180</v>
      </c>
      <c r="AJ795" s="0" t="s">
        <v>437</v>
      </c>
      <c r="AK795" s="0" t="s">
        <v>94</v>
      </c>
      <c r="AO795" s="0" t="s">
        <v>98</v>
      </c>
      <c r="AP795" s="0" t="s">
        <v>99</v>
      </c>
      <c r="AR795" s="0" t="s">
        <v>101</v>
      </c>
      <c r="BA795" s="0" t="s">
        <v>110</v>
      </c>
      <c r="BH795" s="0" t="s">
        <v>117</v>
      </c>
    </row>
    <row r="796" ht="24.75">
      <c r="B796" s="0" t="s">
        <v>2270</v>
      </c>
      <c r="C796" s="1" t="n">
        <v>352843</v>
      </c>
      <c r="E796" s="14" t="s">
        <v>296</v>
      </c>
      <c r="F796" s="14" t="s">
        <v>184</v>
      </c>
      <c r="G796" s="25" t="str">
        <f>HYPERLINK("http://vk.com/wall378230272_6814")</f>
      </c>
      <c r="H796" s="14" t="s">
        <v>170</v>
      </c>
      <c r="I796" s="14" t="s">
        <v>171</v>
      </c>
      <c r="J796" s="14" t="s">
        <v>2271</v>
      </c>
      <c r="K796" s="26" t="str">
        <f>HYPERLINK("http://vk.com/id378230272")</f>
      </c>
      <c r="L796" s="14" t="s">
        <v>173</v>
      </c>
      <c r="O796" s="1" t="s">
        <v>186</v>
      </c>
      <c r="P796" s="1" t="n">
        <v>57</v>
      </c>
      <c r="Q796" s="1" t="n">
        <v>42</v>
      </c>
      <c r="R796" s="1" t="n">
        <v>0</v>
      </c>
      <c r="S796" s="1"/>
      <c r="T796" s="1" t="n">
        <v>0</v>
      </c>
      <c r="U796" s="1" t="n">
        <v>0</v>
      </c>
      <c r="V796" s="1" t="n">
        <v>0</v>
      </c>
      <c r="W796" s="1"/>
      <c r="Y796" s="1" t="n">
        <v>93</v>
      </c>
      <c r="Z796" s="0" t="s">
        <v>175</v>
      </c>
      <c r="AA796" s="0" t="s">
        <v>187</v>
      </c>
      <c r="AC796" s="0" t="s">
        <v>177</v>
      </c>
      <c r="AD796" s="0" t="s">
        <v>2272</v>
      </c>
      <c r="AE796" s="0" t="s">
        <v>2273</v>
      </c>
      <c r="AH796" s="0" t="s">
        <v>180</v>
      </c>
      <c r="AJ796" s="0" t="s">
        <v>437</v>
      </c>
      <c r="AK796" s="0" t="s">
        <v>94</v>
      </c>
      <c r="AL796" s="0" t="s">
        <v>95</v>
      </c>
      <c r="AM796" s="0" t="s">
        <v>96</v>
      </c>
      <c r="AU796" s="0" t="s">
        <v>104</v>
      </c>
      <c r="AV796" s="0" t="s">
        <v>105</v>
      </c>
    </row>
    <row r="797">
      <c r="B797" s="0" t="s">
        <v>2274</v>
      </c>
      <c r="C797" s="1" t="n">
        <v>352835</v>
      </c>
      <c r="E797" s="14" t="s">
        <v>2275</v>
      </c>
      <c r="F797" s="14" t="s">
        <v>192</v>
      </c>
      <c r="G797" s="25" t="str">
        <f>HYPERLINK("https://telegram.me/pivnoychat/141666")</f>
      </c>
      <c r="H797" s="14" t="s">
        <v>193</v>
      </c>
      <c r="I797" s="14" t="s">
        <v>194</v>
      </c>
      <c r="J797" s="14" t="s">
        <v>2276</v>
      </c>
      <c r="K797" s="26" t="str">
        <f>HYPERLINK("https://telegram.me/Wealdman")</f>
      </c>
      <c r="L797" s="14" t="s">
        <v>173</v>
      </c>
      <c r="M797" s="14" t="s">
        <v>2277</v>
      </c>
      <c r="N797" s="25" t="str">
        <f>HYPERLINK("https://telegram.me/pivnoychat")</f>
      </c>
      <c r="O797" s="1"/>
      <c r="P797" s="1"/>
      <c r="Q797" s="1" t="n">
        <v>200</v>
      </c>
      <c r="R797" s="1" t="n">
        <v>0</v>
      </c>
      <c r="S797" s="1"/>
      <c r="T797" s="1" t="n">
        <v>0</v>
      </c>
      <c r="U797" s="1" t="n">
        <v>0</v>
      </c>
      <c r="V797" s="1" t="n">
        <v>0</v>
      </c>
      <c r="W797" s="1"/>
      <c r="Y797" s="1" t="n">
        <v>1</v>
      </c>
      <c r="Z797" s="0" t="s">
        <v>175</v>
      </c>
      <c r="AA797" s="0" t="s">
        <v>187</v>
      </c>
      <c r="AH797" s="0" t="s">
        <v>180</v>
      </c>
      <c r="AJ797" s="0" t="s">
        <v>437</v>
      </c>
      <c r="AK797" s="0" t="s">
        <v>94</v>
      </c>
      <c r="AP797" s="0" t="s">
        <v>99</v>
      </c>
      <c r="AR797" s="0" t="s">
        <v>101</v>
      </c>
      <c r="AT797" s="0" t="s">
        <v>103</v>
      </c>
    </row>
    <row r="798" ht="120.75">
      <c r="B798" s="0" t="s">
        <v>2278</v>
      </c>
      <c r="C798" s="1" t="n">
        <v>352908</v>
      </c>
      <c r="E798" s="14" t="s">
        <v>1846</v>
      </c>
      <c r="F798" s="14" t="s">
        <v>169</v>
      </c>
      <c r="G798" s="25" t="str">
        <f>HYPERLINK("http://www.ok.ru/profile/568612302145/statuses/155656594609473")</f>
      </c>
      <c r="H798" s="14" t="s">
        <v>170</v>
      </c>
      <c r="I798" s="14" t="s">
        <v>171</v>
      </c>
      <c r="J798" s="14" t="s">
        <v>2279</v>
      </c>
      <c r="K798" s="26" t="str">
        <f>HYPERLINK("http://www.ok.ru/profile/568612302145")</f>
      </c>
      <c r="L798" s="14" t="s">
        <v>173</v>
      </c>
      <c r="O798" s="1" t="s">
        <v>174</v>
      </c>
      <c r="P798" s="1" t="n">
        <v>47</v>
      </c>
      <c r="Q798" s="1" t="n">
        <v>996</v>
      </c>
      <c r="R798" s="1" t="n">
        <v>0</v>
      </c>
      <c r="S798" s="1"/>
      <c r="T798" s="1" t="n">
        <v>0</v>
      </c>
      <c r="U798" s="1" t="n">
        <v>0</v>
      </c>
      <c r="V798" s="1" t="n">
        <v>0</v>
      </c>
      <c r="W798" s="1"/>
      <c r="Y798" s="1" t="n">
        <v>6</v>
      </c>
      <c r="Z798" s="0" t="s">
        <v>175</v>
      </c>
      <c r="AA798" s="0" t="s">
        <v>176</v>
      </c>
      <c r="AC798" s="0" t="s">
        <v>177</v>
      </c>
      <c r="AD798" s="0" t="s">
        <v>402</v>
      </c>
      <c r="AE798" s="0" t="s">
        <v>2280</v>
      </c>
      <c r="AH798" s="0" t="s">
        <v>180</v>
      </c>
      <c r="AJ798" s="0" t="s">
        <v>437</v>
      </c>
      <c r="AL798" s="0" t="s">
        <v>95</v>
      </c>
      <c r="AM798" s="0" t="s">
        <v>96</v>
      </c>
      <c r="AO798" s="0" t="s">
        <v>98</v>
      </c>
    </row>
    <row r="799" ht="1632.75">
      <c r="B799" s="0" t="s">
        <v>2281</v>
      </c>
      <c r="C799" s="1" t="n">
        <v>352829</v>
      </c>
      <c r="E799" s="14" t="s">
        <v>320</v>
      </c>
      <c r="F799" s="14" t="s">
        <v>184</v>
      </c>
      <c r="G799" s="25" t="str">
        <f>HYPERLINK("http://vk.com/wall290836091_2243")</f>
      </c>
      <c r="H799" s="14" t="s">
        <v>170</v>
      </c>
      <c r="I799" s="14" t="s">
        <v>171</v>
      </c>
      <c r="J799" s="14" t="s">
        <v>2282</v>
      </c>
      <c r="K799" s="26" t="str">
        <f>HYPERLINK("http://vk.com/id290836091")</f>
      </c>
      <c r="L799" s="14" t="s">
        <v>173</v>
      </c>
      <c r="O799" s="1" t="s">
        <v>186</v>
      </c>
      <c r="P799" s="1" t="n">
        <v>58</v>
      </c>
      <c r="Q799" s="1" t="n">
        <v>69</v>
      </c>
      <c r="R799" s="1" t="n">
        <v>0</v>
      </c>
      <c r="S799" s="1"/>
      <c r="T799" s="1" t="n">
        <v>0</v>
      </c>
      <c r="U799" s="1" t="n">
        <v>0</v>
      </c>
      <c r="V799" s="1" t="n">
        <v>0</v>
      </c>
      <c r="W799" s="1" t="n">
        <v>5</v>
      </c>
      <c r="Y799" s="1" t="n">
        <v>12</v>
      </c>
      <c r="Z799" s="0" t="s">
        <v>175</v>
      </c>
      <c r="AA799" s="0" t="s">
        <v>187</v>
      </c>
      <c r="AC799" s="0" t="s">
        <v>177</v>
      </c>
      <c r="AD799" s="0" t="s">
        <v>1509</v>
      </c>
      <c r="AE799" s="0" t="s">
        <v>2283</v>
      </c>
      <c r="AH799" s="0" t="s">
        <v>180</v>
      </c>
      <c r="AJ799" s="0" t="s">
        <v>437</v>
      </c>
      <c r="AK799" s="0" t="s">
        <v>94</v>
      </c>
      <c r="AL799" s="0" t="s">
        <v>95</v>
      </c>
      <c r="AM799" s="0" t="s">
        <v>96</v>
      </c>
      <c r="AX799" s="0" t="s">
        <v>107</v>
      </c>
    </row>
    <row r="800" ht="24.75">
      <c r="B800" s="0" t="s">
        <v>2284</v>
      </c>
      <c r="C800" s="1" t="n">
        <v>352819</v>
      </c>
      <c r="E800" s="14" t="s">
        <v>1307</v>
      </c>
      <c r="F800" s="14" t="s">
        <v>184</v>
      </c>
      <c r="G800" s="25" t="str">
        <f>HYPERLINK("http://vk.com/wall497872065_3763")</f>
      </c>
      <c r="H800" s="14" t="s">
        <v>170</v>
      </c>
      <c r="I800" s="14" t="s">
        <v>171</v>
      </c>
      <c r="J800" s="14" t="s">
        <v>2285</v>
      </c>
      <c r="K800" s="26" t="str">
        <f>HYPERLINK("http://vk.com/id497872065")</f>
      </c>
      <c r="L800" s="14" t="s">
        <v>173</v>
      </c>
      <c r="O800" s="1" t="s">
        <v>186</v>
      </c>
      <c r="P800" s="1" t="n">
        <v>36</v>
      </c>
      <c r="Q800" s="1" t="n">
        <v>57</v>
      </c>
      <c r="R800" s="1" t="n">
        <v>0</v>
      </c>
      <c r="S800" s="1"/>
      <c r="T800" s="1" t="n">
        <v>0</v>
      </c>
      <c r="U800" s="1" t="n">
        <v>0</v>
      </c>
      <c r="V800" s="1" t="n">
        <v>0</v>
      </c>
      <c r="W800" s="1"/>
      <c r="Y800" s="1" t="n">
        <v>6</v>
      </c>
      <c r="Z800" s="0" t="s">
        <v>175</v>
      </c>
      <c r="AA800" s="0" t="s">
        <v>187</v>
      </c>
      <c r="AH800" s="0" t="s">
        <v>180</v>
      </c>
      <c r="AJ800" s="0" t="s">
        <v>437</v>
      </c>
      <c r="AK800" s="0" t="s">
        <v>94</v>
      </c>
      <c r="AL800" s="0" t="s">
        <v>95</v>
      </c>
      <c r="AM800" s="0" t="s">
        <v>96</v>
      </c>
      <c r="AO800" s="0" t="s">
        <v>98</v>
      </c>
      <c r="AQ800" s="0" t="s">
        <v>100</v>
      </c>
    </row>
    <row r="801">
      <c r="B801" s="0" t="s">
        <v>2284</v>
      </c>
      <c r="C801" s="1" t="n">
        <v>352894</v>
      </c>
      <c r="E801" s="14" t="s">
        <v>2286</v>
      </c>
      <c r="F801" s="14" t="s">
        <v>2287</v>
      </c>
      <c r="G801" s="25" t="str">
        <f>HYPERLINK("https://otvet.mail.ru/answer/2030796813")</f>
      </c>
      <c r="H801" s="14" t="s">
        <v>264</v>
      </c>
      <c r="I801" s="14" t="s">
        <v>231</v>
      </c>
      <c r="J801" s="14" t="s">
        <v>2288</v>
      </c>
      <c r="K801" s="26" t="str">
        <f>HYPERLINK("https://otvet.mail.ru/profile/id24535156")</f>
      </c>
      <c r="L801" s="14" t="s">
        <v>173</v>
      </c>
      <c r="M801" s="14" t="s">
        <v>2289</v>
      </c>
      <c r="N801" s="25" t="str">
        <f>HYPERLINK("https://otvet.mail.ru/profile/id300186554")</f>
      </c>
      <c r="O801" s="1" t="s">
        <v>174</v>
      </c>
      <c r="P801" s="1"/>
      <c r="Q801" s="1"/>
      <c r="R801" s="1" t="n">
        <v>0</v>
      </c>
      <c r="S801" s="1"/>
      <c r="T801" s="1" t="n">
        <v>0</v>
      </c>
      <c r="U801" s="1" t="n">
        <v>0</v>
      </c>
      <c r="V801" s="1" t="n">
        <v>0</v>
      </c>
      <c r="W801" s="1"/>
      <c r="Y801" s="1" t="n">
        <v>1</v>
      </c>
      <c r="Z801" s="0" t="s">
        <v>463</v>
      </c>
      <c r="AA801" s="0" t="s">
        <v>187</v>
      </c>
      <c r="AH801" s="0" t="s">
        <v>180</v>
      </c>
      <c r="AJ801" s="0" t="s">
        <v>437</v>
      </c>
      <c r="AK801" s="0" t="s">
        <v>94</v>
      </c>
      <c r="AN801" s="0" t="s">
        <v>97</v>
      </c>
      <c r="AP801" s="0" t="s">
        <v>99</v>
      </c>
      <c r="AR801" s="0" t="s">
        <v>101</v>
      </c>
      <c r="AT801" s="0" t="s">
        <v>103</v>
      </c>
      <c r="AW801" s="0" t="s">
        <v>106</v>
      </c>
      <c r="BU801" s="0" t="s">
        <v>130</v>
      </c>
      <c r="BY801" s="0" t="s">
        <v>134</v>
      </c>
    </row>
    <row r="802">
      <c r="B802" s="0" t="s">
        <v>2290</v>
      </c>
      <c r="C802" s="1" t="n">
        <v>352963</v>
      </c>
      <c r="D802" s="0" t="s">
        <v>2291</v>
      </c>
      <c r="E802" s="14" t="s">
        <v>2292</v>
      </c>
      <c r="F802" s="14" t="s">
        <v>2293</v>
      </c>
      <c r="G802" s="25" t="str">
        <f>HYPERLINK("https://pikabu.ru/story/otvet_na_post_chay_ne_podslastit_i_gripp_ne_vyilechit_10135834?cid=270553384")</f>
      </c>
      <c r="H802" s="14" t="s">
        <v>264</v>
      </c>
      <c r="I802" s="14" t="s">
        <v>231</v>
      </c>
      <c r="J802" s="14" t="s">
        <v>2294</v>
      </c>
      <c r="K802" s="26" t="str">
        <f>HYPERLINK("https://pikabu.ru/@Agrocult")</f>
      </c>
      <c r="L802" s="14"/>
      <c r="M802" s="14" t="s">
        <v>2295</v>
      </c>
      <c r="N802" s="25" t="str">
        <f>HYPERLINK("https://pikabu.ru/@Senseless1987")</f>
      </c>
      <c r="O802" s="1" t="s">
        <v>174</v>
      </c>
      <c r="P802" s="1"/>
      <c r="Q802" s="1"/>
      <c r="R802" s="1" t="n">
        <v>0</v>
      </c>
      <c r="S802" s="1"/>
      <c r="T802" s="1" t="n">
        <v>0</v>
      </c>
      <c r="U802" s="1" t="n">
        <v>0</v>
      </c>
      <c r="V802" s="1" t="n">
        <v>0</v>
      </c>
      <c r="W802" s="1"/>
      <c r="Y802" s="1" t="n">
        <v>1</v>
      </c>
      <c r="Z802" s="0" t="s">
        <v>463</v>
      </c>
      <c r="AA802" s="0" t="s">
        <v>187</v>
      </c>
      <c r="AH802" s="0" t="s">
        <v>180</v>
      </c>
      <c r="AJ802" s="0" t="s">
        <v>437</v>
      </c>
      <c r="AK802" s="0" t="s">
        <v>94</v>
      </c>
      <c r="AP802" s="0" t="s">
        <v>99</v>
      </c>
      <c r="AR802" s="0" t="s">
        <v>101</v>
      </c>
      <c r="AT802" s="0" t="s">
        <v>103</v>
      </c>
      <c r="BY802" s="0" t="s">
        <v>134</v>
      </c>
      <c r="CG802" s="0" t="s">
        <v>142</v>
      </c>
    </row>
    <row r="803" ht="24.75">
      <c r="B803" s="0" t="s">
        <v>2290</v>
      </c>
      <c r="C803" s="1" t="n">
        <v>353530</v>
      </c>
      <c r="E803" s="14" t="s">
        <v>1356</v>
      </c>
      <c r="F803" s="14" t="s">
        <v>169</v>
      </c>
      <c r="G803" s="25" t="str">
        <f>HYPERLINK("http://www.ok.ru/profile/560508732759/statuses/155909256206423")</f>
      </c>
      <c r="H803" s="14" t="s">
        <v>170</v>
      </c>
      <c r="I803" s="14" t="s">
        <v>171</v>
      </c>
      <c r="J803" s="14" t="s">
        <v>2296</v>
      </c>
      <c r="K803" s="26" t="str">
        <f>HYPERLINK("http://www.ok.ru/profile/560508732759")</f>
      </c>
      <c r="L803" s="14" t="s">
        <v>173</v>
      </c>
      <c r="O803" s="1" t="s">
        <v>186</v>
      </c>
      <c r="P803" s="1"/>
      <c r="Q803" s="1" t="n">
        <v>192</v>
      </c>
      <c r="R803" s="1" t="n">
        <v>0</v>
      </c>
      <c r="S803" s="1"/>
      <c r="T803" s="1" t="n">
        <v>0</v>
      </c>
      <c r="U803" s="1" t="n">
        <v>0</v>
      </c>
      <c r="V803" s="1" t="n">
        <v>0</v>
      </c>
      <c r="W803" s="1"/>
      <c r="Y803" s="1" t="n">
        <v>93</v>
      </c>
      <c r="Z803" s="0" t="s">
        <v>175</v>
      </c>
      <c r="AA803" s="0" t="s">
        <v>187</v>
      </c>
      <c r="AC803" s="0" t="s">
        <v>177</v>
      </c>
      <c r="AD803" s="0" t="s">
        <v>1522</v>
      </c>
      <c r="AE803" s="0" t="s">
        <v>2297</v>
      </c>
      <c r="AH803" s="0" t="s">
        <v>180</v>
      </c>
      <c r="AJ803" s="0" t="s">
        <v>437</v>
      </c>
      <c r="AK803" s="0" t="s">
        <v>94</v>
      </c>
      <c r="AM803" s="0" t="s">
        <v>96</v>
      </c>
      <c r="AP803" s="0" t="s">
        <v>99</v>
      </c>
      <c r="AU803" s="0" t="s">
        <v>104</v>
      </c>
      <c r="AV803" s="0" t="s">
        <v>105</v>
      </c>
    </row>
    <row r="804">
      <c r="B804" s="0" t="s">
        <v>2298</v>
      </c>
      <c r="C804" s="1" t="n">
        <v>352813</v>
      </c>
      <c r="E804" s="14" t="s">
        <v>2299</v>
      </c>
      <c r="F804" s="14" t="s">
        <v>192</v>
      </c>
      <c r="G804" s="25" t="str">
        <f>HYPERLINK("https://telegram.me/emolandparty_chat/47758")</f>
      </c>
      <c r="H804" s="14" t="s">
        <v>193</v>
      </c>
      <c r="I804" s="14" t="s">
        <v>194</v>
      </c>
      <c r="J804" s="14" t="s">
        <v>2300</v>
      </c>
      <c r="K804" s="26" t="str">
        <f>HYPERLINK("https://telegram.me/whymestan")</f>
      </c>
      <c r="L804" s="14" t="s">
        <v>173</v>
      </c>
      <c r="M804" s="14" t="s">
        <v>2301</v>
      </c>
      <c r="N804" s="25" t="str">
        <f>HYPERLINK("https://telegram.me/emolandparty_chat")</f>
      </c>
      <c r="O804" s="1" t="s">
        <v>174</v>
      </c>
      <c r="P804" s="1"/>
      <c r="Q804" s="1" t="n">
        <v>215</v>
      </c>
      <c r="R804" s="1" t="n">
        <v>0</v>
      </c>
      <c r="S804" s="1"/>
      <c r="T804" s="1" t="n">
        <v>0</v>
      </c>
      <c r="U804" s="1" t="n">
        <v>0</v>
      </c>
      <c r="V804" s="1" t="n">
        <v>0</v>
      </c>
      <c r="W804" s="1"/>
      <c r="Y804" s="1" t="n">
        <v>1</v>
      </c>
      <c r="Z804" s="0" t="s">
        <v>175</v>
      </c>
      <c r="AA804" s="0" t="s">
        <v>187</v>
      </c>
      <c r="AH804" s="0" t="s">
        <v>180</v>
      </c>
      <c r="AJ804" s="0" t="s">
        <v>437</v>
      </c>
      <c r="AK804" s="0" t="s">
        <v>94</v>
      </c>
      <c r="AP804" s="0" t="s">
        <v>99</v>
      </c>
      <c r="AT804" s="0" t="s">
        <v>103</v>
      </c>
      <c r="BV804" s="0" t="s">
        <v>131</v>
      </c>
      <c r="BW804" s="0" t="s">
        <v>132</v>
      </c>
    </row>
    <row r="805" ht="1356.75">
      <c r="B805" s="0" t="s">
        <v>2302</v>
      </c>
      <c r="C805" s="1" t="n">
        <v>352897</v>
      </c>
      <c r="E805" s="14" t="s">
        <v>2303</v>
      </c>
      <c r="F805" s="14" t="s">
        <v>169</v>
      </c>
      <c r="G805" s="25" t="str">
        <f>HYPERLINK("http://www.ok.ru/group/68538272186415/topic/157513687420207")</f>
      </c>
      <c r="H805" s="14" t="s">
        <v>170</v>
      </c>
      <c r="I805" s="14" t="s">
        <v>194</v>
      </c>
      <c r="J805" s="14" t="s">
        <v>2304</v>
      </c>
      <c r="K805" s="26" t="str">
        <f>HYPERLINK("http://www.ok.ru/group/68538272186415")</f>
      </c>
      <c r="L805" s="14" t="s">
        <v>274</v>
      </c>
      <c r="O805" s="1"/>
      <c r="P805" s="1"/>
      <c r="Q805" s="1" t="n">
        <v>5954</v>
      </c>
      <c r="R805" s="1" t="n">
        <v>0</v>
      </c>
      <c r="S805" s="1"/>
      <c r="T805" s="1" t="n">
        <v>0</v>
      </c>
      <c r="U805" s="1" t="n">
        <v>0</v>
      </c>
      <c r="V805" s="1" t="n">
        <v>0</v>
      </c>
      <c r="W805" s="1"/>
      <c r="Y805" s="1" t="n">
        <v>1</v>
      </c>
      <c r="Z805" s="0" t="s">
        <v>175</v>
      </c>
      <c r="AA805" s="0" t="s">
        <v>176</v>
      </c>
      <c r="AH805" s="0" t="s">
        <v>180</v>
      </c>
      <c r="AJ805" s="0" t="s">
        <v>437</v>
      </c>
      <c r="AK805" s="0" t="s">
        <v>94</v>
      </c>
      <c r="AL805" s="0" t="s">
        <v>95</v>
      </c>
      <c r="AM805" s="0" t="s">
        <v>96</v>
      </c>
      <c r="AO805" s="0" t="s">
        <v>98</v>
      </c>
      <c r="AQ805" s="0" t="s">
        <v>100</v>
      </c>
    </row>
    <row r="806" ht="1212.75">
      <c r="B806" s="0" t="s">
        <v>2305</v>
      </c>
      <c r="C806" s="1" t="n">
        <v>352811</v>
      </c>
      <c r="E806" s="14" t="s">
        <v>683</v>
      </c>
      <c r="F806" s="14" t="s">
        <v>184</v>
      </c>
      <c r="G806" s="25" t="str">
        <f>HYPERLINK("http://vk.com/wall607343335_4321")</f>
      </c>
      <c r="H806" s="14" t="s">
        <v>170</v>
      </c>
      <c r="I806" s="14" t="s">
        <v>171</v>
      </c>
      <c r="J806" s="14" t="s">
        <v>2306</v>
      </c>
      <c r="K806" s="26" t="str">
        <f>HYPERLINK("http://vk.com/id607343335")</f>
      </c>
      <c r="L806" s="14" t="s">
        <v>173</v>
      </c>
      <c r="O806" s="1" t="s">
        <v>186</v>
      </c>
      <c r="P806" s="1"/>
      <c r="Q806" s="1" t="n">
        <v>350</v>
      </c>
      <c r="R806" s="1" t="n">
        <v>0</v>
      </c>
      <c r="S806" s="1"/>
      <c r="T806" s="1" t="n">
        <v>0</v>
      </c>
      <c r="U806" s="1" t="n">
        <v>0</v>
      </c>
      <c r="V806" s="1" t="n">
        <v>0</v>
      </c>
      <c r="W806" s="1" t="n">
        <v>3</v>
      </c>
      <c r="Y806" s="1" t="n">
        <v>22</v>
      </c>
      <c r="Z806" s="0" t="s">
        <v>175</v>
      </c>
      <c r="AA806" s="0" t="s">
        <v>187</v>
      </c>
      <c r="AH806" s="0" t="s">
        <v>180</v>
      </c>
      <c r="AJ806" s="0" t="s">
        <v>437</v>
      </c>
      <c r="AK806" s="0" t="s">
        <v>94</v>
      </c>
      <c r="AL806" s="0" t="s">
        <v>95</v>
      </c>
      <c r="AM806" s="0" t="s">
        <v>96</v>
      </c>
      <c r="AU806" s="0" t="s">
        <v>104</v>
      </c>
      <c r="AV806" s="0" t="s">
        <v>105</v>
      </c>
      <c r="AX806" s="0" t="s">
        <v>107</v>
      </c>
    </row>
    <row r="807" ht="36.75">
      <c r="B807" s="0" t="s">
        <v>2307</v>
      </c>
      <c r="C807" s="1" t="n">
        <v>353487</v>
      </c>
      <c r="E807" s="14" t="s">
        <v>1189</v>
      </c>
      <c r="F807" s="14" t="s">
        <v>169</v>
      </c>
      <c r="G807" s="25" t="str">
        <f>HYPERLINK("http://www.ok.ru/profile/576683517727/statuses/155065397121823")</f>
      </c>
      <c r="H807" s="14" t="s">
        <v>170</v>
      </c>
      <c r="I807" s="14" t="s">
        <v>171</v>
      </c>
      <c r="J807" s="14" t="s">
        <v>2308</v>
      </c>
      <c r="K807" s="26" t="str">
        <f>HYPERLINK("http://www.ok.ru/profile/576683517727")</f>
      </c>
      <c r="L807" s="14" t="s">
        <v>173</v>
      </c>
      <c r="O807" s="1" t="s">
        <v>186</v>
      </c>
      <c r="P807" s="1" t="n">
        <v>65</v>
      </c>
      <c r="Q807" s="1" t="n">
        <v>940</v>
      </c>
      <c r="R807" s="1" t="n">
        <v>0</v>
      </c>
      <c r="S807" s="1"/>
      <c r="T807" s="1" t="n">
        <v>1</v>
      </c>
      <c r="U807" s="1" t="n">
        <v>4</v>
      </c>
      <c r="V807" s="1" t="n">
        <v>5</v>
      </c>
      <c r="W807" s="1"/>
      <c r="Y807" s="1" t="n">
        <v>46</v>
      </c>
      <c r="Z807" s="0" t="s">
        <v>175</v>
      </c>
      <c r="AA807" s="0" t="s">
        <v>187</v>
      </c>
      <c r="AC807" s="0" t="s">
        <v>177</v>
      </c>
      <c r="AD807" s="0" t="s">
        <v>392</v>
      </c>
      <c r="AE807" s="0" t="s">
        <v>2054</v>
      </c>
      <c r="AH807" s="0" t="s">
        <v>180</v>
      </c>
      <c r="AJ807" s="0" t="s">
        <v>437</v>
      </c>
      <c r="AK807" s="0" t="s">
        <v>94</v>
      </c>
      <c r="AL807" s="0" t="s">
        <v>95</v>
      </c>
      <c r="AM807" s="0" t="s">
        <v>96</v>
      </c>
      <c r="AO807" s="0" t="s">
        <v>98</v>
      </c>
      <c r="AQ807" s="0" t="s">
        <v>100</v>
      </c>
    </row>
    <row r="808" ht="24.75">
      <c r="B808" s="0" t="s">
        <v>2309</v>
      </c>
      <c r="C808" s="1" t="n">
        <v>352807</v>
      </c>
      <c r="E808" s="14" t="s">
        <v>2310</v>
      </c>
      <c r="F808" s="14" t="s">
        <v>184</v>
      </c>
      <c r="G808" s="25" t="str">
        <f>HYPERLINK("http://vk.com/wall-146119392_295355?reply=295362&amp;thread=295357")</f>
      </c>
      <c r="H808" s="14" t="s">
        <v>170</v>
      </c>
      <c r="I808" s="14" t="s">
        <v>231</v>
      </c>
      <c r="J808" s="14" t="s">
        <v>2311</v>
      </c>
      <c r="K808" s="26" t="str">
        <f>HYPERLINK("http://vk.com/id281420944")</f>
      </c>
      <c r="L808" s="14" t="s">
        <v>173</v>
      </c>
      <c r="M808" s="14" t="s">
        <v>2312</v>
      </c>
      <c r="N808" s="25" t="str">
        <f>HYPERLINK("http://vk.com/club146119392")</f>
      </c>
      <c r="O808" s="1" t="s">
        <v>186</v>
      </c>
      <c r="P808" s="1" t="n">
        <v>36</v>
      </c>
      <c r="Q808" s="1" t="n">
        <v>15109</v>
      </c>
      <c r="R808" s="1" t="n">
        <v>0</v>
      </c>
      <c r="S808" s="1"/>
      <c r="T808" s="1" t="n">
        <v>0</v>
      </c>
      <c r="U808" s="1" t="n">
        <v>0</v>
      </c>
      <c r="V808" s="1" t="n">
        <v>0</v>
      </c>
      <c r="W808" s="1"/>
      <c r="Y808" s="1" t="n">
        <v>1</v>
      </c>
      <c r="Z808" s="0" t="s">
        <v>175</v>
      </c>
      <c r="AA808" s="0" t="s">
        <v>187</v>
      </c>
      <c r="AH808" s="0" t="s">
        <v>180</v>
      </c>
      <c r="AI808" s="0" t="s">
        <v>92</v>
      </c>
      <c r="AJ808" s="0" t="s">
        <v>437</v>
      </c>
      <c r="AK808" s="0" t="s">
        <v>94</v>
      </c>
      <c r="AP808" s="0" t="s">
        <v>99</v>
      </c>
      <c r="AT808" s="0" t="s">
        <v>103</v>
      </c>
      <c r="BC808" s="0" t="s">
        <v>112</v>
      </c>
      <c r="BV808" s="0" t="s">
        <v>131</v>
      </c>
    </row>
    <row r="809" ht="120.75">
      <c r="B809" s="0" t="s">
        <v>2313</v>
      </c>
      <c r="C809" s="1" t="n">
        <v>352868</v>
      </c>
      <c r="E809" s="14" t="s">
        <v>1846</v>
      </c>
      <c r="F809" s="14" t="s">
        <v>169</v>
      </c>
      <c r="G809" s="25" t="str">
        <f>HYPERLINK("http://www.ok.ru/profile/528811054734/statuses/156073147779982")</f>
      </c>
      <c r="H809" s="14" t="s">
        <v>170</v>
      </c>
      <c r="I809" s="14" t="s">
        <v>171</v>
      </c>
      <c r="J809" s="14" t="s">
        <v>2314</v>
      </c>
      <c r="K809" s="26" t="str">
        <f>HYPERLINK("http://www.ok.ru/profile/528811054734")</f>
      </c>
      <c r="L809" s="14" t="s">
        <v>173</v>
      </c>
      <c r="O809" s="1" t="s">
        <v>186</v>
      </c>
      <c r="P809" s="1" t="n">
        <v>63</v>
      </c>
      <c r="Q809" s="1" t="n">
        <v>1040</v>
      </c>
      <c r="R809" s="1" t="n">
        <v>0</v>
      </c>
      <c r="S809" s="1"/>
      <c r="T809" s="1" t="n">
        <v>1</v>
      </c>
      <c r="U809" s="1" t="n">
        <v>6</v>
      </c>
      <c r="V809" s="1" t="n">
        <v>7</v>
      </c>
      <c r="W809" s="1"/>
      <c r="Y809" s="1" t="n">
        <v>6</v>
      </c>
      <c r="Z809" s="0" t="s">
        <v>175</v>
      </c>
      <c r="AA809" s="0" t="s">
        <v>176</v>
      </c>
      <c r="AC809" s="0" t="s">
        <v>177</v>
      </c>
      <c r="AD809" s="0" t="s">
        <v>1930</v>
      </c>
      <c r="AE809" s="0" t="s">
        <v>2315</v>
      </c>
      <c r="AH809" s="0" t="s">
        <v>180</v>
      </c>
      <c r="AJ809" s="0" t="s">
        <v>437</v>
      </c>
      <c r="AL809" s="0" t="s">
        <v>95</v>
      </c>
      <c r="AM809" s="0" t="s">
        <v>96</v>
      </c>
      <c r="AO809" s="0" t="s">
        <v>98</v>
      </c>
    </row>
    <row r="810" ht="24.75">
      <c r="B810" s="0" t="s">
        <v>2316</v>
      </c>
      <c r="C810" s="1" t="n">
        <v>352836</v>
      </c>
      <c r="E810" s="14" t="s">
        <v>2317</v>
      </c>
      <c r="F810" s="14" t="s">
        <v>169</v>
      </c>
      <c r="G810" s="25" t="str">
        <f>HYPERLINK("http://www.ok.ru/profile/587935311872/statuses/160956862826496")</f>
      </c>
      <c r="H810" s="14" t="s">
        <v>170</v>
      </c>
      <c r="I810" s="14" t="s">
        <v>171</v>
      </c>
      <c r="J810" s="14" t="s">
        <v>2318</v>
      </c>
      <c r="K810" s="26" t="str">
        <f>HYPERLINK("http://www.ok.ru/profile/587935311872")</f>
      </c>
      <c r="L810" s="14" t="s">
        <v>173</v>
      </c>
      <c r="O810" s="1" t="s">
        <v>186</v>
      </c>
      <c r="P810" s="1" t="n">
        <v>67</v>
      </c>
      <c r="Q810" s="1" t="n">
        <v>1436</v>
      </c>
      <c r="R810" s="1" t="n">
        <v>3</v>
      </c>
      <c r="S810" s="1"/>
      <c r="T810" s="1" t="n">
        <v>0</v>
      </c>
      <c r="U810" s="1" t="n">
        <v>15</v>
      </c>
      <c r="V810" s="1" t="n">
        <v>18</v>
      </c>
      <c r="W810" s="1"/>
      <c r="Y810" s="1" t="n">
        <v>1</v>
      </c>
      <c r="Z810" s="0" t="s">
        <v>175</v>
      </c>
      <c r="AA810" s="0" t="s">
        <v>176</v>
      </c>
      <c r="AC810" s="0" t="s">
        <v>177</v>
      </c>
      <c r="AD810" s="0" t="s">
        <v>1004</v>
      </c>
      <c r="AE810" s="0" t="s">
        <v>2319</v>
      </c>
      <c r="AH810" s="0" t="s">
        <v>180</v>
      </c>
      <c r="AJ810" s="0" t="s">
        <v>437</v>
      </c>
      <c r="AK810" s="0" t="s">
        <v>94</v>
      </c>
      <c r="AL810" s="0" t="s">
        <v>95</v>
      </c>
      <c r="AM810" s="0" t="s">
        <v>96</v>
      </c>
      <c r="AO810" s="0" t="s">
        <v>98</v>
      </c>
      <c r="AQ810" s="0" t="s">
        <v>100</v>
      </c>
    </row>
    <row r="811" ht="24.75">
      <c r="B811" s="0" t="s">
        <v>2320</v>
      </c>
      <c r="C811" s="1" t="n">
        <v>352919</v>
      </c>
      <c r="E811" s="14" t="s">
        <v>1102</v>
      </c>
      <c r="F811" s="14" t="s">
        <v>169</v>
      </c>
      <c r="G811" s="25" t="str">
        <f>HYPERLINK("http://www.ok.ru/profile/551981250389/statuses/155837017293653")</f>
      </c>
      <c r="H811" s="14" t="s">
        <v>170</v>
      </c>
      <c r="I811" s="14" t="s">
        <v>171</v>
      </c>
      <c r="J811" s="14" t="s">
        <v>2321</v>
      </c>
      <c r="K811" s="26" t="str">
        <f>HYPERLINK("http://www.ok.ru/profile/551981250389")</f>
      </c>
      <c r="L811" s="14" t="s">
        <v>173</v>
      </c>
      <c r="O811" s="1" t="s">
        <v>186</v>
      </c>
      <c r="P811" s="1" t="n">
        <v>68</v>
      </c>
      <c r="Q811" s="1" t="n">
        <v>294</v>
      </c>
      <c r="R811" s="1" t="n">
        <v>0</v>
      </c>
      <c r="S811" s="1"/>
      <c r="T811" s="1" t="n">
        <v>1</v>
      </c>
      <c r="U811" s="1" t="n">
        <v>0</v>
      </c>
      <c r="V811" s="1" t="n">
        <v>1</v>
      </c>
      <c r="W811" s="1"/>
      <c r="Y811" s="1" t="n">
        <v>93</v>
      </c>
      <c r="Z811" s="0" t="s">
        <v>175</v>
      </c>
      <c r="AA811" s="0" t="s">
        <v>187</v>
      </c>
      <c r="AC811" s="0" t="s">
        <v>177</v>
      </c>
      <c r="AH811" s="0" t="s">
        <v>180</v>
      </c>
      <c r="AJ811" s="0" t="s">
        <v>437</v>
      </c>
      <c r="AK811" s="0" t="s">
        <v>94</v>
      </c>
      <c r="AL811" s="0" t="s">
        <v>95</v>
      </c>
      <c r="AM811" s="0" t="s">
        <v>96</v>
      </c>
      <c r="AU811" s="0" t="s">
        <v>104</v>
      </c>
      <c r="AV811" s="0" t="s">
        <v>105</v>
      </c>
    </row>
    <row r="812" ht="1200.75">
      <c r="B812" s="0" t="s">
        <v>2322</v>
      </c>
      <c r="C812" s="1" t="n">
        <v>353141</v>
      </c>
      <c r="E812" s="14" t="s">
        <v>2323</v>
      </c>
      <c r="F812" s="14" t="s">
        <v>169</v>
      </c>
      <c r="G812" s="25" t="str">
        <f>HYPERLINK("http://www.ok.ru/profile/520305862555/statuses/155107105172891")</f>
      </c>
      <c r="H812" s="14" t="s">
        <v>170</v>
      </c>
      <c r="I812" s="14" t="s">
        <v>171</v>
      </c>
      <c r="J812" s="14" t="s">
        <v>2324</v>
      </c>
      <c r="K812" s="26" t="str">
        <f>HYPERLINK("http://www.ok.ru/profile/520305862555")</f>
      </c>
      <c r="L812" s="14" t="s">
        <v>173</v>
      </c>
      <c r="O812" s="1" t="s">
        <v>186</v>
      </c>
      <c r="P812" s="1"/>
      <c r="Q812" s="1" t="n">
        <v>411</v>
      </c>
      <c r="R812" s="1" t="n">
        <v>0</v>
      </c>
      <c r="S812" s="1"/>
      <c r="T812" s="1" t="n">
        <v>0</v>
      </c>
      <c r="U812" s="1" t="n">
        <v>1</v>
      </c>
      <c r="V812" s="1" t="n">
        <v>1</v>
      </c>
      <c r="W812" s="1"/>
      <c r="Y812" s="1" t="n">
        <v>5</v>
      </c>
      <c r="Z812" s="0" t="s">
        <v>175</v>
      </c>
      <c r="AA812" s="0" t="s">
        <v>187</v>
      </c>
      <c r="AC812" s="0" t="s">
        <v>177</v>
      </c>
      <c r="AD812" s="0" t="s">
        <v>1509</v>
      </c>
      <c r="AE812" s="0" t="s">
        <v>1510</v>
      </c>
      <c r="AH812" s="0" t="s">
        <v>180</v>
      </c>
      <c r="AJ812" s="0" t="s">
        <v>437</v>
      </c>
      <c r="AK812" s="0" t="s">
        <v>94</v>
      </c>
      <c r="AL812" s="0" t="s">
        <v>95</v>
      </c>
      <c r="AM812" s="0" t="s">
        <v>96</v>
      </c>
      <c r="AX812" s="0" t="s">
        <v>107</v>
      </c>
    </row>
    <row r="813" ht="24.75">
      <c r="B813" s="0" t="s">
        <v>2325</v>
      </c>
      <c r="C813" s="1" t="n">
        <v>352889</v>
      </c>
      <c r="E813" s="14" t="s">
        <v>1102</v>
      </c>
      <c r="F813" s="14" t="s">
        <v>169</v>
      </c>
      <c r="G813" s="25" t="str">
        <f>HYPERLINK("http://www.ok.ru/profile/570772885473/statuses/155498741819617")</f>
      </c>
      <c r="H813" s="14" t="s">
        <v>170</v>
      </c>
      <c r="I813" s="14" t="s">
        <v>171</v>
      </c>
      <c r="J813" s="14" t="s">
        <v>2326</v>
      </c>
      <c r="K813" s="26" t="str">
        <f>HYPERLINK("http://www.ok.ru/profile/570772885473")</f>
      </c>
      <c r="L813" s="14" t="s">
        <v>173</v>
      </c>
      <c r="O813" s="1" t="s">
        <v>186</v>
      </c>
      <c r="P813" s="1" t="n">
        <v>59</v>
      </c>
      <c r="Q813" s="1" t="n">
        <v>406</v>
      </c>
      <c r="R813" s="1" t="n">
        <v>0</v>
      </c>
      <c r="S813" s="1"/>
      <c r="T813" s="1" t="n">
        <v>0</v>
      </c>
      <c r="U813" s="1" t="n">
        <v>0</v>
      </c>
      <c r="V813" s="1" t="n">
        <v>0</v>
      </c>
      <c r="W813" s="1"/>
      <c r="Y813" s="1" t="n">
        <v>93</v>
      </c>
      <c r="Z813" s="0" t="s">
        <v>175</v>
      </c>
      <c r="AA813" s="0" t="s">
        <v>187</v>
      </c>
      <c r="AC813" s="0" t="s">
        <v>177</v>
      </c>
      <c r="AD813" s="0" t="s">
        <v>332</v>
      </c>
      <c r="AE813" s="0" t="s">
        <v>332</v>
      </c>
      <c r="AH813" s="0" t="s">
        <v>180</v>
      </c>
      <c r="AJ813" s="0" t="s">
        <v>437</v>
      </c>
      <c r="AK813" s="0" t="s">
        <v>94</v>
      </c>
      <c r="AL813" s="0" t="s">
        <v>95</v>
      </c>
      <c r="AM813" s="0" t="s">
        <v>96</v>
      </c>
      <c r="AU813" s="0" t="s">
        <v>104</v>
      </c>
      <c r="AV813" s="0" t="s">
        <v>105</v>
      </c>
    </row>
    <row r="814" ht="24.75">
      <c r="B814" s="0" t="s">
        <v>2327</v>
      </c>
      <c r="C814" s="1" t="n">
        <v>353030</v>
      </c>
      <c r="E814" s="14" t="s">
        <v>2328</v>
      </c>
      <c r="F814" s="14" t="s">
        <v>169</v>
      </c>
      <c r="G814" s="25" t="str">
        <f>HYPERLINK("http://www.ok.ru/profile/487039269171/statuses/156014926575667")</f>
      </c>
      <c r="H814" s="14" t="s">
        <v>170</v>
      </c>
      <c r="I814" s="14" t="s">
        <v>171</v>
      </c>
      <c r="J814" s="14" t="s">
        <v>2329</v>
      </c>
      <c r="K814" s="26" t="str">
        <f>HYPERLINK("http://www.ok.ru/profile/487039269171")</f>
      </c>
      <c r="L814" s="14" t="s">
        <v>173</v>
      </c>
      <c r="O814" s="1" t="s">
        <v>186</v>
      </c>
      <c r="P814" s="1"/>
      <c r="Q814" s="1" t="n">
        <v>465</v>
      </c>
      <c r="R814" s="1" t="n">
        <v>0</v>
      </c>
      <c r="S814" s="1"/>
      <c r="T814" s="1" t="n">
        <v>0</v>
      </c>
      <c r="U814" s="1" t="n">
        <v>0</v>
      </c>
      <c r="V814" s="1" t="n">
        <v>0</v>
      </c>
      <c r="W814" s="1"/>
      <c r="Y814" s="1" t="n">
        <v>3</v>
      </c>
      <c r="Z814" s="0" t="s">
        <v>175</v>
      </c>
      <c r="AA814" s="0" t="s">
        <v>187</v>
      </c>
      <c r="AC814" s="0" t="s">
        <v>177</v>
      </c>
      <c r="AD814" s="0" t="s">
        <v>1714</v>
      </c>
      <c r="AE814" s="0" t="s">
        <v>2330</v>
      </c>
      <c r="AH814" s="0" t="s">
        <v>180</v>
      </c>
      <c r="AJ814" s="0" t="s">
        <v>437</v>
      </c>
      <c r="AK814" s="0" t="s">
        <v>94</v>
      </c>
      <c r="AL814" s="0" t="s">
        <v>95</v>
      </c>
      <c r="AM814" s="0" t="s">
        <v>96</v>
      </c>
      <c r="BC814" s="0" t="s">
        <v>112</v>
      </c>
      <c r="BI814" s="0" t="s">
        <v>118</v>
      </c>
      <c r="BN814" s="0" t="s">
        <v>123</v>
      </c>
    </row>
    <row r="815" ht="24.75">
      <c r="B815" s="0" t="s">
        <v>2331</v>
      </c>
      <c r="C815" s="1" t="n">
        <v>352816</v>
      </c>
      <c r="E815" s="14" t="s">
        <v>2328</v>
      </c>
      <c r="F815" s="14" t="s">
        <v>169</v>
      </c>
      <c r="G815" s="25" t="str">
        <f>HYPERLINK("http://www.ok.ru/profile/527966923488/statuses/154797015252448")</f>
      </c>
      <c r="H815" s="14" t="s">
        <v>170</v>
      </c>
      <c r="I815" s="14" t="s">
        <v>171</v>
      </c>
      <c r="J815" s="14" t="s">
        <v>2332</v>
      </c>
      <c r="K815" s="26" t="str">
        <f>HYPERLINK("http://www.ok.ru/profile/527966923488")</f>
      </c>
      <c r="L815" s="14" t="s">
        <v>173</v>
      </c>
      <c r="O815" s="1" t="s">
        <v>186</v>
      </c>
      <c r="P815" s="1" t="n">
        <v>37</v>
      </c>
      <c r="Q815" s="1" t="n">
        <v>107</v>
      </c>
      <c r="R815" s="1" t="n">
        <v>0</v>
      </c>
      <c r="S815" s="1"/>
      <c r="T815" s="1" t="n">
        <v>0</v>
      </c>
      <c r="U815" s="1" t="n">
        <v>1</v>
      </c>
      <c r="V815" s="1" t="n">
        <v>1</v>
      </c>
      <c r="W815" s="1"/>
      <c r="Y815" s="1" t="n">
        <v>3</v>
      </c>
      <c r="Z815" s="0" t="s">
        <v>175</v>
      </c>
      <c r="AA815" s="0" t="s">
        <v>187</v>
      </c>
      <c r="AC815" s="0" t="s">
        <v>177</v>
      </c>
      <c r="AH815" s="0" t="s">
        <v>180</v>
      </c>
      <c r="AJ815" s="0" t="s">
        <v>437</v>
      </c>
      <c r="AK815" s="0" t="s">
        <v>94</v>
      </c>
      <c r="AL815" s="0" t="s">
        <v>95</v>
      </c>
      <c r="AM815" s="0" t="s">
        <v>96</v>
      </c>
      <c r="BC815" s="0" t="s">
        <v>112</v>
      </c>
      <c r="BI815" s="0" t="s">
        <v>118</v>
      </c>
      <c r="BN815" s="0" t="s">
        <v>123</v>
      </c>
    </row>
    <row r="816" ht="24.75">
      <c r="B816" s="0" t="s">
        <v>2333</v>
      </c>
      <c r="C816" s="1" t="n">
        <v>352818</v>
      </c>
      <c r="E816" s="14" t="s">
        <v>2328</v>
      </c>
      <c r="F816" s="14" t="s">
        <v>169</v>
      </c>
      <c r="G816" s="25" t="str">
        <f>HYPERLINK("http://www.ok.ru/group/57971426459692/topic/156194525744428")</f>
      </c>
      <c r="H816" s="14" t="s">
        <v>170</v>
      </c>
      <c r="I816" s="14" t="s">
        <v>194</v>
      </c>
      <c r="J816" s="14" t="s">
        <v>2334</v>
      </c>
      <c r="K816" s="26" t="str">
        <f>HYPERLINK("http://www.ok.ru/group/57971426459692")</f>
      </c>
      <c r="L816" s="14" t="s">
        <v>274</v>
      </c>
      <c r="O816" s="1"/>
      <c r="P816" s="1"/>
      <c r="Q816" s="1" t="n">
        <v>23175</v>
      </c>
      <c r="R816" s="1" t="n">
        <v>0</v>
      </c>
      <c r="S816" s="1"/>
      <c r="T816" s="1" t="n">
        <v>3</v>
      </c>
      <c r="U816" s="1" t="n">
        <v>9</v>
      </c>
      <c r="V816" s="1" t="n">
        <v>12</v>
      </c>
      <c r="W816" s="1"/>
      <c r="Y816" s="1" t="n">
        <v>3</v>
      </c>
      <c r="Z816" s="0" t="s">
        <v>175</v>
      </c>
      <c r="AA816" s="0" t="s">
        <v>187</v>
      </c>
      <c r="AH816" s="0" t="s">
        <v>180</v>
      </c>
      <c r="AJ816" s="0" t="s">
        <v>437</v>
      </c>
      <c r="AK816" s="0" t="s">
        <v>94</v>
      </c>
      <c r="AL816" s="0" t="s">
        <v>95</v>
      </c>
      <c r="AM816" s="0" t="s">
        <v>96</v>
      </c>
      <c r="BC816" s="0" t="s">
        <v>112</v>
      </c>
      <c r="BI816" s="0" t="s">
        <v>118</v>
      </c>
      <c r="BN816" s="0" t="s">
        <v>123</v>
      </c>
    </row>
    <row r="817" ht="24.75">
      <c r="B817" s="0" t="s">
        <v>2333</v>
      </c>
      <c r="C817" s="1" t="n">
        <v>352793</v>
      </c>
      <c r="E817" s="14" t="s">
        <v>2335</v>
      </c>
      <c r="F817" s="14" t="s">
        <v>870</v>
      </c>
      <c r="G817" s="25" t="str">
        <f>HYPERLINK("https://dzen.ru/a/ZDgjEIYkRh3GBFBR#comment_1610277494")</f>
      </c>
      <c r="H817" s="14" t="s">
        <v>376</v>
      </c>
      <c r="I817" s="14" t="s">
        <v>231</v>
      </c>
      <c r="J817" s="14" t="s">
        <v>1718</v>
      </c>
      <c r="K817" s="26" t="str">
        <f>HYPERLINK("https://dzen.ru/id/60e7ed2cd0f55c5dfd1a0543")</f>
      </c>
      <c r="L817" s="14" t="s">
        <v>173</v>
      </c>
      <c r="M817" s="14" t="s">
        <v>1719</v>
      </c>
      <c r="N817" s="25" t="str">
        <f>HYPERLINK("https://dzen.ru/id/60681da99678a719cc83d540")</f>
      </c>
      <c r="O817" s="1"/>
      <c r="P817" s="1"/>
      <c r="Q817" s="1" t="n">
        <v>2924</v>
      </c>
      <c r="R817" s="1" t="n">
        <v>0</v>
      </c>
      <c r="S817" s="1"/>
      <c r="T817" s="1" t="n">
        <v>0</v>
      </c>
      <c r="U817" s="1" t="n">
        <v>0</v>
      </c>
      <c r="V817" s="1" t="n">
        <v>0</v>
      </c>
      <c r="W817" s="1"/>
      <c r="Y817" s="1" t="n">
        <v>1</v>
      </c>
      <c r="Z817" s="0" t="s">
        <v>175</v>
      </c>
      <c r="AA817" s="0" t="s">
        <v>292</v>
      </c>
      <c r="AH817" s="0" t="s">
        <v>180</v>
      </c>
      <c r="AI817" s="0" t="s">
        <v>92</v>
      </c>
      <c r="AJ817" s="0" t="s">
        <v>437</v>
      </c>
      <c r="AP817" s="0" t="s">
        <v>99</v>
      </c>
      <c r="AY817" s="0" t="s">
        <v>108</v>
      </c>
      <c r="BD817" s="0" t="s">
        <v>113</v>
      </c>
      <c r="BV817" s="0" t="s">
        <v>131</v>
      </c>
    </row>
    <row r="818" ht="36.75">
      <c r="B818" s="0" t="s">
        <v>2333</v>
      </c>
      <c r="C818" s="1" t="n">
        <v>352776</v>
      </c>
      <c r="E818" s="14" t="s">
        <v>202</v>
      </c>
      <c r="F818" s="14" t="s">
        <v>184</v>
      </c>
      <c r="G818" s="25" t="str">
        <f>HYPERLINK("http://vk.com/wall617388038_8963")</f>
      </c>
      <c r="H818" s="14" t="s">
        <v>170</v>
      </c>
      <c r="I818" s="14" t="s">
        <v>171</v>
      </c>
      <c r="J818" s="14" t="s">
        <v>2336</v>
      </c>
      <c r="K818" s="26" t="str">
        <f>HYPERLINK("http://vk.com/id617388038")</f>
      </c>
      <c r="L818" s="14" t="s">
        <v>173</v>
      </c>
      <c r="O818" s="1" t="s">
        <v>186</v>
      </c>
      <c r="P818" s="1" t="n">
        <v>62</v>
      </c>
      <c r="Q818" s="1" t="n">
        <v>14</v>
      </c>
      <c r="R818" s="1" t="n">
        <v>0</v>
      </c>
      <c r="S818" s="1"/>
      <c r="T818" s="1" t="n">
        <v>0</v>
      </c>
      <c r="U818" s="1" t="n">
        <v>0</v>
      </c>
      <c r="V818" s="1" t="n">
        <v>0</v>
      </c>
      <c r="W818" s="1"/>
      <c r="Y818" s="1" t="n">
        <v>61</v>
      </c>
      <c r="Z818" s="0" t="s">
        <v>175</v>
      </c>
      <c r="AA818" s="0" t="s">
        <v>176</v>
      </c>
      <c r="AH818" s="0" t="s">
        <v>180</v>
      </c>
      <c r="AJ818" s="0" t="s">
        <v>437</v>
      </c>
      <c r="AK818" s="0" t="s">
        <v>94</v>
      </c>
      <c r="AL818" s="0" t="s">
        <v>95</v>
      </c>
      <c r="AM818" s="0" t="s">
        <v>96</v>
      </c>
      <c r="AO818" s="0" t="s">
        <v>98</v>
      </c>
      <c r="AQ818" s="0" t="s">
        <v>100</v>
      </c>
    </row>
    <row r="819" ht="120.75">
      <c r="B819" s="0" t="s">
        <v>2333</v>
      </c>
      <c r="C819" s="1" t="n">
        <v>352777</v>
      </c>
      <c r="E819" s="14" t="s">
        <v>1846</v>
      </c>
      <c r="F819" s="14" t="s">
        <v>169</v>
      </c>
      <c r="G819" s="25" t="str">
        <f>HYPERLINK("http://www.ok.ru/profile/368688701375/statuses/155193632748991")</f>
      </c>
      <c r="H819" s="14" t="s">
        <v>170</v>
      </c>
      <c r="I819" s="14" t="s">
        <v>171</v>
      </c>
      <c r="J819" s="14" t="s">
        <v>2337</v>
      </c>
      <c r="K819" s="26" t="str">
        <f>HYPERLINK("http://www.ok.ru/profile/368688701375")</f>
      </c>
      <c r="L819" s="14" t="s">
        <v>173</v>
      </c>
      <c r="O819" s="1" t="s">
        <v>174</v>
      </c>
      <c r="P819" s="1" t="n">
        <v>43</v>
      </c>
      <c r="Q819" s="1" t="n">
        <v>6162</v>
      </c>
      <c r="R819" s="1" t="n">
        <v>0</v>
      </c>
      <c r="S819" s="1"/>
      <c r="T819" s="1" t="n">
        <v>1</v>
      </c>
      <c r="U819" s="1" t="n">
        <v>3</v>
      </c>
      <c r="V819" s="1" t="n">
        <v>4</v>
      </c>
      <c r="W819" s="1"/>
      <c r="Y819" s="1" t="n">
        <v>6</v>
      </c>
      <c r="Z819" s="0" t="s">
        <v>175</v>
      </c>
      <c r="AA819" s="0" t="s">
        <v>176</v>
      </c>
      <c r="AC819" s="0" t="s">
        <v>177</v>
      </c>
      <c r="AD819" s="0" t="s">
        <v>178</v>
      </c>
      <c r="AE819" s="0" t="s">
        <v>1703</v>
      </c>
      <c r="AH819" s="0" t="s">
        <v>180</v>
      </c>
      <c r="AJ819" s="0" t="s">
        <v>437</v>
      </c>
      <c r="AL819" s="0" t="s">
        <v>95</v>
      </c>
      <c r="AM819" s="0" t="s">
        <v>96</v>
      </c>
      <c r="AO819" s="0" t="s">
        <v>98</v>
      </c>
    </row>
    <row r="820" ht="180.75">
      <c r="B820" s="0" t="s">
        <v>2333</v>
      </c>
      <c r="C820" s="1" t="n">
        <v>352771</v>
      </c>
      <c r="E820" s="14" t="s">
        <v>2338</v>
      </c>
      <c r="F820" s="14" t="s">
        <v>184</v>
      </c>
      <c r="G820" s="25" t="str">
        <f>HYPERLINK("http://vk.com/wall-169324153_71474")</f>
      </c>
      <c r="H820" s="14" t="s">
        <v>170</v>
      </c>
      <c r="I820" s="14" t="s">
        <v>194</v>
      </c>
      <c r="J820" s="14" t="s">
        <v>2339</v>
      </c>
      <c r="K820" s="26" t="str">
        <f>HYPERLINK("http://vk.com/club169324153")</f>
      </c>
      <c r="L820" s="14" t="s">
        <v>274</v>
      </c>
      <c r="O820" s="1"/>
      <c r="P820" s="1"/>
      <c r="Q820" s="1" t="n">
        <v>72380</v>
      </c>
      <c r="R820" s="1" t="n">
        <v>0</v>
      </c>
      <c r="S820" s="1"/>
      <c r="T820" s="1" t="n">
        <v>1</v>
      </c>
      <c r="U820" s="1" t="n">
        <v>1</v>
      </c>
      <c r="V820" s="1" t="n">
        <v>2</v>
      </c>
      <c r="W820" s="1" t="n">
        <v>203</v>
      </c>
      <c r="Y820" s="1" t="n">
        <v>1</v>
      </c>
      <c r="Z820" s="0" t="s">
        <v>175</v>
      </c>
      <c r="AA820" s="0" t="s">
        <v>176</v>
      </c>
      <c r="AH820" s="0" t="s">
        <v>180</v>
      </c>
      <c r="AJ820" s="0" t="s">
        <v>437</v>
      </c>
      <c r="AK820" s="0" t="s">
        <v>94</v>
      </c>
      <c r="AL820" s="0" t="s">
        <v>95</v>
      </c>
      <c r="AO820" s="0" t="s">
        <v>98</v>
      </c>
      <c r="AQ820" s="0" t="s">
        <v>100</v>
      </c>
      <c r="AR820" s="0" t="s">
        <v>101</v>
      </c>
      <c r="AV820" s="0" t="s">
        <v>105</v>
      </c>
      <c r="BA820" s="0" t="s">
        <v>110</v>
      </c>
      <c r="BC820" s="0" t="s">
        <v>112</v>
      </c>
      <c r="BH820" s="0" t="s">
        <v>117</v>
      </c>
      <c r="CN820" s="0" t="s">
        <v>149</v>
      </c>
    </row>
    <row r="821" ht="24.75">
      <c r="B821" s="0" t="s">
        <v>2340</v>
      </c>
      <c r="C821" s="1" t="n">
        <v>352779</v>
      </c>
      <c r="E821" s="14" t="s">
        <v>1307</v>
      </c>
      <c r="F821" s="14" t="s">
        <v>184</v>
      </c>
      <c r="G821" s="25" t="str">
        <f>HYPERLINK("http://vk.com/wall773553283_327")</f>
      </c>
      <c r="H821" s="14" t="s">
        <v>170</v>
      </c>
      <c r="I821" s="14" t="s">
        <v>171</v>
      </c>
      <c r="J821" s="14" t="s">
        <v>2341</v>
      </c>
      <c r="K821" s="26" t="str">
        <f>HYPERLINK("http://vk.com/id773553283")</f>
      </c>
      <c r="L821" s="14" t="s">
        <v>173</v>
      </c>
      <c r="O821" s="1" t="s">
        <v>186</v>
      </c>
      <c r="P821" s="1" t="n">
        <v>71</v>
      </c>
      <c r="Q821" s="1" t="n">
        <v>51</v>
      </c>
      <c r="R821" s="1" t="n">
        <v>0</v>
      </c>
      <c r="S821" s="1"/>
      <c r="T821" s="1" t="n">
        <v>0</v>
      </c>
      <c r="U821" s="1" t="n">
        <v>0</v>
      </c>
      <c r="V821" s="1" t="n">
        <v>0</v>
      </c>
      <c r="W821" s="1" t="n">
        <v>1</v>
      </c>
      <c r="Y821" s="1" t="n">
        <v>6</v>
      </c>
      <c r="Z821" s="0" t="s">
        <v>175</v>
      </c>
      <c r="AA821" s="0" t="s">
        <v>187</v>
      </c>
      <c r="AH821" s="0" t="s">
        <v>180</v>
      </c>
      <c r="AJ821" s="0" t="s">
        <v>437</v>
      </c>
      <c r="AK821" s="0" t="s">
        <v>94</v>
      </c>
      <c r="AL821" s="0" t="s">
        <v>95</v>
      </c>
      <c r="AM821" s="0" t="s">
        <v>96</v>
      </c>
      <c r="AO821" s="0" t="s">
        <v>98</v>
      </c>
      <c r="AQ821" s="0" t="s">
        <v>100</v>
      </c>
    </row>
    <row r="822" ht="24.75">
      <c r="B822" s="0" t="s">
        <v>2340</v>
      </c>
      <c r="C822" s="1" t="n">
        <v>353008</v>
      </c>
      <c r="E822" s="14" t="s">
        <v>554</v>
      </c>
      <c r="F822" s="14" t="s">
        <v>169</v>
      </c>
      <c r="G822" s="25" t="str">
        <f>HYPERLINK("http://www.ok.ru/profile/387163806795/statuses/156042697527371")</f>
      </c>
      <c r="H822" s="14" t="s">
        <v>170</v>
      </c>
      <c r="I822" s="14" t="s">
        <v>171</v>
      </c>
      <c r="J822" s="14" t="s">
        <v>2342</v>
      </c>
      <c r="K822" s="26" t="str">
        <f>HYPERLINK("http://www.ok.ru/profile/387163806795")</f>
      </c>
      <c r="L822" s="14" t="s">
        <v>173</v>
      </c>
      <c r="O822" s="1" t="s">
        <v>186</v>
      </c>
      <c r="P822" s="1" t="n">
        <v>68</v>
      </c>
      <c r="Q822" s="1" t="n">
        <v>463</v>
      </c>
      <c r="R822" s="1" t="n">
        <v>0</v>
      </c>
      <c r="S822" s="1"/>
      <c r="T822" s="1" t="n">
        <v>0</v>
      </c>
      <c r="U822" s="1" t="n">
        <v>0</v>
      </c>
      <c r="V822" s="1" t="n">
        <v>0</v>
      </c>
      <c r="W822" s="1"/>
      <c r="Y822" s="1" t="n">
        <v>59</v>
      </c>
      <c r="Z822" s="0" t="s">
        <v>175</v>
      </c>
      <c r="AA822" s="0" t="s">
        <v>176</v>
      </c>
      <c r="AC822" s="0" t="s">
        <v>177</v>
      </c>
      <c r="AD822" s="0" t="s">
        <v>402</v>
      </c>
      <c r="AE822" s="0" t="s">
        <v>2343</v>
      </c>
      <c r="AH822" s="0" t="s">
        <v>180</v>
      </c>
      <c r="AJ822" s="0" t="s">
        <v>437</v>
      </c>
      <c r="AK822" s="0" t="s">
        <v>94</v>
      </c>
      <c r="AL822" s="0" t="s">
        <v>95</v>
      </c>
      <c r="AM822" s="0" t="s">
        <v>96</v>
      </c>
      <c r="AO822" s="0" t="s">
        <v>98</v>
      </c>
      <c r="AQ822" s="0" t="s">
        <v>100</v>
      </c>
    </row>
    <row r="823" ht="588.75">
      <c r="B823" s="0" t="s">
        <v>2340</v>
      </c>
      <c r="C823" s="1" t="n">
        <v>352795</v>
      </c>
      <c r="E823" s="14" t="s">
        <v>2344</v>
      </c>
      <c r="F823" s="14" t="s">
        <v>169</v>
      </c>
      <c r="G823" s="25" t="str">
        <f>HYPERLINK("http://www.ok.ru/profile/567364241318/statuses/155225819667366")</f>
      </c>
      <c r="H823" s="14" t="s">
        <v>170</v>
      </c>
      <c r="I823" s="14" t="s">
        <v>194</v>
      </c>
      <c r="J823" s="14" t="s">
        <v>2345</v>
      </c>
      <c r="K823" s="26" t="str">
        <f>HYPERLINK("http://www.ok.ru/profile/567364241318")</f>
      </c>
      <c r="L823" s="14" t="s">
        <v>173</v>
      </c>
      <c r="O823" s="1" t="s">
        <v>186</v>
      </c>
      <c r="P823" s="1" t="n">
        <v>76</v>
      </c>
      <c r="Q823" s="1" t="n">
        <v>620</v>
      </c>
      <c r="R823" s="1" t="n">
        <v>0</v>
      </c>
      <c r="S823" s="1"/>
      <c r="T823" s="1" t="n">
        <v>0</v>
      </c>
      <c r="U823" s="1" t="n">
        <v>0</v>
      </c>
      <c r="V823" s="1" t="n">
        <v>0</v>
      </c>
      <c r="W823" s="1"/>
      <c r="Y823" s="1" t="n">
        <v>1</v>
      </c>
      <c r="Z823" s="0" t="s">
        <v>175</v>
      </c>
      <c r="AA823" s="0" t="s">
        <v>187</v>
      </c>
      <c r="AC823" s="0" t="s">
        <v>177</v>
      </c>
      <c r="AD823" s="0" t="s">
        <v>349</v>
      </c>
      <c r="AE823" s="0" t="s">
        <v>1358</v>
      </c>
      <c r="AH823" s="0" t="s">
        <v>180</v>
      </c>
      <c r="AJ823" s="0" t="s">
        <v>437</v>
      </c>
      <c r="AK823" s="0" t="s">
        <v>94</v>
      </c>
      <c r="AN823" s="0" t="s">
        <v>97</v>
      </c>
      <c r="AP823" s="0" t="s">
        <v>99</v>
      </c>
      <c r="AS823" s="0" t="s">
        <v>102</v>
      </c>
      <c r="AT823" s="0" t="s">
        <v>103</v>
      </c>
      <c r="AV823" s="0" t="s">
        <v>105</v>
      </c>
      <c r="AW823" s="0" t="s">
        <v>106</v>
      </c>
      <c r="BC823" s="0" t="s">
        <v>112</v>
      </c>
      <c r="BK823" s="0" t="s">
        <v>120</v>
      </c>
      <c r="BR823" s="0" t="s">
        <v>127</v>
      </c>
    </row>
    <row r="824">
      <c r="B824" s="0" t="s">
        <v>2346</v>
      </c>
      <c r="C824" s="1" t="n">
        <v>352763</v>
      </c>
      <c r="E824" s="14" t="s">
        <v>2174</v>
      </c>
      <c r="F824" s="14" t="s">
        <v>184</v>
      </c>
      <c r="G824" s="25" t="str">
        <f>HYPERLINK("http://vk.com/wall779649644_62")</f>
      </c>
      <c r="H824" s="14" t="s">
        <v>170</v>
      </c>
      <c r="I824" s="14" t="s">
        <v>194</v>
      </c>
      <c r="J824" s="14" t="s">
        <v>2347</v>
      </c>
      <c r="K824" s="26" t="str">
        <f>HYPERLINK("http://vk.com/id779649644")</f>
      </c>
      <c r="L824" s="14" t="s">
        <v>173</v>
      </c>
      <c r="O824" s="1" t="s">
        <v>186</v>
      </c>
      <c r="P824" s="1" t="n">
        <v>50</v>
      </c>
      <c r="Q824" s="1" t="n">
        <v>126</v>
      </c>
      <c r="R824" s="1" t="n">
        <v>0</v>
      </c>
      <c r="S824" s="1"/>
      <c r="T824" s="1" t="n">
        <v>1</v>
      </c>
      <c r="U824" s="1" t="n">
        <v>1</v>
      </c>
      <c r="V824" s="1" t="n">
        <v>2</v>
      </c>
      <c r="W824" s="1" t="n">
        <v>63</v>
      </c>
      <c r="Y824" s="1" t="n">
        <v>1</v>
      </c>
      <c r="Z824" s="0" t="s">
        <v>175</v>
      </c>
      <c r="AA824" s="0" t="s">
        <v>187</v>
      </c>
      <c r="AH824" s="0" t="s">
        <v>180</v>
      </c>
      <c r="AJ824" s="0" t="s">
        <v>437</v>
      </c>
      <c r="AK824" s="0" t="s">
        <v>94</v>
      </c>
      <c r="AM824" s="0" t="s">
        <v>96</v>
      </c>
      <c r="AP824" s="0" t="s">
        <v>99</v>
      </c>
      <c r="BF824" s="0" t="s">
        <v>115</v>
      </c>
    </row>
    <row r="825" ht="36.75">
      <c r="B825" s="0" t="s">
        <v>2346</v>
      </c>
      <c r="C825" s="1" t="n">
        <v>353050</v>
      </c>
      <c r="E825" s="14" t="s">
        <v>2348</v>
      </c>
      <c r="F825" s="14" t="s">
        <v>169</v>
      </c>
      <c r="G825" s="25" t="str">
        <f>HYPERLINK("http://www.ok.ru/profile/492031209163/statuses/155832393070027")</f>
      </c>
      <c r="H825" s="14" t="s">
        <v>170</v>
      </c>
      <c r="I825" s="14" t="s">
        <v>171</v>
      </c>
      <c r="J825" s="14" t="s">
        <v>2349</v>
      </c>
      <c r="K825" s="26" t="str">
        <f>HYPERLINK("http://www.ok.ru/profile/492031209163")</f>
      </c>
      <c r="L825" s="14" t="s">
        <v>173</v>
      </c>
      <c r="O825" s="1" t="s">
        <v>186</v>
      </c>
      <c r="P825" s="1" t="n">
        <v>67</v>
      </c>
      <c r="Q825" s="1" t="n">
        <v>239</v>
      </c>
      <c r="R825" s="1" t="n">
        <v>0</v>
      </c>
      <c r="S825" s="1"/>
      <c r="T825" s="1" t="n">
        <v>0</v>
      </c>
      <c r="U825" s="1" t="n">
        <v>2</v>
      </c>
      <c r="V825" s="1" t="n">
        <v>2</v>
      </c>
      <c r="W825" s="1"/>
      <c r="Y825" s="1" t="n">
        <v>2</v>
      </c>
      <c r="Z825" s="0" t="s">
        <v>175</v>
      </c>
      <c r="AA825" s="0" t="s">
        <v>187</v>
      </c>
      <c r="AC825" s="0" t="s">
        <v>177</v>
      </c>
      <c r="AD825" s="0" t="s">
        <v>402</v>
      </c>
      <c r="AE825" s="0" t="s">
        <v>2350</v>
      </c>
      <c r="AH825" s="0" t="s">
        <v>180</v>
      </c>
      <c r="AJ825" s="0" t="s">
        <v>437</v>
      </c>
      <c r="AK825" s="0" t="s">
        <v>94</v>
      </c>
      <c r="AL825" s="0" t="s">
        <v>95</v>
      </c>
      <c r="AM825" s="0" t="s">
        <v>96</v>
      </c>
      <c r="AW825" s="0" t="s">
        <v>106</v>
      </c>
      <c r="BC825" s="0" t="s">
        <v>112</v>
      </c>
      <c r="BI825" s="0" t="s">
        <v>118</v>
      </c>
      <c r="BN825" s="0" t="s">
        <v>123</v>
      </c>
    </row>
    <row r="826" ht="1356.75">
      <c r="B826" s="0" t="s">
        <v>2351</v>
      </c>
      <c r="C826" s="1" t="n">
        <v>353116</v>
      </c>
      <c r="E826" s="14" t="s">
        <v>840</v>
      </c>
      <c r="F826" s="14" t="s">
        <v>169</v>
      </c>
      <c r="G826" s="25" t="str">
        <f>HYPERLINK("http://www.ok.ru/profile/532862150952/statuses/155438754896680")</f>
      </c>
      <c r="H826" s="14" t="s">
        <v>170</v>
      </c>
      <c r="I826" s="14" t="s">
        <v>171</v>
      </c>
      <c r="J826" s="14" t="s">
        <v>2352</v>
      </c>
      <c r="K826" s="26" t="str">
        <f>HYPERLINK("http://www.ok.ru/profile/532862150952")</f>
      </c>
      <c r="L826" s="14" t="s">
        <v>173</v>
      </c>
      <c r="O826" s="1" t="s">
        <v>186</v>
      </c>
      <c r="P826" s="1" t="n">
        <v>59</v>
      </c>
      <c r="Q826" s="1" t="n">
        <v>199</v>
      </c>
      <c r="R826" s="1" t="n">
        <v>0</v>
      </c>
      <c r="S826" s="1"/>
      <c r="T826" s="1" t="n">
        <v>0</v>
      </c>
      <c r="U826" s="1" t="n">
        <v>0</v>
      </c>
      <c r="V826" s="1" t="n">
        <v>0</v>
      </c>
      <c r="W826" s="1"/>
      <c r="Y826" s="1" t="n">
        <v>5</v>
      </c>
      <c r="Z826" s="0" t="s">
        <v>175</v>
      </c>
      <c r="AA826" s="0" t="s">
        <v>176</v>
      </c>
      <c r="AC826" s="0" t="s">
        <v>177</v>
      </c>
      <c r="AH826" s="0" t="s">
        <v>180</v>
      </c>
      <c r="AJ826" s="0" t="s">
        <v>437</v>
      </c>
      <c r="AK826" s="0" t="s">
        <v>94</v>
      </c>
      <c r="AL826" s="0" t="s">
        <v>95</v>
      </c>
      <c r="AM826" s="0" t="s">
        <v>96</v>
      </c>
      <c r="AO826" s="0" t="s">
        <v>98</v>
      </c>
      <c r="AQ826" s="0" t="s">
        <v>100</v>
      </c>
    </row>
    <row r="827">
      <c r="B827" s="0" t="s">
        <v>2353</v>
      </c>
      <c r="C827" s="1" t="n">
        <v>352830</v>
      </c>
      <c r="D827" s="0" t="s">
        <v>2354</v>
      </c>
      <c r="E827" s="14" t="s">
        <v>2355</v>
      </c>
      <c r="F827" s="14" t="s">
        <v>2293</v>
      </c>
      <c r="G827" s="25" t="str">
        <f>HYPERLINK("https://pikabu.ru/story/chay_ne_podslastit_i_gripp_ne_vyilechit_10134733?cid=270550932")</f>
      </c>
      <c r="H827" s="14" t="s">
        <v>264</v>
      </c>
      <c r="I827" s="14" t="s">
        <v>231</v>
      </c>
      <c r="J827" s="14" t="s">
        <v>2356</v>
      </c>
      <c r="K827" s="26" t="str">
        <f>HYPERLINK("https://pikabu.ru/@pashu861986")</f>
      </c>
      <c r="L827" s="14"/>
      <c r="M827" s="14" t="s">
        <v>2357</v>
      </c>
      <c r="N827" s="25" t="str">
        <f>HYPERLINK("https://pikabu.ru/@TweekNyan")</f>
      </c>
      <c r="O827" s="1" t="s">
        <v>186</v>
      </c>
      <c r="P827" s="1"/>
      <c r="Q827" s="1"/>
      <c r="R827" s="1" t="n">
        <v>0</v>
      </c>
      <c r="S827" s="1"/>
      <c r="T827" s="1" t="n">
        <v>0</v>
      </c>
      <c r="U827" s="1" t="n">
        <v>0</v>
      </c>
      <c r="V827" s="1" t="n">
        <v>0</v>
      </c>
      <c r="W827" s="1"/>
      <c r="Y827" s="1" t="n">
        <v>1</v>
      </c>
      <c r="Z827" s="0" t="s">
        <v>175</v>
      </c>
      <c r="AA827" s="0" t="s">
        <v>187</v>
      </c>
      <c r="AH827" s="0" t="s">
        <v>180</v>
      </c>
      <c r="AJ827" s="0" t="s">
        <v>437</v>
      </c>
      <c r="AK827" s="0" t="s">
        <v>94</v>
      </c>
      <c r="AL827" s="0" t="s">
        <v>95</v>
      </c>
      <c r="AN827" s="0" t="s">
        <v>97</v>
      </c>
      <c r="AS827" s="0" t="s">
        <v>102</v>
      </c>
      <c r="BF827" s="0" t="s">
        <v>115</v>
      </c>
      <c r="CQ827" s="0" t="s">
        <v>152</v>
      </c>
    </row>
    <row r="828" ht="36.75">
      <c r="B828" s="0" t="s">
        <v>2358</v>
      </c>
      <c r="C828" s="1" t="n">
        <v>353007</v>
      </c>
      <c r="E828" s="14" t="s">
        <v>2359</v>
      </c>
      <c r="F828" s="14" t="s">
        <v>169</v>
      </c>
      <c r="G828" s="25" t="str">
        <f>HYPERLINK("http://www.ok.ru/profile/355312149136/statuses/155898501240976")</f>
      </c>
      <c r="H828" s="14" t="s">
        <v>170</v>
      </c>
      <c r="I828" s="14" t="s">
        <v>171</v>
      </c>
      <c r="J828" s="14" t="s">
        <v>2360</v>
      </c>
      <c r="K828" s="26" t="str">
        <f>HYPERLINK("http://www.ok.ru/profile/355312149136")</f>
      </c>
      <c r="L828" s="14" t="s">
        <v>173</v>
      </c>
      <c r="O828" s="1" t="s">
        <v>186</v>
      </c>
      <c r="P828" s="1" t="n">
        <v>65</v>
      </c>
      <c r="Q828" s="1" t="n">
        <v>851</v>
      </c>
      <c r="R828" s="1" t="n">
        <v>0</v>
      </c>
      <c r="S828" s="1"/>
      <c r="T828" s="1" t="n">
        <v>0</v>
      </c>
      <c r="U828" s="1" t="n">
        <v>7</v>
      </c>
      <c r="V828" s="1" t="n">
        <v>7</v>
      </c>
      <c r="W828" s="1"/>
      <c r="Y828" s="1" t="n">
        <v>46</v>
      </c>
      <c r="Z828" s="0" t="s">
        <v>175</v>
      </c>
      <c r="AA828" s="0" t="s">
        <v>176</v>
      </c>
      <c r="AC828" s="0" t="s">
        <v>177</v>
      </c>
      <c r="AD828" s="0" t="s">
        <v>349</v>
      </c>
      <c r="AE828" s="0" t="s">
        <v>2361</v>
      </c>
      <c r="AH828" s="0" t="s">
        <v>180</v>
      </c>
      <c r="AJ828" s="0" t="s">
        <v>437</v>
      </c>
      <c r="AK828" s="0" t="s">
        <v>94</v>
      </c>
      <c r="AL828" s="0" t="s">
        <v>95</v>
      </c>
      <c r="AM828" s="0" t="s">
        <v>96</v>
      </c>
      <c r="AO828" s="0" t="s">
        <v>98</v>
      </c>
      <c r="AQ828" s="0" t="s">
        <v>100</v>
      </c>
    </row>
    <row r="829" ht="36.75">
      <c r="B829" s="0" t="s">
        <v>2358</v>
      </c>
      <c r="C829" s="1" t="n">
        <v>352760</v>
      </c>
      <c r="E829" s="14" t="s">
        <v>202</v>
      </c>
      <c r="F829" s="14" t="s">
        <v>184</v>
      </c>
      <c r="G829" s="25" t="str">
        <f>HYPERLINK("http://vk.com/wall227253501_4174")</f>
      </c>
      <c r="H829" s="14" t="s">
        <v>170</v>
      </c>
      <c r="I829" s="14" t="s">
        <v>171</v>
      </c>
      <c r="J829" s="14" t="s">
        <v>2362</v>
      </c>
      <c r="K829" s="26" t="str">
        <f>HYPERLINK("http://vk.com/id227253501")</f>
      </c>
      <c r="L829" s="14" t="s">
        <v>173</v>
      </c>
      <c r="O829" s="1" t="s">
        <v>186</v>
      </c>
      <c r="P829" s="1" t="n">
        <v>69</v>
      </c>
      <c r="Q829" s="1" t="n">
        <v>219</v>
      </c>
      <c r="R829" s="1" t="n">
        <v>0</v>
      </c>
      <c r="S829" s="1"/>
      <c r="T829" s="1" t="n">
        <v>0</v>
      </c>
      <c r="U829" s="1" t="n">
        <v>0</v>
      </c>
      <c r="V829" s="1" t="n">
        <v>0</v>
      </c>
      <c r="W829" s="1" t="n">
        <v>2</v>
      </c>
      <c r="Y829" s="1" t="n">
        <v>61</v>
      </c>
      <c r="Z829" s="0" t="s">
        <v>175</v>
      </c>
      <c r="AA829" s="0" t="s">
        <v>176</v>
      </c>
      <c r="AC829" s="0" t="s">
        <v>177</v>
      </c>
      <c r="AD829" s="0" t="s">
        <v>384</v>
      </c>
      <c r="AE829" s="0" t="s">
        <v>2363</v>
      </c>
      <c r="AH829" s="0" t="s">
        <v>180</v>
      </c>
      <c r="AJ829" s="0" t="s">
        <v>437</v>
      </c>
      <c r="AK829" s="0" t="s">
        <v>94</v>
      </c>
      <c r="AL829" s="0" t="s">
        <v>95</v>
      </c>
      <c r="AM829" s="0" t="s">
        <v>96</v>
      </c>
      <c r="AO829" s="0" t="s">
        <v>98</v>
      </c>
      <c r="AQ829" s="0" t="s">
        <v>100</v>
      </c>
    </row>
    <row r="830" ht="24.75">
      <c r="B830" s="0" t="s">
        <v>2364</v>
      </c>
      <c r="C830" s="1" t="n">
        <v>353526</v>
      </c>
      <c r="E830" s="14" t="s">
        <v>554</v>
      </c>
      <c r="F830" s="14" t="s">
        <v>169</v>
      </c>
      <c r="G830" s="25" t="str">
        <f>HYPERLINK("http://www.ok.ru/profile/551963741809/statuses/155996996984177")</f>
      </c>
      <c r="H830" s="14" t="s">
        <v>170</v>
      </c>
      <c r="I830" s="14" t="s">
        <v>171</v>
      </c>
      <c r="J830" s="14" t="s">
        <v>2365</v>
      </c>
      <c r="K830" s="26" t="str">
        <f>HYPERLINK("http://www.ok.ru/profile/551963741809")</f>
      </c>
      <c r="L830" s="14" t="s">
        <v>173</v>
      </c>
      <c r="O830" s="1" t="s">
        <v>186</v>
      </c>
      <c r="P830" s="1"/>
      <c r="Q830" s="1" t="n">
        <v>664</v>
      </c>
      <c r="R830" s="1" t="n">
        <v>0</v>
      </c>
      <c r="S830" s="1"/>
      <c r="T830" s="1" t="n">
        <v>0</v>
      </c>
      <c r="U830" s="1" t="n">
        <v>1</v>
      </c>
      <c r="V830" s="1" t="n">
        <v>1</v>
      </c>
      <c r="W830" s="1"/>
      <c r="Y830" s="1" t="n">
        <v>59</v>
      </c>
      <c r="Z830" s="0" t="s">
        <v>175</v>
      </c>
      <c r="AA830" s="0" t="s">
        <v>176</v>
      </c>
      <c r="AC830" s="0" t="s">
        <v>177</v>
      </c>
      <c r="AD830" s="0" t="s">
        <v>341</v>
      </c>
      <c r="AE830" s="0" t="s">
        <v>2366</v>
      </c>
      <c r="AH830" s="0" t="s">
        <v>180</v>
      </c>
      <c r="AJ830" s="0" t="s">
        <v>437</v>
      </c>
      <c r="AK830" s="0" t="s">
        <v>94</v>
      </c>
      <c r="AM830" s="0" t="s">
        <v>96</v>
      </c>
      <c r="AO830" s="0" t="s">
        <v>98</v>
      </c>
      <c r="AP830" s="0" t="s">
        <v>99</v>
      </c>
      <c r="AQ830" s="0" t="s">
        <v>100</v>
      </c>
    </row>
    <row r="831" ht="72.75">
      <c r="B831" s="0" t="s">
        <v>2367</v>
      </c>
      <c r="C831" s="1" t="n">
        <v>352878</v>
      </c>
      <c r="D831" s="0" t="s">
        <v>98</v>
      </c>
      <c r="E831" s="14" t="s">
        <v>2368</v>
      </c>
      <c r="F831" s="14" t="s">
        <v>2369</v>
      </c>
      <c r="G831" s="25" t="str">
        <f>HYPERLINK("https://otzyvy.pro/reviews/otzyvy-anaferon-464063.html")</f>
      </c>
      <c r="H831" s="14" t="s">
        <v>317</v>
      </c>
      <c r="I831" s="14" t="s">
        <v>231</v>
      </c>
      <c r="J831" s="14" t="s">
        <v>2370</v>
      </c>
      <c r="L831" s="14"/>
      <c r="M831" s="14" t="s">
        <v>2369</v>
      </c>
      <c r="O831" s="1"/>
      <c r="P831" s="1"/>
      <c r="Q831" s="1"/>
      <c r="R831" s="1" t="n">
        <v>0</v>
      </c>
      <c r="S831" s="1"/>
      <c r="T831" s="1" t="n">
        <v>0</v>
      </c>
      <c r="U831" s="1" t="n">
        <v>0</v>
      </c>
      <c r="V831" s="1" t="n">
        <v>0</v>
      </c>
      <c r="W831" s="1"/>
      <c r="X831" s="0" t="n">
        <v>5</v>
      </c>
      <c r="Y831" s="1" t="n">
        <v>1</v>
      </c>
      <c r="Z831" s="0" t="s">
        <v>319</v>
      </c>
      <c r="AA831" s="0" t="s">
        <v>292</v>
      </c>
      <c r="AH831" s="0" t="s">
        <v>180</v>
      </c>
      <c r="AI831" s="0" t="s">
        <v>92</v>
      </c>
      <c r="AJ831" s="0" t="s">
        <v>437</v>
      </c>
      <c r="AL831" s="0" t="s">
        <v>95</v>
      </c>
      <c r="AN831" s="0" t="s">
        <v>97</v>
      </c>
      <c r="AO831" s="0" t="s">
        <v>98</v>
      </c>
      <c r="AS831" s="0" t="s">
        <v>102</v>
      </c>
      <c r="AY831" s="0" t="s">
        <v>108</v>
      </c>
      <c r="BB831" s="0" t="s">
        <v>111</v>
      </c>
      <c r="BG831" s="0" t="s">
        <v>116</v>
      </c>
      <c r="CP831" s="0" t="s">
        <v>151</v>
      </c>
      <c r="CS831" s="0" t="s">
        <v>154</v>
      </c>
    </row>
    <row r="832" ht="24.75">
      <c r="B832" s="0" t="s">
        <v>2371</v>
      </c>
      <c r="C832" s="1" t="n">
        <v>352756</v>
      </c>
      <c r="E832" s="14" t="s">
        <v>2372</v>
      </c>
      <c r="F832" s="14" t="s">
        <v>184</v>
      </c>
      <c r="G832" s="25" t="str">
        <f>HYPERLINK("http://vk.com/wall-119249179_1024603?reply=1024813")</f>
      </c>
      <c r="H832" s="14" t="s">
        <v>170</v>
      </c>
      <c r="I832" s="14" t="s">
        <v>231</v>
      </c>
      <c r="J832" s="14" t="s">
        <v>1082</v>
      </c>
      <c r="K832" s="26" t="str">
        <f>HYPERLINK("http://vk.com/id161336569")</f>
      </c>
      <c r="L832" s="14" t="s">
        <v>173</v>
      </c>
      <c r="M832" s="14" t="s">
        <v>1083</v>
      </c>
      <c r="N832" s="25" t="str">
        <f>HYPERLINK("http://vk.com/club119249179")</f>
      </c>
      <c r="O832" s="1" t="s">
        <v>186</v>
      </c>
      <c r="P832" s="1"/>
      <c r="Q832" s="1" t="n">
        <v>18915</v>
      </c>
      <c r="R832" s="1" t="n">
        <v>0</v>
      </c>
      <c r="S832" s="1"/>
      <c r="T832" s="1" t="n">
        <v>0</v>
      </c>
      <c r="U832" s="1" t="n">
        <v>0</v>
      </c>
      <c r="V832" s="1" t="n">
        <v>0</v>
      </c>
      <c r="W832" s="1"/>
      <c r="Y832" s="1" t="n">
        <v>1</v>
      </c>
      <c r="Z832" s="0" t="s">
        <v>175</v>
      </c>
      <c r="AA832" s="0" t="s">
        <v>187</v>
      </c>
      <c r="AC832" s="0" t="s">
        <v>177</v>
      </c>
      <c r="AD832" s="0" t="s">
        <v>332</v>
      </c>
      <c r="AE832" s="0" t="s">
        <v>332</v>
      </c>
      <c r="AH832" s="0" t="s">
        <v>180</v>
      </c>
      <c r="AJ832" s="0" t="s">
        <v>437</v>
      </c>
      <c r="AK832" s="0" t="s">
        <v>94</v>
      </c>
      <c r="AL832" s="0" t="s">
        <v>95</v>
      </c>
      <c r="AN832" s="0" t="s">
        <v>97</v>
      </c>
      <c r="AW832" s="0" t="s">
        <v>106</v>
      </c>
      <c r="BB832" s="0" t="s">
        <v>111</v>
      </c>
      <c r="BE832" s="0" t="s">
        <v>114</v>
      </c>
      <c r="BO832" s="0" t="s">
        <v>124</v>
      </c>
      <c r="CA832" s="0" t="s">
        <v>136</v>
      </c>
    </row>
    <row r="833" ht="108.75">
      <c r="B833" s="0" t="s">
        <v>2373</v>
      </c>
      <c r="C833" s="1" t="n">
        <v>352752</v>
      </c>
      <c r="E833" s="14" t="s">
        <v>2374</v>
      </c>
      <c r="F833" s="14" t="s">
        <v>184</v>
      </c>
      <c r="G833" s="25" t="str">
        <f>HYPERLINK("http://vk.com/wall-217649537_8")</f>
      </c>
      <c r="H833" s="14" t="s">
        <v>170</v>
      </c>
      <c r="I833" s="14" t="s">
        <v>194</v>
      </c>
      <c r="J833" s="14" t="s">
        <v>2375</v>
      </c>
      <c r="K833" s="26" t="str">
        <f>HYPERLINK("http://vk.com/club217649537")</f>
      </c>
      <c r="L833" s="14" t="s">
        <v>274</v>
      </c>
      <c r="O833" s="1"/>
      <c r="P833" s="1"/>
      <c r="Q833" s="1" t="n">
        <v>3</v>
      </c>
      <c r="R833" s="1" t="n">
        <v>0</v>
      </c>
      <c r="S833" s="1"/>
      <c r="T833" s="1" t="n">
        <v>0</v>
      </c>
      <c r="U833" s="1" t="n">
        <v>0</v>
      </c>
      <c r="V833" s="1" t="n">
        <v>0</v>
      </c>
      <c r="W833" s="1" t="n">
        <v>1</v>
      </c>
      <c r="Y833" s="1" t="n">
        <v>1</v>
      </c>
      <c r="Z833" s="0" t="s">
        <v>463</v>
      </c>
      <c r="AA833" s="0" t="s">
        <v>187</v>
      </c>
      <c r="AH833" s="0" t="s">
        <v>180</v>
      </c>
      <c r="AI833" s="0" t="s">
        <v>92</v>
      </c>
      <c r="AJ833" s="0" t="s">
        <v>437</v>
      </c>
      <c r="AK833" s="0" t="s">
        <v>94</v>
      </c>
      <c r="AL833" s="0" t="s">
        <v>95</v>
      </c>
      <c r="AN833" s="0" t="s">
        <v>97</v>
      </c>
      <c r="AR833" s="0" t="s">
        <v>101</v>
      </c>
      <c r="AS833" s="0" t="s">
        <v>102</v>
      </c>
      <c r="AT833" s="0" t="s">
        <v>103</v>
      </c>
      <c r="AW833" s="0" t="s">
        <v>106</v>
      </c>
      <c r="CJ833" s="0" t="s">
        <v>145</v>
      </c>
    </row>
    <row r="834">
      <c r="B834" s="0" t="s">
        <v>2376</v>
      </c>
      <c r="C834" s="1" t="n">
        <v>352754</v>
      </c>
      <c r="E834" s="14" t="s">
        <v>2377</v>
      </c>
      <c r="F834" s="14" t="s">
        <v>184</v>
      </c>
      <c r="G834" s="25" t="str">
        <f>HYPERLINK("http://vk.com/wall-92006241_421750?reply=424351&amp;thread=421853")</f>
      </c>
      <c r="H834" s="14" t="s">
        <v>170</v>
      </c>
      <c r="I834" s="14" t="s">
        <v>231</v>
      </c>
      <c r="J834" s="14" t="s">
        <v>2378</v>
      </c>
      <c r="K834" s="26" t="str">
        <f>HYPERLINK("http://vk.com/id612148529")</f>
      </c>
      <c r="L834" s="14" t="s">
        <v>173</v>
      </c>
      <c r="M834" s="14" t="s">
        <v>532</v>
      </c>
      <c r="N834" s="25" t="str">
        <f>HYPERLINK("http://vk.com/club92006241")</f>
      </c>
      <c r="O834" s="1" t="s">
        <v>186</v>
      </c>
      <c r="P834" s="1" t="n">
        <v>44</v>
      </c>
      <c r="Q834" s="1" t="n">
        <v>149410</v>
      </c>
      <c r="R834" s="1" t="n">
        <v>0</v>
      </c>
      <c r="S834" s="1"/>
      <c r="T834" s="1" t="n">
        <v>0</v>
      </c>
      <c r="U834" s="1" t="n">
        <v>0</v>
      </c>
      <c r="V834" s="1" t="n">
        <v>0</v>
      </c>
      <c r="W834" s="1"/>
      <c r="Y834" s="1" t="n">
        <v>1</v>
      </c>
      <c r="Z834" s="0" t="s">
        <v>463</v>
      </c>
      <c r="AA834" s="0" t="s">
        <v>187</v>
      </c>
      <c r="AC834" s="0" t="s">
        <v>177</v>
      </c>
      <c r="AD834" s="0" t="s">
        <v>240</v>
      </c>
      <c r="AE834" s="0" t="s">
        <v>240</v>
      </c>
      <c r="AH834" s="0" t="s">
        <v>180</v>
      </c>
      <c r="AI834" s="0" t="s">
        <v>92</v>
      </c>
      <c r="AJ834" s="0" t="s">
        <v>437</v>
      </c>
      <c r="AK834" s="0" t="s">
        <v>94</v>
      </c>
      <c r="AL834" s="0" t="s">
        <v>95</v>
      </c>
      <c r="AN834" s="0" t="s">
        <v>97</v>
      </c>
      <c r="BB834" s="0" t="s">
        <v>111</v>
      </c>
      <c r="BI834" s="0" t="s">
        <v>118</v>
      </c>
      <c r="BY834" s="0" t="s">
        <v>134</v>
      </c>
    </row>
    <row r="835" ht="36.75">
      <c r="B835" s="0" t="s">
        <v>2379</v>
      </c>
      <c r="C835" s="1" t="n">
        <v>352959</v>
      </c>
      <c r="E835" s="14" t="s">
        <v>1189</v>
      </c>
      <c r="F835" s="14" t="s">
        <v>169</v>
      </c>
      <c r="G835" s="25" t="str">
        <f>HYPERLINK("http://www.ok.ru/profile/77108265604/statuses/155088188311684")</f>
      </c>
      <c r="H835" s="14" t="s">
        <v>170</v>
      </c>
      <c r="I835" s="14" t="s">
        <v>171</v>
      </c>
      <c r="J835" s="14" t="s">
        <v>2380</v>
      </c>
      <c r="K835" s="26" t="str">
        <f>HYPERLINK("http://www.ok.ru/profile/77108265604")</f>
      </c>
      <c r="L835" s="14" t="s">
        <v>173</v>
      </c>
      <c r="O835" s="1" t="s">
        <v>186</v>
      </c>
      <c r="P835" s="1"/>
      <c r="Q835" s="1" t="n">
        <v>252</v>
      </c>
      <c r="R835" s="1" t="n">
        <v>0</v>
      </c>
      <c r="S835" s="1"/>
      <c r="T835" s="1" t="n">
        <v>0</v>
      </c>
      <c r="U835" s="1" t="n">
        <v>3</v>
      </c>
      <c r="V835" s="1" t="n">
        <v>3</v>
      </c>
      <c r="W835" s="1"/>
      <c r="Y835" s="1" t="n">
        <v>46</v>
      </c>
      <c r="Z835" s="0" t="s">
        <v>175</v>
      </c>
      <c r="AA835" s="0" t="s">
        <v>187</v>
      </c>
      <c r="AC835" s="0" t="s">
        <v>177</v>
      </c>
      <c r="AD835" s="0" t="s">
        <v>246</v>
      </c>
      <c r="AE835" s="0" t="s">
        <v>2381</v>
      </c>
      <c r="AH835" s="0" t="s">
        <v>180</v>
      </c>
      <c r="AJ835" s="0" t="s">
        <v>437</v>
      </c>
      <c r="AK835" s="0" t="s">
        <v>94</v>
      </c>
      <c r="AL835" s="0" t="s">
        <v>95</v>
      </c>
      <c r="AM835" s="0" t="s">
        <v>96</v>
      </c>
      <c r="AO835" s="0" t="s">
        <v>98</v>
      </c>
      <c r="AQ835" s="0" t="s">
        <v>100</v>
      </c>
    </row>
    <row r="836" ht="924.75">
      <c r="B836" s="0" t="s">
        <v>2382</v>
      </c>
      <c r="C836" s="1" t="n">
        <v>352749</v>
      </c>
      <c r="E836" s="14" t="s">
        <v>780</v>
      </c>
      <c r="F836" s="14" t="s">
        <v>184</v>
      </c>
      <c r="G836" s="25" t="str">
        <f>HYPERLINK("http://vk.com/wall160628448_10012")</f>
      </c>
      <c r="H836" s="14" t="s">
        <v>170</v>
      </c>
      <c r="I836" s="14" t="s">
        <v>171</v>
      </c>
      <c r="J836" s="14" t="s">
        <v>2383</v>
      </c>
      <c r="K836" s="26" t="str">
        <f>HYPERLINK("http://vk.com/id160628448")</f>
      </c>
      <c r="L836" s="14" t="s">
        <v>173</v>
      </c>
      <c r="O836" s="1" t="s">
        <v>186</v>
      </c>
      <c r="P836" s="1" t="n">
        <v>61</v>
      </c>
      <c r="Q836" s="1" t="n">
        <v>9</v>
      </c>
      <c r="R836" s="1" t="n">
        <v>0</v>
      </c>
      <c r="S836" s="1"/>
      <c r="T836" s="1" t="n">
        <v>0</v>
      </c>
      <c r="U836" s="1" t="n">
        <v>0</v>
      </c>
      <c r="V836" s="1" t="n">
        <v>0</v>
      </c>
      <c r="W836" s="1" t="n">
        <v>2</v>
      </c>
      <c r="Y836" s="1" t="n">
        <v>5</v>
      </c>
      <c r="Z836" s="0" t="s">
        <v>175</v>
      </c>
      <c r="AA836" s="0" t="s">
        <v>187</v>
      </c>
      <c r="AH836" s="0" t="s">
        <v>180</v>
      </c>
      <c r="AJ836" s="0" t="s">
        <v>437</v>
      </c>
      <c r="AK836" s="0" t="s">
        <v>94</v>
      </c>
      <c r="AM836" s="0" t="s">
        <v>96</v>
      </c>
      <c r="AP836" s="0" t="s">
        <v>99</v>
      </c>
      <c r="AQ836" s="0" t="s">
        <v>100</v>
      </c>
    </row>
    <row r="837" ht="1164.75">
      <c r="B837" s="0" t="s">
        <v>2382</v>
      </c>
      <c r="C837" s="1" t="n">
        <v>352748</v>
      </c>
      <c r="E837" s="14" t="s">
        <v>1110</v>
      </c>
      <c r="F837" s="14" t="s">
        <v>184</v>
      </c>
      <c r="G837" s="25" t="str">
        <f>HYPERLINK("http://vk.com/wall492406690_4825")</f>
      </c>
      <c r="H837" s="14" t="s">
        <v>170</v>
      </c>
      <c r="I837" s="14" t="s">
        <v>171</v>
      </c>
      <c r="J837" s="14" t="s">
        <v>2384</v>
      </c>
      <c r="K837" s="26" t="str">
        <f>HYPERLINK("http://vk.com/id492406690")</f>
      </c>
      <c r="L837" s="14" t="s">
        <v>173</v>
      </c>
      <c r="O837" s="1" t="s">
        <v>186</v>
      </c>
      <c r="P837" s="1" t="n">
        <v>63</v>
      </c>
      <c r="Q837" s="1" t="n">
        <v>217</v>
      </c>
      <c r="R837" s="1" t="n">
        <v>0</v>
      </c>
      <c r="S837" s="1"/>
      <c r="T837" s="1" t="n">
        <v>0</v>
      </c>
      <c r="U837" s="1" t="n">
        <v>0</v>
      </c>
      <c r="V837" s="1" t="n">
        <v>0</v>
      </c>
      <c r="W837" s="1" t="n">
        <v>4</v>
      </c>
      <c r="Y837" s="1" t="n">
        <v>4</v>
      </c>
      <c r="Z837" s="0" t="s">
        <v>175</v>
      </c>
      <c r="AA837" s="0" t="s">
        <v>187</v>
      </c>
      <c r="AC837" s="0" t="s">
        <v>177</v>
      </c>
      <c r="AD837" s="0" t="s">
        <v>435</v>
      </c>
      <c r="AE837" s="0" t="s">
        <v>2385</v>
      </c>
      <c r="AH837" s="0" t="s">
        <v>180</v>
      </c>
      <c r="AJ837" s="0" t="s">
        <v>437</v>
      </c>
      <c r="AK837" s="0" t="s">
        <v>94</v>
      </c>
      <c r="AL837" s="0" t="s">
        <v>95</v>
      </c>
      <c r="AM837" s="0" t="s">
        <v>96</v>
      </c>
      <c r="AX837" s="0" t="s">
        <v>107</v>
      </c>
    </row>
    <row r="838">
      <c r="B838" s="0" t="s">
        <v>2386</v>
      </c>
      <c r="C838" s="1" t="n">
        <v>352747</v>
      </c>
      <c r="E838" s="14" t="s">
        <v>2387</v>
      </c>
      <c r="F838" s="14" t="s">
        <v>192</v>
      </c>
      <c r="G838" s="25" t="str">
        <f>HYPERLINK("https://telegram.me/taobaoarenkovachat/164371")</f>
      </c>
      <c r="H838" s="14" t="s">
        <v>193</v>
      </c>
      <c r="I838" s="14" t="s">
        <v>194</v>
      </c>
      <c r="J838" s="14" t="s">
        <v>2388</v>
      </c>
      <c r="K838" s="26" t="str">
        <f>HYPERLINK("https://telegram.me/MishBak")</f>
      </c>
      <c r="L838" s="14" t="s">
        <v>173</v>
      </c>
      <c r="M838" s="14" t="s">
        <v>2389</v>
      </c>
      <c r="N838" s="25" t="str">
        <f>HYPERLINK("https://telegram.me/taobaoarenkovachat")</f>
      </c>
      <c r="O838" s="1"/>
      <c r="P838" s="1"/>
      <c r="Q838" s="1" t="n">
        <v>4341</v>
      </c>
      <c r="R838" s="1" t="n">
        <v>0</v>
      </c>
      <c r="S838" s="1"/>
      <c r="T838" s="1" t="n">
        <v>0</v>
      </c>
      <c r="U838" s="1" t="n">
        <v>0</v>
      </c>
      <c r="V838" s="1" t="n">
        <v>0</v>
      </c>
      <c r="W838" s="1"/>
      <c r="Y838" s="1" t="n">
        <v>1</v>
      </c>
      <c r="Z838" s="0" t="s">
        <v>463</v>
      </c>
      <c r="AA838" s="0" t="s">
        <v>187</v>
      </c>
      <c r="AH838" s="0" t="s">
        <v>180</v>
      </c>
      <c r="AI838" s="0" t="s">
        <v>92</v>
      </c>
      <c r="AJ838" s="0" t="s">
        <v>437</v>
      </c>
      <c r="AK838" s="0" t="s">
        <v>94</v>
      </c>
      <c r="AL838" s="0" t="s">
        <v>95</v>
      </c>
      <c r="AR838" s="0" t="s">
        <v>101</v>
      </c>
      <c r="AS838" s="0" t="s">
        <v>102</v>
      </c>
      <c r="AT838" s="0" t="s">
        <v>103</v>
      </c>
      <c r="BY838" s="0" t="s">
        <v>134</v>
      </c>
    </row>
    <row r="839" ht="24.75">
      <c r="B839" s="0" t="s">
        <v>2386</v>
      </c>
      <c r="C839" s="1" t="n">
        <v>352746</v>
      </c>
      <c r="E839" s="14" t="s">
        <v>2390</v>
      </c>
      <c r="F839" s="14" t="s">
        <v>192</v>
      </c>
      <c r="G839" s="25" t="str">
        <f>HYPERLINK("https://telegram.me/taobaoarenkovachat/164370")</f>
      </c>
      <c r="H839" s="14" t="s">
        <v>193</v>
      </c>
      <c r="I839" s="14" t="s">
        <v>194</v>
      </c>
      <c r="J839" s="14" t="s">
        <v>2388</v>
      </c>
      <c r="K839" s="26" t="str">
        <f>HYPERLINK("https://telegram.me/MishBak")</f>
      </c>
      <c r="L839" s="14" t="s">
        <v>173</v>
      </c>
      <c r="M839" s="14" t="s">
        <v>2389</v>
      </c>
      <c r="N839" s="25" t="str">
        <f>HYPERLINK("https://telegram.me/taobaoarenkovachat")</f>
      </c>
      <c r="O839" s="1"/>
      <c r="P839" s="1"/>
      <c r="Q839" s="1" t="n">
        <v>4341</v>
      </c>
      <c r="R839" s="1" t="n">
        <v>0</v>
      </c>
      <c r="S839" s="1"/>
      <c r="T839" s="1" t="n">
        <v>0</v>
      </c>
      <c r="U839" s="1" t="n">
        <v>0</v>
      </c>
      <c r="V839" s="1" t="n">
        <v>0</v>
      </c>
      <c r="W839" s="1"/>
      <c r="Y839" s="1" t="n">
        <v>1</v>
      </c>
      <c r="Z839" s="0" t="s">
        <v>463</v>
      </c>
      <c r="AA839" s="0" t="s">
        <v>187</v>
      </c>
      <c r="AH839" s="0" t="s">
        <v>180</v>
      </c>
      <c r="AI839" s="0" t="s">
        <v>92</v>
      </c>
      <c r="AJ839" s="0" t="s">
        <v>437</v>
      </c>
      <c r="AK839" s="0" t="s">
        <v>94</v>
      </c>
      <c r="AL839" s="0" t="s">
        <v>95</v>
      </c>
      <c r="AR839" s="0" t="s">
        <v>101</v>
      </c>
      <c r="AS839" s="0" t="s">
        <v>102</v>
      </c>
      <c r="AT839" s="0" t="s">
        <v>103</v>
      </c>
      <c r="BY839" s="0" t="s">
        <v>134</v>
      </c>
    </row>
    <row r="840" ht="24.75">
      <c r="B840" s="0" t="s">
        <v>2391</v>
      </c>
      <c r="C840" s="1" t="n">
        <v>353532</v>
      </c>
      <c r="E840" s="14" t="s">
        <v>554</v>
      </c>
      <c r="F840" s="14" t="s">
        <v>169</v>
      </c>
      <c r="G840" s="25" t="str">
        <f>HYPERLINK("http://www.ok.ru/profile/555073356756/statuses/155979592646100")</f>
      </c>
      <c r="H840" s="14" t="s">
        <v>170</v>
      </c>
      <c r="I840" s="14" t="s">
        <v>171</v>
      </c>
      <c r="J840" s="14" t="s">
        <v>2392</v>
      </c>
      <c r="K840" s="26" t="str">
        <f>HYPERLINK("http://www.ok.ru/profile/555073356756")</f>
      </c>
      <c r="L840" s="14" t="s">
        <v>173</v>
      </c>
      <c r="O840" s="1" t="s">
        <v>174</v>
      </c>
      <c r="P840" s="1"/>
      <c r="Q840" s="1" t="n">
        <v>454</v>
      </c>
      <c r="R840" s="1" t="n">
        <v>0</v>
      </c>
      <c r="S840" s="1"/>
      <c r="T840" s="1" t="n">
        <v>0</v>
      </c>
      <c r="U840" s="1" t="n">
        <v>1</v>
      </c>
      <c r="V840" s="1" t="n">
        <v>1</v>
      </c>
      <c r="W840" s="1"/>
      <c r="Y840" s="1" t="n">
        <v>59</v>
      </c>
      <c r="Z840" s="0" t="s">
        <v>175</v>
      </c>
      <c r="AA840" s="0" t="s">
        <v>176</v>
      </c>
      <c r="AC840" s="0" t="s">
        <v>177</v>
      </c>
      <c r="AD840" s="0" t="s">
        <v>252</v>
      </c>
      <c r="AE840" s="0" t="s">
        <v>2393</v>
      </c>
      <c r="AH840" s="0" t="s">
        <v>180</v>
      </c>
      <c r="AJ840" s="0" t="s">
        <v>437</v>
      </c>
      <c r="AK840" s="0" t="s">
        <v>94</v>
      </c>
      <c r="AM840" s="0" t="s">
        <v>96</v>
      </c>
      <c r="AO840" s="0" t="s">
        <v>98</v>
      </c>
      <c r="AP840" s="0" t="s">
        <v>99</v>
      </c>
      <c r="AQ840" s="0" t="s">
        <v>100</v>
      </c>
    </row>
    <row r="841" ht="720.75">
      <c r="B841" s="0" t="s">
        <v>2394</v>
      </c>
      <c r="C841" s="1" t="n">
        <v>352982</v>
      </c>
      <c r="E841" s="14" t="s">
        <v>1811</v>
      </c>
      <c r="F841" s="14" t="s">
        <v>169</v>
      </c>
      <c r="G841" s="25" t="str">
        <f>HYPERLINK("http://www.ok.ru/profile/579140160046/statuses/156362599045934")</f>
      </c>
      <c r="H841" s="14" t="s">
        <v>170</v>
      </c>
      <c r="I841" s="14" t="s">
        <v>194</v>
      </c>
      <c r="J841" s="14" t="s">
        <v>2395</v>
      </c>
      <c r="K841" s="26" t="str">
        <f>HYPERLINK("http://www.ok.ru/profile/579140160046")</f>
      </c>
      <c r="L841" s="14" t="s">
        <v>173</v>
      </c>
      <c r="O841" s="1" t="s">
        <v>186</v>
      </c>
      <c r="P841" s="1" t="n">
        <v>63</v>
      </c>
      <c r="Q841" s="1" t="n">
        <v>171</v>
      </c>
      <c r="R841" s="1" t="n">
        <v>0</v>
      </c>
      <c r="S841" s="1"/>
      <c r="T841" s="1" t="n">
        <v>0</v>
      </c>
      <c r="U841" s="1" t="n">
        <v>0</v>
      </c>
      <c r="V841" s="1" t="n">
        <v>0</v>
      </c>
      <c r="W841" s="1" t="n">
        <v>11</v>
      </c>
      <c r="Y841" s="1" t="n">
        <v>13</v>
      </c>
      <c r="Z841" s="0" t="s">
        <v>175</v>
      </c>
      <c r="AA841" s="0" t="s">
        <v>176</v>
      </c>
      <c r="AC841" s="0" t="s">
        <v>177</v>
      </c>
      <c r="AD841" s="0" t="s">
        <v>2396</v>
      </c>
      <c r="AE841" s="0" t="s">
        <v>2397</v>
      </c>
      <c r="AH841" s="0" t="s">
        <v>180</v>
      </c>
      <c r="AJ841" s="0" t="s">
        <v>437</v>
      </c>
      <c r="AK841" s="0" t="s">
        <v>94</v>
      </c>
      <c r="AL841" s="0" t="s">
        <v>95</v>
      </c>
      <c r="AR841" s="0" t="s">
        <v>101</v>
      </c>
      <c r="BA841" s="0" t="s">
        <v>110</v>
      </c>
      <c r="BF841" s="0" t="s">
        <v>115</v>
      </c>
    </row>
    <row r="842" ht="36.75">
      <c r="B842" s="0" t="s">
        <v>2394</v>
      </c>
      <c r="C842" s="1" t="n">
        <v>352770</v>
      </c>
      <c r="E842" s="14" t="s">
        <v>1189</v>
      </c>
      <c r="F842" s="14" t="s">
        <v>169</v>
      </c>
      <c r="G842" s="25" t="str">
        <f>HYPERLINK("http://www.ok.ru/profile/298691208392/statuses/155835371042248")</f>
      </c>
      <c r="H842" s="14" t="s">
        <v>170</v>
      </c>
      <c r="I842" s="14" t="s">
        <v>171</v>
      </c>
      <c r="J842" s="14" t="s">
        <v>2398</v>
      </c>
      <c r="K842" s="26" t="str">
        <f>HYPERLINK("http://www.ok.ru/profile/298691208392")</f>
      </c>
      <c r="L842" s="14" t="s">
        <v>173</v>
      </c>
      <c r="O842" s="1" t="s">
        <v>186</v>
      </c>
      <c r="P842" s="1" t="n">
        <v>54</v>
      </c>
      <c r="Q842" s="1" t="n">
        <v>1309</v>
      </c>
      <c r="R842" s="1" t="n">
        <v>0</v>
      </c>
      <c r="S842" s="1"/>
      <c r="T842" s="1" t="n">
        <v>0</v>
      </c>
      <c r="U842" s="1" t="n">
        <v>2</v>
      </c>
      <c r="V842" s="1" t="n">
        <v>2</v>
      </c>
      <c r="W842" s="1"/>
      <c r="Y842" s="1" t="n">
        <v>46</v>
      </c>
      <c r="Z842" s="0" t="s">
        <v>175</v>
      </c>
      <c r="AA842" s="0" t="s">
        <v>187</v>
      </c>
      <c r="AC842" s="0" t="s">
        <v>177</v>
      </c>
      <c r="AD842" s="0" t="s">
        <v>246</v>
      </c>
      <c r="AE842" s="0" t="s">
        <v>2399</v>
      </c>
      <c r="AH842" s="0" t="s">
        <v>180</v>
      </c>
      <c r="AJ842" s="0" t="s">
        <v>437</v>
      </c>
      <c r="AK842" s="0" t="s">
        <v>94</v>
      </c>
      <c r="AL842" s="0" t="s">
        <v>95</v>
      </c>
      <c r="AM842" s="0" t="s">
        <v>96</v>
      </c>
      <c r="AO842" s="0" t="s">
        <v>98</v>
      </c>
      <c r="AQ842" s="0" t="s">
        <v>100</v>
      </c>
    </row>
    <row r="843" ht="24.75">
      <c r="B843" s="0" t="s">
        <v>2400</v>
      </c>
      <c r="C843" s="1" t="n">
        <v>352743</v>
      </c>
      <c r="E843" s="14" t="s">
        <v>296</v>
      </c>
      <c r="F843" s="14" t="s">
        <v>184</v>
      </c>
      <c r="G843" s="25" t="str">
        <f>HYPERLINK("http://vk.com/wall710715831_786")</f>
      </c>
      <c r="H843" s="14" t="s">
        <v>170</v>
      </c>
      <c r="I843" s="14" t="s">
        <v>171</v>
      </c>
      <c r="J843" s="14" t="s">
        <v>2401</v>
      </c>
      <c r="K843" s="26" t="str">
        <f>HYPERLINK("http://vk.com/id710715831")</f>
      </c>
      <c r="L843" s="14" t="s">
        <v>173</v>
      </c>
      <c r="O843" s="1" t="s">
        <v>186</v>
      </c>
      <c r="P843" s="1" t="n">
        <v>58</v>
      </c>
      <c r="Q843" s="1" t="n">
        <v>19</v>
      </c>
      <c r="R843" s="1" t="n">
        <v>0</v>
      </c>
      <c r="S843" s="1"/>
      <c r="T843" s="1" t="n">
        <v>0</v>
      </c>
      <c r="U843" s="1" t="n">
        <v>0</v>
      </c>
      <c r="V843" s="1" t="n">
        <v>0</v>
      </c>
      <c r="W843" s="1" t="n">
        <v>1</v>
      </c>
      <c r="Y843" s="1" t="n">
        <v>93</v>
      </c>
      <c r="Z843" s="0" t="s">
        <v>175</v>
      </c>
      <c r="AA843" s="0" t="s">
        <v>187</v>
      </c>
      <c r="AH843" s="0" t="s">
        <v>180</v>
      </c>
      <c r="AJ843" s="0" t="s">
        <v>437</v>
      </c>
      <c r="AK843" s="0" t="s">
        <v>94</v>
      </c>
      <c r="AL843" s="0" t="s">
        <v>95</v>
      </c>
      <c r="AM843" s="0" t="s">
        <v>96</v>
      </c>
      <c r="AU843" s="0" t="s">
        <v>104</v>
      </c>
      <c r="AV843" s="0" t="s">
        <v>105</v>
      </c>
    </row>
    <row r="844" ht="24.75">
      <c r="B844" s="0" t="s">
        <v>2400</v>
      </c>
      <c r="C844" s="1" t="n">
        <v>353048</v>
      </c>
      <c r="E844" s="14" t="s">
        <v>1356</v>
      </c>
      <c r="F844" s="14" t="s">
        <v>169</v>
      </c>
      <c r="G844" s="25" t="str">
        <f>HYPERLINK("http://www.ok.ru/profile/484865717694/statuses/154839063421886")</f>
      </c>
      <c r="H844" s="14" t="s">
        <v>170</v>
      </c>
      <c r="I844" s="14" t="s">
        <v>171</v>
      </c>
      <c r="J844" s="14" t="s">
        <v>2402</v>
      </c>
      <c r="K844" s="26" t="str">
        <f>HYPERLINK("http://www.ok.ru/profile/484865717694")</f>
      </c>
      <c r="L844" s="14" t="s">
        <v>173</v>
      </c>
      <c r="O844" s="1" t="s">
        <v>186</v>
      </c>
      <c r="P844" s="1" t="n">
        <v>65</v>
      </c>
      <c r="Q844" s="1" t="n">
        <v>265</v>
      </c>
      <c r="R844" s="1" t="n">
        <v>0</v>
      </c>
      <c r="S844" s="1"/>
      <c r="T844" s="1" t="n">
        <v>1</v>
      </c>
      <c r="U844" s="1" t="n">
        <v>1</v>
      </c>
      <c r="V844" s="1" t="n">
        <v>2</v>
      </c>
      <c r="W844" s="1"/>
      <c r="Y844" s="1" t="n">
        <v>93</v>
      </c>
      <c r="Z844" s="0" t="s">
        <v>175</v>
      </c>
      <c r="AA844" s="0" t="s">
        <v>187</v>
      </c>
      <c r="AC844" s="0" t="s">
        <v>177</v>
      </c>
      <c r="AD844" s="0" t="s">
        <v>681</v>
      </c>
      <c r="AE844" s="0" t="s">
        <v>2403</v>
      </c>
      <c r="AH844" s="0" t="s">
        <v>180</v>
      </c>
      <c r="AJ844" s="0" t="s">
        <v>437</v>
      </c>
      <c r="AK844" s="0" t="s">
        <v>94</v>
      </c>
      <c r="AL844" s="0" t="s">
        <v>95</v>
      </c>
      <c r="AM844" s="0" t="s">
        <v>96</v>
      </c>
      <c r="AU844" s="0" t="s">
        <v>104</v>
      </c>
      <c r="AV844" s="0" t="s">
        <v>105</v>
      </c>
    </row>
    <row r="845">
      <c r="B845" s="0" t="s">
        <v>2404</v>
      </c>
      <c r="C845" s="1" t="n">
        <v>352729</v>
      </c>
      <c r="E845" s="14" t="s">
        <v>2405</v>
      </c>
      <c r="F845" s="14" t="s">
        <v>184</v>
      </c>
      <c r="G845" s="25" t="str">
        <f>HYPERLINK("http://vk.com/wall-17734054_18173113?reply=18181221")</f>
      </c>
      <c r="H845" s="14" t="s">
        <v>170</v>
      </c>
      <c r="I845" s="14" t="s">
        <v>231</v>
      </c>
      <c r="J845" s="14" t="s">
        <v>2378</v>
      </c>
      <c r="K845" s="26" t="str">
        <f>HYPERLINK("http://vk.com/id612148529")</f>
      </c>
      <c r="L845" s="14" t="s">
        <v>173</v>
      </c>
      <c r="M845" s="14" t="s">
        <v>798</v>
      </c>
      <c r="N845" s="25" t="str">
        <f>HYPERLINK("http://vk.com/club17734054")</f>
      </c>
      <c r="O845" s="1" t="s">
        <v>186</v>
      </c>
      <c r="P845" s="1" t="n">
        <v>44</v>
      </c>
      <c r="Q845" s="1" t="n">
        <v>106020</v>
      </c>
      <c r="R845" s="1" t="n">
        <v>0</v>
      </c>
      <c r="S845" s="1"/>
      <c r="T845" s="1" t="n">
        <v>0</v>
      </c>
      <c r="U845" s="1" t="n">
        <v>0</v>
      </c>
      <c r="V845" s="1" t="n">
        <v>0</v>
      </c>
      <c r="W845" s="1"/>
      <c r="Y845" s="1" t="n">
        <v>1</v>
      </c>
      <c r="Z845" s="0" t="s">
        <v>175</v>
      </c>
      <c r="AA845" s="0" t="s">
        <v>187</v>
      </c>
      <c r="AC845" s="0" t="s">
        <v>177</v>
      </c>
      <c r="AD845" s="0" t="s">
        <v>240</v>
      </c>
      <c r="AE845" s="0" t="s">
        <v>240</v>
      </c>
      <c r="AH845" s="0" t="s">
        <v>180</v>
      </c>
      <c r="AI845" s="0" t="s">
        <v>92</v>
      </c>
      <c r="AJ845" s="0" t="s">
        <v>437</v>
      </c>
      <c r="AK845" s="0" t="s">
        <v>94</v>
      </c>
      <c r="AL845" s="0" t="s">
        <v>95</v>
      </c>
      <c r="AN845" s="0" t="s">
        <v>97</v>
      </c>
      <c r="AS845" s="0" t="s">
        <v>102</v>
      </c>
      <c r="BC845" s="0" t="s">
        <v>112</v>
      </c>
      <c r="BE845" s="0" t="s">
        <v>114</v>
      </c>
      <c r="CZ845" s="0" t="s">
        <v>161</v>
      </c>
    </row>
    <row r="846">
      <c r="B846" s="0" t="s">
        <v>2406</v>
      </c>
      <c r="C846" s="1" t="n">
        <v>352726</v>
      </c>
      <c r="E846" s="14" t="s">
        <v>2407</v>
      </c>
      <c r="F846" s="14" t="s">
        <v>184</v>
      </c>
      <c r="G846" s="25" t="str">
        <f>HYPERLINK("http://vk.com/wall-76846938_2689397?reply=2689808&amp;thread=2689447")</f>
      </c>
      <c r="H846" s="14" t="s">
        <v>170</v>
      </c>
      <c r="I846" s="14" t="s">
        <v>231</v>
      </c>
      <c r="J846" s="14" t="s">
        <v>2408</v>
      </c>
      <c r="K846" s="26" t="str">
        <f>HYPERLINK("http://vk.com/id163566544")</f>
      </c>
      <c r="L846" s="14" t="s">
        <v>173</v>
      </c>
      <c r="M846" s="14" t="s">
        <v>2409</v>
      </c>
      <c r="N846" s="25" t="str">
        <f>HYPERLINK("http://vk.com/club76846938")</f>
      </c>
      <c r="O846" s="1" t="s">
        <v>186</v>
      </c>
      <c r="P846" s="1" t="n">
        <v>35</v>
      </c>
      <c r="Q846" s="1" t="n">
        <v>396217</v>
      </c>
      <c r="R846" s="1" t="n">
        <v>0</v>
      </c>
      <c r="S846" s="1"/>
      <c r="T846" s="1" t="n">
        <v>0</v>
      </c>
      <c r="U846" s="1" t="n">
        <v>0</v>
      </c>
      <c r="V846" s="1" t="n">
        <v>0</v>
      </c>
      <c r="W846" s="1"/>
      <c r="Y846" s="1" t="n">
        <v>1</v>
      </c>
      <c r="Z846" s="0" t="s">
        <v>175</v>
      </c>
      <c r="AA846" s="0" t="s">
        <v>187</v>
      </c>
      <c r="AC846" s="0" t="s">
        <v>177</v>
      </c>
      <c r="AH846" s="0" t="s">
        <v>180</v>
      </c>
      <c r="AI846" s="0" t="s">
        <v>92</v>
      </c>
      <c r="AJ846" s="0" t="s">
        <v>437</v>
      </c>
      <c r="AK846" s="0" t="s">
        <v>94</v>
      </c>
      <c r="AL846" s="0" t="s">
        <v>95</v>
      </c>
      <c r="AN846" s="0" t="s">
        <v>97</v>
      </c>
      <c r="AR846" s="0" t="s">
        <v>101</v>
      </c>
      <c r="AS846" s="0" t="s">
        <v>102</v>
      </c>
    </row>
    <row r="847" ht="48.75">
      <c r="B847" s="0" t="s">
        <v>2410</v>
      </c>
      <c r="C847" s="1" t="n">
        <v>352725</v>
      </c>
      <c r="E847" s="14" t="s">
        <v>2411</v>
      </c>
      <c r="F847" s="14" t="s">
        <v>184</v>
      </c>
      <c r="G847" s="25" t="str">
        <f>HYPERLINK("http://vk.com/wall114339596_1659")</f>
      </c>
      <c r="H847" s="14" t="s">
        <v>170</v>
      </c>
      <c r="I847" s="14" t="s">
        <v>171</v>
      </c>
      <c r="J847" s="14" t="s">
        <v>2412</v>
      </c>
      <c r="K847" s="26" t="str">
        <f>HYPERLINK("http://vk.com/id114339596")</f>
      </c>
      <c r="L847" s="14" t="s">
        <v>173</v>
      </c>
      <c r="O847" s="1" t="s">
        <v>186</v>
      </c>
      <c r="P847" s="1"/>
      <c r="Q847" s="1" t="n">
        <v>44</v>
      </c>
      <c r="R847" s="1" t="n">
        <v>0</v>
      </c>
      <c r="S847" s="1"/>
      <c r="T847" s="1" t="n">
        <v>0</v>
      </c>
      <c r="U847" s="1" t="n">
        <v>0</v>
      </c>
      <c r="V847" s="1" t="n">
        <v>0</v>
      </c>
      <c r="W847" s="1"/>
      <c r="Y847" s="1" t="n">
        <v>1</v>
      </c>
      <c r="Z847" s="0" t="s">
        <v>175</v>
      </c>
      <c r="AA847" s="0" t="s">
        <v>176</v>
      </c>
      <c r="AC847" s="0" t="s">
        <v>177</v>
      </c>
      <c r="AD847" s="0" t="s">
        <v>435</v>
      </c>
      <c r="AE847" s="0" t="s">
        <v>2413</v>
      </c>
      <c r="AH847" s="0" t="s">
        <v>180</v>
      </c>
      <c r="AJ847" s="0" t="s">
        <v>437</v>
      </c>
      <c r="AK847" s="0" t="s">
        <v>94</v>
      </c>
      <c r="AL847" s="0" t="s">
        <v>95</v>
      </c>
      <c r="AM847" s="0" t="s">
        <v>96</v>
      </c>
      <c r="AO847" s="0" t="s">
        <v>98</v>
      </c>
      <c r="AQ847" s="0" t="s">
        <v>100</v>
      </c>
      <c r="AR847" s="0" t="s">
        <v>101</v>
      </c>
    </row>
    <row r="848" ht="24.75">
      <c r="B848" s="0" t="s">
        <v>2414</v>
      </c>
      <c r="C848" s="1" t="n">
        <v>352968</v>
      </c>
      <c r="E848" s="14" t="s">
        <v>1356</v>
      </c>
      <c r="F848" s="14" t="s">
        <v>169</v>
      </c>
      <c r="G848" s="25" t="str">
        <f>HYPERLINK("http://www.ok.ru/profile/346238873907/statuses/156014848260147")</f>
      </c>
      <c r="H848" s="14" t="s">
        <v>170</v>
      </c>
      <c r="I848" s="14" t="s">
        <v>171</v>
      </c>
      <c r="J848" s="14" t="s">
        <v>2415</v>
      </c>
      <c r="K848" s="26" t="str">
        <f>HYPERLINK("http://www.ok.ru/profile/346238873907")</f>
      </c>
      <c r="L848" s="14" t="s">
        <v>173</v>
      </c>
      <c r="O848" s="1" t="s">
        <v>174</v>
      </c>
      <c r="P848" s="1" t="n">
        <v>69</v>
      </c>
      <c r="Q848" s="1" t="n">
        <v>206</v>
      </c>
      <c r="R848" s="1" t="n">
        <v>0</v>
      </c>
      <c r="S848" s="1"/>
      <c r="T848" s="1" t="n">
        <v>0</v>
      </c>
      <c r="U848" s="1" t="n">
        <v>1</v>
      </c>
      <c r="V848" s="1" t="n">
        <v>1</v>
      </c>
      <c r="W848" s="1"/>
      <c r="Y848" s="1" t="n">
        <v>93</v>
      </c>
      <c r="Z848" s="0" t="s">
        <v>175</v>
      </c>
      <c r="AA848" s="0" t="s">
        <v>187</v>
      </c>
      <c r="AC848" s="0" t="s">
        <v>177</v>
      </c>
      <c r="AD848" s="0" t="s">
        <v>852</v>
      </c>
      <c r="AE848" s="0" t="s">
        <v>2416</v>
      </c>
      <c r="AH848" s="0" t="s">
        <v>180</v>
      </c>
      <c r="AJ848" s="0" t="s">
        <v>437</v>
      </c>
      <c r="AK848" s="0" t="s">
        <v>94</v>
      </c>
      <c r="AL848" s="0" t="s">
        <v>95</v>
      </c>
      <c r="AM848" s="0" t="s">
        <v>96</v>
      </c>
      <c r="AU848" s="0" t="s">
        <v>104</v>
      </c>
      <c r="AV848" s="0" t="s">
        <v>105</v>
      </c>
    </row>
    <row r="849" ht="24.75">
      <c r="B849" s="0" t="s">
        <v>2414</v>
      </c>
      <c r="C849" s="1" t="n">
        <v>352792</v>
      </c>
      <c r="E849" s="14" t="s">
        <v>440</v>
      </c>
      <c r="F849" s="14" t="s">
        <v>169</v>
      </c>
      <c r="G849" s="25" t="str">
        <f>HYPERLINK("http://www.ok.ru/profile/573129900034/statuses/154611022398722")</f>
      </c>
      <c r="H849" s="14" t="s">
        <v>170</v>
      </c>
      <c r="I849" s="14" t="s">
        <v>171</v>
      </c>
      <c r="J849" s="14" t="s">
        <v>2417</v>
      </c>
      <c r="K849" s="26" t="str">
        <f>HYPERLINK("http://www.ok.ru/profile/573129900034")</f>
      </c>
      <c r="L849" s="14" t="s">
        <v>173</v>
      </c>
      <c r="O849" s="1" t="s">
        <v>174</v>
      </c>
      <c r="P849" s="1" t="n">
        <v>58</v>
      </c>
      <c r="Q849" s="1" t="n">
        <v>361</v>
      </c>
      <c r="R849" s="1" t="n">
        <v>0</v>
      </c>
      <c r="S849" s="1"/>
      <c r="T849" s="1" t="n">
        <v>0</v>
      </c>
      <c r="U849" s="1" t="n">
        <v>1</v>
      </c>
      <c r="V849" s="1" t="n">
        <v>1</v>
      </c>
      <c r="W849" s="1"/>
      <c r="Y849" s="1" t="n">
        <v>17</v>
      </c>
      <c r="Z849" s="0" t="s">
        <v>175</v>
      </c>
      <c r="AA849" s="0" t="s">
        <v>176</v>
      </c>
      <c r="AC849" s="0" t="s">
        <v>177</v>
      </c>
      <c r="AD849" s="0" t="s">
        <v>246</v>
      </c>
      <c r="AE849" s="0" t="s">
        <v>2418</v>
      </c>
      <c r="AH849" s="0" t="s">
        <v>180</v>
      </c>
      <c r="AJ849" s="0" t="s">
        <v>437</v>
      </c>
      <c r="AK849" s="0" t="s">
        <v>94</v>
      </c>
      <c r="AL849" s="0" t="s">
        <v>95</v>
      </c>
      <c r="AM849" s="0" t="s">
        <v>96</v>
      </c>
      <c r="AO849" s="0" t="s">
        <v>98</v>
      </c>
      <c r="AQ849" s="0" t="s">
        <v>100</v>
      </c>
    </row>
    <row r="850">
      <c r="B850" s="0" t="s">
        <v>2419</v>
      </c>
      <c r="C850" s="1" t="n">
        <v>352718</v>
      </c>
      <c r="E850" s="14" t="s">
        <v>2420</v>
      </c>
      <c r="F850" s="14" t="s">
        <v>184</v>
      </c>
      <c r="G850" s="25" t="str">
        <f>HYPERLINK("http://vk.com/wall-203022192_15167?reply=15254")</f>
      </c>
      <c r="H850" s="14" t="s">
        <v>170</v>
      </c>
      <c r="I850" s="14" t="s">
        <v>231</v>
      </c>
      <c r="J850" s="14" t="s">
        <v>2378</v>
      </c>
      <c r="K850" s="26" t="str">
        <f>HYPERLINK("http://vk.com/id612148529")</f>
      </c>
      <c r="L850" s="14" t="s">
        <v>173</v>
      </c>
      <c r="M850" s="14" t="s">
        <v>2421</v>
      </c>
      <c r="N850" s="25" t="str">
        <f>HYPERLINK("http://vk.com/club203022192")</f>
      </c>
      <c r="O850" s="1" t="s">
        <v>186</v>
      </c>
      <c r="P850" s="1" t="n">
        <v>44</v>
      </c>
      <c r="Q850" s="1" t="n">
        <v>4425</v>
      </c>
      <c r="R850" s="1" t="n">
        <v>0</v>
      </c>
      <c r="S850" s="1"/>
      <c r="T850" s="1" t="n">
        <v>0</v>
      </c>
      <c r="U850" s="1" t="n">
        <v>0</v>
      </c>
      <c r="V850" s="1" t="n">
        <v>0</v>
      </c>
      <c r="W850" s="1"/>
      <c r="Y850" s="1" t="n">
        <v>1</v>
      </c>
      <c r="Z850" s="0" t="s">
        <v>463</v>
      </c>
      <c r="AA850" s="0" t="s">
        <v>292</v>
      </c>
      <c r="AC850" s="0" t="s">
        <v>177</v>
      </c>
      <c r="AD850" s="0" t="s">
        <v>240</v>
      </c>
      <c r="AE850" s="0" t="s">
        <v>240</v>
      </c>
      <c r="AH850" s="0" t="s">
        <v>180</v>
      </c>
      <c r="AJ850" s="0" t="s">
        <v>437</v>
      </c>
      <c r="AK850" s="0" t="s">
        <v>94</v>
      </c>
      <c r="AL850" s="0" t="s">
        <v>95</v>
      </c>
      <c r="AN850" s="0" t="s">
        <v>97</v>
      </c>
      <c r="AO850" s="0" t="s">
        <v>98</v>
      </c>
      <c r="AS850" s="0" t="s">
        <v>102</v>
      </c>
      <c r="AY850" s="0" t="s">
        <v>108</v>
      </c>
      <c r="BC850" s="0" t="s">
        <v>112</v>
      </c>
      <c r="BU850" s="0" t="s">
        <v>130</v>
      </c>
      <c r="BY850" s="0" t="s">
        <v>134</v>
      </c>
    </row>
    <row r="851" ht="24.75">
      <c r="B851" s="0" t="s">
        <v>2422</v>
      </c>
      <c r="C851" s="1" t="n">
        <v>352907</v>
      </c>
      <c r="E851" s="14" t="s">
        <v>554</v>
      </c>
      <c r="F851" s="14" t="s">
        <v>169</v>
      </c>
      <c r="G851" s="25" t="str">
        <f>HYPERLINK("http://www.ok.ru/profile/256981023352/statuses/155584204931192")</f>
      </c>
      <c r="H851" s="14" t="s">
        <v>170</v>
      </c>
      <c r="I851" s="14" t="s">
        <v>171</v>
      </c>
      <c r="J851" s="14" t="s">
        <v>2423</v>
      </c>
      <c r="K851" s="26" t="str">
        <f>HYPERLINK("http://www.ok.ru/profile/256981023352")</f>
      </c>
      <c r="L851" s="14" t="s">
        <v>173</v>
      </c>
      <c r="O851" s="1" t="s">
        <v>186</v>
      </c>
      <c r="P851" s="1" t="n">
        <v>53</v>
      </c>
      <c r="Q851" s="1" t="n">
        <v>319</v>
      </c>
      <c r="R851" s="1" t="n">
        <v>0</v>
      </c>
      <c r="S851" s="1"/>
      <c r="T851" s="1" t="n">
        <v>0</v>
      </c>
      <c r="U851" s="1" t="n">
        <v>3</v>
      </c>
      <c r="V851" s="1" t="n">
        <v>3</v>
      </c>
      <c r="W851" s="1"/>
      <c r="Y851" s="1" t="n">
        <v>59</v>
      </c>
      <c r="Z851" s="0" t="s">
        <v>175</v>
      </c>
      <c r="AA851" s="0" t="s">
        <v>176</v>
      </c>
      <c r="AC851" s="0" t="s">
        <v>177</v>
      </c>
      <c r="AD851" s="0" t="s">
        <v>402</v>
      </c>
      <c r="AE851" s="0" t="s">
        <v>2424</v>
      </c>
      <c r="AH851" s="0" t="s">
        <v>180</v>
      </c>
      <c r="AJ851" s="0" t="s">
        <v>437</v>
      </c>
      <c r="AK851" s="0" t="s">
        <v>94</v>
      </c>
      <c r="AL851" s="0" t="s">
        <v>95</v>
      </c>
      <c r="AM851" s="0" t="s">
        <v>96</v>
      </c>
      <c r="AO851" s="0" t="s">
        <v>98</v>
      </c>
      <c r="AQ851" s="0" t="s">
        <v>100</v>
      </c>
    </row>
    <row r="852">
      <c r="B852" s="0" t="s">
        <v>2425</v>
      </c>
      <c r="C852" s="1" t="n">
        <v>352705</v>
      </c>
      <c r="E852" s="14" t="s">
        <v>2426</v>
      </c>
      <c r="F852" s="14" t="s">
        <v>184</v>
      </c>
      <c r="G852" s="25" t="str">
        <f>HYPERLINK("http://vk.com/wall-137444280_2094471?reply=2102774&amp;thread=2094512")</f>
      </c>
      <c r="H852" s="14" t="s">
        <v>170</v>
      </c>
      <c r="I852" s="14" t="s">
        <v>231</v>
      </c>
      <c r="J852" s="14" t="s">
        <v>2378</v>
      </c>
      <c r="K852" s="26" t="str">
        <f>HYPERLINK("http://vk.com/id612148529")</f>
      </c>
      <c r="L852" s="14" t="s">
        <v>173</v>
      </c>
      <c r="M852" s="14" t="s">
        <v>2427</v>
      </c>
      <c r="N852" s="25" t="str">
        <f>HYPERLINK("http://vk.com/club137444280")</f>
      </c>
      <c r="O852" s="1" t="s">
        <v>186</v>
      </c>
      <c r="P852" s="1" t="n">
        <v>44</v>
      </c>
      <c r="Q852" s="1" t="n">
        <v>24540</v>
      </c>
      <c r="R852" s="1" t="n">
        <v>0</v>
      </c>
      <c r="S852" s="1"/>
      <c r="T852" s="1" t="n">
        <v>0</v>
      </c>
      <c r="U852" s="1" t="n">
        <v>0</v>
      </c>
      <c r="V852" s="1" t="n">
        <v>0</v>
      </c>
      <c r="W852" s="1"/>
      <c r="Y852" s="1" t="n">
        <v>1</v>
      </c>
      <c r="Z852" s="0" t="s">
        <v>463</v>
      </c>
      <c r="AA852" s="0" t="s">
        <v>292</v>
      </c>
      <c r="AC852" s="0" t="s">
        <v>177</v>
      </c>
      <c r="AD852" s="0" t="s">
        <v>240</v>
      </c>
      <c r="AE852" s="0" t="s">
        <v>240</v>
      </c>
      <c r="AH852" s="0" t="s">
        <v>180</v>
      </c>
      <c r="AI852" s="0" t="s">
        <v>92</v>
      </c>
      <c r="AJ852" s="0" t="s">
        <v>437</v>
      </c>
      <c r="AL852" s="0" t="s">
        <v>95</v>
      </c>
      <c r="AN852" s="0" t="s">
        <v>97</v>
      </c>
      <c r="AO852" s="0" t="s">
        <v>98</v>
      </c>
      <c r="AS852" s="0" t="s">
        <v>102</v>
      </c>
      <c r="AY852" s="0" t="s">
        <v>108</v>
      </c>
      <c r="BB852" s="0" t="s">
        <v>111</v>
      </c>
      <c r="BY852" s="0" t="s">
        <v>134</v>
      </c>
      <c r="CS852" s="0" t="s">
        <v>154</v>
      </c>
    </row>
    <row r="853">
      <c r="B853" s="0" t="s">
        <v>2428</v>
      </c>
      <c r="C853" s="1" t="n">
        <v>352717</v>
      </c>
      <c r="E853" s="14" t="s">
        <v>2429</v>
      </c>
      <c r="F853" s="14" t="s">
        <v>184</v>
      </c>
      <c r="G853" s="25" t="str">
        <f>HYPERLINK("http://vk.com/wall-76846938_2689397?reply=2689806&amp;thread=2689447")</f>
      </c>
      <c r="H853" s="14" t="s">
        <v>170</v>
      </c>
      <c r="I853" s="14" t="s">
        <v>231</v>
      </c>
      <c r="J853" s="14" t="s">
        <v>2408</v>
      </c>
      <c r="K853" s="26" t="str">
        <f>HYPERLINK("http://vk.com/id163566544")</f>
      </c>
      <c r="L853" s="14" t="s">
        <v>173</v>
      </c>
      <c r="M853" s="14" t="s">
        <v>2409</v>
      </c>
      <c r="N853" s="25" t="str">
        <f>HYPERLINK("http://vk.com/club76846938")</f>
      </c>
      <c r="O853" s="1" t="s">
        <v>186</v>
      </c>
      <c r="P853" s="1" t="n">
        <v>35</v>
      </c>
      <c r="Q853" s="1" t="n">
        <v>396217</v>
      </c>
      <c r="R853" s="1" t="n">
        <v>0</v>
      </c>
      <c r="S853" s="1"/>
      <c r="T853" s="1" t="n">
        <v>0</v>
      </c>
      <c r="U853" s="1" t="n">
        <v>0</v>
      </c>
      <c r="V853" s="1" t="n">
        <v>0</v>
      </c>
      <c r="W853" s="1"/>
      <c r="Y853" s="1" t="n">
        <v>1</v>
      </c>
      <c r="Z853" s="0" t="s">
        <v>319</v>
      </c>
      <c r="AA853" s="0" t="s">
        <v>187</v>
      </c>
      <c r="AC853" s="0" t="s">
        <v>177</v>
      </c>
      <c r="AH853" s="0" t="s">
        <v>180</v>
      </c>
      <c r="AI853" s="0" t="s">
        <v>92</v>
      </c>
      <c r="AJ853" s="0" t="s">
        <v>437</v>
      </c>
      <c r="AK853" s="0" t="s">
        <v>94</v>
      </c>
      <c r="AL853" s="0" t="s">
        <v>95</v>
      </c>
      <c r="AN853" s="0" t="s">
        <v>97</v>
      </c>
      <c r="AR853" s="0" t="s">
        <v>101</v>
      </c>
      <c r="AS853" s="0" t="s">
        <v>102</v>
      </c>
      <c r="BG853" s="0" t="s">
        <v>116</v>
      </c>
    </row>
    <row r="854" ht="1200.75">
      <c r="B854" s="0" t="s">
        <v>2428</v>
      </c>
      <c r="C854" s="1" t="n">
        <v>353009</v>
      </c>
      <c r="E854" s="14" t="s">
        <v>2323</v>
      </c>
      <c r="F854" s="14" t="s">
        <v>169</v>
      </c>
      <c r="G854" s="25" t="str">
        <f>HYPERLINK("http://www.ok.ru/profile/571397818187/statuses/156042609709131")</f>
      </c>
      <c r="H854" s="14" t="s">
        <v>170</v>
      </c>
      <c r="I854" s="14" t="s">
        <v>171</v>
      </c>
      <c r="J854" s="14" t="s">
        <v>2430</v>
      </c>
      <c r="K854" s="26" t="str">
        <f>HYPERLINK("http://www.ok.ru/profile/571397818187")</f>
      </c>
      <c r="L854" s="14" t="s">
        <v>173</v>
      </c>
      <c r="O854" s="1" t="s">
        <v>186</v>
      </c>
      <c r="P854" s="1" t="n">
        <v>67</v>
      </c>
      <c r="Q854" s="1" t="n">
        <v>297</v>
      </c>
      <c r="R854" s="1" t="n">
        <v>0</v>
      </c>
      <c r="S854" s="1"/>
      <c r="T854" s="1" t="n">
        <v>0</v>
      </c>
      <c r="U854" s="1" t="n">
        <v>1</v>
      </c>
      <c r="V854" s="1" t="n">
        <v>1</v>
      </c>
      <c r="W854" s="1"/>
      <c r="Y854" s="1" t="n">
        <v>5</v>
      </c>
      <c r="Z854" s="0" t="s">
        <v>175</v>
      </c>
      <c r="AA854" s="0" t="s">
        <v>187</v>
      </c>
      <c r="AC854" s="0" t="s">
        <v>177</v>
      </c>
      <c r="AD854" s="0" t="s">
        <v>332</v>
      </c>
      <c r="AE854" s="0" t="s">
        <v>332</v>
      </c>
      <c r="AH854" s="0" t="s">
        <v>180</v>
      </c>
      <c r="AJ854" s="0" t="s">
        <v>437</v>
      </c>
      <c r="AK854" s="0" t="s">
        <v>94</v>
      </c>
      <c r="AL854" s="0" t="s">
        <v>95</v>
      </c>
      <c r="AM854" s="0" t="s">
        <v>96</v>
      </c>
      <c r="AX854" s="0" t="s">
        <v>107</v>
      </c>
    </row>
    <row r="855" ht="24.75">
      <c r="B855" s="0" t="s">
        <v>2431</v>
      </c>
      <c r="C855" s="1" t="n">
        <v>353168</v>
      </c>
      <c r="E855" s="14" t="s">
        <v>554</v>
      </c>
      <c r="F855" s="14" t="s">
        <v>169</v>
      </c>
      <c r="G855" s="25" t="str">
        <f>HYPERLINK("http://www.ok.ru/profile/525125774325/statuses/157994939811317")</f>
      </c>
      <c r="H855" s="14" t="s">
        <v>170</v>
      </c>
      <c r="I855" s="14" t="s">
        <v>171</v>
      </c>
      <c r="J855" s="14" t="s">
        <v>2432</v>
      </c>
      <c r="K855" s="26" t="str">
        <f>HYPERLINK("http://www.ok.ru/profile/525125774325")</f>
      </c>
      <c r="L855" s="14" t="s">
        <v>173</v>
      </c>
      <c r="O855" s="1" t="s">
        <v>186</v>
      </c>
      <c r="P855" s="1" t="n">
        <v>62</v>
      </c>
      <c r="Q855" s="1" t="n">
        <v>526</v>
      </c>
      <c r="R855" s="1" t="n">
        <v>0</v>
      </c>
      <c r="S855" s="1"/>
      <c r="T855" s="1" t="n">
        <v>1</v>
      </c>
      <c r="U855" s="1" t="n">
        <v>4</v>
      </c>
      <c r="V855" s="1" t="n">
        <v>5</v>
      </c>
      <c r="W855" s="1"/>
      <c r="Y855" s="1" t="n">
        <v>59</v>
      </c>
      <c r="Z855" s="0" t="s">
        <v>175</v>
      </c>
      <c r="AA855" s="0" t="s">
        <v>176</v>
      </c>
      <c r="AC855" s="0" t="s">
        <v>177</v>
      </c>
      <c r="AD855" s="0" t="s">
        <v>1375</v>
      </c>
      <c r="AE855" s="0" t="s">
        <v>1376</v>
      </c>
      <c r="AH855" s="0" t="s">
        <v>180</v>
      </c>
      <c r="AJ855" s="0" t="s">
        <v>437</v>
      </c>
      <c r="AK855" s="0" t="s">
        <v>94</v>
      </c>
      <c r="AL855" s="0" t="s">
        <v>95</v>
      </c>
      <c r="AM855" s="0" t="s">
        <v>96</v>
      </c>
      <c r="AO855" s="0" t="s">
        <v>98</v>
      </c>
      <c r="AQ855" s="0" t="s">
        <v>100</v>
      </c>
    </row>
    <row r="856" ht="24.75">
      <c r="B856" s="0" t="s">
        <v>2433</v>
      </c>
      <c r="C856" s="1" t="n">
        <v>352704</v>
      </c>
      <c r="E856" s="14" t="s">
        <v>1307</v>
      </c>
      <c r="F856" s="14" t="s">
        <v>184</v>
      </c>
      <c r="G856" s="25" t="str">
        <f>HYPERLINK("http://vk.com/wall766878729_400")</f>
      </c>
      <c r="H856" s="14" t="s">
        <v>170</v>
      </c>
      <c r="I856" s="14" t="s">
        <v>171</v>
      </c>
      <c r="J856" s="14" t="s">
        <v>2434</v>
      </c>
      <c r="K856" s="26" t="str">
        <f>HYPERLINK("http://vk.com/id766878729")</f>
      </c>
      <c r="L856" s="14" t="s">
        <v>173</v>
      </c>
      <c r="O856" s="1" t="s">
        <v>186</v>
      </c>
      <c r="P856" s="1" t="n">
        <v>36</v>
      </c>
      <c r="Q856" s="1" t="n">
        <v>62</v>
      </c>
      <c r="R856" s="1" t="n">
        <v>0</v>
      </c>
      <c r="S856" s="1"/>
      <c r="T856" s="1" t="n">
        <v>0</v>
      </c>
      <c r="U856" s="1" t="n">
        <v>0</v>
      </c>
      <c r="V856" s="1" t="n">
        <v>0</v>
      </c>
      <c r="W856" s="1"/>
      <c r="Y856" s="1" t="n">
        <v>6</v>
      </c>
      <c r="Z856" s="0" t="s">
        <v>175</v>
      </c>
      <c r="AA856" s="0" t="s">
        <v>187</v>
      </c>
      <c r="AH856" s="0" t="s">
        <v>180</v>
      </c>
      <c r="AJ856" s="0" t="s">
        <v>437</v>
      </c>
      <c r="AK856" s="0" t="s">
        <v>94</v>
      </c>
      <c r="AL856" s="0" t="s">
        <v>95</v>
      </c>
      <c r="AM856" s="0" t="s">
        <v>96</v>
      </c>
      <c r="AO856" s="0" t="s">
        <v>98</v>
      </c>
      <c r="AQ856" s="0" t="s">
        <v>100</v>
      </c>
    </row>
    <row r="857">
      <c r="B857" s="0" t="s">
        <v>2435</v>
      </c>
      <c r="C857" s="1" t="n">
        <v>352716</v>
      </c>
      <c r="E857" s="14" t="s">
        <v>2436</v>
      </c>
      <c r="F857" s="14" t="s">
        <v>184</v>
      </c>
      <c r="G857" s="25" t="str">
        <f>HYPERLINK("http://vk.com/wall-202201921_284013?reply=287564")</f>
      </c>
      <c r="H857" s="14" t="s">
        <v>170</v>
      </c>
      <c r="I857" s="14" t="s">
        <v>231</v>
      </c>
      <c r="J857" s="14" t="s">
        <v>2378</v>
      </c>
      <c r="K857" s="26" t="str">
        <f>HYPERLINK("http://vk.com/id612148529")</f>
      </c>
      <c r="L857" s="14" t="s">
        <v>173</v>
      </c>
      <c r="M857" s="14" t="s">
        <v>2437</v>
      </c>
      <c r="N857" s="25" t="str">
        <f>HYPERLINK("http://vk.com/club202201921")</f>
      </c>
      <c r="O857" s="1" t="s">
        <v>186</v>
      </c>
      <c r="P857" s="1" t="n">
        <v>44</v>
      </c>
      <c r="Q857" s="1" t="n">
        <v>20018</v>
      </c>
      <c r="R857" s="1" t="n">
        <v>0</v>
      </c>
      <c r="S857" s="1"/>
      <c r="T857" s="1" t="n">
        <v>0</v>
      </c>
      <c r="U857" s="1" t="n">
        <v>0</v>
      </c>
      <c r="V857" s="1" t="n">
        <v>0</v>
      </c>
      <c r="W857" s="1"/>
      <c r="Y857" s="1" t="n">
        <v>1</v>
      </c>
      <c r="Z857" s="0" t="s">
        <v>175</v>
      </c>
      <c r="AA857" s="0" t="s">
        <v>187</v>
      </c>
      <c r="AC857" s="0" t="s">
        <v>177</v>
      </c>
      <c r="AD857" s="0" t="s">
        <v>240</v>
      </c>
      <c r="AE857" s="0" t="s">
        <v>240</v>
      </c>
      <c r="AH857" s="0" t="s">
        <v>180</v>
      </c>
      <c r="AJ857" s="0" t="s">
        <v>437</v>
      </c>
      <c r="AK857" s="0" t="s">
        <v>94</v>
      </c>
      <c r="AL857" s="0" t="s">
        <v>95</v>
      </c>
      <c r="AN857" s="0" t="s">
        <v>97</v>
      </c>
      <c r="AS857" s="0" t="s">
        <v>102</v>
      </c>
      <c r="BB857" s="0" t="s">
        <v>111</v>
      </c>
      <c r="BC857" s="0" t="s">
        <v>112</v>
      </c>
      <c r="BM857" s="0" t="s">
        <v>122</v>
      </c>
    </row>
    <row r="858" ht="1212.75">
      <c r="B858" s="0" t="s">
        <v>2435</v>
      </c>
      <c r="C858" s="1" t="n">
        <v>352706</v>
      </c>
      <c r="E858" s="14" t="s">
        <v>683</v>
      </c>
      <c r="F858" s="14" t="s">
        <v>184</v>
      </c>
      <c r="G858" s="25" t="str">
        <f>HYPERLINK("http://vk.com/wall358742810_47018")</f>
      </c>
      <c r="H858" s="14" t="s">
        <v>170</v>
      </c>
      <c r="I858" s="14" t="s">
        <v>171</v>
      </c>
      <c r="J858" s="14" t="s">
        <v>2438</v>
      </c>
      <c r="K858" s="26" t="str">
        <f>HYPERLINK("http://vk.com/id358742810")</f>
      </c>
      <c r="L858" s="14" t="s">
        <v>173</v>
      </c>
      <c r="O858" s="1" t="s">
        <v>186</v>
      </c>
      <c r="P858" s="1"/>
      <c r="Q858" s="1" t="n">
        <v>249</v>
      </c>
      <c r="R858" s="1" t="n">
        <v>0</v>
      </c>
      <c r="S858" s="1"/>
      <c r="T858" s="1" t="n">
        <v>0</v>
      </c>
      <c r="U858" s="1" t="n">
        <v>0</v>
      </c>
      <c r="V858" s="1" t="n">
        <v>0</v>
      </c>
      <c r="W858" s="1" t="n">
        <v>2</v>
      </c>
      <c r="Y858" s="1" t="n">
        <v>22</v>
      </c>
      <c r="Z858" s="0" t="s">
        <v>175</v>
      </c>
      <c r="AA858" s="0" t="s">
        <v>187</v>
      </c>
      <c r="AC858" s="0" t="s">
        <v>177</v>
      </c>
      <c r="AD858" s="0" t="s">
        <v>246</v>
      </c>
      <c r="AE858" s="0" t="s">
        <v>2439</v>
      </c>
      <c r="AH858" s="0" t="s">
        <v>180</v>
      </c>
      <c r="AJ858" s="0" t="s">
        <v>437</v>
      </c>
      <c r="AK858" s="0" t="s">
        <v>94</v>
      </c>
      <c r="AL858" s="0" t="s">
        <v>95</v>
      </c>
      <c r="AM858" s="0" t="s">
        <v>96</v>
      </c>
      <c r="AU858" s="0" t="s">
        <v>104</v>
      </c>
      <c r="AV858" s="0" t="s">
        <v>105</v>
      </c>
      <c r="AX858" s="0" t="s">
        <v>107</v>
      </c>
    </row>
    <row r="859">
      <c r="B859" s="0" t="s">
        <v>2440</v>
      </c>
      <c r="C859" s="1" t="n">
        <v>352710</v>
      </c>
      <c r="E859" s="14" t="s">
        <v>2441</v>
      </c>
      <c r="F859" s="14" t="s">
        <v>192</v>
      </c>
      <c r="G859" s="25" t="str">
        <f>HYPERLINK("https://telegram.me/apple_ukraina/190364")</f>
      </c>
      <c r="H859" s="14" t="s">
        <v>193</v>
      </c>
      <c r="I859" s="14" t="s">
        <v>194</v>
      </c>
      <c r="J859" s="14" t="s">
        <v>2442</v>
      </c>
      <c r="K859" s="26" t="str">
        <f>HYPERLINK("https://telegram.me/")</f>
      </c>
      <c r="L859" s="14" t="s">
        <v>173</v>
      </c>
      <c r="M859" s="14" t="s">
        <v>2443</v>
      </c>
      <c r="N859" s="25" t="str">
        <f>HYPERLINK("https://telegram.me/apple_ukraina")</f>
      </c>
      <c r="O859" s="1" t="s">
        <v>186</v>
      </c>
      <c r="P859" s="1"/>
      <c r="Q859" s="1" t="n">
        <v>16029</v>
      </c>
      <c r="R859" s="1" t="n">
        <v>0</v>
      </c>
      <c r="S859" s="1"/>
      <c r="T859" s="1" t="n">
        <v>0</v>
      </c>
      <c r="U859" s="1" t="n">
        <v>0</v>
      </c>
      <c r="V859" s="1" t="n">
        <v>0</v>
      </c>
      <c r="W859" s="1"/>
      <c r="Y859" s="1" t="n">
        <v>1</v>
      </c>
      <c r="Z859" s="0" t="s">
        <v>175</v>
      </c>
      <c r="AA859" s="0" t="s">
        <v>187</v>
      </c>
      <c r="AH859" s="0" t="s">
        <v>180</v>
      </c>
      <c r="AJ859" s="0" t="s">
        <v>437</v>
      </c>
      <c r="AK859" s="0" t="s">
        <v>94</v>
      </c>
      <c r="AL859" s="0" t="s">
        <v>95</v>
      </c>
      <c r="AM859" s="0" t="s">
        <v>96</v>
      </c>
      <c r="AV859" s="0" t="s">
        <v>105</v>
      </c>
    </row>
    <row r="860" ht="24.75">
      <c r="B860" s="0" t="s">
        <v>2444</v>
      </c>
      <c r="C860" s="1" t="n">
        <v>352832</v>
      </c>
      <c r="E860" s="14" t="s">
        <v>440</v>
      </c>
      <c r="F860" s="14" t="s">
        <v>169</v>
      </c>
      <c r="G860" s="25" t="str">
        <f>HYPERLINK("http://www.ok.ru/profile/562979437920/statuses/154974951467104")</f>
      </c>
      <c r="H860" s="14" t="s">
        <v>170</v>
      </c>
      <c r="I860" s="14" t="s">
        <v>171</v>
      </c>
      <c r="J860" s="14" t="s">
        <v>2445</v>
      </c>
      <c r="K860" s="26" t="str">
        <f>HYPERLINK("http://www.ok.ru/profile/562979437920")</f>
      </c>
      <c r="L860" s="14" t="s">
        <v>173</v>
      </c>
      <c r="O860" s="1" t="s">
        <v>186</v>
      </c>
      <c r="P860" s="1"/>
      <c r="Q860" s="1" t="n">
        <v>281</v>
      </c>
      <c r="R860" s="1" t="n">
        <v>0</v>
      </c>
      <c r="S860" s="1"/>
      <c r="T860" s="1" t="n">
        <v>0</v>
      </c>
      <c r="U860" s="1" t="n">
        <v>4</v>
      </c>
      <c r="V860" s="1" t="n">
        <v>4</v>
      </c>
      <c r="W860" s="1"/>
      <c r="Y860" s="1" t="n">
        <v>17</v>
      </c>
      <c r="Z860" s="0" t="s">
        <v>175</v>
      </c>
      <c r="AA860" s="0" t="s">
        <v>176</v>
      </c>
      <c r="AC860" s="0" t="s">
        <v>177</v>
      </c>
      <c r="AD860" s="0" t="s">
        <v>760</v>
      </c>
      <c r="AE860" s="0" t="s">
        <v>761</v>
      </c>
      <c r="AH860" s="0" t="s">
        <v>180</v>
      </c>
      <c r="AJ860" s="0" t="s">
        <v>437</v>
      </c>
      <c r="AK860" s="0" t="s">
        <v>94</v>
      </c>
      <c r="AL860" s="0" t="s">
        <v>95</v>
      </c>
      <c r="AM860" s="0" t="s">
        <v>96</v>
      </c>
      <c r="AO860" s="0" t="s">
        <v>98</v>
      </c>
      <c r="AQ860" s="0" t="s">
        <v>100</v>
      </c>
    </row>
    <row r="861">
      <c r="B861" s="0" t="s">
        <v>2446</v>
      </c>
      <c r="C861" s="1" t="n">
        <v>353472</v>
      </c>
      <c r="E861" s="14" t="s">
        <v>2447</v>
      </c>
      <c r="F861" s="14" t="s">
        <v>169</v>
      </c>
      <c r="G861" s="25" t="str">
        <f>HYPERLINK("http://www.ok.ru/profile/146672396407/statuses/155774647919991")</f>
      </c>
      <c r="H861" s="14" t="s">
        <v>170</v>
      </c>
      <c r="I861" s="14" t="s">
        <v>194</v>
      </c>
      <c r="J861" s="14" t="s">
        <v>2448</v>
      </c>
      <c r="K861" s="26" t="str">
        <f>HYPERLINK("http://www.ok.ru/profile/146672396407")</f>
      </c>
      <c r="L861" s="14" t="s">
        <v>173</v>
      </c>
      <c r="O861" s="1" t="s">
        <v>174</v>
      </c>
      <c r="P861" s="1" t="n">
        <v>61</v>
      </c>
      <c r="Q861" s="1" t="n">
        <v>300</v>
      </c>
      <c r="R861" s="1" t="n">
        <v>0</v>
      </c>
      <c r="S861" s="1"/>
      <c r="T861" s="1" t="n">
        <v>0</v>
      </c>
      <c r="U861" s="1" t="n">
        <v>1</v>
      </c>
      <c r="V861" s="1" t="n">
        <v>1</v>
      </c>
      <c r="W861" s="1"/>
      <c r="Y861" s="1" t="n">
        <v>1</v>
      </c>
      <c r="Z861" s="0" t="s">
        <v>175</v>
      </c>
      <c r="AA861" s="0" t="s">
        <v>187</v>
      </c>
      <c r="AC861" s="0" t="s">
        <v>177</v>
      </c>
      <c r="AD861" s="0" t="s">
        <v>556</v>
      </c>
      <c r="AE861" s="0" t="s">
        <v>2043</v>
      </c>
      <c r="AH861" s="0" t="s">
        <v>180</v>
      </c>
      <c r="AJ861" s="0" t="s">
        <v>437</v>
      </c>
      <c r="AK861" s="0" t="s">
        <v>94</v>
      </c>
      <c r="AL861" s="0" t="s">
        <v>95</v>
      </c>
      <c r="AM861" s="0" t="s">
        <v>96</v>
      </c>
      <c r="AU861" s="0" t="s">
        <v>104</v>
      </c>
      <c r="AV861" s="0" t="s">
        <v>105</v>
      </c>
    </row>
    <row r="862" ht="24.75">
      <c r="B862" s="0" t="s">
        <v>2449</v>
      </c>
      <c r="C862" s="1" t="n">
        <v>352744</v>
      </c>
      <c r="E862" s="14" t="s">
        <v>440</v>
      </c>
      <c r="F862" s="14" t="s">
        <v>169</v>
      </c>
      <c r="G862" s="25" t="str">
        <f>HYPERLINK("http://www.ok.ru/profile/560411193992/statuses/155484441561992")</f>
      </c>
      <c r="H862" s="14" t="s">
        <v>170</v>
      </c>
      <c r="I862" s="14" t="s">
        <v>171</v>
      </c>
      <c r="J862" s="14" t="s">
        <v>2450</v>
      </c>
      <c r="K862" s="26" t="str">
        <f>HYPERLINK("http://www.ok.ru/profile/560411193992")</f>
      </c>
      <c r="L862" s="14" t="s">
        <v>173</v>
      </c>
      <c r="O862" s="1" t="s">
        <v>186</v>
      </c>
      <c r="P862" s="1" t="n">
        <v>61</v>
      </c>
      <c r="Q862" s="1" t="n">
        <v>285</v>
      </c>
      <c r="R862" s="1" t="n">
        <v>0</v>
      </c>
      <c r="S862" s="1"/>
      <c r="T862" s="1" t="n">
        <v>0</v>
      </c>
      <c r="U862" s="1" t="n">
        <v>0</v>
      </c>
      <c r="V862" s="1" t="n">
        <v>0</v>
      </c>
      <c r="W862" s="1"/>
      <c r="Y862" s="1" t="n">
        <v>17</v>
      </c>
      <c r="Z862" s="0" t="s">
        <v>175</v>
      </c>
      <c r="AA862" s="0" t="s">
        <v>176</v>
      </c>
      <c r="AC862" s="0" t="s">
        <v>177</v>
      </c>
      <c r="AD862" s="0" t="s">
        <v>719</v>
      </c>
      <c r="AE862" s="0" t="s">
        <v>2451</v>
      </c>
      <c r="AH862" s="0" t="s">
        <v>180</v>
      </c>
      <c r="AJ862" s="0" t="s">
        <v>437</v>
      </c>
      <c r="AK862" s="0" t="s">
        <v>94</v>
      </c>
      <c r="AL862" s="0" t="s">
        <v>95</v>
      </c>
      <c r="AM862" s="0" t="s">
        <v>96</v>
      </c>
      <c r="AO862" s="0" t="s">
        <v>98</v>
      </c>
      <c r="AQ862" s="0" t="s">
        <v>100</v>
      </c>
    </row>
    <row r="863">
      <c r="B863" s="0" t="s">
        <v>2452</v>
      </c>
      <c r="C863" s="1" t="n">
        <v>352690</v>
      </c>
      <c r="E863" s="14" t="s">
        <v>2453</v>
      </c>
      <c r="F863" s="14" t="s">
        <v>184</v>
      </c>
      <c r="G863" s="25" t="str">
        <f>HYPERLINK("http://vk.com/wall-203023242_19254?reply=19259")</f>
      </c>
      <c r="H863" s="14" t="s">
        <v>170</v>
      </c>
      <c r="I863" s="14" t="s">
        <v>231</v>
      </c>
      <c r="J863" s="14" t="s">
        <v>2454</v>
      </c>
      <c r="K863" s="26" t="str">
        <f>HYPERLINK("http://vk.com/id636416689")</f>
      </c>
      <c r="L863" s="14" t="s">
        <v>173</v>
      </c>
      <c r="M863" s="14" t="s">
        <v>553</v>
      </c>
      <c r="N863" s="25" t="str">
        <f>HYPERLINK("http://vk.com/club203023242")</f>
      </c>
      <c r="O863" s="1" t="s">
        <v>186</v>
      </c>
      <c r="P863" s="1" t="n">
        <v>32</v>
      </c>
      <c r="Q863" s="1" t="n">
        <v>5390</v>
      </c>
      <c r="R863" s="1" t="n">
        <v>0</v>
      </c>
      <c r="S863" s="1"/>
      <c r="T863" s="1" t="n">
        <v>0</v>
      </c>
      <c r="U863" s="1" t="n">
        <v>0</v>
      </c>
      <c r="V863" s="1" t="n">
        <v>0</v>
      </c>
      <c r="W863" s="1"/>
      <c r="Y863" s="1" t="n">
        <v>1</v>
      </c>
      <c r="Z863" s="0" t="s">
        <v>175</v>
      </c>
      <c r="AA863" s="0" t="s">
        <v>187</v>
      </c>
      <c r="AC863" s="0" t="s">
        <v>177</v>
      </c>
      <c r="AD863" s="0" t="s">
        <v>1051</v>
      </c>
      <c r="AE863" s="0" t="s">
        <v>2455</v>
      </c>
      <c r="AH863" s="0" t="s">
        <v>180</v>
      </c>
      <c r="AJ863" s="0" t="s">
        <v>437</v>
      </c>
      <c r="AK863" s="0" t="s">
        <v>94</v>
      </c>
      <c r="AL863" s="0" t="s">
        <v>95</v>
      </c>
      <c r="AN863" s="0" t="s">
        <v>97</v>
      </c>
      <c r="AU863" s="0" t="s">
        <v>104</v>
      </c>
      <c r="BB863" s="0" t="s">
        <v>111</v>
      </c>
      <c r="BE863" s="0" t="s">
        <v>114</v>
      </c>
      <c r="BL863" s="0" t="s">
        <v>121</v>
      </c>
    </row>
    <row r="864" ht="24.75">
      <c r="B864" s="0" t="s">
        <v>2456</v>
      </c>
      <c r="C864" s="1" t="n">
        <v>352724</v>
      </c>
      <c r="E864" s="14" t="s">
        <v>554</v>
      </c>
      <c r="F864" s="14" t="s">
        <v>169</v>
      </c>
      <c r="G864" s="25" t="str">
        <f>HYPERLINK("http://www.ok.ru/profile/587164944177/statuses/156604224609073")</f>
      </c>
      <c r="H864" s="14" t="s">
        <v>170</v>
      </c>
      <c r="I864" s="14" t="s">
        <v>171</v>
      </c>
      <c r="J864" s="14" t="s">
        <v>2457</v>
      </c>
      <c r="K864" s="26" t="str">
        <f>HYPERLINK("http://www.ok.ru/profile/587164944177")</f>
      </c>
      <c r="L864" s="14" t="s">
        <v>173</v>
      </c>
      <c r="O864" s="1" t="s">
        <v>186</v>
      </c>
      <c r="P864" s="1"/>
      <c r="Q864" s="1" t="n">
        <v>1703</v>
      </c>
      <c r="R864" s="1" t="n">
        <v>0</v>
      </c>
      <c r="S864" s="1"/>
      <c r="T864" s="1" t="n">
        <v>2</v>
      </c>
      <c r="U864" s="1" t="n">
        <v>5</v>
      </c>
      <c r="V864" s="1" t="n">
        <v>7</v>
      </c>
      <c r="W864" s="1"/>
      <c r="Y864" s="1" t="n">
        <v>59</v>
      </c>
      <c r="Z864" s="0" t="s">
        <v>175</v>
      </c>
      <c r="AA864" s="0" t="s">
        <v>176</v>
      </c>
      <c r="AC864" s="0" t="s">
        <v>177</v>
      </c>
      <c r="AD864" s="0" t="s">
        <v>1104</v>
      </c>
      <c r="AE864" s="0" t="s">
        <v>1105</v>
      </c>
      <c r="AH864" s="0" t="s">
        <v>180</v>
      </c>
      <c r="AJ864" s="0" t="s">
        <v>437</v>
      </c>
      <c r="AK864" s="0" t="s">
        <v>94</v>
      </c>
      <c r="AL864" s="0" t="s">
        <v>95</v>
      </c>
      <c r="AM864" s="0" t="s">
        <v>96</v>
      </c>
      <c r="AO864" s="0" t="s">
        <v>98</v>
      </c>
      <c r="AQ864" s="0" t="s">
        <v>100</v>
      </c>
    </row>
    <row r="865">
      <c r="B865" s="0" t="s">
        <v>2458</v>
      </c>
      <c r="C865" s="1" t="n">
        <v>352745</v>
      </c>
      <c r="E865" s="14" t="s">
        <v>2459</v>
      </c>
      <c r="F865" s="14" t="s">
        <v>375</v>
      </c>
      <c r="G865" s="25" t="str">
        <f>HYPERLINK("https://www.babyblog.ru/community/ks/post/3200935")</f>
      </c>
      <c r="H865" s="14" t="s">
        <v>376</v>
      </c>
      <c r="I865" s="14" t="s">
        <v>231</v>
      </c>
      <c r="J865" s="14" t="s">
        <v>2460</v>
      </c>
      <c r="L865" s="14"/>
      <c r="M865" s="14" t="s">
        <v>378</v>
      </c>
      <c r="O865" s="1"/>
      <c r="P865" s="1"/>
      <c r="Q865" s="1"/>
      <c r="R865" s="1" t="n">
        <v>0</v>
      </c>
      <c r="S865" s="1"/>
      <c r="T865" s="1" t="n">
        <v>0</v>
      </c>
      <c r="U865" s="1" t="n">
        <v>0</v>
      </c>
      <c r="V865" s="1" t="n">
        <v>0</v>
      </c>
      <c r="W865" s="1"/>
      <c r="Y865" s="1" t="n">
        <v>1</v>
      </c>
      <c r="Z865" s="0" t="s">
        <v>175</v>
      </c>
      <c r="AA865" s="0" t="s">
        <v>187</v>
      </c>
      <c r="AH865" s="0" t="s">
        <v>180</v>
      </c>
      <c r="AI865" s="0" t="s">
        <v>92</v>
      </c>
      <c r="AJ865" s="0" t="s">
        <v>437</v>
      </c>
      <c r="AK865" s="0" t="s">
        <v>94</v>
      </c>
      <c r="AL865" s="0" t="s">
        <v>95</v>
      </c>
      <c r="AN865" s="0" t="s">
        <v>97</v>
      </c>
      <c r="AS865" s="0" t="s">
        <v>102</v>
      </c>
      <c r="AT865" s="0" t="s">
        <v>103</v>
      </c>
      <c r="AW865" s="0" t="s">
        <v>106</v>
      </c>
      <c r="BC865" s="0" t="s">
        <v>112</v>
      </c>
    </row>
    <row r="866" ht="300.75">
      <c r="B866" s="0" t="s">
        <v>2458</v>
      </c>
      <c r="C866" s="1" t="n">
        <v>352685</v>
      </c>
      <c r="E866" s="14" t="s">
        <v>2461</v>
      </c>
      <c r="F866" s="14" t="s">
        <v>184</v>
      </c>
      <c r="G866" s="25" t="str">
        <f>HYPERLINK("http://vk.com/wall13046562_392")</f>
      </c>
      <c r="H866" s="14" t="s">
        <v>170</v>
      </c>
      <c r="I866" s="14" t="s">
        <v>194</v>
      </c>
      <c r="J866" s="14" t="s">
        <v>2454</v>
      </c>
      <c r="K866" s="26" t="str">
        <f>HYPERLINK("http://vk.com/id13046562")</f>
      </c>
      <c r="L866" s="14" t="s">
        <v>173</v>
      </c>
      <c r="O866" s="1" t="s">
        <v>186</v>
      </c>
      <c r="P866" s="1"/>
      <c r="Q866" s="1" t="n">
        <v>397</v>
      </c>
      <c r="R866" s="1" t="n">
        <v>0</v>
      </c>
      <c r="S866" s="1"/>
      <c r="T866" s="1" t="n">
        <v>0</v>
      </c>
      <c r="U866" s="1" t="n">
        <v>17</v>
      </c>
      <c r="V866" s="1" t="n">
        <v>17</v>
      </c>
      <c r="W866" s="1" t="n">
        <v>108</v>
      </c>
      <c r="Y866" s="1" t="n">
        <v>1</v>
      </c>
      <c r="Z866" s="0" t="s">
        <v>175</v>
      </c>
      <c r="AA866" s="0" t="s">
        <v>187</v>
      </c>
      <c r="AC866" s="0" t="s">
        <v>177</v>
      </c>
      <c r="AD866" s="0" t="s">
        <v>240</v>
      </c>
      <c r="AE866" s="0" t="s">
        <v>240</v>
      </c>
      <c r="AH866" s="0" t="s">
        <v>180</v>
      </c>
      <c r="AJ866" s="0" t="s">
        <v>437</v>
      </c>
      <c r="AK866" s="0" t="s">
        <v>94</v>
      </c>
      <c r="AL866" s="0" t="s">
        <v>95</v>
      </c>
      <c r="AM866" s="0" t="s">
        <v>96</v>
      </c>
      <c r="AX866" s="0" t="s">
        <v>107</v>
      </c>
      <c r="BJ866" s="0" t="s">
        <v>119</v>
      </c>
    </row>
    <row r="867" ht="1308.75">
      <c r="B867" s="0" t="s">
        <v>2462</v>
      </c>
      <c r="C867" s="1" t="n">
        <v>352983</v>
      </c>
      <c r="E867" s="14" t="s">
        <v>748</v>
      </c>
      <c r="F867" s="14" t="s">
        <v>169</v>
      </c>
      <c r="G867" s="25" t="str">
        <f>HYPERLINK("http://www.ok.ru/profile/565737277315/statuses/154869989762435")</f>
      </c>
      <c r="H867" s="14" t="s">
        <v>170</v>
      </c>
      <c r="I867" s="14" t="s">
        <v>171</v>
      </c>
      <c r="J867" s="14" t="s">
        <v>2463</v>
      </c>
      <c r="K867" s="26" t="str">
        <f>HYPERLINK("http://www.ok.ru/profile/565737277315")</f>
      </c>
      <c r="L867" s="14" t="s">
        <v>173</v>
      </c>
      <c r="O867" s="1" t="s">
        <v>186</v>
      </c>
      <c r="P867" s="1" t="n">
        <v>60</v>
      </c>
      <c r="Q867" s="1" t="n">
        <v>562</v>
      </c>
      <c r="R867" s="1" t="n">
        <v>0</v>
      </c>
      <c r="S867" s="1"/>
      <c r="T867" s="1" t="n">
        <v>0</v>
      </c>
      <c r="U867" s="1" t="n">
        <v>1</v>
      </c>
      <c r="V867" s="1" t="n">
        <v>1</v>
      </c>
      <c r="W867" s="1"/>
      <c r="Y867" s="1" t="n">
        <v>4</v>
      </c>
      <c r="Z867" s="0" t="s">
        <v>175</v>
      </c>
      <c r="AA867" s="0" t="s">
        <v>176</v>
      </c>
      <c r="AC867" s="0" t="s">
        <v>177</v>
      </c>
      <c r="AD867" s="0" t="s">
        <v>2265</v>
      </c>
      <c r="AE867" s="0" t="s">
        <v>2266</v>
      </c>
      <c r="AH867" s="0" t="s">
        <v>180</v>
      </c>
      <c r="AJ867" s="0" t="s">
        <v>437</v>
      </c>
      <c r="AK867" s="0" t="s">
        <v>94</v>
      </c>
      <c r="AL867" s="0" t="s">
        <v>95</v>
      </c>
      <c r="AM867" s="0" t="s">
        <v>96</v>
      </c>
      <c r="AO867" s="0" t="s">
        <v>98</v>
      </c>
      <c r="AQ867" s="0" t="s">
        <v>100</v>
      </c>
      <c r="AR867" s="0" t="s">
        <v>101</v>
      </c>
    </row>
    <row r="868" ht="24.75">
      <c r="B868" s="0" t="s">
        <v>2462</v>
      </c>
      <c r="C868" s="1" t="n">
        <v>353149</v>
      </c>
      <c r="E868" s="14" t="s">
        <v>554</v>
      </c>
      <c r="F868" s="14" t="s">
        <v>169</v>
      </c>
      <c r="G868" s="25" t="str">
        <f>HYPERLINK("http://www.ok.ru/profile/581407959215/statuses/156335328320431")</f>
      </c>
      <c r="H868" s="14" t="s">
        <v>170</v>
      </c>
      <c r="I868" s="14" t="s">
        <v>171</v>
      </c>
      <c r="J868" s="14" t="s">
        <v>2464</v>
      </c>
      <c r="K868" s="26" t="str">
        <f>HYPERLINK("http://www.ok.ru/profile/581407959215")</f>
      </c>
      <c r="L868" s="14" t="s">
        <v>173</v>
      </c>
      <c r="O868" s="1" t="s">
        <v>174</v>
      </c>
      <c r="P868" s="1" t="n">
        <v>57</v>
      </c>
      <c r="Q868" s="1" t="n">
        <v>291</v>
      </c>
      <c r="R868" s="1" t="n">
        <v>0</v>
      </c>
      <c r="S868" s="1"/>
      <c r="T868" s="1" t="n">
        <v>0</v>
      </c>
      <c r="U868" s="1" t="n">
        <v>0</v>
      </c>
      <c r="V868" s="1" t="n">
        <v>0</v>
      </c>
      <c r="W868" s="1"/>
      <c r="Y868" s="1" t="n">
        <v>59</v>
      </c>
      <c r="Z868" s="0" t="s">
        <v>175</v>
      </c>
      <c r="AA868" s="0" t="s">
        <v>176</v>
      </c>
      <c r="AC868" s="0" t="s">
        <v>177</v>
      </c>
      <c r="AD868" s="0" t="s">
        <v>2465</v>
      </c>
      <c r="AE868" s="0" t="s">
        <v>2466</v>
      </c>
      <c r="AH868" s="0" t="s">
        <v>180</v>
      </c>
      <c r="AJ868" s="0" t="s">
        <v>437</v>
      </c>
      <c r="AK868" s="0" t="s">
        <v>94</v>
      </c>
      <c r="AL868" s="0" t="s">
        <v>95</v>
      </c>
      <c r="AM868" s="0" t="s">
        <v>96</v>
      </c>
      <c r="AO868" s="0" t="s">
        <v>98</v>
      </c>
      <c r="AQ868" s="0" t="s">
        <v>100</v>
      </c>
    </row>
    <row r="869" ht="120.75">
      <c r="B869" s="0" t="s">
        <v>2467</v>
      </c>
      <c r="C869" s="1" t="n">
        <v>352691</v>
      </c>
      <c r="E869" s="14" t="s">
        <v>2468</v>
      </c>
      <c r="F869" s="14" t="s">
        <v>184</v>
      </c>
      <c r="G869" s="25" t="str">
        <f>HYPERLINK("http://vk.com/wall-17389345_920735")</f>
      </c>
      <c r="H869" s="14" t="s">
        <v>170</v>
      </c>
      <c r="I869" s="14" t="s">
        <v>194</v>
      </c>
      <c r="J869" s="14" t="s">
        <v>2469</v>
      </c>
      <c r="K869" s="26" t="str">
        <f>HYPERLINK("http://vk.com/club17389345")</f>
      </c>
      <c r="L869" s="14" t="s">
        <v>274</v>
      </c>
      <c r="O869" s="1"/>
      <c r="P869" s="1"/>
      <c r="Q869" s="1" t="n">
        <v>143399</v>
      </c>
      <c r="R869" s="1" t="n">
        <v>4</v>
      </c>
      <c r="S869" s="1"/>
      <c r="T869" s="1" t="n">
        <v>7</v>
      </c>
      <c r="U869" s="1" t="n">
        <v>14</v>
      </c>
      <c r="V869" s="1" t="n">
        <v>25</v>
      </c>
      <c r="W869" s="1" t="n">
        <v>5230</v>
      </c>
      <c r="Y869" s="1" t="n">
        <v>1</v>
      </c>
      <c r="Z869" s="0" t="s">
        <v>463</v>
      </c>
      <c r="AA869" s="0" t="s">
        <v>292</v>
      </c>
      <c r="AH869" s="0" t="s">
        <v>180</v>
      </c>
      <c r="AJ869" s="0" t="s">
        <v>437</v>
      </c>
      <c r="AK869" s="0" t="s">
        <v>94</v>
      </c>
      <c r="AL869" s="0" t="s">
        <v>95</v>
      </c>
      <c r="AY869" s="0" t="s">
        <v>108</v>
      </c>
      <c r="BD869" s="0" t="s">
        <v>113</v>
      </c>
      <c r="BP869" s="0" t="s">
        <v>125</v>
      </c>
      <c r="CJ869" s="0" t="s">
        <v>145</v>
      </c>
      <c r="CR869" s="0" t="s">
        <v>153</v>
      </c>
    </row>
    <row r="870">
      <c r="B870" s="0" t="s">
        <v>2470</v>
      </c>
      <c r="C870" s="1" t="n">
        <v>352681</v>
      </c>
      <c r="E870" s="14" t="s">
        <v>2471</v>
      </c>
      <c r="F870" s="14" t="s">
        <v>184</v>
      </c>
      <c r="G870" s="25" t="str">
        <f>HYPERLINK("http://vk.com/wall-87598739_817102?reply=817258&amp;thread=817254")</f>
      </c>
      <c r="H870" s="14" t="s">
        <v>170</v>
      </c>
      <c r="I870" s="14" t="s">
        <v>231</v>
      </c>
      <c r="J870" s="14" t="s">
        <v>2472</v>
      </c>
      <c r="K870" s="26" t="str">
        <f>HYPERLINK("http://vk.com/id311981412")</f>
      </c>
      <c r="L870" s="14" t="s">
        <v>173</v>
      </c>
      <c r="M870" s="14" t="s">
        <v>331</v>
      </c>
      <c r="N870" s="25" t="str">
        <f>HYPERLINK("http://vk.com/club87598739")</f>
      </c>
      <c r="O870" s="1" t="s">
        <v>186</v>
      </c>
      <c r="P870" s="1"/>
      <c r="Q870" s="1" t="n">
        <v>36757</v>
      </c>
      <c r="R870" s="1" t="n">
        <v>0</v>
      </c>
      <c r="S870" s="1"/>
      <c r="T870" s="1" t="n">
        <v>0</v>
      </c>
      <c r="U870" s="1" t="n">
        <v>0</v>
      </c>
      <c r="V870" s="1" t="n">
        <v>0</v>
      </c>
      <c r="W870" s="1"/>
      <c r="Y870" s="1" t="n">
        <v>1</v>
      </c>
      <c r="Z870" s="0" t="s">
        <v>175</v>
      </c>
      <c r="AA870" s="0" t="s">
        <v>187</v>
      </c>
      <c r="AC870" s="0" t="s">
        <v>177</v>
      </c>
      <c r="AD870" s="0" t="s">
        <v>332</v>
      </c>
      <c r="AE870" s="0" t="s">
        <v>332</v>
      </c>
      <c r="AH870" s="0" t="s">
        <v>180</v>
      </c>
      <c r="AI870" s="0" t="s">
        <v>92</v>
      </c>
      <c r="AJ870" s="0" t="s">
        <v>437</v>
      </c>
      <c r="AK870" s="0" t="s">
        <v>94</v>
      </c>
      <c r="AL870" s="0" t="s">
        <v>95</v>
      </c>
      <c r="AN870" s="0" t="s">
        <v>97</v>
      </c>
      <c r="AS870" s="0" t="s">
        <v>102</v>
      </c>
      <c r="AV870" s="0" t="s">
        <v>105</v>
      </c>
      <c r="BB870" s="0" t="s">
        <v>111</v>
      </c>
    </row>
    <row r="871" ht="24.75">
      <c r="B871" s="0" t="s">
        <v>2473</v>
      </c>
      <c r="C871" s="1" t="n">
        <v>353132</v>
      </c>
      <c r="E871" s="14" t="s">
        <v>554</v>
      </c>
      <c r="F871" s="14" t="s">
        <v>169</v>
      </c>
      <c r="G871" s="25" t="str">
        <f>HYPERLINK("http://www.ok.ru/profile/517515058047/statuses/154845402415999")</f>
      </c>
      <c r="H871" s="14" t="s">
        <v>170</v>
      </c>
      <c r="I871" s="14" t="s">
        <v>171</v>
      </c>
      <c r="J871" s="14" t="s">
        <v>2474</v>
      </c>
      <c r="K871" s="26" t="str">
        <f>HYPERLINK("http://www.ok.ru/profile/517515058047")</f>
      </c>
      <c r="L871" s="14" t="s">
        <v>173</v>
      </c>
      <c r="O871" s="1" t="s">
        <v>186</v>
      </c>
      <c r="P871" s="1"/>
      <c r="Q871" s="1" t="n">
        <v>265</v>
      </c>
      <c r="R871" s="1" t="n">
        <v>0</v>
      </c>
      <c r="S871" s="1"/>
      <c r="T871" s="1" t="n">
        <v>0</v>
      </c>
      <c r="U871" s="1" t="n">
        <v>3</v>
      </c>
      <c r="V871" s="1" t="n">
        <v>3</v>
      </c>
      <c r="W871" s="1"/>
      <c r="Y871" s="1" t="n">
        <v>59</v>
      </c>
      <c r="Z871" s="0" t="s">
        <v>175</v>
      </c>
      <c r="AA871" s="0" t="s">
        <v>176</v>
      </c>
      <c r="AC871" s="0" t="s">
        <v>177</v>
      </c>
      <c r="AD871" s="0" t="s">
        <v>1073</v>
      </c>
      <c r="AE871" s="0" t="s">
        <v>1074</v>
      </c>
      <c r="AH871" s="0" t="s">
        <v>180</v>
      </c>
      <c r="AJ871" s="0" t="s">
        <v>437</v>
      </c>
      <c r="AK871" s="0" t="s">
        <v>94</v>
      </c>
      <c r="AL871" s="0" t="s">
        <v>95</v>
      </c>
      <c r="AM871" s="0" t="s">
        <v>96</v>
      </c>
      <c r="AO871" s="0" t="s">
        <v>98</v>
      </c>
      <c r="AQ871" s="0" t="s">
        <v>100</v>
      </c>
    </row>
    <row r="872" ht="24.75">
      <c r="B872" s="0" t="s">
        <v>2473</v>
      </c>
      <c r="C872" s="1" t="n">
        <v>352958</v>
      </c>
      <c r="E872" s="14" t="s">
        <v>1102</v>
      </c>
      <c r="F872" s="14" t="s">
        <v>169</v>
      </c>
      <c r="G872" s="25" t="str">
        <f>HYPERLINK("http://www.ok.ru/profile/294503561555/statuses/156215602697555")</f>
      </c>
      <c r="H872" s="14" t="s">
        <v>170</v>
      </c>
      <c r="I872" s="14" t="s">
        <v>171</v>
      </c>
      <c r="J872" s="14" t="s">
        <v>2475</v>
      </c>
      <c r="K872" s="26" t="str">
        <f>HYPERLINK("http://www.ok.ru/profile/294503561555")</f>
      </c>
      <c r="L872" s="14" t="s">
        <v>173</v>
      </c>
      <c r="O872" s="1" t="s">
        <v>186</v>
      </c>
      <c r="P872" s="1" t="n">
        <v>61</v>
      </c>
      <c r="Q872" s="1" t="n">
        <v>218</v>
      </c>
      <c r="R872" s="1" t="n">
        <v>0</v>
      </c>
      <c r="S872" s="1"/>
      <c r="T872" s="1" t="n">
        <v>0</v>
      </c>
      <c r="U872" s="1" t="n">
        <v>0</v>
      </c>
      <c r="V872" s="1" t="n">
        <v>0</v>
      </c>
      <c r="W872" s="1"/>
      <c r="Y872" s="1" t="n">
        <v>93</v>
      </c>
      <c r="Z872" s="0" t="s">
        <v>175</v>
      </c>
      <c r="AA872" s="0" t="s">
        <v>187</v>
      </c>
      <c r="AC872" s="0" t="s">
        <v>177</v>
      </c>
      <c r="AD872" s="0" t="s">
        <v>2476</v>
      </c>
      <c r="AE872" s="0" t="s">
        <v>2477</v>
      </c>
      <c r="AH872" s="0" t="s">
        <v>180</v>
      </c>
      <c r="AJ872" s="0" t="s">
        <v>437</v>
      </c>
      <c r="AK872" s="0" t="s">
        <v>94</v>
      </c>
      <c r="AL872" s="0" t="s">
        <v>95</v>
      </c>
      <c r="AM872" s="0" t="s">
        <v>96</v>
      </c>
      <c r="AU872" s="0" t="s">
        <v>104</v>
      </c>
      <c r="AV872" s="0" t="s">
        <v>105</v>
      </c>
    </row>
    <row r="873" ht="24.75">
      <c r="B873" s="0" t="s">
        <v>2478</v>
      </c>
      <c r="C873" s="1" t="n">
        <v>352682</v>
      </c>
      <c r="E873" s="14" t="s">
        <v>2479</v>
      </c>
      <c r="F873" s="14" t="s">
        <v>184</v>
      </c>
      <c r="G873" s="25" t="str">
        <f>HYPERLINK("http://vk.com/wall373308779_761")</f>
      </c>
      <c r="H873" s="14" t="s">
        <v>170</v>
      </c>
      <c r="I873" s="14" t="s">
        <v>171</v>
      </c>
      <c r="J873" s="14" t="s">
        <v>2480</v>
      </c>
      <c r="K873" s="26" t="str">
        <f>HYPERLINK("http://vk.com/id373308779")</f>
      </c>
      <c r="L873" s="14" t="s">
        <v>173</v>
      </c>
      <c r="O873" s="1" t="s">
        <v>186</v>
      </c>
      <c r="P873" s="1"/>
      <c r="Q873" s="1" t="n">
        <v>54</v>
      </c>
      <c r="R873" s="1" t="n">
        <v>0</v>
      </c>
      <c r="S873" s="1"/>
      <c r="T873" s="1" t="n">
        <v>0</v>
      </c>
      <c r="U873" s="1" t="n">
        <v>0</v>
      </c>
      <c r="V873" s="1" t="n">
        <v>0</v>
      </c>
      <c r="W873" s="1"/>
      <c r="Y873" s="1" t="n">
        <v>5</v>
      </c>
      <c r="Z873" s="0" t="s">
        <v>175</v>
      </c>
      <c r="AA873" s="0" t="s">
        <v>176</v>
      </c>
      <c r="AC873" s="0" t="s">
        <v>177</v>
      </c>
      <c r="AD873" s="0" t="s">
        <v>1058</v>
      </c>
      <c r="AE873" s="0" t="s">
        <v>1059</v>
      </c>
      <c r="AH873" s="0" t="s">
        <v>180</v>
      </c>
      <c r="AJ873" s="0" t="s">
        <v>437</v>
      </c>
      <c r="AK873" s="0" t="s">
        <v>94</v>
      </c>
      <c r="AL873" s="0" t="s">
        <v>95</v>
      </c>
      <c r="AM873" s="0" t="s">
        <v>96</v>
      </c>
      <c r="AO873" s="0" t="s">
        <v>98</v>
      </c>
      <c r="AQ873" s="0" t="s">
        <v>100</v>
      </c>
    </row>
    <row r="874" ht="24.75">
      <c r="B874" s="0" t="s">
        <v>2481</v>
      </c>
      <c r="C874" s="1" t="n">
        <v>352859</v>
      </c>
      <c r="E874" s="14" t="s">
        <v>390</v>
      </c>
      <c r="F874" s="14" t="s">
        <v>169</v>
      </c>
      <c r="G874" s="25" t="str">
        <f>HYPERLINK("http://www.ok.ru/profile/581853282084/statuses/155009447897124")</f>
      </c>
      <c r="H874" s="14" t="s">
        <v>170</v>
      </c>
      <c r="I874" s="14" t="s">
        <v>171</v>
      </c>
      <c r="J874" s="14" t="s">
        <v>2482</v>
      </c>
      <c r="K874" s="26" t="str">
        <f>HYPERLINK("http://www.ok.ru/profile/581853282084")</f>
      </c>
      <c r="L874" s="14" t="s">
        <v>173</v>
      </c>
      <c r="O874" s="1" t="s">
        <v>186</v>
      </c>
      <c r="P874" s="1" t="n">
        <v>72</v>
      </c>
      <c r="Q874" s="1" t="n">
        <v>190</v>
      </c>
      <c r="R874" s="1" t="n">
        <v>0</v>
      </c>
      <c r="S874" s="1"/>
      <c r="T874" s="1" t="n">
        <v>0</v>
      </c>
      <c r="U874" s="1" t="n">
        <v>0</v>
      </c>
      <c r="V874" s="1" t="n">
        <v>0</v>
      </c>
      <c r="W874" s="1"/>
      <c r="Y874" s="1" t="n">
        <v>6</v>
      </c>
      <c r="Z874" s="0" t="s">
        <v>175</v>
      </c>
      <c r="AA874" s="0" t="s">
        <v>292</v>
      </c>
      <c r="AC874" s="0" t="s">
        <v>177</v>
      </c>
      <c r="AD874" s="0" t="s">
        <v>1004</v>
      </c>
      <c r="AE874" s="0" t="s">
        <v>2319</v>
      </c>
      <c r="AH874" s="0" t="s">
        <v>180</v>
      </c>
      <c r="AJ874" s="0" t="s">
        <v>437</v>
      </c>
      <c r="AK874" s="0" t="s">
        <v>94</v>
      </c>
      <c r="AL874" s="0" t="s">
        <v>95</v>
      </c>
      <c r="AM874" s="0" t="s">
        <v>96</v>
      </c>
      <c r="AX874" s="0" t="s">
        <v>107</v>
      </c>
      <c r="BR874" s="0" t="s">
        <v>127</v>
      </c>
    </row>
    <row r="875">
      <c r="B875" s="0" t="s">
        <v>2481</v>
      </c>
      <c r="C875" s="1" t="n">
        <v>353779</v>
      </c>
      <c r="E875" s="14" t="s">
        <v>2483</v>
      </c>
      <c r="F875" s="14" t="s">
        <v>184</v>
      </c>
      <c r="G875" s="25" t="str">
        <f>HYPERLINK("https://vk.com/wall-111918418_3257291?reply=3320601&amp;thread=3257310")</f>
      </c>
      <c r="H875" s="14" t="s">
        <v>170</v>
      </c>
      <c r="I875" s="14" t="s">
        <v>194</v>
      </c>
      <c r="J875" s="14" t="s">
        <v>2484</v>
      </c>
      <c r="K875" s="26" t="str">
        <f>HYPERLINK("https://vk.com/wall-111918418_3257291?reply=3320601&amp;thread=3257310")</f>
      </c>
      <c r="L875" s="14"/>
      <c r="O875" s="1"/>
      <c r="P875" s="1"/>
      <c r="Q875" s="1"/>
      <c r="R875" s="1" t="n">
        <v>0</v>
      </c>
      <c r="S875" s="1"/>
      <c r="T875" s="1" t="n">
        <v>0</v>
      </c>
      <c r="U875" s="1" t="n">
        <v>0</v>
      </c>
      <c r="V875" s="1" t="n">
        <v>0</v>
      </c>
      <c r="W875" s="1"/>
      <c r="Y875" s="1" t="n">
        <v>1</v>
      </c>
      <c r="Z875" s="0" t="s">
        <v>319</v>
      </c>
      <c r="AA875" s="0" t="s">
        <v>292</v>
      </c>
      <c r="AC875" s="0" t="s">
        <v>177</v>
      </c>
      <c r="AH875" s="0" t="s">
        <v>180</v>
      </c>
      <c r="AI875" s="0" t="s">
        <v>92</v>
      </c>
      <c r="AJ875" s="0" t="s">
        <v>437</v>
      </c>
      <c r="AO875" s="0" t="s">
        <v>98</v>
      </c>
      <c r="AY875" s="0" t="s">
        <v>108</v>
      </c>
      <c r="BT875" s="0" t="s">
        <v>129</v>
      </c>
    </row>
    <row r="876">
      <c r="B876" s="0" t="s">
        <v>2485</v>
      </c>
      <c r="C876" s="1" t="n">
        <v>352805</v>
      </c>
      <c r="E876" s="14" t="s">
        <v>2486</v>
      </c>
      <c r="F876" s="14" t="s">
        <v>169</v>
      </c>
      <c r="G876" s="25" t="str">
        <f>HYPERLINK("http://www.ok.ru/profile/563009289372/statuses/155004002541724")</f>
      </c>
      <c r="H876" s="14" t="s">
        <v>170</v>
      </c>
      <c r="I876" s="14" t="s">
        <v>171</v>
      </c>
      <c r="J876" s="14" t="s">
        <v>2487</v>
      </c>
      <c r="K876" s="26" t="str">
        <f>HYPERLINK("http://www.ok.ru/profile/563009289372")</f>
      </c>
      <c r="L876" s="14" t="s">
        <v>173</v>
      </c>
      <c r="O876" s="1" t="s">
        <v>186</v>
      </c>
      <c r="P876" s="1" t="n">
        <v>81</v>
      </c>
      <c r="Q876" s="1" t="n">
        <v>112</v>
      </c>
      <c r="R876" s="1" t="n">
        <v>0</v>
      </c>
      <c r="S876" s="1"/>
      <c r="T876" s="1" t="n">
        <v>1</v>
      </c>
      <c r="U876" s="1" t="n">
        <v>0</v>
      </c>
      <c r="V876" s="1" t="n">
        <v>1</v>
      </c>
      <c r="W876" s="1"/>
      <c r="Y876" s="1" t="n">
        <v>2</v>
      </c>
      <c r="Z876" s="0" t="s">
        <v>175</v>
      </c>
      <c r="AA876" s="0" t="s">
        <v>187</v>
      </c>
      <c r="AC876" s="0" t="s">
        <v>177</v>
      </c>
      <c r="AD876" s="0" t="s">
        <v>556</v>
      </c>
      <c r="AE876" s="0" t="s">
        <v>1860</v>
      </c>
      <c r="AH876" s="0" t="s">
        <v>180</v>
      </c>
      <c r="AJ876" s="0" t="s">
        <v>437</v>
      </c>
      <c r="AK876" s="0" t="s">
        <v>94</v>
      </c>
      <c r="AL876" s="0" t="s">
        <v>95</v>
      </c>
      <c r="AM876" s="0" t="s">
        <v>96</v>
      </c>
      <c r="AU876" s="0" t="s">
        <v>104</v>
      </c>
      <c r="AV876" s="0" t="s">
        <v>105</v>
      </c>
    </row>
    <row r="877" ht="24.75">
      <c r="B877" s="0" t="s">
        <v>2488</v>
      </c>
      <c r="C877" s="1" t="n">
        <v>352674</v>
      </c>
      <c r="E877" s="14" t="s">
        <v>2489</v>
      </c>
      <c r="F877" s="14" t="s">
        <v>184</v>
      </c>
      <c r="G877" s="25" t="str">
        <f>HYPERLINK("http://vk.com/wall523685554_234")</f>
      </c>
      <c r="H877" s="14" t="s">
        <v>170</v>
      </c>
      <c r="I877" s="14" t="s">
        <v>171</v>
      </c>
      <c r="J877" s="14" t="s">
        <v>2490</v>
      </c>
      <c r="K877" s="26" t="str">
        <f>HYPERLINK("http://vk.com/id523685554")</f>
      </c>
      <c r="L877" s="14" t="s">
        <v>173</v>
      </c>
      <c r="O877" s="1" t="s">
        <v>186</v>
      </c>
      <c r="P877" s="1" t="n">
        <v>65</v>
      </c>
      <c r="Q877" s="1" t="n">
        <v>132</v>
      </c>
      <c r="R877" s="1" t="n">
        <v>0</v>
      </c>
      <c r="S877" s="1"/>
      <c r="T877" s="1" t="n">
        <v>0</v>
      </c>
      <c r="U877" s="1" t="n">
        <v>0</v>
      </c>
      <c r="V877" s="1" t="n">
        <v>0</v>
      </c>
      <c r="W877" s="1" t="n">
        <v>5</v>
      </c>
      <c r="Y877" s="1" t="n">
        <v>1</v>
      </c>
      <c r="Z877" s="0" t="s">
        <v>175</v>
      </c>
      <c r="AA877" s="0" t="s">
        <v>176</v>
      </c>
      <c r="AC877" s="0" t="s">
        <v>177</v>
      </c>
      <c r="AD877" s="0" t="s">
        <v>240</v>
      </c>
      <c r="AE877" s="0" t="s">
        <v>240</v>
      </c>
      <c r="AH877" s="0" t="s">
        <v>180</v>
      </c>
      <c r="AJ877" s="0" t="s">
        <v>437</v>
      </c>
      <c r="AK877" s="0" t="s">
        <v>94</v>
      </c>
      <c r="AL877" s="0" t="s">
        <v>95</v>
      </c>
      <c r="AM877" s="0" t="s">
        <v>96</v>
      </c>
      <c r="AO877" s="0" t="s">
        <v>98</v>
      </c>
      <c r="AQ877" s="0" t="s">
        <v>100</v>
      </c>
    </row>
    <row r="878" ht="24.75">
      <c r="B878" s="0" t="s">
        <v>2491</v>
      </c>
      <c r="C878" s="1" t="n">
        <v>353235</v>
      </c>
      <c r="E878" s="14" t="s">
        <v>1356</v>
      </c>
      <c r="F878" s="14" t="s">
        <v>169</v>
      </c>
      <c r="G878" s="25" t="str">
        <f>HYPERLINK("http://www.ok.ru/profile/562520318332/statuses/155155120604028")</f>
      </c>
      <c r="H878" s="14" t="s">
        <v>170</v>
      </c>
      <c r="I878" s="14" t="s">
        <v>171</v>
      </c>
      <c r="J878" s="14" t="s">
        <v>2492</v>
      </c>
      <c r="K878" s="26" t="str">
        <f>HYPERLINK("http://www.ok.ru/profile/562520318332")</f>
      </c>
      <c r="L878" s="14" t="s">
        <v>173</v>
      </c>
      <c r="O878" s="1" t="s">
        <v>186</v>
      </c>
      <c r="P878" s="1" t="n">
        <v>70</v>
      </c>
      <c r="Q878" s="1" t="n">
        <v>24</v>
      </c>
      <c r="R878" s="1" t="n">
        <v>0</v>
      </c>
      <c r="S878" s="1"/>
      <c r="T878" s="1" t="n">
        <v>0</v>
      </c>
      <c r="U878" s="1" t="n">
        <v>0</v>
      </c>
      <c r="V878" s="1" t="n">
        <v>0</v>
      </c>
      <c r="W878" s="1"/>
      <c r="Y878" s="1" t="n">
        <v>93</v>
      </c>
      <c r="Z878" s="0" t="s">
        <v>175</v>
      </c>
      <c r="AA878" s="0" t="s">
        <v>187</v>
      </c>
      <c r="AC878" s="0" t="s">
        <v>177</v>
      </c>
      <c r="AD878" s="0" t="s">
        <v>332</v>
      </c>
      <c r="AE878" s="0" t="s">
        <v>332</v>
      </c>
      <c r="AH878" s="0" t="s">
        <v>180</v>
      </c>
      <c r="AJ878" s="0" t="s">
        <v>437</v>
      </c>
      <c r="AK878" s="0" t="s">
        <v>94</v>
      </c>
      <c r="AL878" s="0" t="s">
        <v>95</v>
      </c>
      <c r="AM878" s="0" t="s">
        <v>96</v>
      </c>
      <c r="AU878" s="0" t="s">
        <v>104</v>
      </c>
      <c r="AV878" s="0" t="s">
        <v>105</v>
      </c>
    </row>
    <row r="879">
      <c r="B879" s="0" t="s">
        <v>2493</v>
      </c>
      <c r="C879" s="1" t="n">
        <v>352671</v>
      </c>
      <c r="E879" s="14" t="s">
        <v>2494</v>
      </c>
      <c r="F879" s="14" t="s">
        <v>184</v>
      </c>
      <c r="G879" s="25" t="str">
        <f>HYPERLINK("http://vk.com/wall-87169444_12293185?reply=12293341")</f>
      </c>
      <c r="H879" s="14" t="s">
        <v>170</v>
      </c>
      <c r="I879" s="14" t="s">
        <v>231</v>
      </c>
      <c r="J879" s="14" t="s">
        <v>2495</v>
      </c>
      <c r="K879" s="26" t="str">
        <f>HYPERLINK("http://vk.com/id793707190")</f>
      </c>
      <c r="L879" s="14" t="s">
        <v>173</v>
      </c>
      <c r="M879" s="14" t="s">
        <v>2496</v>
      </c>
      <c r="N879" s="25" t="str">
        <f>HYPERLINK("http://vk.com/club87169444")</f>
      </c>
      <c r="O879" s="1" t="s">
        <v>186</v>
      </c>
      <c r="P879" s="1" t="n">
        <v>27</v>
      </c>
      <c r="Q879" s="1" t="n">
        <v>137753</v>
      </c>
      <c r="R879" s="1" t="n">
        <v>0</v>
      </c>
      <c r="S879" s="1"/>
      <c r="T879" s="1" t="n">
        <v>0</v>
      </c>
      <c r="U879" s="1" t="n">
        <v>0</v>
      </c>
      <c r="V879" s="1" t="n">
        <v>0</v>
      </c>
      <c r="W879" s="1"/>
      <c r="Y879" s="1" t="n">
        <v>1</v>
      </c>
      <c r="Z879" s="0" t="s">
        <v>319</v>
      </c>
      <c r="AA879" s="0" t="s">
        <v>292</v>
      </c>
      <c r="AH879" s="0" t="s">
        <v>180</v>
      </c>
      <c r="AI879" s="0" t="s">
        <v>92</v>
      </c>
      <c r="AJ879" s="0" t="s">
        <v>437</v>
      </c>
      <c r="AN879" s="0" t="s">
        <v>97</v>
      </c>
      <c r="AO879" s="0" t="s">
        <v>98</v>
      </c>
      <c r="AS879" s="0" t="s">
        <v>102</v>
      </c>
      <c r="AY879" s="0" t="s">
        <v>108</v>
      </c>
      <c r="BL879" s="0" t="s">
        <v>121</v>
      </c>
    </row>
    <row r="880" ht="852.75">
      <c r="B880" s="0" t="s">
        <v>2493</v>
      </c>
      <c r="C880" s="1" t="n">
        <v>352670</v>
      </c>
      <c r="E880" s="14" t="s">
        <v>865</v>
      </c>
      <c r="F880" s="14" t="s">
        <v>184</v>
      </c>
      <c r="G880" s="25" t="str">
        <f>HYPERLINK("http://vk.com/wall-206530812_2357872?reply=2358633&amp;thread=2358116")</f>
      </c>
      <c r="H880" s="14" t="s">
        <v>170</v>
      </c>
      <c r="I880" s="14" t="s">
        <v>231</v>
      </c>
      <c r="J880" s="14" t="s">
        <v>2497</v>
      </c>
      <c r="K880" s="26" t="str">
        <f>HYPERLINK("http://vk.com/id536598200")</f>
      </c>
      <c r="L880" s="14" t="s">
        <v>173</v>
      </c>
      <c r="M880" s="14" t="s">
        <v>2498</v>
      </c>
      <c r="N880" s="25" t="str">
        <f>HYPERLINK("http://vk.com/club206530812")</f>
      </c>
      <c r="O880" s="1" t="s">
        <v>186</v>
      </c>
      <c r="P880" s="1"/>
      <c r="Q880" s="1" t="n">
        <v>188936</v>
      </c>
      <c r="R880" s="1" t="n">
        <v>0</v>
      </c>
      <c r="S880" s="1"/>
      <c r="T880" s="1" t="n">
        <v>0</v>
      </c>
      <c r="U880" s="1" t="n">
        <v>0</v>
      </c>
      <c r="V880" s="1" t="n">
        <v>0</v>
      </c>
      <c r="W880" s="1"/>
      <c r="Y880" s="1" t="n">
        <v>4</v>
      </c>
      <c r="Z880" s="0" t="s">
        <v>175</v>
      </c>
      <c r="AA880" s="0" t="s">
        <v>176</v>
      </c>
      <c r="AH880" s="0" t="s">
        <v>180</v>
      </c>
      <c r="AJ880" s="0" t="s">
        <v>437</v>
      </c>
      <c r="AK880" s="0" t="s">
        <v>94</v>
      </c>
      <c r="AL880" s="0" t="s">
        <v>95</v>
      </c>
      <c r="AR880" s="0" t="s">
        <v>101</v>
      </c>
      <c r="BA880" s="0" t="s">
        <v>110</v>
      </c>
      <c r="BF880" s="0" t="s">
        <v>115</v>
      </c>
    </row>
    <row r="881">
      <c r="B881" s="0" t="s">
        <v>2493</v>
      </c>
      <c r="C881" s="1" t="n">
        <v>352664</v>
      </c>
      <c r="E881" s="14" t="s">
        <v>2499</v>
      </c>
      <c r="F881" s="14" t="s">
        <v>192</v>
      </c>
      <c r="G881" s="25" t="str">
        <f>HYPERLINK("https://telegram.me/shukinoszao/93102")</f>
      </c>
      <c r="H881" s="14" t="s">
        <v>193</v>
      </c>
      <c r="I881" s="14" t="s">
        <v>194</v>
      </c>
      <c r="J881" s="14" t="s">
        <v>2500</v>
      </c>
      <c r="K881" s="26" t="str">
        <f>HYPERLINK("https://telegram.me/YuliyaTver")</f>
      </c>
      <c r="L881" s="14" t="s">
        <v>173</v>
      </c>
      <c r="M881" s="14" t="s">
        <v>2501</v>
      </c>
      <c r="N881" s="25" t="str">
        <f>HYPERLINK("https://telegram.me/shukinoszao")</f>
      </c>
      <c r="O881" s="1" t="s">
        <v>186</v>
      </c>
      <c r="P881" s="1"/>
      <c r="Q881" s="1" t="n">
        <v>1246</v>
      </c>
      <c r="R881" s="1" t="n">
        <v>0</v>
      </c>
      <c r="S881" s="1"/>
      <c r="T881" s="1" t="n">
        <v>0</v>
      </c>
      <c r="U881" s="1" t="n">
        <v>0</v>
      </c>
      <c r="V881" s="1" t="n">
        <v>0</v>
      </c>
      <c r="W881" s="1"/>
      <c r="Y881" s="1" t="n">
        <v>1</v>
      </c>
      <c r="Z881" s="0" t="s">
        <v>175</v>
      </c>
      <c r="AA881" s="0" t="s">
        <v>187</v>
      </c>
      <c r="AH881" s="0" t="s">
        <v>180</v>
      </c>
      <c r="AI881" s="0" t="s">
        <v>92</v>
      </c>
      <c r="AJ881" s="0" t="s">
        <v>437</v>
      </c>
      <c r="AK881" s="0" t="s">
        <v>94</v>
      </c>
      <c r="AL881" s="0" t="s">
        <v>95</v>
      </c>
      <c r="AN881" s="0" t="s">
        <v>97</v>
      </c>
      <c r="AR881" s="0" t="s">
        <v>101</v>
      </c>
      <c r="AT881" s="0" t="s">
        <v>103</v>
      </c>
    </row>
    <row r="882" ht="24.75">
      <c r="B882" s="0" t="s">
        <v>2502</v>
      </c>
      <c r="C882" s="1" t="n">
        <v>352922</v>
      </c>
      <c r="E882" s="14" t="s">
        <v>554</v>
      </c>
      <c r="F882" s="14" t="s">
        <v>169</v>
      </c>
      <c r="G882" s="25" t="str">
        <f>HYPERLINK("http://www.ok.ru/profile/541135828979/statuses/156226923264243")</f>
      </c>
      <c r="H882" s="14" t="s">
        <v>170</v>
      </c>
      <c r="I882" s="14" t="s">
        <v>171</v>
      </c>
      <c r="J882" s="14" t="s">
        <v>2503</v>
      </c>
      <c r="K882" s="26" t="str">
        <f>HYPERLINK("http://www.ok.ru/profile/541135828979")</f>
      </c>
      <c r="L882" s="14" t="s">
        <v>173</v>
      </c>
      <c r="O882" s="1" t="s">
        <v>186</v>
      </c>
      <c r="P882" s="1" t="n">
        <v>71</v>
      </c>
      <c r="Q882" s="1" t="n">
        <v>238</v>
      </c>
      <c r="R882" s="1" t="n">
        <v>0</v>
      </c>
      <c r="S882" s="1"/>
      <c r="T882" s="1" t="n">
        <v>0</v>
      </c>
      <c r="U882" s="1" t="n">
        <v>0</v>
      </c>
      <c r="V882" s="1" t="n">
        <v>0</v>
      </c>
      <c r="W882" s="1"/>
      <c r="Y882" s="1" t="n">
        <v>59</v>
      </c>
      <c r="Z882" s="0" t="s">
        <v>175</v>
      </c>
      <c r="AA882" s="0" t="s">
        <v>176</v>
      </c>
      <c r="AC882" s="0" t="s">
        <v>177</v>
      </c>
      <c r="AD882" s="0" t="s">
        <v>767</v>
      </c>
      <c r="AE882" s="0" t="s">
        <v>2504</v>
      </c>
      <c r="AH882" s="0" t="s">
        <v>180</v>
      </c>
      <c r="AJ882" s="0" t="s">
        <v>437</v>
      </c>
      <c r="AK882" s="0" t="s">
        <v>94</v>
      </c>
      <c r="AL882" s="0" t="s">
        <v>95</v>
      </c>
      <c r="AM882" s="0" t="s">
        <v>96</v>
      </c>
      <c r="AO882" s="0" t="s">
        <v>98</v>
      </c>
      <c r="AQ882" s="0" t="s">
        <v>100</v>
      </c>
    </row>
    <row r="883">
      <c r="B883" s="0" t="s">
        <v>2502</v>
      </c>
      <c r="C883" s="1" t="n">
        <v>352660</v>
      </c>
      <c r="E883" s="14" t="s">
        <v>2505</v>
      </c>
      <c r="F883" s="14" t="s">
        <v>192</v>
      </c>
      <c r="G883" s="25" t="str">
        <f>HYPERLINK("https://telegram.me/we_are_vkusvill/3464?comment=225999")</f>
      </c>
      <c r="H883" s="14" t="s">
        <v>193</v>
      </c>
      <c r="I883" s="14" t="s">
        <v>231</v>
      </c>
      <c r="J883" s="14" t="s">
        <v>2506</v>
      </c>
      <c r="K883" s="26" t="str">
        <f>HYPERLINK("https://telegram.me/")</f>
      </c>
      <c r="L883" s="14" t="s">
        <v>173</v>
      </c>
      <c r="M883" s="14" t="s">
        <v>2507</v>
      </c>
      <c r="N883" s="25" t="str">
        <f>HYPERLINK("https://telegram.me/we_are_vkusvill")</f>
      </c>
      <c r="O883" s="1" t="s">
        <v>186</v>
      </c>
      <c r="P883" s="1"/>
      <c r="Q883" s="1" t="n">
        <v>90282</v>
      </c>
      <c r="R883" s="1" t="n">
        <v>0</v>
      </c>
      <c r="S883" s="1"/>
      <c r="T883" s="1" t="n">
        <v>0</v>
      </c>
      <c r="U883" s="1" t="n">
        <v>0</v>
      </c>
      <c r="V883" s="1" t="n">
        <v>0</v>
      </c>
      <c r="W883" s="1"/>
      <c r="Y883" s="1" t="n">
        <v>1</v>
      </c>
      <c r="Z883" s="0" t="s">
        <v>463</v>
      </c>
      <c r="AA883" s="0" t="s">
        <v>187</v>
      </c>
      <c r="AH883" s="0" t="s">
        <v>180</v>
      </c>
      <c r="AI883" s="0" t="s">
        <v>92</v>
      </c>
      <c r="AJ883" s="0" t="s">
        <v>437</v>
      </c>
      <c r="AK883" s="0" t="s">
        <v>94</v>
      </c>
      <c r="AL883" s="0" t="s">
        <v>95</v>
      </c>
      <c r="AN883" s="0" t="s">
        <v>97</v>
      </c>
      <c r="AT883" s="0" t="s">
        <v>103</v>
      </c>
      <c r="AW883" s="0" t="s">
        <v>106</v>
      </c>
      <c r="BC883" s="0" t="s">
        <v>112</v>
      </c>
      <c r="BY883" s="0" t="s">
        <v>134</v>
      </c>
    </row>
    <row r="884">
      <c r="B884" s="0" t="s">
        <v>2508</v>
      </c>
      <c r="C884" s="1" t="n">
        <v>352662</v>
      </c>
      <c r="E884" s="14" t="s">
        <v>2509</v>
      </c>
      <c r="F884" s="14" t="s">
        <v>184</v>
      </c>
      <c r="G884" s="25" t="str">
        <f>HYPERLINK("http://vk.com/wall-142477702_726009?reply=726409")</f>
      </c>
      <c r="H884" s="14" t="s">
        <v>170</v>
      </c>
      <c r="I884" s="14" t="s">
        <v>231</v>
      </c>
      <c r="J884" s="14" t="s">
        <v>2495</v>
      </c>
      <c r="K884" s="26" t="str">
        <f>HYPERLINK("http://vk.com/id793707190")</f>
      </c>
      <c r="L884" s="14" t="s">
        <v>173</v>
      </c>
      <c r="M884" s="14" t="s">
        <v>1409</v>
      </c>
      <c r="N884" s="25" t="str">
        <f>HYPERLINK("http://vk.com/club142477702")</f>
      </c>
      <c r="O884" s="1" t="s">
        <v>186</v>
      </c>
      <c r="P884" s="1" t="n">
        <v>27</v>
      </c>
      <c r="Q884" s="1" t="n">
        <v>48420</v>
      </c>
      <c r="R884" s="1" t="n">
        <v>0</v>
      </c>
      <c r="S884" s="1"/>
      <c r="T884" s="1" t="n">
        <v>0</v>
      </c>
      <c r="U884" s="1" t="n">
        <v>0</v>
      </c>
      <c r="V884" s="1" t="n">
        <v>0</v>
      </c>
      <c r="W884" s="1"/>
      <c r="Y884" s="1" t="n">
        <v>1</v>
      </c>
      <c r="Z884" s="0" t="s">
        <v>319</v>
      </c>
      <c r="AA884" s="0" t="s">
        <v>292</v>
      </c>
      <c r="AH884" s="0" t="s">
        <v>180</v>
      </c>
      <c r="AI884" s="0" t="s">
        <v>92</v>
      </c>
      <c r="AJ884" s="0" t="s">
        <v>437</v>
      </c>
      <c r="AN884" s="0" t="s">
        <v>97</v>
      </c>
      <c r="AO884" s="0" t="s">
        <v>98</v>
      </c>
      <c r="AY884" s="0" t="s">
        <v>108</v>
      </c>
      <c r="BM884" s="0" t="s">
        <v>122</v>
      </c>
    </row>
    <row r="885" ht="24.75">
      <c r="B885" s="0" t="s">
        <v>2508</v>
      </c>
      <c r="C885" s="1" t="n">
        <v>352663</v>
      </c>
      <c r="E885" s="14" t="s">
        <v>2510</v>
      </c>
      <c r="F885" s="14" t="s">
        <v>184</v>
      </c>
      <c r="G885" s="25" t="str">
        <f>HYPERLINK("http://vk.com/wall-103474409_917610?reply=917700&amp;thread=917662")</f>
      </c>
      <c r="H885" s="14" t="s">
        <v>170</v>
      </c>
      <c r="I885" s="14" t="s">
        <v>231</v>
      </c>
      <c r="J885" s="14" t="s">
        <v>2511</v>
      </c>
      <c r="K885" s="26" t="str">
        <f>HYPERLINK("http://vk.com/id20323989")</f>
      </c>
      <c r="L885" s="14" t="s">
        <v>173</v>
      </c>
      <c r="M885" s="14" t="s">
        <v>2512</v>
      </c>
      <c r="N885" s="25" t="str">
        <f>HYPERLINK("http://vk.com/club103474409")</f>
      </c>
      <c r="O885" s="1" t="s">
        <v>186</v>
      </c>
      <c r="P885" s="1" t="n">
        <v>36</v>
      </c>
      <c r="Q885" s="1" t="n">
        <v>19325</v>
      </c>
      <c r="R885" s="1" t="n">
        <v>0</v>
      </c>
      <c r="S885" s="1"/>
      <c r="T885" s="1" t="n">
        <v>0</v>
      </c>
      <c r="U885" s="1" t="n">
        <v>0</v>
      </c>
      <c r="V885" s="1" t="n">
        <v>0</v>
      </c>
      <c r="W885" s="1"/>
      <c r="Y885" s="1" t="n">
        <v>1</v>
      </c>
      <c r="Z885" s="0" t="s">
        <v>319</v>
      </c>
      <c r="AA885" s="0" t="s">
        <v>187</v>
      </c>
      <c r="AC885" s="0" t="s">
        <v>177</v>
      </c>
      <c r="AH885" s="0" t="s">
        <v>180</v>
      </c>
      <c r="AI885" s="0" t="s">
        <v>92</v>
      </c>
      <c r="AJ885" s="0" t="s">
        <v>437</v>
      </c>
      <c r="AK885" s="0" t="s">
        <v>94</v>
      </c>
      <c r="AL885" s="0" t="s">
        <v>95</v>
      </c>
      <c r="AN885" s="0" t="s">
        <v>97</v>
      </c>
      <c r="AS885" s="0" t="s">
        <v>102</v>
      </c>
      <c r="BB885" s="0" t="s">
        <v>111</v>
      </c>
      <c r="BC885" s="0" t="s">
        <v>112</v>
      </c>
    </row>
    <row r="886">
      <c r="B886" s="0" t="s">
        <v>2513</v>
      </c>
      <c r="C886" s="1" t="n">
        <v>352678</v>
      </c>
      <c r="E886" s="14" t="s">
        <v>2514</v>
      </c>
      <c r="F886" s="14" t="s">
        <v>375</v>
      </c>
      <c r="G886" s="25" t="str">
        <f>HYPERLINK("https://www.babyblog.ru/community/health/post/3215619")</f>
      </c>
      <c r="H886" s="14" t="s">
        <v>376</v>
      </c>
      <c r="I886" s="14" t="s">
        <v>231</v>
      </c>
      <c r="J886" s="14" t="s">
        <v>2515</v>
      </c>
      <c r="L886" s="14"/>
      <c r="M886" s="14" t="s">
        <v>378</v>
      </c>
      <c r="O886" s="1"/>
      <c r="P886" s="1"/>
      <c r="Q886" s="1"/>
      <c r="R886" s="1" t="n">
        <v>0</v>
      </c>
      <c r="S886" s="1"/>
      <c r="T886" s="1" t="n">
        <v>0</v>
      </c>
      <c r="U886" s="1" t="n">
        <v>0</v>
      </c>
      <c r="V886" s="1" t="n">
        <v>0</v>
      </c>
      <c r="W886" s="1"/>
      <c r="Y886" s="1" t="n">
        <v>1</v>
      </c>
      <c r="Z886" s="0" t="s">
        <v>175</v>
      </c>
      <c r="AA886" s="0" t="s">
        <v>187</v>
      </c>
      <c r="AH886" s="0" t="s">
        <v>180</v>
      </c>
      <c r="AI886" s="0" t="s">
        <v>92</v>
      </c>
      <c r="AJ886" s="0" t="s">
        <v>437</v>
      </c>
      <c r="AK886" s="0" t="s">
        <v>94</v>
      </c>
      <c r="AL886" s="0" t="s">
        <v>95</v>
      </c>
      <c r="AN886" s="0" t="s">
        <v>97</v>
      </c>
      <c r="AR886" s="0" t="s">
        <v>101</v>
      </c>
      <c r="AW886" s="0" t="s">
        <v>106</v>
      </c>
      <c r="BG886" s="0" t="s">
        <v>116</v>
      </c>
      <c r="BZ886" s="0" t="s">
        <v>135</v>
      </c>
    </row>
    <row r="887" ht="48.75">
      <c r="B887" s="0" t="s">
        <v>2516</v>
      </c>
      <c r="C887" s="1" t="n">
        <v>352655</v>
      </c>
      <c r="E887" s="14" t="s">
        <v>2517</v>
      </c>
      <c r="F887" s="14" t="s">
        <v>192</v>
      </c>
      <c r="G887" s="25" t="str">
        <f>HYPERLINK("https://telegram.me/shukinoszao/93097")</f>
      </c>
      <c r="H887" s="14" t="s">
        <v>193</v>
      </c>
      <c r="I887" s="14" t="s">
        <v>194</v>
      </c>
      <c r="J887" s="14" t="s">
        <v>2518</v>
      </c>
      <c r="K887" s="26" t="str">
        <f>HYPERLINK("https://telegram.me/DerAlSem")</f>
      </c>
      <c r="L887" s="14" t="s">
        <v>173</v>
      </c>
      <c r="M887" s="14" t="s">
        <v>2501</v>
      </c>
      <c r="N887" s="25" t="str">
        <f>HYPERLINK("https://telegram.me/shukinoszao")</f>
      </c>
      <c r="O887" s="1" t="s">
        <v>174</v>
      </c>
      <c r="P887" s="1"/>
      <c r="Q887" s="1" t="n">
        <v>1246</v>
      </c>
      <c r="R887" s="1" t="n">
        <v>0</v>
      </c>
      <c r="S887" s="1"/>
      <c r="T887" s="1" t="n">
        <v>0</v>
      </c>
      <c r="U887" s="1" t="n">
        <v>0</v>
      </c>
      <c r="V887" s="1" t="n">
        <v>0</v>
      </c>
      <c r="W887" s="1"/>
      <c r="Y887" s="1" t="n">
        <v>1</v>
      </c>
      <c r="Z887" s="0" t="s">
        <v>463</v>
      </c>
      <c r="AA887" s="0" t="s">
        <v>187</v>
      </c>
      <c r="AH887" s="0" t="s">
        <v>180</v>
      </c>
      <c r="AJ887" s="0" t="s">
        <v>437</v>
      </c>
      <c r="AK887" s="0" t="s">
        <v>94</v>
      </c>
      <c r="AL887" s="0" t="s">
        <v>95</v>
      </c>
      <c r="AN887" s="0" t="s">
        <v>97</v>
      </c>
      <c r="AR887" s="0" t="s">
        <v>101</v>
      </c>
      <c r="AW887" s="0" t="s">
        <v>106</v>
      </c>
      <c r="CK887" s="0" t="s">
        <v>146</v>
      </c>
    </row>
    <row r="888">
      <c r="B888" s="0" t="s">
        <v>2519</v>
      </c>
      <c r="C888" s="1" t="n">
        <v>353208</v>
      </c>
      <c r="E888" s="14" t="s">
        <v>1957</v>
      </c>
      <c r="F888" s="14" t="s">
        <v>169</v>
      </c>
      <c r="G888" s="25" t="str">
        <f>HYPERLINK("http://www.ok.ru/profile/541832290067/statuses/156298323069715")</f>
      </c>
      <c r="H888" s="14" t="s">
        <v>170</v>
      </c>
      <c r="I888" s="14" t="s">
        <v>194</v>
      </c>
      <c r="J888" s="14" t="s">
        <v>2520</v>
      </c>
      <c r="K888" s="26" t="str">
        <f>HYPERLINK("http://www.ok.ru/profile/541832290067")</f>
      </c>
      <c r="L888" s="14" t="s">
        <v>173</v>
      </c>
      <c r="O888" s="1" t="s">
        <v>174</v>
      </c>
      <c r="P888" s="1" t="n">
        <v>51</v>
      </c>
      <c r="Q888" s="1" t="n">
        <v>240</v>
      </c>
      <c r="R888" s="1" t="n">
        <v>0</v>
      </c>
      <c r="S888" s="1"/>
      <c r="T888" s="1" t="n">
        <v>0</v>
      </c>
      <c r="U888" s="1" t="n">
        <v>3</v>
      </c>
      <c r="V888" s="1" t="n">
        <v>3</v>
      </c>
      <c r="W888" s="1"/>
      <c r="Y888" s="1" t="n">
        <v>3</v>
      </c>
      <c r="Z888" s="0" t="s">
        <v>175</v>
      </c>
      <c r="AA888" s="0" t="s">
        <v>187</v>
      </c>
      <c r="AC888" s="0" t="s">
        <v>177</v>
      </c>
      <c r="AD888" s="0" t="s">
        <v>1382</v>
      </c>
      <c r="AE888" s="0" t="s">
        <v>2521</v>
      </c>
      <c r="AH888" s="0" t="s">
        <v>180</v>
      </c>
      <c r="AJ888" s="0" t="s">
        <v>437</v>
      </c>
      <c r="AK888" s="0" t="s">
        <v>94</v>
      </c>
      <c r="AL888" s="0" t="s">
        <v>95</v>
      </c>
      <c r="AM888" s="0" t="s">
        <v>96</v>
      </c>
      <c r="AX888" s="0" t="s">
        <v>107</v>
      </c>
      <c r="BR888" s="0" t="s">
        <v>127</v>
      </c>
    </row>
    <row r="889">
      <c r="B889" s="0" t="s">
        <v>2519</v>
      </c>
      <c r="C889" s="1" t="n">
        <v>352676</v>
      </c>
      <c r="E889" s="14" t="s">
        <v>2522</v>
      </c>
      <c r="F889" s="14" t="s">
        <v>169</v>
      </c>
      <c r="G889" s="25" t="str">
        <f>HYPERLINK("http://www.ok.ru/group/64283132559598/topic/156610048130030")</f>
      </c>
      <c r="H889" s="14" t="s">
        <v>170</v>
      </c>
      <c r="I889" s="14" t="s">
        <v>194</v>
      </c>
      <c r="J889" s="14" t="s">
        <v>2523</v>
      </c>
      <c r="K889" s="26" t="str">
        <f>HYPERLINK("http://www.ok.ru/group/64283132559598")</f>
      </c>
      <c r="L889" s="14" t="s">
        <v>274</v>
      </c>
      <c r="O889" s="1"/>
      <c r="P889" s="1"/>
      <c r="Q889" s="1" t="n">
        <v>62295</v>
      </c>
      <c r="R889" s="1" t="n">
        <v>0</v>
      </c>
      <c r="S889" s="1"/>
      <c r="T889" s="1" t="n">
        <v>0</v>
      </c>
      <c r="U889" s="1" t="n">
        <v>0</v>
      </c>
      <c r="V889" s="1" t="n">
        <v>0</v>
      </c>
      <c r="W889" s="1"/>
      <c r="Y889" s="1" t="n">
        <v>1</v>
      </c>
      <c r="Z889" s="0" t="s">
        <v>319</v>
      </c>
      <c r="AA889" s="0" t="s">
        <v>223</v>
      </c>
      <c r="AH889" s="0" t="s">
        <v>180</v>
      </c>
      <c r="AJ889" s="0" t="s">
        <v>437</v>
      </c>
      <c r="AL889" s="0" t="s">
        <v>95</v>
      </c>
      <c r="AN889" s="0" t="s">
        <v>97</v>
      </c>
      <c r="AY889" s="0" t="s">
        <v>108</v>
      </c>
      <c r="BD889" s="0" t="s">
        <v>113</v>
      </c>
      <c r="BE889" s="0" t="s">
        <v>114</v>
      </c>
      <c r="BL889" s="0" t="s">
        <v>121</v>
      </c>
      <c r="CD889" s="0" t="s">
        <v>139</v>
      </c>
    </row>
    <row r="890" ht="1212.75">
      <c r="B890" s="0" t="s">
        <v>2524</v>
      </c>
      <c r="C890" s="1" t="n">
        <v>352666</v>
      </c>
      <c r="E890" s="14" t="s">
        <v>683</v>
      </c>
      <c r="F890" s="14" t="s">
        <v>184</v>
      </c>
      <c r="G890" s="25" t="str">
        <f>HYPERLINK("http://vk.com/wall248628919_7771")</f>
      </c>
      <c r="H890" s="14" t="s">
        <v>170</v>
      </c>
      <c r="I890" s="14" t="s">
        <v>171</v>
      </c>
      <c r="J890" s="14" t="s">
        <v>2525</v>
      </c>
      <c r="K890" s="26" t="str">
        <f>HYPERLINK("http://vk.com/id248628919")</f>
      </c>
      <c r="L890" s="14" t="s">
        <v>173</v>
      </c>
      <c r="O890" s="1" t="s">
        <v>174</v>
      </c>
      <c r="P890" s="1"/>
      <c r="Q890" s="1" t="n">
        <v>304</v>
      </c>
      <c r="R890" s="1" t="n">
        <v>0</v>
      </c>
      <c r="S890" s="1"/>
      <c r="T890" s="1" t="n">
        <v>0</v>
      </c>
      <c r="U890" s="1" t="n">
        <v>0</v>
      </c>
      <c r="V890" s="1" t="n">
        <v>0</v>
      </c>
      <c r="W890" s="1" t="n">
        <v>2</v>
      </c>
      <c r="Y890" s="1" t="n">
        <v>22</v>
      </c>
      <c r="Z890" s="0" t="s">
        <v>175</v>
      </c>
      <c r="AA890" s="0" t="s">
        <v>187</v>
      </c>
      <c r="AC890" s="0" t="s">
        <v>177</v>
      </c>
      <c r="AH890" s="0" t="s">
        <v>180</v>
      </c>
      <c r="AJ890" s="0" t="s">
        <v>437</v>
      </c>
      <c r="AK890" s="0" t="s">
        <v>94</v>
      </c>
      <c r="AL890" s="0" t="s">
        <v>95</v>
      </c>
      <c r="AM890" s="0" t="s">
        <v>96</v>
      </c>
      <c r="AU890" s="0" t="s">
        <v>104</v>
      </c>
      <c r="AV890" s="0" t="s">
        <v>105</v>
      </c>
      <c r="AX890" s="0" t="s">
        <v>107</v>
      </c>
    </row>
    <row r="891" ht="24.75">
      <c r="B891" s="0" t="s">
        <v>2526</v>
      </c>
      <c r="C891" s="1" t="n">
        <v>352677</v>
      </c>
      <c r="E891" s="14" t="s">
        <v>440</v>
      </c>
      <c r="F891" s="14" t="s">
        <v>169</v>
      </c>
      <c r="G891" s="25" t="str">
        <f>HYPERLINK("http://www.ok.ru/profile/586743532848/statuses/156246835214384")</f>
      </c>
      <c r="H891" s="14" t="s">
        <v>170</v>
      </c>
      <c r="I891" s="14" t="s">
        <v>171</v>
      </c>
      <c r="J891" s="14" t="s">
        <v>2527</v>
      </c>
      <c r="K891" s="26" t="str">
        <f>HYPERLINK("http://www.ok.ru/profile/586743532848")</f>
      </c>
      <c r="L891" s="14" t="s">
        <v>173</v>
      </c>
      <c r="O891" s="1" t="s">
        <v>186</v>
      </c>
      <c r="P891" s="1" t="n">
        <v>78</v>
      </c>
      <c r="Q891" s="1" t="n">
        <v>2088</v>
      </c>
      <c r="R891" s="1" t="n">
        <v>0</v>
      </c>
      <c r="S891" s="1"/>
      <c r="T891" s="1" t="n">
        <v>2</v>
      </c>
      <c r="U891" s="1" t="n">
        <v>6</v>
      </c>
      <c r="V891" s="1" t="n">
        <v>8</v>
      </c>
      <c r="W891" s="1"/>
      <c r="Y891" s="1" t="n">
        <v>17</v>
      </c>
      <c r="Z891" s="0" t="s">
        <v>175</v>
      </c>
      <c r="AA891" s="0" t="s">
        <v>176</v>
      </c>
      <c r="AC891" s="0" t="s">
        <v>177</v>
      </c>
      <c r="AD891" s="0" t="s">
        <v>881</v>
      </c>
      <c r="AE891" s="0" t="s">
        <v>882</v>
      </c>
      <c r="AH891" s="0" t="s">
        <v>180</v>
      </c>
      <c r="AJ891" s="0" t="s">
        <v>437</v>
      </c>
      <c r="AK891" s="0" t="s">
        <v>94</v>
      </c>
      <c r="AL891" s="0" t="s">
        <v>95</v>
      </c>
      <c r="AM891" s="0" t="s">
        <v>96</v>
      </c>
      <c r="AO891" s="0" t="s">
        <v>98</v>
      </c>
      <c r="AQ891" s="0" t="s">
        <v>100</v>
      </c>
    </row>
    <row r="892">
      <c r="B892" s="0" t="s">
        <v>2528</v>
      </c>
      <c r="C892" s="1" t="n">
        <v>352719</v>
      </c>
      <c r="D892" s="0" t="s">
        <v>2529</v>
      </c>
      <c r="E892" s="14" t="s">
        <v>2530</v>
      </c>
      <c r="F892" s="14" t="s">
        <v>263</v>
      </c>
      <c r="G892" s="25" t="str">
        <f>HYPERLINK("https://www.baby.ru/blogs/post/2611543491-2600215552/")</f>
      </c>
      <c r="H892" s="14" t="s">
        <v>264</v>
      </c>
      <c r="I892" s="14" t="s">
        <v>231</v>
      </c>
      <c r="J892" s="14" t="s">
        <v>2531</v>
      </c>
      <c r="K892" s="26" t="str">
        <f>HYPERLINK("https://www.baby.ru/u/usr2816068/")</f>
      </c>
      <c r="L892" s="14"/>
      <c r="M892" s="14" t="s">
        <v>1022</v>
      </c>
      <c r="N892" s="25" t="str">
        <f>HYPERLINK("https://www.baby.ru/u/usr2573509/")</f>
      </c>
      <c r="O892" s="1"/>
      <c r="P892" s="1"/>
      <c r="Q892" s="1"/>
      <c r="R892" s="1" t="n">
        <v>0</v>
      </c>
      <c r="S892" s="1"/>
      <c r="T892" s="1" t="n">
        <v>0</v>
      </c>
      <c r="U892" s="1" t="n">
        <v>0</v>
      </c>
      <c r="V892" s="1" t="n">
        <v>0</v>
      </c>
      <c r="W892" s="1"/>
      <c r="Y892" s="1" t="n">
        <v>1</v>
      </c>
      <c r="Z892" s="0" t="s">
        <v>175</v>
      </c>
      <c r="AA892" s="0" t="s">
        <v>187</v>
      </c>
      <c r="AC892" s="0" t="s">
        <v>177</v>
      </c>
      <c r="AD892" s="0" t="s">
        <v>1104</v>
      </c>
      <c r="AE892" s="0" t="s">
        <v>2114</v>
      </c>
      <c r="AH892" s="0" t="s">
        <v>180</v>
      </c>
      <c r="AI892" s="0" t="s">
        <v>92</v>
      </c>
      <c r="AJ892" s="0" t="s">
        <v>437</v>
      </c>
      <c r="AK892" s="0" t="s">
        <v>94</v>
      </c>
      <c r="AL892" s="0" t="s">
        <v>95</v>
      </c>
      <c r="AW892" s="0" t="s">
        <v>106</v>
      </c>
      <c r="BB892" s="0" t="s">
        <v>111</v>
      </c>
      <c r="BE892" s="0" t="s">
        <v>114</v>
      </c>
      <c r="BH892" s="0" t="s">
        <v>117</v>
      </c>
    </row>
    <row r="893" ht="36.75">
      <c r="B893" s="0" t="s">
        <v>2532</v>
      </c>
      <c r="C893" s="1" t="n">
        <v>352640</v>
      </c>
      <c r="E893" s="14" t="s">
        <v>2533</v>
      </c>
      <c r="F893" s="14" t="s">
        <v>184</v>
      </c>
      <c r="G893" s="25" t="str">
        <f>HYPERLINK("http://vk.com/wall200794158_10146")</f>
      </c>
      <c r="H893" s="14" t="s">
        <v>170</v>
      </c>
      <c r="I893" s="14" t="s">
        <v>171</v>
      </c>
      <c r="J893" s="14" t="s">
        <v>2534</v>
      </c>
      <c r="K893" s="26" t="str">
        <f>HYPERLINK("http://vk.com/id200794158")</f>
      </c>
      <c r="L893" s="14" t="s">
        <v>173</v>
      </c>
      <c r="O893" s="1" t="s">
        <v>186</v>
      </c>
      <c r="P893" s="1"/>
      <c r="Q893" s="1" t="n">
        <v>93</v>
      </c>
      <c r="R893" s="1" t="n">
        <v>0</v>
      </c>
      <c r="S893" s="1"/>
      <c r="T893" s="1" t="n">
        <v>0</v>
      </c>
      <c r="U893" s="1" t="n">
        <v>0</v>
      </c>
      <c r="V893" s="1" t="n">
        <v>0</v>
      </c>
      <c r="W893" s="1"/>
      <c r="Y893" s="1" t="n">
        <v>9</v>
      </c>
      <c r="Z893" s="0" t="s">
        <v>175</v>
      </c>
      <c r="AA893" s="0" t="s">
        <v>187</v>
      </c>
      <c r="AC893" s="0" t="s">
        <v>177</v>
      </c>
      <c r="AD893" s="0" t="s">
        <v>240</v>
      </c>
      <c r="AE893" s="0" t="s">
        <v>240</v>
      </c>
      <c r="AH893" s="0" t="s">
        <v>180</v>
      </c>
      <c r="AJ893" s="0" t="s">
        <v>437</v>
      </c>
      <c r="AK893" s="0" t="s">
        <v>94</v>
      </c>
      <c r="AL893" s="0" t="s">
        <v>95</v>
      </c>
      <c r="AN893" s="0" t="s">
        <v>97</v>
      </c>
      <c r="AT893" s="0" t="s">
        <v>103</v>
      </c>
      <c r="AW893" s="0" t="s">
        <v>106</v>
      </c>
      <c r="BE893" s="0" t="s">
        <v>114</v>
      </c>
      <c r="BK893" s="0" t="s">
        <v>120</v>
      </c>
      <c r="BX893" s="0" t="s">
        <v>133</v>
      </c>
    </row>
    <row r="894">
      <c r="B894" s="0" t="s">
        <v>2535</v>
      </c>
      <c r="C894" s="1" t="n">
        <v>352632</v>
      </c>
      <c r="E894" s="14" t="s">
        <v>2536</v>
      </c>
      <c r="F894" s="14" t="s">
        <v>184</v>
      </c>
      <c r="G894" s="25" t="str">
        <f>HYPERLINK("http://vk.com/wall-110697191_622636?reply=622714")</f>
      </c>
      <c r="H894" s="14" t="s">
        <v>170</v>
      </c>
      <c r="I894" s="14" t="s">
        <v>231</v>
      </c>
      <c r="J894" s="14" t="s">
        <v>2537</v>
      </c>
      <c r="K894" s="26" t="str">
        <f>HYPERLINK("http://vk.com/id26593557")</f>
      </c>
      <c r="L894" s="14" t="s">
        <v>173</v>
      </c>
      <c r="M894" s="14" t="s">
        <v>626</v>
      </c>
      <c r="N894" s="25" t="str">
        <f>HYPERLINK("http://vk.com/club110697191")</f>
      </c>
      <c r="O894" s="1" t="s">
        <v>186</v>
      </c>
      <c r="P894" s="1"/>
      <c r="Q894" s="1" t="n">
        <v>33083</v>
      </c>
      <c r="R894" s="1" t="n">
        <v>0</v>
      </c>
      <c r="S894" s="1"/>
      <c r="T894" s="1" t="n">
        <v>0</v>
      </c>
      <c r="U894" s="1" t="n">
        <v>0</v>
      </c>
      <c r="V894" s="1" t="n">
        <v>0</v>
      </c>
      <c r="W894" s="1"/>
      <c r="Y894" s="1" t="n">
        <v>1</v>
      </c>
      <c r="Z894" s="0" t="s">
        <v>175</v>
      </c>
      <c r="AA894" s="0" t="s">
        <v>187</v>
      </c>
      <c r="AC894" s="0" t="s">
        <v>177</v>
      </c>
      <c r="AD894" s="0" t="s">
        <v>881</v>
      </c>
      <c r="AE894" s="0" t="s">
        <v>882</v>
      </c>
      <c r="AH894" s="0" t="s">
        <v>180</v>
      </c>
      <c r="AJ894" s="0" t="s">
        <v>437</v>
      </c>
      <c r="AK894" s="0" t="s">
        <v>94</v>
      </c>
      <c r="AL894" s="0" t="s">
        <v>95</v>
      </c>
      <c r="AN894" s="0" t="s">
        <v>97</v>
      </c>
      <c r="AW894" s="0" t="s">
        <v>106</v>
      </c>
      <c r="AX894" s="0" t="s">
        <v>107</v>
      </c>
      <c r="BE894" s="0" t="s">
        <v>114</v>
      </c>
      <c r="CE894" s="0" t="s">
        <v>140</v>
      </c>
    </row>
    <row r="895" ht="1224.75">
      <c r="B895" s="0" t="s">
        <v>2535</v>
      </c>
      <c r="C895" s="1" t="n">
        <v>352956</v>
      </c>
      <c r="E895" s="14" t="s">
        <v>2538</v>
      </c>
      <c r="F895" s="14" t="s">
        <v>169</v>
      </c>
      <c r="G895" s="25" t="str">
        <f>HYPERLINK("http://www.ok.ru/profile/360069009982/statuses/154922945123646")</f>
      </c>
      <c r="H895" s="14" t="s">
        <v>170</v>
      </c>
      <c r="I895" s="14" t="s">
        <v>171</v>
      </c>
      <c r="J895" s="14" t="s">
        <v>2539</v>
      </c>
      <c r="K895" s="26" t="str">
        <f>HYPERLINK("http://www.ok.ru/profile/360069009982")</f>
      </c>
      <c r="L895" s="14" t="s">
        <v>173</v>
      </c>
      <c r="O895" s="1" t="s">
        <v>186</v>
      </c>
      <c r="P895" s="1" t="n">
        <v>48</v>
      </c>
      <c r="Q895" s="1" t="n">
        <v>189</v>
      </c>
      <c r="R895" s="1" t="n">
        <v>0</v>
      </c>
      <c r="S895" s="1"/>
      <c r="T895" s="1" t="n">
        <v>0</v>
      </c>
      <c r="U895" s="1" t="n">
        <v>0</v>
      </c>
      <c r="V895" s="1" t="n">
        <v>0</v>
      </c>
      <c r="W895" s="1"/>
      <c r="Y895" s="1" t="n">
        <v>1</v>
      </c>
      <c r="Z895" s="0" t="s">
        <v>175</v>
      </c>
      <c r="AA895" s="0" t="s">
        <v>187</v>
      </c>
      <c r="AC895" s="0" t="s">
        <v>177</v>
      </c>
      <c r="AH895" s="0" t="s">
        <v>180</v>
      </c>
      <c r="AJ895" s="0" t="s">
        <v>437</v>
      </c>
      <c r="AK895" s="0" t="s">
        <v>94</v>
      </c>
      <c r="AL895" s="0" t="s">
        <v>95</v>
      </c>
      <c r="AM895" s="0" t="s">
        <v>96</v>
      </c>
      <c r="AX895" s="0" t="s">
        <v>107</v>
      </c>
    </row>
    <row r="896" ht="24.75">
      <c r="B896" s="0" t="s">
        <v>2540</v>
      </c>
      <c r="C896" s="1" t="n">
        <v>352915</v>
      </c>
      <c r="E896" s="14" t="s">
        <v>1356</v>
      </c>
      <c r="F896" s="14" t="s">
        <v>169</v>
      </c>
      <c r="G896" s="25" t="str">
        <f>HYPERLINK("http://www.ok.ru/profile/556955883488/statuses/154796855410144")</f>
      </c>
      <c r="H896" s="14" t="s">
        <v>170</v>
      </c>
      <c r="I896" s="14" t="s">
        <v>171</v>
      </c>
      <c r="J896" s="14" t="s">
        <v>2541</v>
      </c>
      <c r="K896" s="26" t="str">
        <f>HYPERLINK("http://www.ok.ru/profile/556955883488")</f>
      </c>
      <c r="L896" s="14" t="s">
        <v>173</v>
      </c>
      <c r="O896" s="1" t="s">
        <v>186</v>
      </c>
      <c r="P896" s="1" t="n">
        <v>56</v>
      </c>
      <c r="Q896" s="1" t="n">
        <v>222</v>
      </c>
      <c r="R896" s="1" t="n">
        <v>0</v>
      </c>
      <c r="S896" s="1"/>
      <c r="T896" s="1" t="n">
        <v>1</v>
      </c>
      <c r="U896" s="1" t="n">
        <v>0</v>
      </c>
      <c r="V896" s="1" t="n">
        <v>1</v>
      </c>
      <c r="W896" s="1"/>
      <c r="Y896" s="1" t="n">
        <v>93</v>
      </c>
      <c r="Z896" s="0" t="s">
        <v>175</v>
      </c>
      <c r="AA896" s="0" t="s">
        <v>187</v>
      </c>
      <c r="AC896" s="0" t="s">
        <v>177</v>
      </c>
      <c r="AD896" s="0" t="s">
        <v>1073</v>
      </c>
      <c r="AE896" s="0" t="s">
        <v>2542</v>
      </c>
      <c r="AH896" s="0" t="s">
        <v>180</v>
      </c>
      <c r="AJ896" s="0" t="s">
        <v>437</v>
      </c>
      <c r="AK896" s="0" t="s">
        <v>94</v>
      </c>
      <c r="AL896" s="0" t="s">
        <v>95</v>
      </c>
      <c r="AM896" s="0" t="s">
        <v>96</v>
      </c>
      <c r="AU896" s="0" t="s">
        <v>104</v>
      </c>
      <c r="AV896" s="0" t="s">
        <v>105</v>
      </c>
    </row>
    <row r="897" ht="24.75">
      <c r="B897" s="0" t="s">
        <v>2543</v>
      </c>
      <c r="C897" s="1" t="n">
        <v>352920</v>
      </c>
      <c r="E897" s="14" t="s">
        <v>1012</v>
      </c>
      <c r="F897" s="14" t="s">
        <v>169</v>
      </c>
      <c r="G897" s="25" t="str">
        <f>HYPERLINK("http://www.ok.ru/profile/570639311378/statuses/156150021232658")</f>
      </c>
      <c r="H897" s="14" t="s">
        <v>170</v>
      </c>
      <c r="I897" s="14" t="s">
        <v>171</v>
      </c>
      <c r="J897" s="14" t="s">
        <v>2544</v>
      </c>
      <c r="K897" s="26" t="str">
        <f>HYPERLINK("http://www.ok.ru/profile/570639311378")</f>
      </c>
      <c r="L897" s="14" t="s">
        <v>173</v>
      </c>
      <c r="O897" s="1" t="s">
        <v>186</v>
      </c>
      <c r="P897" s="1" t="n">
        <v>66</v>
      </c>
      <c r="Q897" s="1" t="n">
        <v>365</v>
      </c>
      <c r="R897" s="1" t="n">
        <v>0</v>
      </c>
      <c r="S897" s="1"/>
      <c r="T897" s="1" t="n">
        <v>0</v>
      </c>
      <c r="U897" s="1" t="n">
        <v>0</v>
      </c>
      <c r="V897" s="1" t="n">
        <v>0</v>
      </c>
      <c r="W897" s="1"/>
      <c r="Y897" s="1" t="n">
        <v>4</v>
      </c>
      <c r="Z897" s="0" t="s">
        <v>175</v>
      </c>
      <c r="AA897" s="0" t="s">
        <v>187</v>
      </c>
      <c r="AC897" s="0" t="s">
        <v>177</v>
      </c>
      <c r="AH897" s="0" t="s">
        <v>180</v>
      </c>
      <c r="AJ897" s="0" t="s">
        <v>437</v>
      </c>
      <c r="AK897" s="0" t="s">
        <v>94</v>
      </c>
      <c r="AL897" s="0" t="s">
        <v>95</v>
      </c>
      <c r="AM897" s="0" t="s">
        <v>96</v>
      </c>
      <c r="AX897" s="0" t="s">
        <v>107</v>
      </c>
    </row>
    <row r="898" ht="24.75">
      <c r="B898" s="0" t="s">
        <v>2543</v>
      </c>
      <c r="C898" s="1" t="n">
        <v>352768</v>
      </c>
      <c r="E898" s="14" t="s">
        <v>1102</v>
      </c>
      <c r="F898" s="14" t="s">
        <v>169</v>
      </c>
      <c r="G898" s="25" t="str">
        <f>HYPERLINK("http://www.ok.ru/profile/574178984761/statuses/155434230562873")</f>
      </c>
      <c r="H898" s="14" t="s">
        <v>170</v>
      </c>
      <c r="I898" s="14" t="s">
        <v>171</v>
      </c>
      <c r="J898" s="14" t="s">
        <v>2545</v>
      </c>
      <c r="K898" s="26" t="str">
        <f>HYPERLINK("http://www.ok.ru/profile/574178984761")</f>
      </c>
      <c r="L898" s="14" t="s">
        <v>173</v>
      </c>
      <c r="O898" s="1" t="s">
        <v>186</v>
      </c>
      <c r="P898" s="1" t="n">
        <v>61</v>
      </c>
      <c r="Q898" s="1" t="n">
        <v>334</v>
      </c>
      <c r="R898" s="1" t="n">
        <v>0</v>
      </c>
      <c r="S898" s="1"/>
      <c r="T898" s="1" t="n">
        <v>0</v>
      </c>
      <c r="U898" s="1" t="n">
        <v>1</v>
      </c>
      <c r="V898" s="1" t="n">
        <v>1</v>
      </c>
      <c r="W898" s="1"/>
      <c r="Y898" s="1" t="n">
        <v>93</v>
      </c>
      <c r="Z898" s="0" t="s">
        <v>175</v>
      </c>
      <c r="AA898" s="0" t="s">
        <v>187</v>
      </c>
      <c r="AC898" s="0" t="s">
        <v>177</v>
      </c>
      <c r="AD898" s="0" t="s">
        <v>454</v>
      </c>
      <c r="AE898" s="0" t="s">
        <v>2546</v>
      </c>
      <c r="AH898" s="0" t="s">
        <v>180</v>
      </c>
      <c r="AJ898" s="0" t="s">
        <v>437</v>
      </c>
      <c r="AK898" s="0" t="s">
        <v>94</v>
      </c>
      <c r="AL898" s="0" t="s">
        <v>95</v>
      </c>
      <c r="AM898" s="0" t="s">
        <v>96</v>
      </c>
      <c r="AU898" s="0" t="s">
        <v>104</v>
      </c>
      <c r="AV898" s="0" t="s">
        <v>105</v>
      </c>
    </row>
    <row r="899">
      <c r="B899" s="0" t="s">
        <v>2543</v>
      </c>
      <c r="C899" s="1" t="n">
        <v>352628</v>
      </c>
      <c r="E899" s="14" t="s">
        <v>2547</v>
      </c>
      <c r="F899" s="14" t="s">
        <v>184</v>
      </c>
      <c r="G899" s="25" t="str">
        <f>HYPERLINK("http://vk.com/wall-176266147_201663?reply=201688")</f>
      </c>
      <c r="H899" s="14" t="s">
        <v>170</v>
      </c>
      <c r="I899" s="14" t="s">
        <v>231</v>
      </c>
      <c r="J899" s="14" t="s">
        <v>2548</v>
      </c>
      <c r="K899" s="26" t="str">
        <f>HYPERLINK("http://vk.com/id4017982")</f>
      </c>
      <c r="L899" s="14" t="s">
        <v>173</v>
      </c>
      <c r="M899" s="14" t="s">
        <v>2549</v>
      </c>
      <c r="N899" s="25" t="str">
        <f>HYPERLINK("http://vk.com/club176266147")</f>
      </c>
      <c r="O899" s="1" t="s">
        <v>186</v>
      </c>
      <c r="P899" s="1"/>
      <c r="Q899" s="1" t="n">
        <v>41334</v>
      </c>
      <c r="R899" s="1" t="n">
        <v>0</v>
      </c>
      <c r="S899" s="1"/>
      <c r="T899" s="1" t="n">
        <v>0</v>
      </c>
      <c r="U899" s="1" t="n">
        <v>0</v>
      </c>
      <c r="V899" s="1" t="n">
        <v>0</v>
      </c>
      <c r="W899" s="1"/>
      <c r="Y899" s="1" t="n">
        <v>1</v>
      </c>
      <c r="Z899" s="0" t="s">
        <v>175</v>
      </c>
      <c r="AA899" s="0" t="s">
        <v>187</v>
      </c>
      <c r="AC899" s="0" t="s">
        <v>177</v>
      </c>
      <c r="AH899" s="0" t="s">
        <v>180</v>
      </c>
      <c r="AI899" s="0" t="s">
        <v>92</v>
      </c>
      <c r="AJ899" s="0" t="s">
        <v>437</v>
      </c>
      <c r="AK899" s="0" t="s">
        <v>94</v>
      </c>
      <c r="AL899" s="0" t="s">
        <v>95</v>
      </c>
      <c r="AN899" s="0" t="s">
        <v>97</v>
      </c>
      <c r="AS899" s="0" t="s">
        <v>102</v>
      </c>
      <c r="BC899" s="0" t="s">
        <v>112</v>
      </c>
      <c r="BZ899" s="0" t="s">
        <v>135</v>
      </c>
    </row>
    <row r="900" ht="36.75">
      <c r="B900" s="0" t="s">
        <v>2543</v>
      </c>
      <c r="C900" s="1" t="n">
        <v>352669</v>
      </c>
      <c r="E900" s="14" t="s">
        <v>2550</v>
      </c>
      <c r="F900" s="14" t="s">
        <v>169</v>
      </c>
      <c r="G900" s="25" t="str">
        <f>HYPERLINK("http://www.ok.ru/group/57003210833975/topic/155711413330743")</f>
      </c>
      <c r="H900" s="14" t="s">
        <v>170</v>
      </c>
      <c r="I900" s="14" t="s">
        <v>194</v>
      </c>
      <c r="J900" s="14" t="s">
        <v>2551</v>
      </c>
      <c r="K900" s="26" t="str">
        <f>HYPERLINK("http://www.ok.ru/group/57003210833975")</f>
      </c>
      <c r="L900" s="14" t="s">
        <v>274</v>
      </c>
      <c r="O900" s="1"/>
      <c r="P900" s="1"/>
      <c r="Q900" s="1" t="n">
        <v>140245</v>
      </c>
      <c r="R900" s="1" t="n">
        <v>0</v>
      </c>
      <c r="S900" s="1"/>
      <c r="T900" s="1" t="n">
        <v>0</v>
      </c>
      <c r="U900" s="1" t="n">
        <v>1</v>
      </c>
      <c r="V900" s="1" t="n">
        <v>1</v>
      </c>
      <c r="W900" s="1"/>
      <c r="Y900" s="1" t="n">
        <v>1</v>
      </c>
      <c r="Z900" s="0" t="s">
        <v>175</v>
      </c>
      <c r="AA900" s="0" t="s">
        <v>176</v>
      </c>
      <c r="AH900" s="0" t="s">
        <v>180</v>
      </c>
      <c r="AJ900" s="0" t="s">
        <v>437</v>
      </c>
      <c r="AK900" s="0" t="s">
        <v>94</v>
      </c>
      <c r="AL900" s="0" t="s">
        <v>95</v>
      </c>
      <c r="AM900" s="0" t="s">
        <v>96</v>
      </c>
      <c r="AO900" s="0" t="s">
        <v>98</v>
      </c>
      <c r="AX900" s="0" t="s">
        <v>107</v>
      </c>
    </row>
    <row r="901" ht="312.75">
      <c r="B901" s="0" t="s">
        <v>2552</v>
      </c>
      <c r="C901" s="1" t="n">
        <v>352657</v>
      </c>
      <c r="E901" s="14" t="s">
        <v>2553</v>
      </c>
      <c r="F901" s="14" t="s">
        <v>184</v>
      </c>
      <c r="G901" s="25" t="str">
        <f>HYPERLINK("http://vk.com/wall-140264116_119554")</f>
      </c>
      <c r="H901" s="14" t="s">
        <v>170</v>
      </c>
      <c r="I901" s="14" t="s">
        <v>194</v>
      </c>
      <c r="J901" s="14" t="s">
        <v>2554</v>
      </c>
      <c r="K901" s="26" t="str">
        <f>HYPERLINK("http://vk.com/club140264116")</f>
      </c>
      <c r="L901" s="14" t="s">
        <v>274</v>
      </c>
      <c r="O901" s="1"/>
      <c r="P901" s="1"/>
      <c r="Q901" s="1" t="n">
        <v>32225</v>
      </c>
      <c r="R901" s="1" t="n">
        <v>0</v>
      </c>
      <c r="S901" s="1"/>
      <c r="T901" s="1" t="n">
        <v>0</v>
      </c>
      <c r="U901" s="1" t="n">
        <v>0</v>
      </c>
      <c r="V901" s="1" t="n">
        <v>0</v>
      </c>
      <c r="W901" s="1" t="n">
        <v>148</v>
      </c>
      <c r="Y901" s="1" t="n">
        <v>1</v>
      </c>
      <c r="Z901" s="0" t="s">
        <v>463</v>
      </c>
      <c r="AA901" s="0" t="s">
        <v>187</v>
      </c>
      <c r="AH901" s="0" t="s">
        <v>180</v>
      </c>
      <c r="AJ901" s="0" t="s">
        <v>437</v>
      </c>
      <c r="AK901" s="0" t="s">
        <v>94</v>
      </c>
      <c r="AL901" s="0" t="s">
        <v>95</v>
      </c>
      <c r="AT901" s="0" t="s">
        <v>103</v>
      </c>
      <c r="BW901" s="0" t="s">
        <v>132</v>
      </c>
      <c r="CJ901" s="0" t="s">
        <v>145</v>
      </c>
    </row>
    <row r="902">
      <c r="B902" s="0" t="s">
        <v>2555</v>
      </c>
      <c r="C902" s="1" t="n">
        <v>352624</v>
      </c>
      <c r="E902" s="14" t="s">
        <v>2556</v>
      </c>
      <c r="F902" s="14" t="s">
        <v>184</v>
      </c>
      <c r="G902" s="25" t="str">
        <f>HYPERLINK("http://vk.com/wall-106437710_461209?reply=461914")</f>
      </c>
      <c r="H902" s="14" t="s">
        <v>170</v>
      </c>
      <c r="I902" s="14" t="s">
        <v>231</v>
      </c>
      <c r="J902" s="14" t="s">
        <v>2557</v>
      </c>
      <c r="K902" s="26" t="str">
        <f>HYPERLINK("http://vk.com/id44708086")</f>
      </c>
      <c r="L902" s="14" t="s">
        <v>173</v>
      </c>
      <c r="M902" s="14" t="s">
        <v>2558</v>
      </c>
      <c r="N902" s="25" t="str">
        <f>HYPERLINK("http://vk.com/club106437710")</f>
      </c>
      <c r="O902" s="1" t="s">
        <v>186</v>
      </c>
      <c r="P902" s="1"/>
      <c r="Q902" s="1" t="n">
        <v>18357</v>
      </c>
      <c r="R902" s="1" t="n">
        <v>0</v>
      </c>
      <c r="S902" s="1"/>
      <c r="T902" s="1" t="n">
        <v>0</v>
      </c>
      <c r="U902" s="1" t="n">
        <v>0</v>
      </c>
      <c r="V902" s="1" t="n">
        <v>0</v>
      </c>
      <c r="W902" s="1"/>
      <c r="Y902" s="1" t="n">
        <v>1</v>
      </c>
      <c r="Z902" s="0" t="s">
        <v>175</v>
      </c>
      <c r="AA902" s="0" t="s">
        <v>187</v>
      </c>
      <c r="AC902" s="0" t="s">
        <v>177</v>
      </c>
      <c r="AD902" s="0" t="s">
        <v>246</v>
      </c>
      <c r="AE902" s="0" t="s">
        <v>2559</v>
      </c>
      <c r="AH902" s="0" t="s">
        <v>180</v>
      </c>
      <c r="AI902" s="0" t="s">
        <v>92</v>
      </c>
      <c r="AJ902" s="0" t="s">
        <v>437</v>
      </c>
      <c r="AK902" s="0" t="s">
        <v>94</v>
      </c>
      <c r="AL902" s="0" t="s">
        <v>95</v>
      </c>
      <c r="AN902" s="0" t="s">
        <v>97</v>
      </c>
      <c r="AW902" s="0" t="s">
        <v>106</v>
      </c>
      <c r="BE902" s="0" t="s">
        <v>114</v>
      </c>
      <c r="BG902" s="0" t="s">
        <v>116</v>
      </c>
      <c r="BJ902" s="0" t="s">
        <v>119</v>
      </c>
      <c r="BL902" s="0" t="s">
        <v>121</v>
      </c>
    </row>
    <row r="903" ht="36.75">
      <c r="B903" s="0" t="s">
        <v>2555</v>
      </c>
      <c r="C903" s="1" t="n">
        <v>353015</v>
      </c>
      <c r="E903" s="14" t="s">
        <v>1189</v>
      </c>
      <c r="F903" s="14" t="s">
        <v>169</v>
      </c>
      <c r="G903" s="25" t="str">
        <f>HYPERLINK("http://www.ok.ru/profile/456332109360/statuses/156246815815728")</f>
      </c>
      <c r="H903" s="14" t="s">
        <v>170</v>
      </c>
      <c r="I903" s="14" t="s">
        <v>171</v>
      </c>
      <c r="J903" s="14" t="s">
        <v>2560</v>
      </c>
      <c r="K903" s="26" t="str">
        <f>HYPERLINK("http://www.ok.ru/profile/456332109360")</f>
      </c>
      <c r="L903" s="14" t="s">
        <v>173</v>
      </c>
      <c r="O903" s="1" t="s">
        <v>186</v>
      </c>
      <c r="P903" s="1"/>
      <c r="Q903" s="1" t="n">
        <v>323</v>
      </c>
      <c r="R903" s="1" t="n">
        <v>0</v>
      </c>
      <c r="S903" s="1"/>
      <c r="T903" s="1" t="n">
        <v>0</v>
      </c>
      <c r="U903" s="1" t="n">
        <v>2</v>
      </c>
      <c r="V903" s="1" t="n">
        <v>2</v>
      </c>
      <c r="W903" s="1"/>
      <c r="Y903" s="1" t="n">
        <v>46</v>
      </c>
      <c r="Z903" s="0" t="s">
        <v>175</v>
      </c>
      <c r="AA903" s="0" t="s">
        <v>187</v>
      </c>
      <c r="AC903" s="0" t="s">
        <v>177</v>
      </c>
      <c r="AD903" s="0" t="s">
        <v>410</v>
      </c>
      <c r="AE903" s="0" t="s">
        <v>411</v>
      </c>
      <c r="AH903" s="0" t="s">
        <v>180</v>
      </c>
      <c r="AJ903" s="0" t="s">
        <v>437</v>
      </c>
      <c r="AK903" s="0" t="s">
        <v>94</v>
      </c>
      <c r="AL903" s="0" t="s">
        <v>95</v>
      </c>
      <c r="AM903" s="0" t="s">
        <v>96</v>
      </c>
      <c r="AO903" s="0" t="s">
        <v>98</v>
      </c>
      <c r="AQ903" s="0" t="s">
        <v>100</v>
      </c>
    </row>
    <row r="904" ht="36.75">
      <c r="B904" s="0" t="s">
        <v>2561</v>
      </c>
      <c r="C904" s="1" t="n">
        <v>353020</v>
      </c>
      <c r="E904" s="14" t="s">
        <v>1189</v>
      </c>
      <c r="F904" s="14" t="s">
        <v>169</v>
      </c>
      <c r="G904" s="25" t="str">
        <f>HYPERLINK("http://www.ok.ru/profile/460248951407/statuses/157360864784495")</f>
      </c>
      <c r="H904" s="14" t="s">
        <v>170</v>
      </c>
      <c r="I904" s="14" t="s">
        <v>171</v>
      </c>
      <c r="J904" s="14" t="s">
        <v>2562</v>
      </c>
      <c r="K904" s="26" t="str">
        <f>HYPERLINK("http://www.ok.ru/profile/460248951407")</f>
      </c>
      <c r="L904" s="14" t="s">
        <v>173</v>
      </c>
      <c r="O904" s="1" t="s">
        <v>186</v>
      </c>
      <c r="P904" s="1"/>
      <c r="Q904" s="1" t="n">
        <v>708</v>
      </c>
      <c r="R904" s="1" t="n">
        <v>0</v>
      </c>
      <c r="S904" s="1"/>
      <c r="T904" s="1" t="n">
        <v>0</v>
      </c>
      <c r="U904" s="1" t="n">
        <v>0</v>
      </c>
      <c r="V904" s="1" t="n">
        <v>0</v>
      </c>
      <c r="W904" s="1"/>
      <c r="Y904" s="1" t="n">
        <v>46</v>
      </c>
      <c r="Z904" s="0" t="s">
        <v>175</v>
      </c>
      <c r="AA904" s="0" t="s">
        <v>187</v>
      </c>
      <c r="AC904" s="0" t="s">
        <v>177</v>
      </c>
      <c r="AD904" s="0" t="s">
        <v>1385</v>
      </c>
      <c r="AE904" s="0" t="s">
        <v>2563</v>
      </c>
      <c r="AH904" s="0" t="s">
        <v>180</v>
      </c>
      <c r="AJ904" s="0" t="s">
        <v>437</v>
      </c>
      <c r="AK904" s="0" t="s">
        <v>94</v>
      </c>
      <c r="AL904" s="0" t="s">
        <v>95</v>
      </c>
      <c r="AM904" s="0" t="s">
        <v>96</v>
      </c>
      <c r="AO904" s="0" t="s">
        <v>98</v>
      </c>
      <c r="AQ904" s="0" t="s">
        <v>100</v>
      </c>
    </row>
    <row r="905" ht="36.75">
      <c r="B905" s="0" t="s">
        <v>2564</v>
      </c>
      <c r="C905" s="1" t="n">
        <v>353625</v>
      </c>
      <c r="E905" s="14" t="s">
        <v>1189</v>
      </c>
      <c r="F905" s="14" t="s">
        <v>169</v>
      </c>
      <c r="G905" s="25" t="str">
        <f>HYPERLINK("http://www.ok.ru/profile/567504656775/statuses/155509177878663")</f>
      </c>
      <c r="H905" s="14" t="s">
        <v>170</v>
      </c>
      <c r="I905" s="14" t="s">
        <v>171</v>
      </c>
      <c r="J905" s="14" t="s">
        <v>2565</v>
      </c>
      <c r="K905" s="26" t="str">
        <f>HYPERLINK("http://www.ok.ru/profile/567504656775")</f>
      </c>
      <c r="L905" s="14" t="s">
        <v>173</v>
      </c>
      <c r="O905" s="1" t="s">
        <v>174</v>
      </c>
      <c r="P905" s="1" t="n">
        <v>69</v>
      </c>
      <c r="Q905" s="1" t="n">
        <v>96</v>
      </c>
      <c r="R905" s="1" t="n">
        <v>0</v>
      </c>
      <c r="S905" s="1"/>
      <c r="T905" s="1" t="n">
        <v>1</v>
      </c>
      <c r="U905" s="1" t="n">
        <v>2</v>
      </c>
      <c r="V905" s="1" t="n">
        <v>3</v>
      </c>
      <c r="W905" s="1"/>
      <c r="Y905" s="1" t="n">
        <v>46</v>
      </c>
      <c r="Z905" s="0" t="s">
        <v>175</v>
      </c>
      <c r="AA905" s="0" t="s">
        <v>187</v>
      </c>
      <c r="AC905" s="0" t="s">
        <v>177</v>
      </c>
      <c r="AD905" s="0" t="s">
        <v>1385</v>
      </c>
      <c r="AE905" s="0" t="s">
        <v>2566</v>
      </c>
      <c r="AH905" s="0" t="s">
        <v>180</v>
      </c>
      <c r="AJ905" s="0" t="s">
        <v>437</v>
      </c>
      <c r="AK905" s="0" t="s">
        <v>94</v>
      </c>
      <c r="AL905" s="0" t="s">
        <v>95</v>
      </c>
      <c r="AM905" s="0" t="s">
        <v>96</v>
      </c>
      <c r="AO905" s="0" t="s">
        <v>98</v>
      </c>
      <c r="AQ905" s="0" t="s">
        <v>100</v>
      </c>
    </row>
    <row r="906" ht="1164.75">
      <c r="B906" s="0" t="s">
        <v>2567</v>
      </c>
      <c r="C906" s="1" t="n">
        <v>352633</v>
      </c>
      <c r="E906" s="14" t="s">
        <v>1110</v>
      </c>
      <c r="F906" s="14" t="s">
        <v>184</v>
      </c>
      <c r="G906" s="25" t="str">
        <f>HYPERLINK("http://vk.com/wall486048847_438")</f>
      </c>
      <c r="H906" s="14" t="s">
        <v>170</v>
      </c>
      <c r="I906" s="14" t="s">
        <v>171</v>
      </c>
      <c r="J906" s="14" t="s">
        <v>2568</v>
      </c>
      <c r="K906" s="26" t="str">
        <f>HYPERLINK("http://vk.com/id486048847")</f>
      </c>
      <c r="L906" s="14" t="s">
        <v>173</v>
      </c>
      <c r="O906" s="1" t="s">
        <v>186</v>
      </c>
      <c r="P906" s="1" t="n">
        <v>58</v>
      </c>
      <c r="Q906" s="1" t="n">
        <v>58</v>
      </c>
      <c r="R906" s="1" t="n">
        <v>0</v>
      </c>
      <c r="S906" s="1"/>
      <c r="T906" s="1" t="n">
        <v>0</v>
      </c>
      <c r="U906" s="1" t="n">
        <v>0</v>
      </c>
      <c r="V906" s="1" t="n">
        <v>0</v>
      </c>
      <c r="W906" s="1"/>
      <c r="Y906" s="1" t="n">
        <v>4</v>
      </c>
      <c r="Z906" s="0" t="s">
        <v>175</v>
      </c>
      <c r="AA906" s="0" t="s">
        <v>187</v>
      </c>
      <c r="AH906" s="0" t="s">
        <v>180</v>
      </c>
      <c r="AJ906" s="0" t="s">
        <v>437</v>
      </c>
      <c r="AK906" s="0" t="s">
        <v>94</v>
      </c>
      <c r="AL906" s="0" t="s">
        <v>95</v>
      </c>
      <c r="AM906" s="0" t="s">
        <v>96</v>
      </c>
      <c r="AX906" s="0" t="s">
        <v>107</v>
      </c>
    </row>
    <row r="907" ht="36.75">
      <c r="B907" s="0" t="s">
        <v>2569</v>
      </c>
      <c r="C907" s="1" t="n">
        <v>352635</v>
      </c>
      <c r="E907" s="14" t="s">
        <v>2570</v>
      </c>
      <c r="F907" s="14" t="s">
        <v>184</v>
      </c>
      <c r="G907" s="25" t="str">
        <f>HYPERLINK("http://vk.com/wall25851840_11499")</f>
      </c>
      <c r="H907" s="14" t="s">
        <v>170</v>
      </c>
      <c r="I907" s="14" t="s">
        <v>171</v>
      </c>
      <c r="J907" s="14" t="s">
        <v>2571</v>
      </c>
      <c r="K907" s="26" t="str">
        <f>HYPERLINK("http://vk.com/id25851840")</f>
      </c>
      <c r="L907" s="14" t="s">
        <v>173</v>
      </c>
      <c r="O907" s="1" t="s">
        <v>174</v>
      </c>
      <c r="P907" s="1" t="n">
        <v>35</v>
      </c>
      <c r="Q907" s="1" t="n">
        <v>142</v>
      </c>
      <c r="R907" s="1" t="n">
        <v>0</v>
      </c>
      <c r="S907" s="1"/>
      <c r="T907" s="1" t="n">
        <v>0</v>
      </c>
      <c r="U907" s="1" t="n">
        <v>0</v>
      </c>
      <c r="V907" s="1" t="n">
        <v>0</v>
      </c>
      <c r="W907" s="1"/>
      <c r="Y907" s="1" t="n">
        <v>1</v>
      </c>
      <c r="Z907" s="0" t="s">
        <v>175</v>
      </c>
      <c r="AA907" s="0" t="s">
        <v>176</v>
      </c>
      <c r="AC907" s="0" t="s">
        <v>177</v>
      </c>
      <c r="AD907" s="0" t="s">
        <v>760</v>
      </c>
      <c r="AE907" s="0" t="s">
        <v>761</v>
      </c>
      <c r="AH907" s="0" t="s">
        <v>180</v>
      </c>
      <c r="AJ907" s="0" t="s">
        <v>437</v>
      </c>
      <c r="AK907" s="0" t="s">
        <v>94</v>
      </c>
      <c r="AL907" s="0" t="s">
        <v>95</v>
      </c>
      <c r="AM907" s="0" t="s">
        <v>96</v>
      </c>
      <c r="AO907" s="0" t="s">
        <v>98</v>
      </c>
      <c r="AQ907" s="0" t="s">
        <v>100</v>
      </c>
    </row>
    <row r="908" ht="24.75">
      <c r="B908" s="0" t="s">
        <v>2572</v>
      </c>
      <c r="C908" s="1" t="n">
        <v>352764</v>
      </c>
      <c r="E908" s="14" t="s">
        <v>1356</v>
      </c>
      <c r="F908" s="14" t="s">
        <v>169</v>
      </c>
      <c r="G908" s="25" t="str">
        <f>HYPERLINK("http://www.ok.ru/profile/562841679795/statuses/156118534843827")</f>
      </c>
      <c r="H908" s="14" t="s">
        <v>170</v>
      </c>
      <c r="I908" s="14" t="s">
        <v>171</v>
      </c>
      <c r="J908" s="14" t="s">
        <v>2573</v>
      </c>
      <c r="K908" s="26" t="str">
        <f>HYPERLINK("http://www.ok.ru/profile/562841679795")</f>
      </c>
      <c r="L908" s="14" t="s">
        <v>173</v>
      </c>
      <c r="O908" s="1" t="s">
        <v>186</v>
      </c>
      <c r="P908" s="1" t="n">
        <v>56</v>
      </c>
      <c r="Q908" s="1" t="n">
        <v>248</v>
      </c>
      <c r="R908" s="1" t="n">
        <v>0</v>
      </c>
      <c r="S908" s="1"/>
      <c r="T908" s="1" t="n">
        <v>0</v>
      </c>
      <c r="U908" s="1" t="n">
        <v>1</v>
      </c>
      <c r="V908" s="1" t="n">
        <v>1</v>
      </c>
      <c r="W908" s="1"/>
      <c r="Y908" s="1" t="n">
        <v>93</v>
      </c>
      <c r="Z908" s="0" t="s">
        <v>175</v>
      </c>
      <c r="AA908" s="0" t="s">
        <v>187</v>
      </c>
      <c r="AC908" s="0" t="s">
        <v>177</v>
      </c>
      <c r="AD908" s="0" t="s">
        <v>278</v>
      </c>
      <c r="AE908" s="0" t="s">
        <v>279</v>
      </c>
      <c r="AH908" s="0" t="s">
        <v>180</v>
      </c>
      <c r="AJ908" s="0" t="s">
        <v>437</v>
      </c>
      <c r="AK908" s="0" t="s">
        <v>94</v>
      </c>
      <c r="AL908" s="0" t="s">
        <v>95</v>
      </c>
      <c r="AM908" s="0" t="s">
        <v>96</v>
      </c>
      <c r="AU908" s="0" t="s">
        <v>104</v>
      </c>
      <c r="AV908" s="0" t="s">
        <v>105</v>
      </c>
    </row>
    <row r="909" ht="24.75">
      <c r="B909" s="0" t="s">
        <v>2574</v>
      </c>
      <c r="C909" s="1" t="n">
        <v>352912</v>
      </c>
      <c r="E909" s="14" t="s">
        <v>554</v>
      </c>
      <c r="F909" s="14" t="s">
        <v>169</v>
      </c>
      <c r="G909" s="25" t="str">
        <f>HYPERLINK("http://www.ok.ru/profile/572066912490/statuses/156306792968426")</f>
      </c>
      <c r="H909" s="14" t="s">
        <v>170</v>
      </c>
      <c r="I909" s="14" t="s">
        <v>171</v>
      </c>
      <c r="J909" s="14" t="s">
        <v>2575</v>
      </c>
      <c r="K909" s="26" t="str">
        <f>HYPERLINK("http://www.ok.ru/profile/572066912490")</f>
      </c>
      <c r="L909" s="14" t="s">
        <v>173</v>
      </c>
      <c r="O909" s="1" t="s">
        <v>174</v>
      </c>
      <c r="P909" s="1" t="n">
        <v>56</v>
      </c>
      <c r="Q909" s="1" t="n">
        <v>446</v>
      </c>
      <c r="R909" s="1" t="n">
        <v>0</v>
      </c>
      <c r="S909" s="1"/>
      <c r="T909" s="1" t="n">
        <v>1</v>
      </c>
      <c r="U909" s="1" t="n">
        <v>3</v>
      </c>
      <c r="V909" s="1" t="n">
        <v>4</v>
      </c>
      <c r="W909" s="1"/>
      <c r="Y909" s="1" t="n">
        <v>59</v>
      </c>
      <c r="Z909" s="0" t="s">
        <v>175</v>
      </c>
      <c r="AA909" s="0" t="s">
        <v>176</v>
      </c>
      <c r="AC909" s="0" t="s">
        <v>177</v>
      </c>
      <c r="AD909" s="0" t="s">
        <v>341</v>
      </c>
      <c r="AE909" s="0" t="s">
        <v>2366</v>
      </c>
      <c r="AH909" s="0" t="s">
        <v>180</v>
      </c>
      <c r="AJ909" s="0" t="s">
        <v>437</v>
      </c>
      <c r="AK909" s="0" t="s">
        <v>94</v>
      </c>
      <c r="AL909" s="0" t="s">
        <v>95</v>
      </c>
      <c r="AM909" s="0" t="s">
        <v>96</v>
      </c>
      <c r="AO909" s="0" t="s">
        <v>98</v>
      </c>
      <c r="AQ909" s="0" t="s">
        <v>100</v>
      </c>
    </row>
    <row r="910">
      <c r="B910" s="0" t="s">
        <v>2574</v>
      </c>
      <c r="C910" s="1" t="n">
        <v>352605</v>
      </c>
      <c r="E910" s="14" t="s">
        <v>2576</v>
      </c>
      <c r="F910" s="14" t="s">
        <v>184</v>
      </c>
      <c r="G910" s="25" t="str">
        <f>HYPERLINK("http://vk.com/wall-106087149_102995?reply=103066")</f>
      </c>
      <c r="H910" s="14" t="s">
        <v>170</v>
      </c>
      <c r="I910" s="14" t="s">
        <v>231</v>
      </c>
      <c r="J910" s="14" t="s">
        <v>2577</v>
      </c>
      <c r="K910" s="26" t="str">
        <f>HYPERLINK("http://vk.com/id600106171")</f>
      </c>
      <c r="L910" s="14" t="s">
        <v>173</v>
      </c>
      <c r="M910" s="14" t="s">
        <v>2578</v>
      </c>
      <c r="N910" s="25" t="str">
        <f>HYPERLINK("http://vk.com/club106087149")</f>
      </c>
      <c r="O910" s="1" t="s">
        <v>186</v>
      </c>
      <c r="P910" s="1" t="n">
        <v>66</v>
      </c>
      <c r="Q910" s="1" t="n">
        <v>5263</v>
      </c>
      <c r="R910" s="1" t="n">
        <v>0</v>
      </c>
      <c r="S910" s="1"/>
      <c r="T910" s="1" t="n">
        <v>0</v>
      </c>
      <c r="U910" s="1" t="n">
        <v>0</v>
      </c>
      <c r="V910" s="1" t="n">
        <v>0</v>
      </c>
      <c r="W910" s="1"/>
      <c r="Y910" s="1" t="n">
        <v>1</v>
      </c>
      <c r="Z910" s="0" t="s">
        <v>175</v>
      </c>
      <c r="AA910" s="0" t="s">
        <v>187</v>
      </c>
      <c r="AH910" s="0" t="s">
        <v>180</v>
      </c>
      <c r="AI910" s="0" t="s">
        <v>92</v>
      </c>
      <c r="AJ910" s="0" t="s">
        <v>437</v>
      </c>
      <c r="AK910" s="0" t="s">
        <v>94</v>
      </c>
      <c r="AL910" s="0" t="s">
        <v>95</v>
      </c>
      <c r="AR910" s="0" t="s">
        <v>101</v>
      </c>
      <c r="BU910" s="0" t="s">
        <v>130</v>
      </c>
      <c r="BV910" s="0" t="s">
        <v>131</v>
      </c>
    </row>
    <row r="911" ht="36.75">
      <c r="B911" s="0" t="s">
        <v>2574</v>
      </c>
      <c r="C911" s="1" t="n">
        <v>352711</v>
      </c>
      <c r="E911" s="14" t="s">
        <v>1189</v>
      </c>
      <c r="F911" s="14" t="s">
        <v>169</v>
      </c>
      <c r="G911" s="25" t="str">
        <f>HYPERLINK("http://www.ok.ru/profile/544404440311/statuses/156143201879031")</f>
      </c>
      <c r="H911" s="14" t="s">
        <v>170</v>
      </c>
      <c r="I911" s="14" t="s">
        <v>171</v>
      </c>
      <c r="J911" s="14" t="s">
        <v>2579</v>
      </c>
      <c r="K911" s="26" t="str">
        <f>HYPERLINK("http://www.ok.ru/profile/544404440311")</f>
      </c>
      <c r="L911" s="14" t="s">
        <v>173</v>
      </c>
      <c r="O911" s="1" t="s">
        <v>186</v>
      </c>
      <c r="P911" s="1" t="n">
        <v>66</v>
      </c>
      <c r="Q911" s="1" t="n">
        <v>417</v>
      </c>
      <c r="R911" s="1" t="n">
        <v>0</v>
      </c>
      <c r="S911" s="1"/>
      <c r="T911" s="1" t="n">
        <v>1</v>
      </c>
      <c r="U911" s="1" t="n">
        <v>0</v>
      </c>
      <c r="V911" s="1" t="n">
        <v>1</v>
      </c>
      <c r="W911" s="1"/>
      <c r="Y911" s="1" t="n">
        <v>46</v>
      </c>
      <c r="Z911" s="0" t="s">
        <v>175</v>
      </c>
      <c r="AA911" s="0" t="s">
        <v>187</v>
      </c>
      <c r="AC911" s="0" t="s">
        <v>177</v>
      </c>
      <c r="AD911" s="0" t="s">
        <v>246</v>
      </c>
      <c r="AE911" s="0" t="s">
        <v>913</v>
      </c>
      <c r="AH911" s="0" t="s">
        <v>180</v>
      </c>
      <c r="AJ911" s="0" t="s">
        <v>437</v>
      </c>
      <c r="AK911" s="0" t="s">
        <v>94</v>
      </c>
      <c r="AL911" s="0" t="s">
        <v>95</v>
      </c>
      <c r="AM911" s="0" t="s">
        <v>96</v>
      </c>
      <c r="AO911" s="0" t="s">
        <v>98</v>
      </c>
      <c r="AQ911" s="0" t="s">
        <v>100</v>
      </c>
    </row>
    <row r="912" ht="24.75">
      <c r="B912" s="0" t="s">
        <v>2580</v>
      </c>
      <c r="C912" s="1" t="n">
        <v>352784</v>
      </c>
      <c r="E912" s="14" t="s">
        <v>440</v>
      </c>
      <c r="F912" s="14" t="s">
        <v>169</v>
      </c>
      <c r="G912" s="25" t="str">
        <f>HYPERLINK("http://www.ok.ru/profile/561287899351/statuses/155748908400087")</f>
      </c>
      <c r="H912" s="14" t="s">
        <v>170</v>
      </c>
      <c r="I912" s="14" t="s">
        <v>171</v>
      </c>
      <c r="J912" s="14" t="s">
        <v>2581</v>
      </c>
      <c r="K912" s="26" t="str">
        <f>HYPERLINK("http://www.ok.ru/profile/561287899351")</f>
      </c>
      <c r="L912" s="14" t="s">
        <v>173</v>
      </c>
      <c r="O912" s="1" t="s">
        <v>186</v>
      </c>
      <c r="P912" s="1" t="n">
        <v>36</v>
      </c>
      <c r="Q912" s="1" t="n">
        <v>566</v>
      </c>
      <c r="R912" s="1" t="n">
        <v>0</v>
      </c>
      <c r="S912" s="1"/>
      <c r="T912" s="1" t="n">
        <v>1</v>
      </c>
      <c r="U912" s="1" t="n">
        <v>3</v>
      </c>
      <c r="V912" s="1" t="n">
        <v>4</v>
      </c>
      <c r="W912" s="1"/>
      <c r="Y912" s="1" t="n">
        <v>17</v>
      </c>
      <c r="Z912" s="0" t="s">
        <v>175</v>
      </c>
      <c r="AA912" s="0" t="s">
        <v>176</v>
      </c>
      <c r="AC912" s="0" t="s">
        <v>177</v>
      </c>
      <c r="AD912" s="0" t="s">
        <v>513</v>
      </c>
      <c r="AE912" s="0" t="s">
        <v>799</v>
      </c>
      <c r="AH912" s="0" t="s">
        <v>180</v>
      </c>
      <c r="AJ912" s="0" t="s">
        <v>437</v>
      </c>
      <c r="AK912" s="0" t="s">
        <v>94</v>
      </c>
      <c r="AL912" s="0" t="s">
        <v>95</v>
      </c>
      <c r="AM912" s="0" t="s">
        <v>96</v>
      </c>
      <c r="AO912" s="0" t="s">
        <v>98</v>
      </c>
      <c r="AQ912" s="0" t="s">
        <v>100</v>
      </c>
    </row>
    <row r="913" ht="1212.75">
      <c r="B913" s="0" t="s">
        <v>2582</v>
      </c>
      <c r="C913" s="1" t="n">
        <v>352631</v>
      </c>
      <c r="E913" s="14" t="s">
        <v>683</v>
      </c>
      <c r="F913" s="14" t="s">
        <v>184</v>
      </c>
      <c r="G913" s="25" t="str">
        <f>HYPERLINK("http://vk.com/wall591107361_1707")</f>
      </c>
      <c r="H913" s="14" t="s">
        <v>170</v>
      </c>
      <c r="I913" s="14" t="s">
        <v>171</v>
      </c>
      <c r="J913" s="14" t="s">
        <v>2583</v>
      </c>
      <c r="K913" s="26" t="str">
        <f>HYPERLINK("http://vk.com/id591107361")</f>
      </c>
      <c r="L913" s="14" t="s">
        <v>173</v>
      </c>
      <c r="O913" s="1" t="s">
        <v>186</v>
      </c>
      <c r="P913" s="1" t="n">
        <v>46</v>
      </c>
      <c r="Q913" s="1" t="n">
        <v>99</v>
      </c>
      <c r="R913" s="1" t="n">
        <v>0</v>
      </c>
      <c r="S913" s="1"/>
      <c r="T913" s="1" t="n">
        <v>0</v>
      </c>
      <c r="U913" s="1" t="n">
        <v>0</v>
      </c>
      <c r="V913" s="1" t="n">
        <v>0</v>
      </c>
      <c r="W913" s="1"/>
      <c r="Y913" s="1" t="n">
        <v>22</v>
      </c>
      <c r="Z913" s="0" t="s">
        <v>175</v>
      </c>
      <c r="AA913" s="0" t="s">
        <v>187</v>
      </c>
      <c r="AC913" s="0" t="s">
        <v>177</v>
      </c>
      <c r="AD913" s="0" t="s">
        <v>332</v>
      </c>
      <c r="AE913" s="0" t="s">
        <v>332</v>
      </c>
      <c r="AH913" s="0" t="s">
        <v>180</v>
      </c>
      <c r="AJ913" s="0" t="s">
        <v>437</v>
      </c>
      <c r="AK913" s="0" t="s">
        <v>94</v>
      </c>
      <c r="AL913" s="0" t="s">
        <v>95</v>
      </c>
      <c r="AM913" s="0" t="s">
        <v>96</v>
      </c>
      <c r="AU913" s="0" t="s">
        <v>104</v>
      </c>
      <c r="AV913" s="0" t="s">
        <v>105</v>
      </c>
      <c r="AX913" s="0" t="s">
        <v>107</v>
      </c>
    </row>
    <row r="914" ht="720.75">
      <c r="B914" s="0" t="s">
        <v>2582</v>
      </c>
      <c r="C914" s="1" t="n">
        <v>353074</v>
      </c>
      <c r="E914" s="14" t="s">
        <v>1811</v>
      </c>
      <c r="F914" s="14" t="s">
        <v>169</v>
      </c>
      <c r="G914" s="25" t="str">
        <f>HYPERLINK("http://www.ok.ru/profile/509742655209/statuses/156232721137129")</f>
      </c>
      <c r="H914" s="14" t="s">
        <v>170</v>
      </c>
      <c r="I914" s="14" t="s">
        <v>171</v>
      </c>
      <c r="J914" s="14" t="s">
        <v>2584</v>
      </c>
      <c r="K914" s="26" t="str">
        <f>HYPERLINK("http://www.ok.ru/profile/509742655209")</f>
      </c>
      <c r="L914" s="14" t="s">
        <v>173</v>
      </c>
      <c r="O914" s="1" t="s">
        <v>186</v>
      </c>
      <c r="P914" s="1" t="n">
        <v>63</v>
      </c>
      <c r="Q914" s="1" t="n">
        <v>173</v>
      </c>
      <c r="R914" s="1" t="n">
        <v>0</v>
      </c>
      <c r="S914" s="1"/>
      <c r="T914" s="1" t="n">
        <v>0</v>
      </c>
      <c r="U914" s="1" t="n">
        <v>0</v>
      </c>
      <c r="V914" s="1" t="n">
        <v>0</v>
      </c>
      <c r="W914" s="1"/>
      <c r="Y914" s="1" t="n">
        <v>13</v>
      </c>
      <c r="Z914" s="0" t="s">
        <v>175</v>
      </c>
      <c r="AA914" s="0" t="s">
        <v>176</v>
      </c>
      <c r="AC914" s="0" t="s">
        <v>177</v>
      </c>
      <c r="AD914" s="0" t="s">
        <v>1385</v>
      </c>
      <c r="AE914" s="0" t="s">
        <v>1386</v>
      </c>
      <c r="AH914" s="0" t="s">
        <v>180</v>
      </c>
      <c r="AJ914" s="0" t="s">
        <v>437</v>
      </c>
      <c r="AK914" s="0" t="s">
        <v>94</v>
      </c>
      <c r="AL914" s="0" t="s">
        <v>95</v>
      </c>
      <c r="AR914" s="0" t="s">
        <v>101</v>
      </c>
      <c r="BA914" s="0" t="s">
        <v>110</v>
      </c>
      <c r="BF914" s="0" t="s">
        <v>115</v>
      </c>
    </row>
    <row r="915" ht="24.75">
      <c r="B915" s="0" t="s">
        <v>2582</v>
      </c>
      <c r="C915" s="1" t="n">
        <v>353104</v>
      </c>
      <c r="E915" s="14" t="s">
        <v>554</v>
      </c>
      <c r="F915" s="14" t="s">
        <v>169</v>
      </c>
      <c r="G915" s="25" t="str">
        <f>HYPERLINK("http://www.ok.ru/profile/476031760178/statuses/157284759014706")</f>
      </c>
      <c r="H915" s="14" t="s">
        <v>170</v>
      </c>
      <c r="I915" s="14" t="s">
        <v>171</v>
      </c>
      <c r="J915" s="14" t="s">
        <v>2585</v>
      </c>
      <c r="K915" s="26" t="str">
        <f>HYPERLINK("http://www.ok.ru/profile/476031760178")</f>
      </c>
      <c r="L915" s="14" t="s">
        <v>173</v>
      </c>
      <c r="O915" s="1" t="s">
        <v>186</v>
      </c>
      <c r="P915" s="1" t="n">
        <v>63</v>
      </c>
      <c r="Q915" s="1" t="n">
        <v>253</v>
      </c>
      <c r="R915" s="1" t="n">
        <v>0</v>
      </c>
      <c r="S915" s="1"/>
      <c r="T915" s="1" t="n">
        <v>2</v>
      </c>
      <c r="U915" s="1" t="n">
        <v>6</v>
      </c>
      <c r="V915" s="1" t="n">
        <v>8</v>
      </c>
      <c r="W915" s="1"/>
      <c r="Y915" s="1" t="n">
        <v>59</v>
      </c>
      <c r="Z915" s="0" t="s">
        <v>175</v>
      </c>
      <c r="AA915" s="0" t="s">
        <v>176</v>
      </c>
      <c r="AC915" s="0" t="s">
        <v>177</v>
      </c>
      <c r="AD915" s="0" t="s">
        <v>1169</v>
      </c>
      <c r="AE915" s="0" t="s">
        <v>1170</v>
      </c>
      <c r="AH915" s="0" t="s">
        <v>180</v>
      </c>
      <c r="AJ915" s="0" t="s">
        <v>437</v>
      </c>
      <c r="AK915" s="0" t="s">
        <v>94</v>
      </c>
      <c r="AL915" s="0" t="s">
        <v>95</v>
      </c>
      <c r="AM915" s="0" t="s">
        <v>96</v>
      </c>
      <c r="AO915" s="0" t="s">
        <v>98</v>
      </c>
      <c r="AQ915" s="0" t="s">
        <v>100</v>
      </c>
    </row>
    <row r="916" ht="36.75">
      <c r="B916" s="0" t="s">
        <v>2586</v>
      </c>
      <c r="C916" s="1" t="n">
        <v>352808</v>
      </c>
      <c r="E916" s="14" t="s">
        <v>1189</v>
      </c>
      <c r="F916" s="14" t="s">
        <v>169</v>
      </c>
      <c r="G916" s="25" t="str">
        <f>HYPERLINK("http://www.ok.ru/profile/524052663107/statuses/154890819904323")</f>
      </c>
      <c r="H916" s="14" t="s">
        <v>170</v>
      </c>
      <c r="I916" s="14" t="s">
        <v>171</v>
      </c>
      <c r="J916" s="14" t="s">
        <v>2587</v>
      </c>
      <c r="K916" s="26" t="str">
        <f>HYPERLINK("http://www.ok.ru/profile/524052663107")</f>
      </c>
      <c r="L916" s="14" t="s">
        <v>173</v>
      </c>
      <c r="O916" s="1" t="s">
        <v>186</v>
      </c>
      <c r="P916" s="1" t="n">
        <v>76</v>
      </c>
      <c r="Q916" s="1" t="n">
        <v>508</v>
      </c>
      <c r="R916" s="1" t="n">
        <v>0</v>
      </c>
      <c r="S916" s="1"/>
      <c r="T916" s="1" t="n">
        <v>1</v>
      </c>
      <c r="U916" s="1" t="n">
        <v>2</v>
      </c>
      <c r="V916" s="1" t="n">
        <v>3</v>
      </c>
      <c r="W916" s="1"/>
      <c r="Y916" s="1" t="n">
        <v>46</v>
      </c>
      <c r="Z916" s="0" t="s">
        <v>175</v>
      </c>
      <c r="AA916" s="0" t="s">
        <v>187</v>
      </c>
      <c r="AC916" s="0" t="s">
        <v>177</v>
      </c>
      <c r="AD916" s="0" t="s">
        <v>341</v>
      </c>
      <c r="AE916" s="0" t="s">
        <v>2588</v>
      </c>
      <c r="AH916" s="0" t="s">
        <v>180</v>
      </c>
      <c r="AJ916" s="0" t="s">
        <v>437</v>
      </c>
      <c r="AK916" s="0" t="s">
        <v>94</v>
      </c>
      <c r="AL916" s="0" t="s">
        <v>95</v>
      </c>
      <c r="AM916" s="0" t="s">
        <v>96</v>
      </c>
      <c r="AO916" s="0" t="s">
        <v>98</v>
      </c>
      <c r="AQ916" s="0" t="s">
        <v>100</v>
      </c>
    </row>
    <row r="917" ht="24.75">
      <c r="B917" s="0" t="s">
        <v>2586</v>
      </c>
      <c r="C917" s="1" t="n">
        <v>352825</v>
      </c>
      <c r="E917" s="14" t="s">
        <v>1102</v>
      </c>
      <c r="F917" s="14" t="s">
        <v>169</v>
      </c>
      <c r="G917" s="25" t="str">
        <f>HYPERLINK("http://www.ok.ru/profile/227504150050/statuses/154839717122850")</f>
      </c>
      <c r="H917" s="14" t="s">
        <v>170</v>
      </c>
      <c r="I917" s="14" t="s">
        <v>171</v>
      </c>
      <c r="J917" s="14" t="s">
        <v>2589</v>
      </c>
      <c r="K917" s="26" t="str">
        <f>HYPERLINK("http://www.ok.ru/profile/227504150050")</f>
      </c>
      <c r="L917" s="14" t="s">
        <v>173</v>
      </c>
      <c r="O917" s="1" t="s">
        <v>186</v>
      </c>
      <c r="P917" s="1" t="n">
        <v>64</v>
      </c>
      <c r="Q917" s="1" t="n">
        <v>494</v>
      </c>
      <c r="R917" s="1" t="n">
        <v>0</v>
      </c>
      <c r="S917" s="1"/>
      <c r="T917" s="1" t="n">
        <v>0</v>
      </c>
      <c r="U917" s="1" t="n">
        <v>3</v>
      </c>
      <c r="V917" s="1" t="n">
        <v>3</v>
      </c>
      <c r="W917" s="1"/>
      <c r="Y917" s="1" t="n">
        <v>93</v>
      </c>
      <c r="Z917" s="0" t="s">
        <v>175</v>
      </c>
      <c r="AA917" s="0" t="s">
        <v>187</v>
      </c>
      <c r="AC917" s="0" t="s">
        <v>177</v>
      </c>
      <c r="AD917" s="0" t="s">
        <v>760</v>
      </c>
      <c r="AE917" s="0" t="s">
        <v>761</v>
      </c>
      <c r="AH917" s="0" t="s">
        <v>180</v>
      </c>
      <c r="AJ917" s="0" t="s">
        <v>437</v>
      </c>
      <c r="AK917" s="0" t="s">
        <v>94</v>
      </c>
      <c r="AL917" s="0" t="s">
        <v>95</v>
      </c>
      <c r="AM917" s="0" t="s">
        <v>96</v>
      </c>
      <c r="AU917" s="0" t="s">
        <v>104</v>
      </c>
      <c r="AV917" s="0" t="s">
        <v>105</v>
      </c>
    </row>
    <row r="918">
      <c r="B918" s="0" t="s">
        <v>2586</v>
      </c>
      <c r="C918" s="1" t="n">
        <v>352909</v>
      </c>
      <c r="E918" s="14" t="s">
        <v>1447</v>
      </c>
      <c r="F918" s="14" t="s">
        <v>169</v>
      </c>
      <c r="G918" s="25" t="str">
        <f>HYPERLINK("http://www.ok.ru/profile/585104782105/statuses/156520503087897")</f>
      </c>
      <c r="H918" s="14" t="s">
        <v>170</v>
      </c>
      <c r="I918" s="14" t="s">
        <v>171</v>
      </c>
      <c r="J918" s="14" t="s">
        <v>2590</v>
      </c>
      <c r="K918" s="26" t="str">
        <f>HYPERLINK("http://www.ok.ru/profile/585104782105")</f>
      </c>
      <c r="L918" s="14" t="s">
        <v>173</v>
      </c>
      <c r="O918" s="1" t="s">
        <v>186</v>
      </c>
      <c r="P918" s="1" t="n">
        <v>59</v>
      </c>
      <c r="Q918" s="1" t="n">
        <v>121</v>
      </c>
      <c r="R918" s="1" t="n">
        <v>0</v>
      </c>
      <c r="S918" s="1"/>
      <c r="T918" s="1" t="n">
        <v>0</v>
      </c>
      <c r="U918" s="1" t="n">
        <v>1</v>
      </c>
      <c r="V918" s="1" t="n">
        <v>1</v>
      </c>
      <c r="W918" s="1"/>
      <c r="Y918" s="1" t="n">
        <v>9</v>
      </c>
      <c r="Z918" s="0" t="s">
        <v>175</v>
      </c>
      <c r="AA918" s="0" t="s">
        <v>187</v>
      </c>
      <c r="AC918" s="0" t="s">
        <v>177</v>
      </c>
      <c r="AD918" s="0" t="s">
        <v>2591</v>
      </c>
      <c r="AE918" s="0" t="s">
        <v>2592</v>
      </c>
      <c r="AH918" s="0" t="s">
        <v>180</v>
      </c>
      <c r="AJ918" s="0" t="s">
        <v>437</v>
      </c>
      <c r="AK918" s="0" t="s">
        <v>94</v>
      </c>
      <c r="AL918" s="0" t="s">
        <v>95</v>
      </c>
      <c r="AM918" s="0" t="s">
        <v>96</v>
      </c>
      <c r="AU918" s="0" t="s">
        <v>104</v>
      </c>
      <c r="AV918" s="0" t="s">
        <v>105</v>
      </c>
    </row>
    <row r="919" ht="24.75">
      <c r="B919" s="0" t="s">
        <v>2593</v>
      </c>
      <c r="C919" s="1" t="n">
        <v>352917</v>
      </c>
      <c r="E919" s="14" t="s">
        <v>554</v>
      </c>
      <c r="F919" s="14" t="s">
        <v>169</v>
      </c>
      <c r="G919" s="25" t="str">
        <f>HYPERLINK("http://www.ok.ru/profile/556773160880/statuses/156233526554032")</f>
      </c>
      <c r="H919" s="14" t="s">
        <v>170</v>
      </c>
      <c r="I919" s="14" t="s">
        <v>171</v>
      </c>
      <c r="J919" s="14" t="s">
        <v>2594</v>
      </c>
      <c r="K919" s="26" t="str">
        <f>HYPERLINK("http://www.ok.ru/profile/556773160880")</f>
      </c>
      <c r="L919" s="14" t="s">
        <v>173</v>
      </c>
      <c r="O919" s="1" t="s">
        <v>186</v>
      </c>
      <c r="P919" s="1" t="n">
        <v>53</v>
      </c>
      <c r="Q919" s="1" t="n">
        <v>85</v>
      </c>
      <c r="R919" s="1" t="n">
        <v>0</v>
      </c>
      <c r="S919" s="1"/>
      <c r="T919" s="1" t="n">
        <v>0</v>
      </c>
      <c r="U919" s="1" t="n">
        <v>1</v>
      </c>
      <c r="V919" s="1" t="n">
        <v>1</v>
      </c>
      <c r="W919" s="1"/>
      <c r="Y919" s="1" t="n">
        <v>59</v>
      </c>
      <c r="Z919" s="0" t="s">
        <v>175</v>
      </c>
      <c r="AA919" s="0" t="s">
        <v>176</v>
      </c>
      <c r="AC919" s="0" t="s">
        <v>177</v>
      </c>
      <c r="AD919" s="0" t="s">
        <v>1577</v>
      </c>
      <c r="AE919" s="0" t="s">
        <v>2595</v>
      </c>
      <c r="AH919" s="0" t="s">
        <v>180</v>
      </c>
      <c r="AJ919" s="0" t="s">
        <v>437</v>
      </c>
      <c r="AK919" s="0" t="s">
        <v>94</v>
      </c>
      <c r="AL919" s="0" t="s">
        <v>95</v>
      </c>
      <c r="AM919" s="0" t="s">
        <v>96</v>
      </c>
      <c r="AO919" s="0" t="s">
        <v>98</v>
      </c>
      <c r="AQ919" s="0" t="s">
        <v>100</v>
      </c>
    </row>
    <row r="920" ht="24.75">
      <c r="B920" s="0" t="s">
        <v>2596</v>
      </c>
      <c r="C920" s="1" t="n">
        <v>352614</v>
      </c>
      <c r="E920" s="14" t="s">
        <v>2597</v>
      </c>
      <c r="F920" s="14" t="s">
        <v>184</v>
      </c>
      <c r="G920" s="25" t="str">
        <f>HYPERLINK("http://vk.com/wall75092533_2714")</f>
      </c>
      <c r="H920" s="14" t="s">
        <v>170</v>
      </c>
      <c r="I920" s="14" t="s">
        <v>171</v>
      </c>
      <c r="J920" s="14" t="s">
        <v>2598</v>
      </c>
      <c r="K920" s="26" t="str">
        <f>HYPERLINK("http://vk.com/id75092533")</f>
      </c>
      <c r="L920" s="14" t="s">
        <v>173</v>
      </c>
      <c r="O920" s="1" t="s">
        <v>186</v>
      </c>
      <c r="P920" s="1"/>
      <c r="Q920" s="1" t="n">
        <v>34</v>
      </c>
      <c r="R920" s="1" t="n">
        <v>0</v>
      </c>
      <c r="S920" s="1"/>
      <c r="T920" s="1" t="n">
        <v>0</v>
      </c>
      <c r="U920" s="1" t="n">
        <v>0</v>
      </c>
      <c r="V920" s="1" t="n">
        <v>0</v>
      </c>
      <c r="W920" s="1"/>
      <c r="Y920" s="1" t="n">
        <v>1</v>
      </c>
      <c r="Z920" s="0" t="s">
        <v>175</v>
      </c>
      <c r="AA920" s="0" t="s">
        <v>187</v>
      </c>
      <c r="AC920" s="0" t="s">
        <v>177</v>
      </c>
      <c r="AD920" s="0" t="s">
        <v>240</v>
      </c>
      <c r="AE920" s="0" t="s">
        <v>240</v>
      </c>
      <c r="AH920" s="0" t="s">
        <v>180</v>
      </c>
      <c r="AJ920" s="0" t="s">
        <v>437</v>
      </c>
      <c r="AK920" s="0" t="s">
        <v>94</v>
      </c>
      <c r="AL920" s="0" t="s">
        <v>95</v>
      </c>
      <c r="AM920" s="0" t="s">
        <v>96</v>
      </c>
      <c r="AU920" s="0" t="s">
        <v>104</v>
      </c>
      <c r="AV920" s="0" t="s">
        <v>105</v>
      </c>
    </row>
    <row r="921" ht="24.75">
      <c r="B921" s="0" t="s">
        <v>2599</v>
      </c>
      <c r="C921" s="1" t="n">
        <v>352728</v>
      </c>
      <c r="E921" s="14" t="s">
        <v>554</v>
      </c>
      <c r="F921" s="14" t="s">
        <v>169</v>
      </c>
      <c r="G921" s="25" t="str">
        <f>HYPERLINK("http://www.ok.ru/profile/519862047238/statuses/155083715250182")</f>
      </c>
      <c r="H921" s="14" t="s">
        <v>170</v>
      </c>
      <c r="I921" s="14" t="s">
        <v>171</v>
      </c>
      <c r="J921" s="14" t="s">
        <v>2600</v>
      </c>
      <c r="K921" s="26" t="str">
        <f>HYPERLINK("http://www.ok.ru/profile/519862047238")</f>
      </c>
      <c r="L921" s="14" t="s">
        <v>173</v>
      </c>
      <c r="O921" s="1" t="s">
        <v>174</v>
      </c>
      <c r="P921" s="1" t="n">
        <v>75</v>
      </c>
      <c r="Q921" s="1" t="n">
        <v>349</v>
      </c>
      <c r="R921" s="1" t="n">
        <v>0</v>
      </c>
      <c r="S921" s="1"/>
      <c r="T921" s="1" t="n">
        <v>1</v>
      </c>
      <c r="U921" s="1" t="n">
        <v>1</v>
      </c>
      <c r="V921" s="1" t="n">
        <v>2</v>
      </c>
      <c r="W921" s="1"/>
      <c r="Y921" s="1" t="n">
        <v>59</v>
      </c>
      <c r="Z921" s="0" t="s">
        <v>175</v>
      </c>
      <c r="AA921" s="0" t="s">
        <v>176</v>
      </c>
      <c r="AC921" s="0" t="s">
        <v>177</v>
      </c>
      <c r="AD921" s="0" t="s">
        <v>188</v>
      </c>
      <c r="AE921" s="0" t="s">
        <v>2601</v>
      </c>
      <c r="AH921" s="0" t="s">
        <v>180</v>
      </c>
      <c r="AJ921" s="0" t="s">
        <v>437</v>
      </c>
      <c r="AK921" s="0" t="s">
        <v>94</v>
      </c>
      <c r="AL921" s="0" t="s">
        <v>95</v>
      </c>
      <c r="AM921" s="0" t="s">
        <v>96</v>
      </c>
      <c r="AO921" s="0" t="s">
        <v>98</v>
      </c>
      <c r="AQ921" s="0" t="s">
        <v>100</v>
      </c>
    </row>
    <row r="922" ht="1332.75">
      <c r="B922" s="0" t="s">
        <v>2599</v>
      </c>
      <c r="C922" s="1" t="n">
        <v>353594</v>
      </c>
      <c r="E922" s="14" t="s">
        <v>2602</v>
      </c>
      <c r="F922" s="14" t="s">
        <v>169</v>
      </c>
      <c r="G922" s="25" t="str">
        <f>HYPERLINK("http://www.ok.ru/profile/554792971343/statuses/156889491024719")</f>
      </c>
      <c r="H922" s="14" t="s">
        <v>170</v>
      </c>
      <c r="I922" s="14" t="s">
        <v>171</v>
      </c>
      <c r="J922" s="14" t="s">
        <v>2603</v>
      </c>
      <c r="K922" s="26" t="str">
        <f>HYPERLINK("http://www.ok.ru/profile/554792971343")</f>
      </c>
      <c r="L922" s="14" t="s">
        <v>173</v>
      </c>
      <c r="O922" s="1" t="s">
        <v>186</v>
      </c>
      <c r="P922" s="1" t="n">
        <v>72</v>
      </c>
      <c r="Q922" s="1" t="n">
        <v>177</v>
      </c>
      <c r="R922" s="1" t="n">
        <v>0</v>
      </c>
      <c r="S922" s="1"/>
      <c r="T922" s="1" t="n">
        <v>0</v>
      </c>
      <c r="U922" s="1" t="n">
        <v>0</v>
      </c>
      <c r="V922" s="1" t="n">
        <v>0</v>
      </c>
      <c r="W922" s="1"/>
      <c r="Y922" s="1" t="n">
        <v>1</v>
      </c>
      <c r="Z922" s="0" t="s">
        <v>175</v>
      </c>
      <c r="AA922" s="0" t="s">
        <v>176</v>
      </c>
      <c r="AC922" s="0" t="s">
        <v>177</v>
      </c>
      <c r="AD922" s="0" t="s">
        <v>240</v>
      </c>
      <c r="AE922" s="0" t="s">
        <v>240</v>
      </c>
      <c r="AH922" s="0" t="s">
        <v>180</v>
      </c>
      <c r="AJ922" s="0" t="s">
        <v>437</v>
      </c>
      <c r="AK922" s="0" t="s">
        <v>94</v>
      </c>
      <c r="AL922" s="0" t="s">
        <v>95</v>
      </c>
      <c r="AM922" s="0" t="s">
        <v>96</v>
      </c>
      <c r="AO922" s="0" t="s">
        <v>98</v>
      </c>
      <c r="AQ922" s="0" t="s">
        <v>100</v>
      </c>
    </row>
    <row r="923" ht="36.75">
      <c r="B923" s="0" t="s">
        <v>2604</v>
      </c>
      <c r="C923" s="1" t="n">
        <v>352621</v>
      </c>
      <c r="E923" s="14" t="s">
        <v>2533</v>
      </c>
      <c r="F923" s="14" t="s">
        <v>184</v>
      </c>
      <c r="G923" s="25" t="str">
        <f>HYPERLINK("http://vk.com/wall569442209_3034")</f>
      </c>
      <c r="H923" s="14" t="s">
        <v>170</v>
      </c>
      <c r="I923" s="14" t="s">
        <v>171</v>
      </c>
      <c r="J923" s="14" t="s">
        <v>2605</v>
      </c>
      <c r="K923" s="26" t="str">
        <f>HYPERLINK("http://vk.com/id569442209")</f>
      </c>
      <c r="L923" s="14" t="s">
        <v>173</v>
      </c>
      <c r="O923" s="1" t="s">
        <v>186</v>
      </c>
      <c r="P923" s="1" t="n">
        <v>36</v>
      </c>
      <c r="Q923" s="1" t="n">
        <v>34</v>
      </c>
      <c r="R923" s="1" t="n">
        <v>0</v>
      </c>
      <c r="S923" s="1"/>
      <c r="T923" s="1" t="n">
        <v>0</v>
      </c>
      <c r="U923" s="1" t="n">
        <v>0</v>
      </c>
      <c r="V923" s="1" t="n">
        <v>0</v>
      </c>
      <c r="W923" s="1"/>
      <c r="Y923" s="1" t="n">
        <v>9</v>
      </c>
      <c r="Z923" s="0" t="s">
        <v>175</v>
      </c>
      <c r="AA923" s="0" t="s">
        <v>187</v>
      </c>
      <c r="AH923" s="0" t="s">
        <v>180</v>
      </c>
      <c r="AJ923" s="0" t="s">
        <v>437</v>
      </c>
      <c r="AK923" s="0" t="s">
        <v>94</v>
      </c>
      <c r="AL923" s="0" t="s">
        <v>95</v>
      </c>
      <c r="AN923" s="0" t="s">
        <v>97</v>
      </c>
      <c r="AT923" s="0" t="s">
        <v>103</v>
      </c>
      <c r="AW923" s="0" t="s">
        <v>106</v>
      </c>
      <c r="BE923" s="0" t="s">
        <v>114</v>
      </c>
      <c r="BK923" s="0" t="s">
        <v>120</v>
      </c>
      <c r="BX923" s="0" t="s">
        <v>133</v>
      </c>
    </row>
    <row r="924" ht="108.75">
      <c r="B924" s="0" t="s">
        <v>2606</v>
      </c>
      <c r="C924" s="1" t="n">
        <v>352626</v>
      </c>
      <c r="E924" s="14" t="s">
        <v>2607</v>
      </c>
      <c r="F924" s="14" t="s">
        <v>184</v>
      </c>
      <c r="G924" s="25" t="str">
        <f>HYPERLINK("http://vk.com/wall598047113_3124")</f>
      </c>
      <c r="H924" s="14" t="s">
        <v>170</v>
      </c>
      <c r="I924" s="14" t="s">
        <v>171</v>
      </c>
      <c r="J924" s="14" t="s">
        <v>2608</v>
      </c>
      <c r="K924" s="26" t="str">
        <f>HYPERLINK("http://vk.com/id598047113")</f>
      </c>
      <c r="L924" s="14" t="s">
        <v>173</v>
      </c>
      <c r="O924" s="1" t="s">
        <v>186</v>
      </c>
      <c r="P924" s="1" t="n">
        <v>62</v>
      </c>
      <c r="Q924" s="1" t="n">
        <v>42</v>
      </c>
      <c r="R924" s="1" t="n">
        <v>0</v>
      </c>
      <c r="S924" s="1"/>
      <c r="T924" s="1" t="n">
        <v>0</v>
      </c>
      <c r="U924" s="1" t="n">
        <v>0</v>
      </c>
      <c r="V924" s="1" t="n">
        <v>0</v>
      </c>
      <c r="W924" s="1" t="n">
        <v>1</v>
      </c>
      <c r="Y924" s="1" t="n">
        <v>3</v>
      </c>
      <c r="Z924" s="0" t="s">
        <v>175</v>
      </c>
      <c r="AA924" s="0" t="s">
        <v>187</v>
      </c>
      <c r="AH924" s="0" t="s">
        <v>180</v>
      </c>
      <c r="AJ924" s="0" t="s">
        <v>437</v>
      </c>
      <c r="AK924" s="0" t="s">
        <v>94</v>
      </c>
      <c r="AL924" s="0" t="s">
        <v>95</v>
      </c>
      <c r="AU924" s="0" t="s">
        <v>104</v>
      </c>
      <c r="BA924" s="0" t="s">
        <v>110</v>
      </c>
      <c r="BJ924" s="0" t="s">
        <v>119</v>
      </c>
    </row>
    <row r="925" ht="36.75">
      <c r="B925" s="0" t="s">
        <v>2606</v>
      </c>
      <c r="C925" s="1" t="n">
        <v>352620</v>
      </c>
      <c r="E925" s="14" t="s">
        <v>967</v>
      </c>
      <c r="F925" s="14" t="s">
        <v>184</v>
      </c>
      <c r="G925" s="25" t="str">
        <f>HYPERLINK("http://vk.com/wall158399146_3439")</f>
      </c>
      <c r="H925" s="14" t="s">
        <v>170</v>
      </c>
      <c r="I925" s="14" t="s">
        <v>171</v>
      </c>
      <c r="J925" s="14" t="s">
        <v>2609</v>
      </c>
      <c r="K925" s="26" t="str">
        <f>HYPERLINK("http://vk.com/id158399146")</f>
      </c>
      <c r="L925" s="14" t="s">
        <v>173</v>
      </c>
      <c r="O925" s="1" t="s">
        <v>186</v>
      </c>
      <c r="P925" s="1"/>
      <c r="Q925" s="1" t="n">
        <v>49</v>
      </c>
      <c r="R925" s="1" t="n">
        <v>0</v>
      </c>
      <c r="S925" s="1"/>
      <c r="T925" s="1" t="n">
        <v>0</v>
      </c>
      <c r="U925" s="1" t="n">
        <v>0</v>
      </c>
      <c r="V925" s="1" t="n">
        <v>0</v>
      </c>
      <c r="W925" s="1"/>
      <c r="Y925" s="1" t="n">
        <v>3</v>
      </c>
      <c r="Z925" s="0" t="s">
        <v>175</v>
      </c>
      <c r="AA925" s="0" t="s">
        <v>176</v>
      </c>
      <c r="AC925" s="0" t="s">
        <v>177</v>
      </c>
      <c r="AD925" s="0" t="s">
        <v>842</v>
      </c>
      <c r="AE925" s="0" t="s">
        <v>2610</v>
      </c>
      <c r="AH925" s="0" t="s">
        <v>180</v>
      </c>
      <c r="AJ925" s="0" t="s">
        <v>437</v>
      </c>
      <c r="AK925" s="0" t="s">
        <v>94</v>
      </c>
      <c r="AL925" s="0" t="s">
        <v>95</v>
      </c>
      <c r="AR925" s="0" t="s">
        <v>101</v>
      </c>
      <c r="BA925" s="0" t="s">
        <v>110</v>
      </c>
      <c r="BF925" s="0" t="s">
        <v>115</v>
      </c>
    </row>
    <row r="926">
      <c r="B926" s="0" t="s">
        <v>2611</v>
      </c>
      <c r="C926" s="1" t="n">
        <v>352699</v>
      </c>
      <c r="E926" s="14" t="s">
        <v>1349</v>
      </c>
      <c r="F926" s="14" t="s">
        <v>169</v>
      </c>
      <c r="G926" s="25" t="str">
        <f>HYPERLINK("http://www.ok.ru/profile/538676163632/statuses/156246765942832")</f>
      </c>
      <c r="H926" s="14" t="s">
        <v>170</v>
      </c>
      <c r="I926" s="14" t="s">
        <v>194</v>
      </c>
      <c r="J926" s="14" t="s">
        <v>2612</v>
      </c>
      <c r="K926" s="26" t="str">
        <f>HYPERLINK("http://www.ok.ru/profile/538676163632")</f>
      </c>
      <c r="L926" s="14" t="s">
        <v>173</v>
      </c>
      <c r="O926" s="1" t="s">
        <v>186</v>
      </c>
      <c r="P926" s="1" t="n">
        <v>26</v>
      </c>
      <c r="Q926" s="1" t="n">
        <v>1877</v>
      </c>
      <c r="R926" s="1" t="n">
        <v>0</v>
      </c>
      <c r="S926" s="1"/>
      <c r="T926" s="1" t="n">
        <v>0</v>
      </c>
      <c r="U926" s="1" t="n">
        <v>10</v>
      </c>
      <c r="V926" s="1" t="n">
        <v>10</v>
      </c>
      <c r="W926" s="1"/>
      <c r="Y926" s="1" t="n">
        <v>15</v>
      </c>
      <c r="Z926" s="0" t="s">
        <v>175</v>
      </c>
      <c r="AA926" s="0" t="s">
        <v>187</v>
      </c>
      <c r="AC926" s="0" t="s">
        <v>177</v>
      </c>
      <c r="AD926" s="0" t="s">
        <v>604</v>
      </c>
      <c r="AE926" s="0" t="s">
        <v>605</v>
      </c>
      <c r="AH926" s="0" t="s">
        <v>180</v>
      </c>
      <c r="AJ926" s="0" t="s">
        <v>437</v>
      </c>
      <c r="AK926" s="0" t="s">
        <v>94</v>
      </c>
      <c r="AL926" s="0" t="s">
        <v>95</v>
      </c>
      <c r="AM926" s="0" t="s">
        <v>96</v>
      </c>
      <c r="AX926" s="0" t="s">
        <v>107</v>
      </c>
      <c r="BF926" s="0" t="s">
        <v>115</v>
      </c>
      <c r="BR926" s="0" t="s">
        <v>127</v>
      </c>
    </row>
    <row r="927" ht="24.75">
      <c r="B927" s="0" t="s">
        <v>2613</v>
      </c>
      <c r="C927" s="1" t="n">
        <v>352606</v>
      </c>
      <c r="E927" s="14" t="s">
        <v>1307</v>
      </c>
      <c r="F927" s="14" t="s">
        <v>184</v>
      </c>
      <c r="G927" s="25" t="str">
        <f>HYPERLINK("http://vk.com/wall2052607_38402")</f>
      </c>
      <c r="H927" s="14" t="s">
        <v>170</v>
      </c>
      <c r="I927" s="14" t="s">
        <v>171</v>
      </c>
      <c r="J927" s="14" t="s">
        <v>2614</v>
      </c>
      <c r="K927" s="26" t="str">
        <f>HYPERLINK("http://vk.com/id2052607")</f>
      </c>
      <c r="L927" s="14" t="s">
        <v>173</v>
      </c>
      <c r="O927" s="1" t="s">
        <v>186</v>
      </c>
      <c r="P927" s="1"/>
      <c r="Q927" s="1" t="n">
        <v>1425</v>
      </c>
      <c r="R927" s="1" t="n">
        <v>0</v>
      </c>
      <c r="S927" s="1"/>
      <c r="T927" s="1" t="n">
        <v>0</v>
      </c>
      <c r="U927" s="1" t="n">
        <v>0</v>
      </c>
      <c r="V927" s="1" t="n">
        <v>0</v>
      </c>
      <c r="W927" s="1" t="n">
        <v>4</v>
      </c>
      <c r="Y927" s="1" t="n">
        <v>6</v>
      </c>
      <c r="Z927" s="0" t="s">
        <v>175</v>
      </c>
      <c r="AA927" s="0" t="s">
        <v>187</v>
      </c>
      <c r="AC927" s="0" t="s">
        <v>177</v>
      </c>
      <c r="AD927" s="0" t="s">
        <v>240</v>
      </c>
      <c r="AE927" s="0" t="s">
        <v>240</v>
      </c>
      <c r="AH927" s="0" t="s">
        <v>180</v>
      </c>
      <c r="AJ927" s="0" t="s">
        <v>437</v>
      </c>
      <c r="AK927" s="0" t="s">
        <v>94</v>
      </c>
      <c r="AL927" s="0" t="s">
        <v>95</v>
      </c>
      <c r="AM927" s="0" t="s">
        <v>96</v>
      </c>
      <c r="AO927" s="0" t="s">
        <v>98</v>
      </c>
      <c r="AQ927" s="0" t="s">
        <v>100</v>
      </c>
    </row>
    <row r="928" ht="36.75">
      <c r="B928" s="0" t="s">
        <v>2615</v>
      </c>
      <c r="C928" s="1" t="n">
        <v>352875</v>
      </c>
      <c r="E928" s="14" t="s">
        <v>2616</v>
      </c>
      <c r="F928" s="14" t="s">
        <v>169</v>
      </c>
      <c r="G928" s="25" t="str">
        <f>HYPERLINK("http://www.ok.ru/profile/544704880100/statuses/155150676519140")</f>
      </c>
      <c r="H928" s="14" t="s">
        <v>170</v>
      </c>
      <c r="I928" s="14" t="s">
        <v>171</v>
      </c>
      <c r="J928" s="14" t="s">
        <v>2617</v>
      </c>
      <c r="K928" s="26" t="str">
        <f>HYPERLINK("http://www.ok.ru/profile/544704880100")</f>
      </c>
      <c r="L928" s="14" t="s">
        <v>173</v>
      </c>
      <c r="O928" s="1" t="s">
        <v>186</v>
      </c>
      <c r="P928" s="1" t="n">
        <v>67</v>
      </c>
      <c r="Q928" s="1" t="n">
        <v>178</v>
      </c>
      <c r="R928" s="1" t="n">
        <v>0</v>
      </c>
      <c r="S928" s="1"/>
      <c r="T928" s="1" t="n">
        <v>0</v>
      </c>
      <c r="U928" s="1" t="n">
        <v>0</v>
      </c>
      <c r="V928" s="1" t="n">
        <v>0</v>
      </c>
      <c r="W928" s="1"/>
      <c r="Y928" s="1" t="n">
        <v>1</v>
      </c>
      <c r="Z928" s="0" t="s">
        <v>175</v>
      </c>
      <c r="AA928" s="0" t="s">
        <v>176</v>
      </c>
      <c r="AC928" s="0" t="s">
        <v>177</v>
      </c>
      <c r="AD928" s="0" t="s">
        <v>1778</v>
      </c>
      <c r="AH928" s="0" t="s">
        <v>180</v>
      </c>
      <c r="AJ928" s="0" t="s">
        <v>437</v>
      </c>
      <c r="AK928" s="0" t="s">
        <v>94</v>
      </c>
      <c r="AL928" s="0" t="s">
        <v>95</v>
      </c>
      <c r="AM928" s="0" t="s">
        <v>96</v>
      </c>
      <c r="AO928" s="0" t="s">
        <v>98</v>
      </c>
      <c r="AQ928" s="0" t="s">
        <v>100</v>
      </c>
    </row>
    <row r="929" ht="24.75">
      <c r="B929" s="0" t="s">
        <v>2618</v>
      </c>
      <c r="C929" s="1" t="n">
        <v>352960</v>
      </c>
      <c r="E929" s="14" t="s">
        <v>2619</v>
      </c>
      <c r="F929" s="14" t="s">
        <v>169</v>
      </c>
      <c r="G929" s="25" t="str">
        <f>HYPERLINK("http://www.ok.ru/profile/322547506864/statuses/156233487625648")</f>
      </c>
      <c r="H929" s="14" t="s">
        <v>170</v>
      </c>
      <c r="I929" s="14" t="s">
        <v>171</v>
      </c>
      <c r="J929" s="14" t="s">
        <v>2620</v>
      </c>
      <c r="K929" s="26" t="str">
        <f>HYPERLINK("http://www.ok.ru/profile/322547506864")</f>
      </c>
      <c r="L929" s="14" t="s">
        <v>173</v>
      </c>
      <c r="O929" s="1" t="s">
        <v>186</v>
      </c>
      <c r="P929" s="1" t="n">
        <v>68</v>
      </c>
      <c r="Q929" s="1" t="n">
        <v>356</v>
      </c>
      <c r="R929" s="1" t="n">
        <v>0</v>
      </c>
      <c r="S929" s="1"/>
      <c r="T929" s="1" t="n">
        <v>1</v>
      </c>
      <c r="U929" s="1" t="n">
        <v>3</v>
      </c>
      <c r="V929" s="1" t="n">
        <v>4</v>
      </c>
      <c r="W929" s="1"/>
      <c r="Y929" s="1" t="n">
        <v>59</v>
      </c>
      <c r="Z929" s="0" t="s">
        <v>175</v>
      </c>
      <c r="AA929" s="0" t="s">
        <v>176</v>
      </c>
      <c r="AC929" s="0" t="s">
        <v>177</v>
      </c>
      <c r="AD929" s="0" t="s">
        <v>681</v>
      </c>
      <c r="AE929" s="0" t="s">
        <v>2621</v>
      </c>
      <c r="AH929" s="0" t="s">
        <v>180</v>
      </c>
      <c r="AJ929" s="0" t="s">
        <v>437</v>
      </c>
      <c r="AK929" s="0" t="s">
        <v>94</v>
      </c>
      <c r="AL929" s="0" t="s">
        <v>95</v>
      </c>
      <c r="AM929" s="0" t="s">
        <v>96</v>
      </c>
      <c r="AO929" s="0" t="s">
        <v>98</v>
      </c>
      <c r="AQ929" s="0" t="s">
        <v>100</v>
      </c>
    </row>
    <row r="930">
      <c r="B930" s="0" t="s">
        <v>2622</v>
      </c>
      <c r="C930" s="1" t="n">
        <v>352579</v>
      </c>
      <c r="E930" s="14" t="s">
        <v>2623</v>
      </c>
      <c r="F930" s="14" t="s">
        <v>184</v>
      </c>
      <c r="G930" s="25" t="str">
        <f>HYPERLINK("http://vk.com/wall-151204563_1297175?reply=1297376&amp;thread=1297181")</f>
      </c>
      <c r="H930" s="14" t="s">
        <v>170</v>
      </c>
      <c r="I930" s="14" t="s">
        <v>231</v>
      </c>
      <c r="J930" s="14" t="s">
        <v>2624</v>
      </c>
      <c r="K930" s="26" t="str">
        <f>HYPERLINK("http://vk.com/id29195238")</f>
      </c>
      <c r="L930" s="14" t="s">
        <v>173</v>
      </c>
      <c r="M930" s="14" t="s">
        <v>2625</v>
      </c>
      <c r="N930" s="25" t="str">
        <f>HYPERLINK("http://vk.com/club151204563")</f>
      </c>
      <c r="O930" s="1" t="s">
        <v>174</v>
      </c>
      <c r="P930" s="1"/>
      <c r="Q930" s="1" t="n">
        <v>943174</v>
      </c>
      <c r="R930" s="1" t="n">
        <v>0</v>
      </c>
      <c r="S930" s="1"/>
      <c r="T930" s="1" t="n">
        <v>0</v>
      </c>
      <c r="U930" s="1" t="n">
        <v>0</v>
      </c>
      <c r="V930" s="1" t="n">
        <v>0</v>
      </c>
      <c r="W930" s="1"/>
      <c r="Y930" s="1" t="n">
        <v>1</v>
      </c>
      <c r="Z930" s="0" t="s">
        <v>319</v>
      </c>
      <c r="AA930" s="0" t="s">
        <v>187</v>
      </c>
      <c r="AC930" s="0" t="s">
        <v>177</v>
      </c>
      <c r="AD930" s="0" t="s">
        <v>349</v>
      </c>
      <c r="AE930" s="0" t="s">
        <v>829</v>
      </c>
      <c r="AH930" s="0" t="s">
        <v>180</v>
      </c>
      <c r="AI930" s="0" t="s">
        <v>92</v>
      </c>
      <c r="AJ930" s="0" t="s">
        <v>437</v>
      </c>
      <c r="AK930" s="0" t="s">
        <v>94</v>
      </c>
      <c r="AL930" s="0" t="s">
        <v>95</v>
      </c>
      <c r="AN930" s="0" t="s">
        <v>97</v>
      </c>
      <c r="AR930" s="0" t="s">
        <v>101</v>
      </c>
      <c r="BG930" s="0" t="s">
        <v>116</v>
      </c>
    </row>
    <row r="931" ht="24.75">
      <c r="B931" s="0" t="s">
        <v>2626</v>
      </c>
      <c r="C931" s="1" t="n">
        <v>352604</v>
      </c>
      <c r="E931" s="14" t="s">
        <v>296</v>
      </c>
      <c r="F931" s="14" t="s">
        <v>184</v>
      </c>
      <c r="G931" s="25" t="str">
        <f>HYPERLINK("http://vk.com/wall301927700_14180")</f>
      </c>
      <c r="H931" s="14" t="s">
        <v>170</v>
      </c>
      <c r="I931" s="14" t="s">
        <v>171</v>
      </c>
      <c r="J931" s="14" t="s">
        <v>2627</v>
      </c>
      <c r="K931" s="26" t="str">
        <f>HYPERLINK("http://vk.com/id301927700")</f>
      </c>
      <c r="L931" s="14" t="s">
        <v>173</v>
      </c>
      <c r="O931" s="1" t="s">
        <v>186</v>
      </c>
      <c r="P931" s="1"/>
      <c r="Q931" s="1" t="n">
        <v>3560</v>
      </c>
      <c r="R931" s="1" t="n">
        <v>0</v>
      </c>
      <c r="S931" s="1"/>
      <c r="T931" s="1" t="n">
        <v>0</v>
      </c>
      <c r="U931" s="1" t="n">
        <v>0</v>
      </c>
      <c r="V931" s="1" t="n">
        <v>0</v>
      </c>
      <c r="W931" s="1" t="n">
        <v>4</v>
      </c>
      <c r="Y931" s="1" t="n">
        <v>93</v>
      </c>
      <c r="Z931" s="0" t="s">
        <v>175</v>
      </c>
      <c r="AA931" s="0" t="s">
        <v>187</v>
      </c>
      <c r="AC931" s="0" t="s">
        <v>177</v>
      </c>
      <c r="AD931" s="0" t="s">
        <v>410</v>
      </c>
      <c r="AE931" s="0" t="s">
        <v>792</v>
      </c>
      <c r="AH931" s="0" t="s">
        <v>180</v>
      </c>
      <c r="AJ931" s="0" t="s">
        <v>437</v>
      </c>
      <c r="AK931" s="0" t="s">
        <v>94</v>
      </c>
      <c r="AL931" s="0" t="s">
        <v>95</v>
      </c>
      <c r="AM931" s="0" t="s">
        <v>96</v>
      </c>
      <c r="AU931" s="0" t="s">
        <v>104</v>
      </c>
      <c r="AV931" s="0" t="s">
        <v>105</v>
      </c>
    </row>
    <row r="932" ht="24.75">
      <c r="B932" s="0" t="s">
        <v>2626</v>
      </c>
      <c r="C932" s="1" t="n">
        <v>352755</v>
      </c>
      <c r="E932" s="14" t="s">
        <v>1632</v>
      </c>
      <c r="F932" s="14" t="s">
        <v>169</v>
      </c>
      <c r="G932" s="25" t="str">
        <f>HYPERLINK("http://www.ok.ru/profile/515666046660/statuses/155142804759492")</f>
      </c>
      <c r="H932" s="14" t="s">
        <v>170</v>
      </c>
      <c r="I932" s="14" t="s">
        <v>171</v>
      </c>
      <c r="J932" s="14" t="s">
        <v>2628</v>
      </c>
      <c r="K932" s="26" t="str">
        <f>HYPERLINK("http://www.ok.ru/profile/515666046660")</f>
      </c>
      <c r="L932" s="14" t="s">
        <v>173</v>
      </c>
      <c r="O932" s="1" t="s">
        <v>186</v>
      </c>
      <c r="P932" s="1" t="n">
        <v>60</v>
      </c>
      <c r="Q932" s="1" t="n">
        <v>55</v>
      </c>
      <c r="R932" s="1" t="n">
        <v>0</v>
      </c>
      <c r="S932" s="1"/>
      <c r="T932" s="1" t="n">
        <v>0</v>
      </c>
      <c r="U932" s="1" t="n">
        <v>0</v>
      </c>
      <c r="V932" s="1" t="n">
        <v>0</v>
      </c>
      <c r="W932" s="1"/>
      <c r="Y932" s="1" t="n">
        <v>10</v>
      </c>
      <c r="Z932" s="0" t="s">
        <v>175</v>
      </c>
      <c r="AA932" s="0" t="s">
        <v>176</v>
      </c>
      <c r="AC932" s="0" t="s">
        <v>177</v>
      </c>
      <c r="AD932" s="0" t="s">
        <v>278</v>
      </c>
      <c r="AE932" s="0" t="s">
        <v>2629</v>
      </c>
      <c r="AH932" s="0" t="s">
        <v>180</v>
      </c>
      <c r="AJ932" s="0" t="s">
        <v>437</v>
      </c>
      <c r="AK932" s="0" t="s">
        <v>94</v>
      </c>
      <c r="AL932" s="0" t="s">
        <v>95</v>
      </c>
      <c r="AM932" s="0" t="s">
        <v>96</v>
      </c>
      <c r="AO932" s="0" t="s">
        <v>98</v>
      </c>
      <c r="AQ932" s="0" t="s">
        <v>100</v>
      </c>
    </row>
    <row r="933" ht="24.75">
      <c r="B933" s="0" t="s">
        <v>2630</v>
      </c>
      <c r="C933" s="1" t="n">
        <v>352984</v>
      </c>
      <c r="E933" s="14" t="s">
        <v>554</v>
      </c>
      <c r="F933" s="14" t="s">
        <v>169</v>
      </c>
      <c r="G933" s="25" t="str">
        <f>HYPERLINK("http://www.ok.ru/profile/22573058975/statuses/155030616711327")</f>
      </c>
      <c r="H933" s="14" t="s">
        <v>170</v>
      </c>
      <c r="I933" s="14" t="s">
        <v>171</v>
      </c>
      <c r="J933" s="14" t="s">
        <v>2631</v>
      </c>
      <c r="K933" s="26" t="str">
        <f>HYPERLINK("http://www.ok.ru/profile/22573058975")</f>
      </c>
      <c r="L933" s="14" t="s">
        <v>173</v>
      </c>
      <c r="O933" s="1" t="s">
        <v>186</v>
      </c>
      <c r="P933" s="1" t="n">
        <v>64</v>
      </c>
      <c r="Q933" s="1" t="n">
        <v>181</v>
      </c>
      <c r="R933" s="1" t="n">
        <v>0</v>
      </c>
      <c r="S933" s="1"/>
      <c r="T933" s="1" t="n">
        <v>0</v>
      </c>
      <c r="U933" s="1" t="n">
        <v>0</v>
      </c>
      <c r="V933" s="1" t="n">
        <v>0</v>
      </c>
      <c r="W933" s="1"/>
      <c r="Y933" s="1" t="n">
        <v>59</v>
      </c>
      <c r="Z933" s="0" t="s">
        <v>175</v>
      </c>
      <c r="AA933" s="0" t="s">
        <v>176</v>
      </c>
      <c r="AC933" s="0" t="s">
        <v>177</v>
      </c>
      <c r="AD933" s="0" t="s">
        <v>332</v>
      </c>
      <c r="AE933" s="0" t="s">
        <v>332</v>
      </c>
      <c r="AH933" s="0" t="s">
        <v>180</v>
      </c>
      <c r="AJ933" s="0" t="s">
        <v>437</v>
      </c>
      <c r="AK933" s="0" t="s">
        <v>94</v>
      </c>
      <c r="AL933" s="0" t="s">
        <v>95</v>
      </c>
      <c r="AM933" s="0" t="s">
        <v>96</v>
      </c>
      <c r="AO933" s="0" t="s">
        <v>98</v>
      </c>
      <c r="AQ933" s="0" t="s">
        <v>100</v>
      </c>
    </row>
    <row r="934" ht="72.75">
      <c r="B934" s="0" t="s">
        <v>2630</v>
      </c>
      <c r="C934" s="1" t="n">
        <v>352603</v>
      </c>
      <c r="E934" s="14" t="s">
        <v>2632</v>
      </c>
      <c r="F934" s="14" t="s">
        <v>184</v>
      </c>
      <c r="G934" s="25" t="str">
        <f>HYPERLINK("http://vk.com/wall-90436798_53439")</f>
      </c>
      <c r="H934" s="14" t="s">
        <v>170</v>
      </c>
      <c r="I934" s="14" t="s">
        <v>194</v>
      </c>
      <c r="J934" s="14" t="s">
        <v>2633</v>
      </c>
      <c r="K934" s="26" t="str">
        <f>HYPERLINK("http://vk.com/club90436798")</f>
      </c>
      <c r="L934" s="14" t="s">
        <v>274</v>
      </c>
      <c r="O934" s="1"/>
      <c r="P934" s="1"/>
      <c r="Q934" s="1" t="n">
        <v>8584</v>
      </c>
      <c r="R934" s="1" t="n">
        <v>0</v>
      </c>
      <c r="S934" s="1"/>
      <c r="T934" s="1" t="n">
        <v>0</v>
      </c>
      <c r="U934" s="1" t="n">
        <v>0</v>
      </c>
      <c r="V934" s="1" t="n">
        <v>0</v>
      </c>
      <c r="W934" s="1" t="n">
        <v>334</v>
      </c>
      <c r="Y934" s="1" t="n">
        <v>1</v>
      </c>
      <c r="Z934" s="0" t="s">
        <v>175</v>
      </c>
      <c r="AA934" s="0" t="s">
        <v>176</v>
      </c>
      <c r="AC934" s="0" t="s">
        <v>177</v>
      </c>
      <c r="AD934" s="0" t="s">
        <v>1051</v>
      </c>
      <c r="AE934" s="0" t="s">
        <v>1850</v>
      </c>
      <c r="AH934" s="0" t="s">
        <v>180</v>
      </c>
      <c r="AJ934" s="0" t="s">
        <v>437</v>
      </c>
      <c r="AM934" s="0" t="s">
        <v>96</v>
      </c>
      <c r="AP934" s="0" t="s">
        <v>99</v>
      </c>
      <c r="BD934" s="0" t="s">
        <v>113</v>
      </c>
      <c r="BP934" s="0" t="s">
        <v>125</v>
      </c>
    </row>
    <row r="935">
      <c r="B935" s="0" t="s">
        <v>2634</v>
      </c>
      <c r="C935" s="1" t="n">
        <v>352568</v>
      </c>
      <c r="E935" s="14" t="s">
        <v>2635</v>
      </c>
      <c r="F935" s="14" t="s">
        <v>184</v>
      </c>
      <c r="G935" s="25" t="str">
        <f>HYPERLINK("http://vk.com/wall-142477702_726009?reply=726403&amp;thread=726401")</f>
      </c>
      <c r="H935" s="14" t="s">
        <v>170</v>
      </c>
      <c r="I935" s="14" t="s">
        <v>231</v>
      </c>
      <c r="J935" s="14" t="s">
        <v>2636</v>
      </c>
      <c r="K935" s="26" t="str">
        <f>HYPERLINK("http://vk.com/id342883465")</f>
      </c>
      <c r="L935" s="14" t="s">
        <v>173</v>
      </c>
      <c r="M935" s="14" t="s">
        <v>1409</v>
      </c>
      <c r="N935" s="25" t="str">
        <f>HYPERLINK("http://vk.com/club142477702")</f>
      </c>
      <c r="O935" s="1" t="s">
        <v>186</v>
      </c>
      <c r="P935" s="1"/>
      <c r="Q935" s="1" t="n">
        <v>48420</v>
      </c>
      <c r="R935" s="1" t="n">
        <v>0</v>
      </c>
      <c r="S935" s="1"/>
      <c r="T935" s="1" t="n">
        <v>0</v>
      </c>
      <c r="U935" s="1" t="n">
        <v>0</v>
      </c>
      <c r="V935" s="1" t="n">
        <v>0</v>
      </c>
      <c r="W935" s="1"/>
      <c r="Y935" s="1" t="n">
        <v>1</v>
      </c>
      <c r="Z935" s="0" t="s">
        <v>175</v>
      </c>
      <c r="AA935" s="0" t="s">
        <v>187</v>
      </c>
      <c r="AC935" s="0" t="s">
        <v>177</v>
      </c>
      <c r="AH935" s="0" t="s">
        <v>180</v>
      </c>
      <c r="AI935" s="0" t="s">
        <v>92</v>
      </c>
      <c r="AJ935" s="0" t="s">
        <v>437</v>
      </c>
      <c r="AK935" s="0" t="s">
        <v>94</v>
      </c>
      <c r="AL935" s="0" t="s">
        <v>95</v>
      </c>
      <c r="AN935" s="0" t="s">
        <v>97</v>
      </c>
      <c r="AS935" s="0" t="s">
        <v>102</v>
      </c>
      <c r="BB935" s="0" t="s">
        <v>111</v>
      </c>
      <c r="CB935" s="0" t="s">
        <v>137</v>
      </c>
    </row>
    <row r="936">
      <c r="B936" s="0" t="s">
        <v>2634</v>
      </c>
      <c r="C936" s="1" t="n">
        <v>352560</v>
      </c>
      <c r="E936" s="14" t="s">
        <v>2637</v>
      </c>
      <c r="F936" s="14" t="s">
        <v>184</v>
      </c>
      <c r="G936" s="25" t="str">
        <f>HYPERLINK("http://vk.com/wall-137133200_67858?reply=67860")</f>
      </c>
      <c r="H936" s="14" t="s">
        <v>170</v>
      </c>
      <c r="I936" s="14" t="s">
        <v>231</v>
      </c>
      <c r="J936" s="14" t="s">
        <v>2638</v>
      </c>
      <c r="K936" s="26" t="str">
        <f>HYPERLINK("http://vk.com/id500965747")</f>
      </c>
      <c r="L936" s="14" t="s">
        <v>173</v>
      </c>
      <c r="M936" s="14" t="s">
        <v>2639</v>
      </c>
      <c r="N936" s="25" t="str">
        <f>HYPERLINK("http://vk.com/club137133200")</f>
      </c>
      <c r="O936" s="1" t="s">
        <v>186</v>
      </c>
      <c r="P936" s="1"/>
      <c r="Q936" s="1" t="n">
        <v>17415</v>
      </c>
      <c r="R936" s="1" t="n">
        <v>0</v>
      </c>
      <c r="S936" s="1"/>
      <c r="T936" s="1" t="n">
        <v>0</v>
      </c>
      <c r="U936" s="1" t="n">
        <v>0</v>
      </c>
      <c r="V936" s="1" t="n">
        <v>0</v>
      </c>
      <c r="W936" s="1"/>
      <c r="Y936" s="1" t="n">
        <v>1</v>
      </c>
      <c r="Z936" s="0" t="s">
        <v>319</v>
      </c>
      <c r="AA936" s="0" t="s">
        <v>187</v>
      </c>
      <c r="AC936" s="0" t="s">
        <v>177</v>
      </c>
      <c r="AH936" s="0" t="s">
        <v>180</v>
      </c>
      <c r="AJ936" s="0" t="s">
        <v>437</v>
      </c>
      <c r="AK936" s="0" t="s">
        <v>94</v>
      </c>
      <c r="AL936" s="0" t="s">
        <v>95</v>
      </c>
      <c r="AN936" s="0" t="s">
        <v>97</v>
      </c>
      <c r="AS936" s="0" t="s">
        <v>102</v>
      </c>
      <c r="BB936" s="0" t="s">
        <v>111</v>
      </c>
      <c r="CB936" s="0" t="s">
        <v>137</v>
      </c>
    </row>
    <row r="937">
      <c r="B937" s="0" t="s">
        <v>2640</v>
      </c>
      <c r="C937" s="1" t="n">
        <v>352559</v>
      </c>
      <c r="E937" s="14" t="s">
        <v>2641</v>
      </c>
      <c r="F937" s="14" t="s">
        <v>184</v>
      </c>
      <c r="G937" s="25" t="str">
        <f>HYPERLINK("http://vk.com/wall-142477702_726009?reply=726401")</f>
      </c>
      <c r="H937" s="14" t="s">
        <v>170</v>
      </c>
      <c r="I937" s="14" t="s">
        <v>231</v>
      </c>
      <c r="J937" s="14" t="s">
        <v>2636</v>
      </c>
      <c r="K937" s="26" t="str">
        <f>HYPERLINK("http://vk.com/id342883465")</f>
      </c>
      <c r="L937" s="14" t="s">
        <v>173</v>
      </c>
      <c r="M937" s="14" t="s">
        <v>1409</v>
      </c>
      <c r="N937" s="25" t="str">
        <f>HYPERLINK("http://vk.com/club142477702")</f>
      </c>
      <c r="O937" s="1" t="s">
        <v>186</v>
      </c>
      <c r="P937" s="1"/>
      <c r="Q937" s="1" t="n">
        <v>48420</v>
      </c>
      <c r="R937" s="1" t="n">
        <v>0</v>
      </c>
      <c r="S937" s="1"/>
      <c r="T937" s="1" t="n">
        <v>0</v>
      </c>
      <c r="U937" s="1" t="n">
        <v>0</v>
      </c>
      <c r="V937" s="1" t="n">
        <v>0</v>
      </c>
      <c r="W937" s="1"/>
      <c r="Y937" s="1" t="n">
        <v>1</v>
      </c>
      <c r="Z937" s="0" t="s">
        <v>319</v>
      </c>
      <c r="AA937" s="0" t="s">
        <v>187</v>
      </c>
      <c r="AC937" s="0" t="s">
        <v>177</v>
      </c>
      <c r="AH937" s="0" t="s">
        <v>180</v>
      </c>
      <c r="AI937" s="0" t="s">
        <v>92</v>
      </c>
      <c r="AJ937" s="0" t="s">
        <v>437</v>
      </c>
      <c r="AK937" s="0" t="s">
        <v>94</v>
      </c>
      <c r="AL937" s="0" t="s">
        <v>95</v>
      </c>
      <c r="AN937" s="0" t="s">
        <v>97</v>
      </c>
      <c r="AS937" s="0" t="s">
        <v>102</v>
      </c>
      <c r="BB937" s="0" t="s">
        <v>111</v>
      </c>
      <c r="BM937" s="0" t="s">
        <v>122</v>
      </c>
      <c r="CB937" s="0" t="s">
        <v>137</v>
      </c>
    </row>
    <row r="938" ht="36.75">
      <c r="B938" s="0" t="s">
        <v>2640</v>
      </c>
      <c r="C938" s="1" t="n">
        <v>352601</v>
      </c>
      <c r="E938" s="14" t="s">
        <v>1640</v>
      </c>
      <c r="F938" s="14" t="s">
        <v>184</v>
      </c>
      <c r="G938" s="25" t="str">
        <f>HYPERLINK("http://vk.com/wall643502528_299")</f>
      </c>
      <c r="H938" s="14" t="s">
        <v>170</v>
      </c>
      <c r="I938" s="14" t="s">
        <v>171</v>
      </c>
      <c r="J938" s="14" t="s">
        <v>2642</v>
      </c>
      <c r="K938" s="26" t="str">
        <f>HYPERLINK("http://vk.com/id643502528")</f>
      </c>
      <c r="L938" s="14" t="s">
        <v>173</v>
      </c>
      <c r="O938" s="1" t="s">
        <v>186</v>
      </c>
      <c r="P938" s="1" t="n">
        <v>44</v>
      </c>
      <c r="Q938" s="1" t="n">
        <v>165</v>
      </c>
      <c r="R938" s="1" t="n">
        <v>0</v>
      </c>
      <c r="S938" s="1"/>
      <c r="T938" s="1" t="n">
        <v>0</v>
      </c>
      <c r="U938" s="1" t="n">
        <v>0</v>
      </c>
      <c r="V938" s="1" t="n">
        <v>0</v>
      </c>
      <c r="W938" s="1" t="n">
        <v>1</v>
      </c>
      <c r="Y938" s="1" t="n">
        <v>6</v>
      </c>
      <c r="Z938" s="0" t="s">
        <v>175</v>
      </c>
      <c r="AA938" s="0" t="s">
        <v>176</v>
      </c>
      <c r="AC938" s="0" t="s">
        <v>177</v>
      </c>
      <c r="AD938" s="0" t="s">
        <v>341</v>
      </c>
      <c r="AE938" s="0" t="s">
        <v>2643</v>
      </c>
      <c r="AH938" s="0" t="s">
        <v>180</v>
      </c>
      <c r="AJ938" s="0" t="s">
        <v>437</v>
      </c>
      <c r="AK938" s="0" t="s">
        <v>94</v>
      </c>
      <c r="AL938" s="0" t="s">
        <v>95</v>
      </c>
      <c r="AM938" s="0" t="s">
        <v>96</v>
      </c>
      <c r="AO938" s="0" t="s">
        <v>98</v>
      </c>
      <c r="AQ938" s="0" t="s">
        <v>100</v>
      </c>
    </row>
    <row r="939">
      <c r="B939" s="0" t="s">
        <v>2644</v>
      </c>
      <c r="C939" s="1" t="n">
        <v>352769</v>
      </c>
      <c r="E939" s="14" t="s">
        <v>1349</v>
      </c>
      <c r="F939" s="14" t="s">
        <v>169</v>
      </c>
      <c r="G939" s="25" t="str">
        <f>HYPERLINK("http://www.ok.ru/profile/577035872786/statuses/156149906479122")</f>
      </c>
      <c r="H939" s="14" t="s">
        <v>170</v>
      </c>
      <c r="I939" s="14" t="s">
        <v>194</v>
      </c>
      <c r="J939" s="14" t="s">
        <v>2645</v>
      </c>
      <c r="K939" s="26" t="str">
        <f>HYPERLINK("http://www.ok.ru/profile/577035872786")</f>
      </c>
      <c r="L939" s="14" t="s">
        <v>173</v>
      </c>
      <c r="O939" s="1" t="s">
        <v>186</v>
      </c>
      <c r="P939" s="1" t="n">
        <v>76</v>
      </c>
      <c r="Q939" s="1" t="n">
        <v>223</v>
      </c>
      <c r="R939" s="1" t="n">
        <v>0</v>
      </c>
      <c r="S939" s="1"/>
      <c r="T939" s="1" t="n">
        <v>0</v>
      </c>
      <c r="U939" s="1" t="n">
        <v>2</v>
      </c>
      <c r="V939" s="1" t="n">
        <v>2</v>
      </c>
      <c r="W939" s="1"/>
      <c r="Y939" s="1" t="n">
        <v>15</v>
      </c>
      <c r="Z939" s="0" t="s">
        <v>175</v>
      </c>
      <c r="AA939" s="0" t="s">
        <v>187</v>
      </c>
      <c r="AC939" s="0" t="s">
        <v>177</v>
      </c>
      <c r="AH939" s="0" t="s">
        <v>180</v>
      </c>
      <c r="AJ939" s="0" t="s">
        <v>437</v>
      </c>
      <c r="AK939" s="0" t="s">
        <v>94</v>
      </c>
      <c r="AL939" s="0" t="s">
        <v>95</v>
      </c>
      <c r="AM939" s="0" t="s">
        <v>96</v>
      </c>
      <c r="AX939" s="0" t="s">
        <v>107</v>
      </c>
      <c r="BF939" s="0" t="s">
        <v>115</v>
      </c>
      <c r="BR939" s="0" t="s">
        <v>127</v>
      </c>
    </row>
    <row r="940">
      <c r="B940" s="0" t="s">
        <v>2646</v>
      </c>
      <c r="C940" s="1" t="n">
        <v>352566</v>
      </c>
      <c r="E940" s="14" t="s">
        <v>2647</v>
      </c>
      <c r="F940" s="14" t="s">
        <v>184</v>
      </c>
      <c r="G940" s="25" t="str">
        <f>HYPERLINK("http://vk.com/wall-80494791_260029?reply=260556")</f>
      </c>
      <c r="H940" s="14" t="s">
        <v>170</v>
      </c>
      <c r="I940" s="14" t="s">
        <v>231</v>
      </c>
      <c r="J940" s="14" t="s">
        <v>2648</v>
      </c>
      <c r="K940" s="26" t="str">
        <f>HYPERLINK("http://vk.com/id337205722")</f>
      </c>
      <c r="L940" s="14" t="s">
        <v>173</v>
      </c>
      <c r="M940" s="14" t="s">
        <v>2649</v>
      </c>
      <c r="N940" s="25" t="str">
        <f>HYPERLINK("http://vk.com/club80494791")</f>
      </c>
      <c r="O940" s="1" t="s">
        <v>186</v>
      </c>
      <c r="P940" s="1"/>
      <c r="Q940" s="1" t="n">
        <v>58575</v>
      </c>
      <c r="R940" s="1" t="n">
        <v>0</v>
      </c>
      <c r="S940" s="1"/>
      <c r="T940" s="1" t="n">
        <v>0</v>
      </c>
      <c r="U940" s="1" t="n">
        <v>0</v>
      </c>
      <c r="V940" s="1" t="n">
        <v>0</v>
      </c>
      <c r="W940" s="1"/>
      <c r="Y940" s="1" t="n">
        <v>1</v>
      </c>
      <c r="Z940" s="0" t="s">
        <v>175</v>
      </c>
      <c r="AA940" s="0" t="s">
        <v>187</v>
      </c>
      <c r="AC940" s="0" t="s">
        <v>177</v>
      </c>
      <c r="AD940" s="0" t="s">
        <v>1778</v>
      </c>
      <c r="AE940" s="0" t="s">
        <v>1779</v>
      </c>
      <c r="AH940" s="0" t="s">
        <v>180</v>
      </c>
      <c r="AJ940" s="0" t="s">
        <v>437</v>
      </c>
      <c r="AK940" s="0" t="s">
        <v>94</v>
      </c>
      <c r="AL940" s="0" t="s">
        <v>95</v>
      </c>
      <c r="AN940" s="0" t="s">
        <v>97</v>
      </c>
      <c r="AS940" s="0" t="s">
        <v>102</v>
      </c>
      <c r="AW940" s="0" t="s">
        <v>106</v>
      </c>
      <c r="BC940" s="0" t="s">
        <v>112</v>
      </c>
      <c r="BG940" s="0" t="s">
        <v>116</v>
      </c>
      <c r="BZ940" s="0" t="s">
        <v>135</v>
      </c>
    </row>
    <row r="941" ht="444.75">
      <c r="B941" s="0" t="s">
        <v>2650</v>
      </c>
      <c r="C941" s="1" t="n">
        <v>352557</v>
      </c>
      <c r="E941" s="14" t="s">
        <v>2651</v>
      </c>
      <c r="F941" s="14" t="s">
        <v>184</v>
      </c>
      <c r="G941" s="25" t="str">
        <f>HYPERLINK("http://vk.com/wall711822206_808")</f>
      </c>
      <c r="H941" s="14" t="s">
        <v>170</v>
      </c>
      <c r="I941" s="14" t="s">
        <v>171</v>
      </c>
      <c r="J941" s="14" t="s">
        <v>2652</v>
      </c>
      <c r="K941" s="26" t="str">
        <f>HYPERLINK("http://vk.com/id711822206")</f>
      </c>
      <c r="L941" s="14" t="s">
        <v>173</v>
      </c>
      <c r="O941" s="1" t="s">
        <v>186</v>
      </c>
      <c r="P941" s="1" t="n">
        <v>39</v>
      </c>
      <c r="Q941" s="1" t="n">
        <v>34</v>
      </c>
      <c r="R941" s="1" t="n">
        <v>0</v>
      </c>
      <c r="S941" s="1"/>
      <c r="T941" s="1" t="n">
        <v>0</v>
      </c>
      <c r="U941" s="1" t="n">
        <v>0</v>
      </c>
      <c r="V941" s="1" t="n">
        <v>0</v>
      </c>
      <c r="W941" s="1" t="n">
        <v>2</v>
      </c>
      <c r="Y941" s="1" t="n">
        <v>1</v>
      </c>
      <c r="Z941" s="0" t="s">
        <v>175</v>
      </c>
      <c r="AA941" s="0" t="s">
        <v>187</v>
      </c>
      <c r="AH941" s="0" t="s">
        <v>180</v>
      </c>
      <c r="AJ941" s="0" t="s">
        <v>437</v>
      </c>
      <c r="AK941" s="0" t="s">
        <v>94</v>
      </c>
      <c r="AL941" s="0" t="s">
        <v>95</v>
      </c>
      <c r="AU941" s="0" t="s">
        <v>104</v>
      </c>
      <c r="BA941" s="0" t="s">
        <v>110</v>
      </c>
    </row>
    <row r="942" ht="24.75">
      <c r="B942" s="0" t="s">
        <v>2653</v>
      </c>
      <c r="C942" s="1" t="n">
        <v>354121</v>
      </c>
      <c r="E942" s="14" t="s">
        <v>440</v>
      </c>
      <c r="F942" s="14" t="s">
        <v>169</v>
      </c>
      <c r="G942" s="25" t="str">
        <f>HYPERLINK("http://www.ok.ru/profile/570355273330/statuses/156143575398514")</f>
      </c>
      <c r="H942" s="14" t="s">
        <v>170</v>
      </c>
      <c r="I942" s="14" t="s">
        <v>171</v>
      </c>
      <c r="J942" s="14" t="s">
        <v>2654</v>
      </c>
      <c r="K942" s="26" t="str">
        <f>HYPERLINK("http://www.ok.ru/profile/570355273330")</f>
      </c>
      <c r="L942" s="14" t="s">
        <v>173</v>
      </c>
      <c r="O942" s="1" t="s">
        <v>174</v>
      </c>
      <c r="P942" s="1" t="n">
        <v>65</v>
      </c>
      <c r="Q942" s="1" t="n">
        <v>249</v>
      </c>
      <c r="R942" s="1" t="n">
        <v>0</v>
      </c>
      <c r="S942" s="1"/>
      <c r="T942" s="1" t="n">
        <v>0</v>
      </c>
      <c r="U942" s="1" t="n">
        <v>0</v>
      </c>
      <c r="V942" s="1" t="n">
        <v>0</v>
      </c>
      <c r="W942" s="1"/>
      <c r="Y942" s="1" t="n">
        <v>17</v>
      </c>
      <c r="Z942" s="0" t="s">
        <v>175</v>
      </c>
      <c r="AA942" s="0" t="s">
        <v>176</v>
      </c>
      <c r="AC942" s="0" t="s">
        <v>177</v>
      </c>
      <c r="AD942" s="0" t="s">
        <v>2476</v>
      </c>
      <c r="AE942" s="0" t="s">
        <v>2655</v>
      </c>
      <c r="AH942" s="0" t="s">
        <v>180</v>
      </c>
      <c r="AJ942" s="0" t="s">
        <v>181</v>
      </c>
      <c r="AK942" s="0" t="s">
        <v>94</v>
      </c>
      <c r="AM942" s="0" t="s">
        <v>96</v>
      </c>
      <c r="AN942" s="0" t="s">
        <v>97</v>
      </c>
      <c r="AO942" s="0" t="s">
        <v>98</v>
      </c>
      <c r="AQ942" s="0" t="s">
        <v>100</v>
      </c>
      <c r="AS942" s="0" t="s">
        <v>102</v>
      </c>
      <c r="AW942" s="0" t="s">
        <v>106</v>
      </c>
      <c r="BB942" s="0" t="s">
        <v>111</v>
      </c>
      <c r="BG942" s="0" t="s">
        <v>116</v>
      </c>
      <c r="BL942" s="0" t="s">
        <v>121</v>
      </c>
      <c r="BM942" s="0" t="s">
        <v>122</v>
      </c>
      <c r="BQ942" s="0" t="s">
        <v>126</v>
      </c>
    </row>
    <row r="943">
      <c r="B943" s="0" t="s">
        <v>2653</v>
      </c>
      <c r="C943" s="1" t="n">
        <v>352549</v>
      </c>
      <c r="E943" s="14" t="s">
        <v>2656</v>
      </c>
      <c r="F943" s="14" t="s">
        <v>192</v>
      </c>
      <c r="G943" s="25" t="str">
        <f>HYPERLINK("https://telegram.me/kambuland/1807581")</f>
      </c>
      <c r="H943" s="14" t="s">
        <v>193</v>
      </c>
      <c r="I943" s="14" t="s">
        <v>194</v>
      </c>
      <c r="J943" s="14" t="s">
        <v>2657</v>
      </c>
      <c r="K943" s="26" t="str">
        <f>HYPERLINK("https://telegram.me/businkaaaa1")</f>
      </c>
      <c r="L943" s="14" t="s">
        <v>173</v>
      </c>
      <c r="M943" s="14" t="s">
        <v>2658</v>
      </c>
      <c r="N943" s="25" t="str">
        <f>HYPERLINK("https://telegram.me/kambuland")</f>
      </c>
      <c r="O943" s="1"/>
      <c r="P943" s="1"/>
      <c r="Q943" s="1" t="n">
        <v>573</v>
      </c>
      <c r="R943" s="1" t="n">
        <v>0</v>
      </c>
      <c r="S943" s="1"/>
      <c r="T943" s="1" t="n">
        <v>0</v>
      </c>
      <c r="U943" s="1" t="n">
        <v>0</v>
      </c>
      <c r="V943" s="1" t="n">
        <v>0</v>
      </c>
      <c r="W943" s="1"/>
      <c r="Y943" s="1" t="n">
        <v>1</v>
      </c>
      <c r="Z943" s="0" t="s">
        <v>175</v>
      </c>
      <c r="AA943" s="0" t="s">
        <v>187</v>
      </c>
      <c r="AH943" s="0" t="s">
        <v>180</v>
      </c>
      <c r="AJ943" s="0" t="s">
        <v>437</v>
      </c>
      <c r="AK943" s="0" t="s">
        <v>94</v>
      </c>
      <c r="AL943" s="0" t="s">
        <v>95</v>
      </c>
      <c r="AN943" s="0" t="s">
        <v>97</v>
      </c>
      <c r="AT943" s="0" t="s">
        <v>103</v>
      </c>
      <c r="BG943" s="0" t="s">
        <v>116</v>
      </c>
      <c r="BJ943" s="0" t="s">
        <v>119</v>
      </c>
    </row>
    <row r="944" ht="24.75">
      <c r="B944" s="0" t="s">
        <v>2659</v>
      </c>
      <c r="C944" s="1" t="n">
        <v>352595</v>
      </c>
      <c r="E944" s="14" t="s">
        <v>296</v>
      </c>
      <c r="F944" s="14" t="s">
        <v>184</v>
      </c>
      <c r="G944" s="25" t="str">
        <f>HYPERLINK("http://vk.com/wall334113888_3243")</f>
      </c>
      <c r="H944" s="14" t="s">
        <v>170</v>
      </c>
      <c r="I944" s="14" t="s">
        <v>171</v>
      </c>
      <c r="J944" s="14" t="s">
        <v>2660</v>
      </c>
      <c r="K944" s="26" t="str">
        <f>HYPERLINK("http://vk.com/id334113888")</f>
      </c>
      <c r="L944" s="14" t="s">
        <v>173</v>
      </c>
      <c r="O944" s="1" t="s">
        <v>186</v>
      </c>
      <c r="P944" s="1"/>
      <c r="Q944" s="1" t="n">
        <v>70</v>
      </c>
      <c r="R944" s="1" t="n">
        <v>0</v>
      </c>
      <c r="S944" s="1"/>
      <c r="T944" s="1" t="n">
        <v>0</v>
      </c>
      <c r="U944" s="1" t="n">
        <v>0</v>
      </c>
      <c r="V944" s="1" t="n">
        <v>0</v>
      </c>
      <c r="W944" s="1"/>
      <c r="Y944" s="1" t="n">
        <v>93</v>
      </c>
      <c r="Z944" s="0" t="s">
        <v>175</v>
      </c>
      <c r="AA944" s="0" t="s">
        <v>187</v>
      </c>
      <c r="AC944" s="0" t="s">
        <v>177</v>
      </c>
      <c r="AD944" s="0" t="s">
        <v>240</v>
      </c>
      <c r="AE944" s="0" t="s">
        <v>240</v>
      </c>
      <c r="AH944" s="0" t="s">
        <v>180</v>
      </c>
      <c r="AJ944" s="0" t="s">
        <v>437</v>
      </c>
      <c r="AK944" s="0" t="s">
        <v>94</v>
      </c>
      <c r="AL944" s="0" t="s">
        <v>95</v>
      </c>
      <c r="AM944" s="0" t="s">
        <v>96</v>
      </c>
      <c r="AU944" s="0" t="s">
        <v>104</v>
      </c>
      <c r="AV944" s="0" t="s">
        <v>105</v>
      </c>
    </row>
    <row r="945" ht="24.75">
      <c r="B945" s="0" t="s">
        <v>2661</v>
      </c>
      <c r="C945" s="1" t="n">
        <v>352936</v>
      </c>
      <c r="E945" s="14" t="s">
        <v>554</v>
      </c>
      <c r="F945" s="14" t="s">
        <v>169</v>
      </c>
      <c r="G945" s="25" t="str">
        <f>HYPERLINK("http://www.ok.ru/profile/561109512961/statuses/154791073317633")</f>
      </c>
      <c r="H945" s="14" t="s">
        <v>170</v>
      </c>
      <c r="I945" s="14" t="s">
        <v>171</v>
      </c>
      <c r="J945" s="14" t="s">
        <v>2662</v>
      </c>
      <c r="K945" s="26" t="str">
        <f>HYPERLINK("http://www.ok.ru/profile/561109512961")</f>
      </c>
      <c r="L945" s="14" t="s">
        <v>173</v>
      </c>
      <c r="O945" s="1" t="s">
        <v>186</v>
      </c>
      <c r="P945" s="1" t="n">
        <v>53</v>
      </c>
      <c r="Q945" s="1" t="n">
        <v>89</v>
      </c>
      <c r="R945" s="1" t="n">
        <v>0</v>
      </c>
      <c r="S945" s="1"/>
      <c r="T945" s="1" t="n">
        <v>0</v>
      </c>
      <c r="U945" s="1" t="n">
        <v>0</v>
      </c>
      <c r="V945" s="1" t="n">
        <v>0</v>
      </c>
      <c r="W945" s="1"/>
      <c r="Y945" s="1" t="n">
        <v>59</v>
      </c>
      <c r="Z945" s="0" t="s">
        <v>175</v>
      </c>
      <c r="AA945" s="0" t="s">
        <v>176</v>
      </c>
      <c r="AC945" s="0" t="s">
        <v>177</v>
      </c>
      <c r="AD945" s="0" t="s">
        <v>1051</v>
      </c>
      <c r="AE945" s="0" t="s">
        <v>2663</v>
      </c>
      <c r="AH945" s="0" t="s">
        <v>180</v>
      </c>
      <c r="AJ945" s="0" t="s">
        <v>437</v>
      </c>
      <c r="AK945" s="0" t="s">
        <v>94</v>
      </c>
      <c r="AL945" s="0" t="s">
        <v>95</v>
      </c>
      <c r="AM945" s="0" t="s">
        <v>96</v>
      </c>
      <c r="AO945" s="0" t="s">
        <v>98</v>
      </c>
      <c r="AQ945" s="0" t="s">
        <v>100</v>
      </c>
    </row>
    <row r="946" ht="24.75">
      <c r="B946" s="0" t="s">
        <v>2664</v>
      </c>
      <c r="C946" s="1" t="n">
        <v>352759</v>
      </c>
      <c r="E946" s="14" t="s">
        <v>1102</v>
      </c>
      <c r="F946" s="14" t="s">
        <v>169</v>
      </c>
      <c r="G946" s="25" t="str">
        <f>HYPERLINK("http://www.ok.ru/profile/107852049988/statuses/155466883142980")</f>
      </c>
      <c r="H946" s="14" t="s">
        <v>170</v>
      </c>
      <c r="I946" s="14" t="s">
        <v>171</v>
      </c>
      <c r="J946" s="14" t="s">
        <v>2665</v>
      </c>
      <c r="K946" s="26" t="str">
        <f>HYPERLINK("http://www.ok.ru/profile/107852049988")</f>
      </c>
      <c r="L946" s="14" t="s">
        <v>173</v>
      </c>
      <c r="O946" s="1" t="s">
        <v>186</v>
      </c>
      <c r="P946" s="1"/>
      <c r="Q946" s="1" t="n">
        <v>84</v>
      </c>
      <c r="R946" s="1" t="n">
        <v>0</v>
      </c>
      <c r="S946" s="1"/>
      <c r="T946" s="1" t="n">
        <v>1</v>
      </c>
      <c r="U946" s="1" t="n">
        <v>1</v>
      </c>
      <c r="V946" s="1" t="n">
        <v>2</v>
      </c>
      <c r="W946" s="1"/>
      <c r="Y946" s="1" t="n">
        <v>93</v>
      </c>
      <c r="Z946" s="0" t="s">
        <v>175</v>
      </c>
      <c r="AA946" s="0" t="s">
        <v>187</v>
      </c>
      <c r="AC946" s="0" t="s">
        <v>177</v>
      </c>
      <c r="AD946" s="0" t="s">
        <v>332</v>
      </c>
      <c r="AE946" s="0" t="s">
        <v>332</v>
      </c>
      <c r="AH946" s="0" t="s">
        <v>180</v>
      </c>
      <c r="AJ946" s="0" t="s">
        <v>437</v>
      </c>
      <c r="AK946" s="0" t="s">
        <v>94</v>
      </c>
      <c r="AL946" s="0" t="s">
        <v>95</v>
      </c>
      <c r="AM946" s="0" t="s">
        <v>96</v>
      </c>
      <c r="AU946" s="0" t="s">
        <v>104</v>
      </c>
      <c r="AV946" s="0" t="s">
        <v>105</v>
      </c>
    </row>
    <row r="947" ht="1164.75">
      <c r="B947" s="0" t="s">
        <v>2666</v>
      </c>
      <c r="C947" s="1" t="n">
        <v>352587</v>
      </c>
      <c r="E947" s="14" t="s">
        <v>269</v>
      </c>
      <c r="F947" s="14" t="s">
        <v>184</v>
      </c>
      <c r="G947" s="25" t="str">
        <f>HYPERLINK("http://vk.com/wall429394158_460")</f>
      </c>
      <c r="H947" s="14" t="s">
        <v>170</v>
      </c>
      <c r="I947" s="14" t="s">
        <v>171</v>
      </c>
      <c r="J947" s="14" t="s">
        <v>2667</v>
      </c>
      <c r="K947" s="26" t="str">
        <f>HYPERLINK("http://vk.com/id429394158")</f>
      </c>
      <c r="L947" s="14" t="s">
        <v>173</v>
      </c>
      <c r="O947" s="1" t="s">
        <v>186</v>
      </c>
      <c r="P947" s="1" t="n">
        <v>48</v>
      </c>
      <c r="Q947" s="1" t="n">
        <v>102</v>
      </c>
      <c r="R947" s="1" t="n">
        <v>0</v>
      </c>
      <c r="S947" s="1"/>
      <c r="T947" s="1" t="n">
        <v>0</v>
      </c>
      <c r="U947" s="1" t="n">
        <v>0</v>
      </c>
      <c r="V947" s="1" t="n">
        <v>0</v>
      </c>
      <c r="W947" s="1" t="n">
        <v>1</v>
      </c>
      <c r="Y947" s="1" t="n">
        <v>24</v>
      </c>
      <c r="Z947" s="0" t="s">
        <v>175</v>
      </c>
      <c r="AA947" s="0" t="s">
        <v>187</v>
      </c>
      <c r="AH947" s="0" t="s">
        <v>180</v>
      </c>
      <c r="AJ947" s="0" t="s">
        <v>437</v>
      </c>
      <c r="AK947" s="0" t="s">
        <v>94</v>
      </c>
      <c r="AL947" s="0" t="s">
        <v>95</v>
      </c>
      <c r="AM947" s="0" t="s">
        <v>96</v>
      </c>
      <c r="AX947" s="0" t="s">
        <v>107</v>
      </c>
    </row>
    <row r="948" ht="36.75">
      <c r="B948" s="0" t="s">
        <v>2668</v>
      </c>
      <c r="C948" s="1" t="n">
        <v>353337</v>
      </c>
      <c r="E948" s="14" t="s">
        <v>1189</v>
      </c>
      <c r="F948" s="14" t="s">
        <v>169</v>
      </c>
      <c r="G948" s="25" t="str">
        <f>HYPERLINK("http://www.ok.ru/profile/538784157950/statuses/155116689343998")</f>
      </c>
      <c r="H948" s="14" t="s">
        <v>170</v>
      </c>
      <c r="I948" s="14" t="s">
        <v>171</v>
      </c>
      <c r="J948" s="14" t="s">
        <v>2669</v>
      </c>
      <c r="K948" s="26" t="str">
        <f>HYPERLINK("http://www.ok.ru/profile/538784157950")</f>
      </c>
      <c r="L948" s="14" t="s">
        <v>173</v>
      </c>
      <c r="O948" s="1" t="s">
        <v>186</v>
      </c>
      <c r="P948" s="1" t="n">
        <v>61</v>
      </c>
      <c r="Q948" s="1" t="n">
        <v>338</v>
      </c>
      <c r="R948" s="1" t="n">
        <v>0</v>
      </c>
      <c r="S948" s="1"/>
      <c r="T948" s="1" t="n">
        <v>0</v>
      </c>
      <c r="U948" s="1" t="n">
        <v>2</v>
      </c>
      <c r="V948" s="1" t="n">
        <v>2</v>
      </c>
      <c r="W948" s="1"/>
      <c r="Y948" s="1" t="n">
        <v>46</v>
      </c>
      <c r="Z948" s="0" t="s">
        <v>175</v>
      </c>
      <c r="AA948" s="0" t="s">
        <v>187</v>
      </c>
      <c r="AC948" s="0" t="s">
        <v>177</v>
      </c>
      <c r="AD948" s="0" t="s">
        <v>2670</v>
      </c>
      <c r="AE948" s="0" t="s">
        <v>2671</v>
      </c>
      <c r="AH948" s="0" t="s">
        <v>180</v>
      </c>
      <c r="AJ948" s="0" t="s">
        <v>437</v>
      </c>
      <c r="AK948" s="0" t="s">
        <v>94</v>
      </c>
      <c r="AL948" s="0" t="s">
        <v>95</v>
      </c>
      <c r="AM948" s="0" t="s">
        <v>96</v>
      </c>
      <c r="AO948" s="0" t="s">
        <v>98</v>
      </c>
      <c r="AQ948" s="0" t="s">
        <v>100</v>
      </c>
    </row>
    <row r="949" ht="96.75">
      <c r="B949" s="0" t="s">
        <v>2668</v>
      </c>
      <c r="C949" s="1" t="n">
        <v>352926</v>
      </c>
      <c r="E949" s="14" t="s">
        <v>1049</v>
      </c>
      <c r="F949" s="14" t="s">
        <v>169</v>
      </c>
      <c r="G949" s="25" t="str">
        <f>HYPERLINK("http://www.ok.ru/profile/555185999326/statuses/154821646672094")</f>
      </c>
      <c r="H949" s="14" t="s">
        <v>170</v>
      </c>
      <c r="I949" s="14" t="s">
        <v>171</v>
      </c>
      <c r="J949" s="14" t="s">
        <v>2672</v>
      </c>
      <c r="K949" s="26" t="str">
        <f>HYPERLINK("http://www.ok.ru/profile/555185999326")</f>
      </c>
      <c r="L949" s="14" t="s">
        <v>173</v>
      </c>
      <c r="O949" s="1" t="s">
        <v>186</v>
      </c>
      <c r="P949" s="1" t="n">
        <v>66</v>
      </c>
      <c r="Q949" s="1" t="n">
        <v>52</v>
      </c>
      <c r="R949" s="1" t="n">
        <v>0</v>
      </c>
      <c r="S949" s="1"/>
      <c r="T949" s="1" t="n">
        <v>0</v>
      </c>
      <c r="U949" s="1" t="n">
        <v>0</v>
      </c>
      <c r="V949" s="1" t="n">
        <v>0</v>
      </c>
      <c r="W949" s="1"/>
      <c r="Y949" s="1" t="n">
        <v>6</v>
      </c>
      <c r="Z949" s="0" t="s">
        <v>175</v>
      </c>
      <c r="AA949" s="0" t="s">
        <v>187</v>
      </c>
      <c r="AC949" s="0" t="s">
        <v>177</v>
      </c>
      <c r="AD949" s="0" t="s">
        <v>332</v>
      </c>
      <c r="AE949" s="0" t="s">
        <v>332</v>
      </c>
      <c r="AH949" s="0" t="s">
        <v>180</v>
      </c>
      <c r="AJ949" s="0" t="s">
        <v>437</v>
      </c>
      <c r="AK949" s="0" t="s">
        <v>94</v>
      </c>
      <c r="AL949" s="0" t="s">
        <v>95</v>
      </c>
      <c r="AU949" s="0" t="s">
        <v>104</v>
      </c>
      <c r="BA949" s="0" t="s">
        <v>110</v>
      </c>
      <c r="BJ949" s="0" t="s">
        <v>119</v>
      </c>
    </row>
    <row r="950" ht="108.75">
      <c r="B950" s="0" t="s">
        <v>2668</v>
      </c>
      <c r="C950" s="1" t="n">
        <v>352588</v>
      </c>
      <c r="E950" s="14" t="s">
        <v>529</v>
      </c>
      <c r="F950" s="14" t="s">
        <v>184</v>
      </c>
      <c r="G950" s="25" t="str">
        <f>HYPERLINK("http://vk.com/wall101336173_6983")</f>
      </c>
      <c r="H950" s="14" t="s">
        <v>170</v>
      </c>
      <c r="I950" s="14" t="s">
        <v>171</v>
      </c>
      <c r="J950" s="14" t="s">
        <v>2673</v>
      </c>
      <c r="K950" s="26" t="str">
        <f>HYPERLINK("http://vk.com/id101336173")</f>
      </c>
      <c r="L950" s="14" t="s">
        <v>173</v>
      </c>
      <c r="O950" s="1" t="s">
        <v>186</v>
      </c>
      <c r="P950" s="1" t="n">
        <v>53</v>
      </c>
      <c r="Q950" s="1" t="n">
        <v>2718</v>
      </c>
      <c r="R950" s="1" t="n">
        <v>0</v>
      </c>
      <c r="S950" s="1"/>
      <c r="T950" s="1" t="n">
        <v>0</v>
      </c>
      <c r="U950" s="1" t="n">
        <v>2</v>
      </c>
      <c r="V950" s="1" t="n">
        <v>2</v>
      </c>
      <c r="W950" s="1" t="n">
        <v>5</v>
      </c>
      <c r="Y950" s="1" t="n">
        <v>9</v>
      </c>
      <c r="Z950" s="0" t="s">
        <v>175</v>
      </c>
      <c r="AA950" s="0" t="s">
        <v>292</v>
      </c>
      <c r="AC950" s="0" t="s">
        <v>177</v>
      </c>
      <c r="AD950" s="0" t="s">
        <v>332</v>
      </c>
      <c r="AE950" s="0" t="s">
        <v>332</v>
      </c>
      <c r="AH950" s="0" t="s">
        <v>180</v>
      </c>
      <c r="AJ950" s="0" t="s">
        <v>437</v>
      </c>
      <c r="AK950" s="0" t="s">
        <v>94</v>
      </c>
      <c r="AL950" s="0" t="s">
        <v>95</v>
      </c>
      <c r="AR950" s="0" t="s">
        <v>101</v>
      </c>
      <c r="BA950" s="0" t="s">
        <v>110</v>
      </c>
      <c r="BF950" s="0" t="s">
        <v>115</v>
      </c>
    </row>
    <row r="951">
      <c r="B951" s="0" t="s">
        <v>2674</v>
      </c>
      <c r="C951" s="1" t="n">
        <v>352623</v>
      </c>
      <c r="E951" s="14" t="s">
        <v>1349</v>
      </c>
      <c r="F951" s="14" t="s">
        <v>169</v>
      </c>
      <c r="G951" s="25" t="str">
        <f>HYPERLINK("http://www.ok.ru/profile/522467744604/statuses/155004084297052")</f>
      </c>
      <c r="H951" s="14" t="s">
        <v>170</v>
      </c>
      <c r="I951" s="14" t="s">
        <v>194</v>
      </c>
      <c r="J951" s="14" t="s">
        <v>2675</v>
      </c>
      <c r="K951" s="26" t="str">
        <f>HYPERLINK("http://www.ok.ru/profile/522467744604")</f>
      </c>
      <c r="L951" s="14" t="s">
        <v>173</v>
      </c>
      <c r="O951" s="1" t="s">
        <v>174</v>
      </c>
      <c r="P951" s="1"/>
      <c r="Q951" s="1" t="n">
        <v>6077</v>
      </c>
      <c r="R951" s="1" t="n">
        <v>0</v>
      </c>
      <c r="S951" s="1"/>
      <c r="T951" s="1" t="n">
        <v>0</v>
      </c>
      <c r="U951" s="1" t="n">
        <v>2</v>
      </c>
      <c r="V951" s="1" t="n">
        <v>2</v>
      </c>
      <c r="W951" s="1"/>
      <c r="Y951" s="1" t="n">
        <v>15</v>
      </c>
      <c r="Z951" s="0" t="s">
        <v>175</v>
      </c>
      <c r="AA951" s="0" t="s">
        <v>187</v>
      </c>
      <c r="AC951" s="0" t="s">
        <v>177</v>
      </c>
      <c r="AD951" s="0" t="s">
        <v>2591</v>
      </c>
      <c r="AE951" s="0" t="s">
        <v>2676</v>
      </c>
      <c r="AH951" s="0" t="s">
        <v>180</v>
      </c>
      <c r="AJ951" s="0" t="s">
        <v>437</v>
      </c>
      <c r="AK951" s="0" t="s">
        <v>94</v>
      </c>
      <c r="AL951" s="0" t="s">
        <v>95</v>
      </c>
      <c r="AM951" s="0" t="s">
        <v>96</v>
      </c>
      <c r="AX951" s="0" t="s">
        <v>107</v>
      </c>
      <c r="BF951" s="0" t="s">
        <v>115</v>
      </c>
      <c r="BR951" s="0" t="s">
        <v>127</v>
      </c>
    </row>
    <row r="952">
      <c r="B952" s="0" t="s">
        <v>2677</v>
      </c>
      <c r="C952" s="1" t="n">
        <v>352534</v>
      </c>
      <c r="E952" s="14" t="s">
        <v>2678</v>
      </c>
      <c r="F952" s="14" t="s">
        <v>184</v>
      </c>
      <c r="G952" s="25" t="str">
        <f>HYPERLINK("http://vk.com/wall-217202374_1102?reply=1136")</f>
      </c>
      <c r="H952" s="14" t="s">
        <v>170</v>
      </c>
      <c r="I952" s="14" t="s">
        <v>231</v>
      </c>
      <c r="J952" s="14" t="s">
        <v>2679</v>
      </c>
      <c r="K952" s="26" t="str">
        <f>HYPERLINK("http://vk.com/id373028665")</f>
      </c>
      <c r="L952" s="14" t="s">
        <v>173</v>
      </c>
      <c r="M952" s="14" t="s">
        <v>2680</v>
      </c>
      <c r="N952" s="25" t="str">
        <f>HYPERLINK("http://vk.com/club217202374")</f>
      </c>
      <c r="O952" s="1" t="s">
        <v>186</v>
      </c>
      <c r="P952" s="1"/>
      <c r="Q952" s="1" t="n">
        <v>633</v>
      </c>
      <c r="R952" s="1" t="n">
        <v>0</v>
      </c>
      <c r="S952" s="1"/>
      <c r="T952" s="1" t="n">
        <v>0</v>
      </c>
      <c r="U952" s="1" t="n">
        <v>0</v>
      </c>
      <c r="V952" s="1" t="n">
        <v>0</v>
      </c>
      <c r="W952" s="1"/>
      <c r="Y952" s="1" t="n">
        <v>1</v>
      </c>
      <c r="Z952" s="0" t="s">
        <v>319</v>
      </c>
      <c r="AA952" s="0" t="s">
        <v>292</v>
      </c>
      <c r="AC952" s="0" t="s">
        <v>177</v>
      </c>
      <c r="AD952" s="0" t="s">
        <v>246</v>
      </c>
      <c r="AE952" s="0" t="s">
        <v>2681</v>
      </c>
      <c r="AH952" s="0" t="s">
        <v>180</v>
      </c>
      <c r="AJ952" s="0" t="s">
        <v>437</v>
      </c>
      <c r="AK952" s="0" t="s">
        <v>94</v>
      </c>
      <c r="AL952" s="0" t="s">
        <v>95</v>
      </c>
      <c r="AN952" s="0" t="s">
        <v>97</v>
      </c>
      <c r="AO952" s="0" t="s">
        <v>98</v>
      </c>
      <c r="AS952" s="0" t="s">
        <v>102</v>
      </c>
      <c r="AY952" s="0" t="s">
        <v>108</v>
      </c>
      <c r="BI952" s="0" t="s">
        <v>118</v>
      </c>
      <c r="BZ952" s="0" t="s">
        <v>135</v>
      </c>
    </row>
    <row r="953" ht="1164.75">
      <c r="B953" s="0" t="s">
        <v>2677</v>
      </c>
      <c r="C953" s="1" t="n">
        <v>352590</v>
      </c>
      <c r="E953" s="14" t="s">
        <v>269</v>
      </c>
      <c r="F953" s="14" t="s">
        <v>184</v>
      </c>
      <c r="G953" s="25" t="str">
        <f>HYPERLINK("http://vk.com/wall561718327_8549")</f>
      </c>
      <c r="H953" s="14" t="s">
        <v>170</v>
      </c>
      <c r="I953" s="14" t="s">
        <v>171</v>
      </c>
      <c r="J953" s="14" t="s">
        <v>2682</v>
      </c>
      <c r="K953" s="26" t="str">
        <f>HYPERLINK("http://vk.com/id561718327")</f>
      </c>
      <c r="L953" s="14" t="s">
        <v>173</v>
      </c>
      <c r="O953" s="1" t="s">
        <v>186</v>
      </c>
      <c r="P953" s="1" t="n">
        <v>59</v>
      </c>
      <c r="Q953" s="1" t="n">
        <v>45</v>
      </c>
      <c r="R953" s="1" t="n">
        <v>0</v>
      </c>
      <c r="S953" s="1"/>
      <c r="T953" s="1" t="n">
        <v>0</v>
      </c>
      <c r="U953" s="1" t="n">
        <v>0</v>
      </c>
      <c r="V953" s="1" t="n">
        <v>0</v>
      </c>
      <c r="W953" s="1" t="n">
        <v>2</v>
      </c>
      <c r="Y953" s="1" t="n">
        <v>24</v>
      </c>
      <c r="Z953" s="0" t="s">
        <v>175</v>
      </c>
      <c r="AA953" s="0" t="s">
        <v>187</v>
      </c>
      <c r="AC953" s="0" t="s">
        <v>177</v>
      </c>
      <c r="AH953" s="0" t="s">
        <v>180</v>
      </c>
      <c r="AJ953" s="0" t="s">
        <v>437</v>
      </c>
      <c r="AK953" s="0" t="s">
        <v>94</v>
      </c>
      <c r="AL953" s="0" t="s">
        <v>95</v>
      </c>
      <c r="AM953" s="0" t="s">
        <v>96</v>
      </c>
      <c r="AX953" s="0" t="s">
        <v>107</v>
      </c>
    </row>
    <row r="954" ht="720.75">
      <c r="B954" s="0" t="s">
        <v>2683</v>
      </c>
      <c r="C954" s="1" t="n">
        <v>352975</v>
      </c>
      <c r="E954" s="14" t="s">
        <v>1811</v>
      </c>
      <c r="F954" s="14" t="s">
        <v>169</v>
      </c>
      <c r="G954" s="25" t="str">
        <f>HYPERLINK("http://www.ok.ru/profile/520207415013/statuses/155347796030437")</f>
      </c>
      <c r="H954" s="14" t="s">
        <v>170</v>
      </c>
      <c r="I954" s="14" t="s">
        <v>171</v>
      </c>
      <c r="J954" s="14" t="s">
        <v>2684</v>
      </c>
      <c r="K954" s="26" t="str">
        <f>HYPERLINK("http://www.ok.ru/profile/520207415013")</f>
      </c>
      <c r="L954" s="14" t="s">
        <v>173</v>
      </c>
      <c r="O954" s="1" t="s">
        <v>174</v>
      </c>
      <c r="P954" s="1" t="n">
        <v>74</v>
      </c>
      <c r="Q954" s="1" t="n">
        <v>280</v>
      </c>
      <c r="R954" s="1" t="n">
        <v>0</v>
      </c>
      <c r="S954" s="1"/>
      <c r="T954" s="1" t="n">
        <v>0</v>
      </c>
      <c r="U954" s="1" t="n">
        <v>0</v>
      </c>
      <c r="V954" s="1" t="n">
        <v>0</v>
      </c>
      <c r="W954" s="1"/>
      <c r="Y954" s="1" t="n">
        <v>13</v>
      </c>
      <c r="Z954" s="0" t="s">
        <v>175</v>
      </c>
      <c r="AA954" s="0" t="s">
        <v>176</v>
      </c>
      <c r="AC954" s="0" t="s">
        <v>177</v>
      </c>
      <c r="AD954" s="0" t="s">
        <v>2685</v>
      </c>
      <c r="AE954" s="0" t="s">
        <v>2686</v>
      </c>
      <c r="AH954" s="0" t="s">
        <v>180</v>
      </c>
      <c r="AJ954" s="0" t="s">
        <v>437</v>
      </c>
      <c r="AK954" s="0" t="s">
        <v>94</v>
      </c>
      <c r="AL954" s="0" t="s">
        <v>95</v>
      </c>
      <c r="AR954" s="0" t="s">
        <v>101</v>
      </c>
      <c r="BA954" s="0" t="s">
        <v>110</v>
      </c>
      <c r="BF954" s="0" t="s">
        <v>115</v>
      </c>
    </row>
    <row r="955" ht="1248.75">
      <c r="B955" s="0" t="s">
        <v>2687</v>
      </c>
      <c r="C955" s="1" t="n">
        <v>352887</v>
      </c>
      <c r="E955" s="14" t="s">
        <v>1253</v>
      </c>
      <c r="F955" s="14" t="s">
        <v>169</v>
      </c>
      <c r="G955" s="25" t="str">
        <f>HYPERLINK("http://www.ok.ru/profile/555799572736/statuses/160956185708544")</f>
      </c>
      <c r="H955" s="14" t="s">
        <v>170</v>
      </c>
      <c r="I955" s="14" t="s">
        <v>171</v>
      </c>
      <c r="J955" s="14" t="s">
        <v>2688</v>
      </c>
      <c r="K955" s="26" t="str">
        <f>HYPERLINK("http://www.ok.ru/profile/555799572736")</f>
      </c>
      <c r="L955" s="14" t="s">
        <v>173</v>
      </c>
      <c r="O955" s="1" t="s">
        <v>186</v>
      </c>
      <c r="P955" s="1" t="n">
        <v>74</v>
      </c>
      <c r="Q955" s="1" t="n">
        <v>267</v>
      </c>
      <c r="R955" s="1" t="n">
        <v>0</v>
      </c>
      <c r="S955" s="1"/>
      <c r="T955" s="1" t="n">
        <v>0</v>
      </c>
      <c r="U955" s="1" t="n">
        <v>2</v>
      </c>
      <c r="V955" s="1" t="n">
        <v>2</v>
      </c>
      <c r="W955" s="1"/>
      <c r="Y955" s="1" t="n">
        <v>5</v>
      </c>
      <c r="Z955" s="0" t="s">
        <v>175</v>
      </c>
      <c r="AA955" s="0" t="s">
        <v>187</v>
      </c>
      <c r="AC955" s="0" t="s">
        <v>177</v>
      </c>
      <c r="AD955" s="0" t="s">
        <v>1382</v>
      </c>
      <c r="AE955" s="0" t="s">
        <v>2689</v>
      </c>
      <c r="AH955" s="0" t="s">
        <v>180</v>
      </c>
      <c r="AJ955" s="0" t="s">
        <v>437</v>
      </c>
      <c r="AK955" s="0" t="s">
        <v>94</v>
      </c>
      <c r="AL955" s="0" t="s">
        <v>95</v>
      </c>
      <c r="AM955" s="0" t="s">
        <v>96</v>
      </c>
      <c r="AX955" s="0" t="s">
        <v>107</v>
      </c>
    </row>
    <row r="956" ht="24.75">
      <c r="B956" s="0" t="s">
        <v>2687</v>
      </c>
      <c r="C956" s="1" t="n">
        <v>352861</v>
      </c>
      <c r="E956" s="14" t="s">
        <v>1102</v>
      </c>
      <c r="F956" s="14" t="s">
        <v>169</v>
      </c>
      <c r="G956" s="25" t="str">
        <f>HYPERLINK("http://www.ok.ru/profile/582071662120/statuses/155438494063400")</f>
      </c>
      <c r="H956" s="14" t="s">
        <v>170</v>
      </c>
      <c r="I956" s="14" t="s">
        <v>171</v>
      </c>
      <c r="J956" s="14" t="s">
        <v>2690</v>
      </c>
      <c r="K956" s="26" t="str">
        <f>HYPERLINK("http://www.ok.ru/profile/582071662120")</f>
      </c>
      <c r="L956" s="14" t="s">
        <v>173</v>
      </c>
      <c r="O956" s="1" t="s">
        <v>186</v>
      </c>
      <c r="P956" s="1" t="n">
        <v>74</v>
      </c>
      <c r="Q956" s="1" t="n">
        <v>304</v>
      </c>
      <c r="R956" s="1" t="n">
        <v>0</v>
      </c>
      <c r="S956" s="1"/>
      <c r="T956" s="1" t="n">
        <v>0</v>
      </c>
      <c r="U956" s="1" t="n">
        <v>0</v>
      </c>
      <c r="V956" s="1" t="n">
        <v>0</v>
      </c>
      <c r="W956" s="1"/>
      <c r="Y956" s="1" t="n">
        <v>93</v>
      </c>
      <c r="Z956" s="0" t="s">
        <v>175</v>
      </c>
      <c r="AA956" s="0" t="s">
        <v>187</v>
      </c>
      <c r="AC956" s="0" t="s">
        <v>177</v>
      </c>
      <c r="AD956" s="0" t="s">
        <v>1930</v>
      </c>
      <c r="AH956" s="0" t="s">
        <v>180</v>
      </c>
      <c r="AJ956" s="0" t="s">
        <v>437</v>
      </c>
      <c r="AK956" s="0" t="s">
        <v>94</v>
      </c>
      <c r="AL956" s="0" t="s">
        <v>95</v>
      </c>
      <c r="AM956" s="0" t="s">
        <v>96</v>
      </c>
      <c r="AU956" s="0" t="s">
        <v>104</v>
      </c>
      <c r="AV956" s="0" t="s">
        <v>105</v>
      </c>
    </row>
    <row r="957" ht="24.75">
      <c r="B957" s="0" t="s">
        <v>2691</v>
      </c>
      <c r="C957" s="1" t="n">
        <v>352585</v>
      </c>
      <c r="E957" s="14" t="s">
        <v>296</v>
      </c>
      <c r="F957" s="14" t="s">
        <v>184</v>
      </c>
      <c r="G957" s="25" t="str">
        <f>HYPERLINK("http://vk.com/wall387733521_1379")</f>
      </c>
      <c r="H957" s="14" t="s">
        <v>170</v>
      </c>
      <c r="I957" s="14" t="s">
        <v>171</v>
      </c>
      <c r="J957" s="14" t="s">
        <v>2692</v>
      </c>
      <c r="K957" s="26" t="str">
        <f>HYPERLINK("http://vk.com/id387733521")</f>
      </c>
      <c r="L957" s="14" t="s">
        <v>173</v>
      </c>
      <c r="O957" s="1" t="s">
        <v>186</v>
      </c>
      <c r="P957" s="1"/>
      <c r="Q957" s="1" t="n">
        <v>41</v>
      </c>
      <c r="R957" s="1" t="n">
        <v>0</v>
      </c>
      <c r="S957" s="1"/>
      <c r="T957" s="1" t="n">
        <v>0</v>
      </c>
      <c r="U957" s="1" t="n">
        <v>0</v>
      </c>
      <c r="V957" s="1" t="n">
        <v>0</v>
      </c>
      <c r="W957" s="1" t="n">
        <v>1</v>
      </c>
      <c r="Y957" s="1" t="n">
        <v>93</v>
      </c>
      <c r="Z957" s="0" t="s">
        <v>175</v>
      </c>
      <c r="AA957" s="0" t="s">
        <v>187</v>
      </c>
      <c r="AH957" s="0" t="s">
        <v>180</v>
      </c>
      <c r="AJ957" s="0" t="s">
        <v>437</v>
      </c>
      <c r="AK957" s="0" t="s">
        <v>94</v>
      </c>
      <c r="AL957" s="0" t="s">
        <v>95</v>
      </c>
      <c r="AM957" s="0" t="s">
        <v>96</v>
      </c>
      <c r="AU957" s="0" t="s">
        <v>104</v>
      </c>
      <c r="AV957" s="0" t="s">
        <v>105</v>
      </c>
    </row>
    <row r="958" ht="1356.75">
      <c r="B958" s="0" t="s">
        <v>2691</v>
      </c>
      <c r="C958" s="1" t="n">
        <v>352509</v>
      </c>
      <c r="E958" s="14" t="s">
        <v>2693</v>
      </c>
      <c r="F958" s="14" t="s">
        <v>184</v>
      </c>
      <c r="G958" s="25" t="str">
        <f>HYPERLINK("http://vk.com/wall-178308905_324")</f>
      </c>
      <c r="H958" s="14" t="s">
        <v>170</v>
      </c>
      <c r="I958" s="14" t="s">
        <v>171</v>
      </c>
      <c r="J958" s="14" t="s">
        <v>2694</v>
      </c>
      <c r="K958" s="26" t="str">
        <f>HYPERLINK("http://vk.com/club178308905")</f>
      </c>
      <c r="L958" s="14" t="s">
        <v>274</v>
      </c>
      <c r="O958" s="1"/>
      <c r="P958" s="1"/>
      <c r="Q958" s="1" t="n">
        <v>1</v>
      </c>
      <c r="R958" s="1" t="n">
        <v>0</v>
      </c>
      <c r="S958" s="1"/>
      <c r="T958" s="1" t="n">
        <v>0</v>
      </c>
      <c r="U958" s="1" t="n">
        <v>0</v>
      </c>
      <c r="V958" s="1" t="n">
        <v>0</v>
      </c>
      <c r="W958" s="1"/>
      <c r="Y958" s="1" t="n">
        <v>1</v>
      </c>
      <c r="Z958" s="0" t="s">
        <v>175</v>
      </c>
      <c r="AA958" s="0" t="s">
        <v>176</v>
      </c>
      <c r="AH958" s="0" t="s">
        <v>180</v>
      </c>
      <c r="AJ958" s="0" t="s">
        <v>437</v>
      </c>
      <c r="AK958" s="0" t="s">
        <v>94</v>
      </c>
      <c r="AL958" s="0" t="s">
        <v>95</v>
      </c>
      <c r="AM958" s="0" t="s">
        <v>96</v>
      </c>
      <c r="AO958" s="0" t="s">
        <v>98</v>
      </c>
      <c r="AQ958" s="0" t="s">
        <v>100</v>
      </c>
      <c r="AR958" s="0" t="s">
        <v>101</v>
      </c>
    </row>
    <row r="959" ht="36.75">
      <c r="B959" s="0" t="s">
        <v>2695</v>
      </c>
      <c r="C959" s="1" t="n">
        <v>353328</v>
      </c>
      <c r="E959" s="14" t="s">
        <v>210</v>
      </c>
      <c r="F959" s="14" t="s">
        <v>169</v>
      </c>
      <c r="G959" s="25" t="str">
        <f>HYPERLINK("http://www.ok.ru/profile/538742437375/statuses/155234602189055")</f>
      </c>
      <c r="H959" s="14" t="s">
        <v>170</v>
      </c>
      <c r="I959" s="14" t="s">
        <v>171</v>
      </c>
      <c r="J959" s="14" t="s">
        <v>2696</v>
      </c>
      <c r="K959" s="26" t="str">
        <f>HYPERLINK("http://www.ok.ru/profile/538742437375")</f>
      </c>
      <c r="L959" s="14" t="s">
        <v>173</v>
      </c>
      <c r="O959" s="1" t="s">
        <v>174</v>
      </c>
      <c r="P959" s="1" t="n">
        <v>66</v>
      </c>
      <c r="Q959" s="1" t="n">
        <v>328</v>
      </c>
      <c r="R959" s="1" t="n">
        <v>0</v>
      </c>
      <c r="S959" s="1"/>
      <c r="T959" s="1" t="n">
        <v>0</v>
      </c>
      <c r="U959" s="1" t="n">
        <v>1</v>
      </c>
      <c r="V959" s="1" t="n">
        <v>1</v>
      </c>
      <c r="W959" s="1"/>
      <c r="Y959" s="1" t="n">
        <v>2</v>
      </c>
      <c r="Z959" s="0" t="s">
        <v>175</v>
      </c>
      <c r="AA959" s="0" t="s">
        <v>187</v>
      </c>
      <c r="AC959" s="0" t="s">
        <v>177</v>
      </c>
      <c r="AD959" s="0" t="s">
        <v>1073</v>
      </c>
      <c r="AE959" s="0" t="s">
        <v>2697</v>
      </c>
      <c r="AH959" s="0" t="s">
        <v>180</v>
      </c>
      <c r="AJ959" s="0" t="s">
        <v>437</v>
      </c>
      <c r="AK959" s="0" t="s">
        <v>94</v>
      </c>
      <c r="AL959" s="0" t="s">
        <v>95</v>
      </c>
      <c r="AM959" s="0" t="s">
        <v>96</v>
      </c>
      <c r="AX959" s="0" t="s">
        <v>107</v>
      </c>
    </row>
    <row r="960" ht="36.75">
      <c r="B960" s="0" t="s">
        <v>2698</v>
      </c>
      <c r="C960" s="1" t="n">
        <v>352571</v>
      </c>
      <c r="E960" s="14" t="s">
        <v>1218</v>
      </c>
      <c r="F960" s="14" t="s">
        <v>184</v>
      </c>
      <c r="G960" s="25" t="str">
        <f>HYPERLINK("http://vk.com/wall228099412_2344")</f>
      </c>
      <c r="H960" s="14" t="s">
        <v>170</v>
      </c>
      <c r="I960" s="14" t="s">
        <v>171</v>
      </c>
      <c r="J960" s="14" t="s">
        <v>2699</v>
      </c>
      <c r="K960" s="26" t="str">
        <f>HYPERLINK("http://vk.com/id228099412")</f>
      </c>
      <c r="L960" s="14" t="s">
        <v>173</v>
      </c>
      <c r="O960" s="1" t="s">
        <v>186</v>
      </c>
      <c r="P960" s="1"/>
      <c r="Q960" s="1" t="n">
        <v>367</v>
      </c>
      <c r="R960" s="1" t="n">
        <v>0</v>
      </c>
      <c r="S960" s="1"/>
      <c r="T960" s="1" t="n">
        <v>0</v>
      </c>
      <c r="U960" s="1" t="n">
        <v>0</v>
      </c>
      <c r="V960" s="1" t="n">
        <v>0</v>
      </c>
      <c r="W960" s="1" t="n">
        <v>4</v>
      </c>
      <c r="Y960" s="1" t="n">
        <v>9</v>
      </c>
      <c r="Z960" s="0" t="s">
        <v>175</v>
      </c>
      <c r="AA960" s="0" t="s">
        <v>187</v>
      </c>
      <c r="AC960" s="0" t="s">
        <v>177</v>
      </c>
      <c r="AH960" s="0" t="s">
        <v>180</v>
      </c>
      <c r="AJ960" s="0" t="s">
        <v>437</v>
      </c>
      <c r="AK960" s="0" t="s">
        <v>94</v>
      </c>
      <c r="AL960" s="0" t="s">
        <v>95</v>
      </c>
      <c r="AM960" s="0" t="s">
        <v>96</v>
      </c>
      <c r="BC960" s="0" t="s">
        <v>112</v>
      </c>
      <c r="BI960" s="0" t="s">
        <v>118</v>
      </c>
      <c r="BN960" s="0" t="s">
        <v>123</v>
      </c>
    </row>
    <row r="961" ht="24.75">
      <c r="B961" s="0" t="s">
        <v>2700</v>
      </c>
      <c r="C961" s="1" t="n">
        <v>352569</v>
      </c>
      <c r="E961" s="14" t="s">
        <v>296</v>
      </c>
      <c r="F961" s="14" t="s">
        <v>184</v>
      </c>
      <c r="G961" s="25" t="str">
        <f>HYPERLINK("http://vk.com/wall584197107_333")</f>
      </c>
      <c r="H961" s="14" t="s">
        <v>170</v>
      </c>
      <c r="I961" s="14" t="s">
        <v>171</v>
      </c>
      <c r="J961" s="14" t="s">
        <v>2701</v>
      </c>
      <c r="K961" s="26" t="str">
        <f>HYPERLINK("http://vk.com/id584197107")</f>
      </c>
      <c r="L961" s="14" t="s">
        <v>173</v>
      </c>
      <c r="O961" s="1" t="s">
        <v>186</v>
      </c>
      <c r="P961" s="1" t="n">
        <v>49</v>
      </c>
      <c r="Q961" s="1" t="n">
        <v>27</v>
      </c>
      <c r="R961" s="1" t="n">
        <v>0</v>
      </c>
      <c r="S961" s="1"/>
      <c r="T961" s="1" t="n">
        <v>0</v>
      </c>
      <c r="U961" s="1" t="n">
        <v>0</v>
      </c>
      <c r="V961" s="1" t="n">
        <v>0</v>
      </c>
      <c r="W961" s="1" t="n">
        <v>1</v>
      </c>
      <c r="Y961" s="1" t="n">
        <v>93</v>
      </c>
      <c r="Z961" s="0" t="s">
        <v>175</v>
      </c>
      <c r="AA961" s="0" t="s">
        <v>187</v>
      </c>
      <c r="AH961" s="0" t="s">
        <v>180</v>
      </c>
      <c r="AJ961" s="0" t="s">
        <v>437</v>
      </c>
      <c r="AK961" s="0" t="s">
        <v>94</v>
      </c>
      <c r="AL961" s="0" t="s">
        <v>95</v>
      </c>
      <c r="AM961" s="0" t="s">
        <v>96</v>
      </c>
      <c r="AU961" s="0" t="s">
        <v>104</v>
      </c>
      <c r="AV961" s="0" t="s">
        <v>105</v>
      </c>
    </row>
    <row r="962">
      <c r="B962" s="0" t="s">
        <v>2700</v>
      </c>
      <c r="C962" s="1" t="n">
        <v>352618</v>
      </c>
      <c r="E962" s="14" t="s">
        <v>1349</v>
      </c>
      <c r="F962" s="14" t="s">
        <v>169</v>
      </c>
      <c r="G962" s="25" t="str">
        <f>HYPERLINK("http://www.ok.ru/profile/522467744604/statuses/155004056182108")</f>
      </c>
      <c r="H962" s="14" t="s">
        <v>170</v>
      </c>
      <c r="I962" s="14" t="s">
        <v>194</v>
      </c>
      <c r="J962" s="14" t="s">
        <v>2675</v>
      </c>
      <c r="K962" s="26" t="str">
        <f>HYPERLINK("http://www.ok.ru/profile/522467744604")</f>
      </c>
      <c r="L962" s="14" t="s">
        <v>173</v>
      </c>
      <c r="O962" s="1" t="s">
        <v>174</v>
      </c>
      <c r="P962" s="1"/>
      <c r="Q962" s="1" t="n">
        <v>6077</v>
      </c>
      <c r="R962" s="1" t="n">
        <v>0</v>
      </c>
      <c r="S962" s="1"/>
      <c r="T962" s="1" t="n">
        <v>0</v>
      </c>
      <c r="U962" s="1" t="n">
        <v>8</v>
      </c>
      <c r="V962" s="1" t="n">
        <v>8</v>
      </c>
      <c r="W962" s="1"/>
      <c r="Y962" s="1" t="n">
        <v>15</v>
      </c>
      <c r="Z962" s="0" t="s">
        <v>175</v>
      </c>
      <c r="AA962" s="0" t="s">
        <v>187</v>
      </c>
      <c r="AC962" s="0" t="s">
        <v>177</v>
      </c>
      <c r="AD962" s="0" t="s">
        <v>2591</v>
      </c>
      <c r="AE962" s="0" t="s">
        <v>2676</v>
      </c>
      <c r="AH962" s="0" t="s">
        <v>180</v>
      </c>
      <c r="AJ962" s="0" t="s">
        <v>437</v>
      </c>
      <c r="AK962" s="0" t="s">
        <v>94</v>
      </c>
      <c r="AL962" s="0" t="s">
        <v>95</v>
      </c>
      <c r="AM962" s="0" t="s">
        <v>96</v>
      </c>
      <c r="AX962" s="0" t="s">
        <v>107</v>
      </c>
      <c r="BF962" s="0" t="s">
        <v>115</v>
      </c>
      <c r="BR962" s="0" t="s">
        <v>127</v>
      </c>
    </row>
    <row r="963">
      <c r="B963" s="0" t="s">
        <v>2700</v>
      </c>
      <c r="C963" s="1" t="n">
        <v>352680</v>
      </c>
      <c r="E963" s="14" t="s">
        <v>2702</v>
      </c>
      <c r="F963" s="14" t="s">
        <v>192</v>
      </c>
      <c r="G963" s="25" t="str">
        <f>HYPERLINK("https://telegram.me/hockei_khl/2277?comment=59619")</f>
      </c>
      <c r="H963" s="14" t="s">
        <v>193</v>
      </c>
      <c r="I963" s="14" t="s">
        <v>231</v>
      </c>
      <c r="J963" s="14" t="s">
        <v>2703</v>
      </c>
      <c r="K963" s="26" t="str">
        <f>HYPERLINK("https://telegram.me/Yana756")</f>
      </c>
      <c r="L963" s="14" t="s">
        <v>173</v>
      </c>
      <c r="M963" s="14" t="s">
        <v>2704</v>
      </c>
      <c r="N963" s="25" t="str">
        <f>HYPERLINK("https://telegram.me/hockei_khl")</f>
      </c>
      <c r="O963" s="1" t="s">
        <v>186</v>
      </c>
      <c r="P963" s="1"/>
      <c r="Q963" s="1" t="n">
        <v>25165</v>
      </c>
      <c r="R963" s="1" t="n">
        <v>0</v>
      </c>
      <c r="S963" s="1"/>
      <c r="T963" s="1" t="n">
        <v>0</v>
      </c>
      <c r="U963" s="1" t="n">
        <v>0</v>
      </c>
      <c r="V963" s="1" t="n">
        <v>0</v>
      </c>
      <c r="W963" s="1"/>
      <c r="Y963" s="1" t="n">
        <v>1</v>
      </c>
      <c r="Z963" s="0" t="s">
        <v>319</v>
      </c>
      <c r="AA963" s="0" t="s">
        <v>292</v>
      </c>
      <c r="AH963" s="0" t="s">
        <v>180</v>
      </c>
      <c r="AI963" s="0" t="s">
        <v>92</v>
      </c>
      <c r="AJ963" s="0" t="s">
        <v>437</v>
      </c>
      <c r="AL963" s="0" t="s">
        <v>95</v>
      </c>
      <c r="AN963" s="0" t="s">
        <v>97</v>
      </c>
      <c r="AO963" s="0" t="s">
        <v>98</v>
      </c>
      <c r="AS963" s="0" t="s">
        <v>102</v>
      </c>
      <c r="AY963" s="0" t="s">
        <v>108</v>
      </c>
    </row>
    <row r="964" ht="24.75">
      <c r="B964" s="0" t="s">
        <v>2705</v>
      </c>
      <c r="C964" s="1" t="n">
        <v>354026</v>
      </c>
      <c r="E964" s="14" t="s">
        <v>554</v>
      </c>
      <c r="F964" s="14" t="s">
        <v>169</v>
      </c>
      <c r="G964" s="25" t="str">
        <f>HYPERLINK("http://www.ok.ru/profile/569784497524/statuses/155854399284596")</f>
      </c>
      <c r="H964" s="14" t="s">
        <v>170</v>
      </c>
      <c r="I964" s="14" t="s">
        <v>171</v>
      </c>
      <c r="J964" s="14" t="s">
        <v>2706</v>
      </c>
      <c r="K964" s="26" t="str">
        <f>HYPERLINK("http://www.ok.ru/profile/569784497524")</f>
      </c>
      <c r="L964" s="14" t="s">
        <v>173</v>
      </c>
      <c r="O964" s="1" t="s">
        <v>186</v>
      </c>
      <c r="P964" s="1" t="n">
        <v>65</v>
      </c>
      <c r="Q964" s="1" t="n">
        <v>176</v>
      </c>
      <c r="R964" s="1" t="n">
        <v>0</v>
      </c>
      <c r="S964" s="1"/>
      <c r="T964" s="1" t="n">
        <v>0</v>
      </c>
      <c r="U964" s="1" t="n">
        <v>1</v>
      </c>
      <c r="V964" s="1" t="n">
        <v>1</v>
      </c>
      <c r="W964" s="1"/>
      <c r="Y964" s="1" t="n">
        <v>59</v>
      </c>
      <c r="Z964" s="0" t="s">
        <v>175</v>
      </c>
      <c r="AA964" s="0" t="s">
        <v>176</v>
      </c>
      <c r="AC964" s="0" t="s">
        <v>177</v>
      </c>
      <c r="AD964" s="0" t="s">
        <v>513</v>
      </c>
      <c r="AE964" s="0" t="s">
        <v>2707</v>
      </c>
      <c r="AH964" s="0" t="s">
        <v>180</v>
      </c>
      <c r="AJ964" s="0" t="s">
        <v>437</v>
      </c>
      <c r="AK964" s="0" t="s">
        <v>94</v>
      </c>
      <c r="AL964" s="0" t="s">
        <v>95</v>
      </c>
      <c r="AM964" s="0" t="s">
        <v>96</v>
      </c>
      <c r="AO964" s="0" t="s">
        <v>98</v>
      </c>
      <c r="AQ964" s="0" t="s">
        <v>100</v>
      </c>
    </row>
    <row r="965" ht="108.75">
      <c r="B965" s="0" t="s">
        <v>2705</v>
      </c>
      <c r="C965" s="1" t="n">
        <v>352572</v>
      </c>
      <c r="E965" s="14" t="s">
        <v>529</v>
      </c>
      <c r="F965" s="14" t="s">
        <v>184</v>
      </c>
      <c r="G965" s="25" t="str">
        <f>HYPERLINK("http://vk.com/wall170371487_211163")</f>
      </c>
      <c r="H965" s="14" t="s">
        <v>170</v>
      </c>
      <c r="I965" s="14" t="s">
        <v>194</v>
      </c>
      <c r="J965" s="14" t="s">
        <v>2708</v>
      </c>
      <c r="K965" s="26" t="str">
        <f>HYPERLINK("http://vk.com/id170371487")</f>
      </c>
      <c r="L965" s="14" t="s">
        <v>173</v>
      </c>
      <c r="O965" s="1" t="s">
        <v>186</v>
      </c>
      <c r="P965" s="1"/>
      <c r="Q965" s="1" t="n">
        <v>1059</v>
      </c>
      <c r="R965" s="1" t="n">
        <v>0</v>
      </c>
      <c r="S965" s="1"/>
      <c r="T965" s="1" t="n">
        <v>0</v>
      </c>
      <c r="U965" s="1" t="n">
        <v>0</v>
      </c>
      <c r="V965" s="1" t="n">
        <v>0</v>
      </c>
      <c r="W965" s="1" t="n">
        <v>1</v>
      </c>
      <c r="Y965" s="1" t="n">
        <v>9</v>
      </c>
      <c r="Z965" s="0" t="s">
        <v>175</v>
      </c>
      <c r="AA965" s="0" t="s">
        <v>292</v>
      </c>
      <c r="AC965" s="0" t="s">
        <v>177</v>
      </c>
      <c r="AD965" s="0" t="s">
        <v>341</v>
      </c>
      <c r="AE965" s="0" t="s">
        <v>451</v>
      </c>
      <c r="AH965" s="0" t="s">
        <v>180</v>
      </c>
      <c r="AJ965" s="0" t="s">
        <v>437</v>
      </c>
      <c r="AK965" s="0" t="s">
        <v>94</v>
      </c>
      <c r="AL965" s="0" t="s">
        <v>95</v>
      </c>
      <c r="AR965" s="0" t="s">
        <v>101</v>
      </c>
      <c r="BA965" s="0" t="s">
        <v>110</v>
      </c>
      <c r="BF965" s="0" t="s">
        <v>115</v>
      </c>
    </row>
    <row r="966">
      <c r="B966" s="0" t="s">
        <v>2709</v>
      </c>
      <c r="C966" s="1" t="n">
        <v>353117</v>
      </c>
      <c r="E966" s="14" t="s">
        <v>1957</v>
      </c>
      <c r="F966" s="14" t="s">
        <v>169</v>
      </c>
      <c r="G966" s="25" t="str">
        <f>HYPERLINK("http://www.ok.ru/profile/516545796192/statuses/154974739130464")</f>
      </c>
      <c r="H966" s="14" t="s">
        <v>170</v>
      </c>
      <c r="I966" s="14" t="s">
        <v>194</v>
      </c>
      <c r="J966" s="14" t="s">
        <v>2710</v>
      </c>
      <c r="K966" s="26" t="str">
        <f>HYPERLINK("http://www.ok.ru/profile/516545796192")</f>
      </c>
      <c r="L966" s="14" t="s">
        <v>173</v>
      </c>
      <c r="O966" s="1" t="s">
        <v>186</v>
      </c>
      <c r="P966" s="1"/>
      <c r="Q966" s="1" t="n">
        <v>711</v>
      </c>
      <c r="R966" s="1" t="n">
        <v>0</v>
      </c>
      <c r="S966" s="1"/>
      <c r="T966" s="1" t="n">
        <v>0</v>
      </c>
      <c r="U966" s="1" t="n">
        <v>5</v>
      </c>
      <c r="V966" s="1" t="n">
        <v>5</v>
      </c>
      <c r="W966" s="1"/>
      <c r="Y966" s="1" t="n">
        <v>3</v>
      </c>
      <c r="Z966" s="0" t="s">
        <v>175</v>
      </c>
      <c r="AA966" s="0" t="s">
        <v>187</v>
      </c>
      <c r="AC966" s="0" t="s">
        <v>177</v>
      </c>
      <c r="AD966" s="0" t="s">
        <v>513</v>
      </c>
      <c r="AE966" s="0" t="s">
        <v>2711</v>
      </c>
      <c r="AH966" s="0" t="s">
        <v>180</v>
      </c>
      <c r="AJ966" s="0" t="s">
        <v>437</v>
      </c>
      <c r="AK966" s="0" t="s">
        <v>94</v>
      </c>
      <c r="AL966" s="0" t="s">
        <v>95</v>
      </c>
      <c r="AM966" s="0" t="s">
        <v>96</v>
      </c>
      <c r="AX966" s="0" t="s">
        <v>107</v>
      </c>
      <c r="BR966" s="0" t="s">
        <v>127</v>
      </c>
    </row>
    <row r="967" ht="24.75">
      <c r="B967" s="0" t="s">
        <v>2709</v>
      </c>
      <c r="C967" s="1" t="n">
        <v>352582</v>
      </c>
      <c r="E967" s="14" t="s">
        <v>1162</v>
      </c>
      <c r="F967" s="14" t="s">
        <v>184</v>
      </c>
      <c r="G967" s="25" t="str">
        <f>HYPERLINK("http://vk.com/wall525318927_307")</f>
      </c>
      <c r="H967" s="14" t="s">
        <v>170</v>
      </c>
      <c r="I967" s="14" t="s">
        <v>171</v>
      </c>
      <c r="J967" s="14" t="s">
        <v>2712</v>
      </c>
      <c r="K967" s="26" t="str">
        <f>HYPERLINK("http://vk.com/id525318927")</f>
      </c>
      <c r="L967" s="14" t="s">
        <v>173</v>
      </c>
      <c r="O967" s="1" t="s">
        <v>186</v>
      </c>
      <c r="P967" s="1" t="n">
        <v>62</v>
      </c>
      <c r="Q967" s="1" t="n">
        <v>44</v>
      </c>
      <c r="R967" s="1" t="n">
        <v>0</v>
      </c>
      <c r="S967" s="1"/>
      <c r="T967" s="1" t="n">
        <v>0</v>
      </c>
      <c r="U967" s="1" t="n">
        <v>0</v>
      </c>
      <c r="V967" s="1" t="n">
        <v>0</v>
      </c>
      <c r="W967" s="1"/>
      <c r="Y967" s="1" t="n">
        <v>4</v>
      </c>
      <c r="Z967" s="0" t="s">
        <v>175</v>
      </c>
      <c r="AA967" s="0" t="s">
        <v>187</v>
      </c>
      <c r="AH967" s="0" t="s">
        <v>180</v>
      </c>
      <c r="AJ967" s="0" t="s">
        <v>437</v>
      </c>
      <c r="AK967" s="0" t="s">
        <v>94</v>
      </c>
      <c r="AL967" s="0" t="s">
        <v>95</v>
      </c>
      <c r="AM967" s="0" t="s">
        <v>96</v>
      </c>
      <c r="BC967" s="0" t="s">
        <v>112</v>
      </c>
      <c r="BI967" s="0" t="s">
        <v>118</v>
      </c>
      <c r="BN967" s="0" t="s">
        <v>123</v>
      </c>
    </row>
    <row r="968">
      <c r="B968" s="0" t="s">
        <v>2713</v>
      </c>
      <c r="C968" s="1" t="n">
        <v>352498</v>
      </c>
      <c r="E968" s="14" t="s">
        <v>2714</v>
      </c>
      <c r="F968" s="14" t="s">
        <v>184</v>
      </c>
      <c r="G968" s="25" t="str">
        <f>HYPERLINK("http://vk.com/wall-87169444_12293185?reply=12293311&amp;thread=12293217")</f>
      </c>
      <c r="H968" s="14" t="s">
        <v>170</v>
      </c>
      <c r="I968" s="14" t="s">
        <v>231</v>
      </c>
      <c r="J968" s="14" t="s">
        <v>2715</v>
      </c>
      <c r="K968" s="26" t="str">
        <f>HYPERLINK("http://vk.com/id749676261")</f>
      </c>
      <c r="L968" s="14" t="s">
        <v>173</v>
      </c>
      <c r="M968" s="14" t="s">
        <v>2496</v>
      </c>
      <c r="N968" s="25" t="str">
        <f>HYPERLINK("http://vk.com/club87169444")</f>
      </c>
      <c r="O968" s="1" t="s">
        <v>186</v>
      </c>
      <c r="P968" s="1" t="n">
        <v>32</v>
      </c>
      <c r="Q968" s="1" t="n">
        <v>137753</v>
      </c>
      <c r="R968" s="1" t="n">
        <v>0</v>
      </c>
      <c r="S968" s="1"/>
      <c r="T968" s="1" t="n">
        <v>0</v>
      </c>
      <c r="U968" s="1" t="n">
        <v>0</v>
      </c>
      <c r="V968" s="1" t="n">
        <v>0</v>
      </c>
      <c r="W968" s="1"/>
      <c r="Y968" s="1" t="n">
        <v>1</v>
      </c>
      <c r="Z968" s="0" t="s">
        <v>175</v>
      </c>
      <c r="AA968" s="0" t="s">
        <v>187</v>
      </c>
      <c r="AB968" s="0" t="s">
        <v>85</v>
      </c>
      <c r="AH968" s="0" t="s">
        <v>180</v>
      </c>
      <c r="AI968" s="0" t="s">
        <v>92</v>
      </c>
      <c r="AJ968" s="0" t="s">
        <v>437</v>
      </c>
      <c r="AK968" s="0" t="s">
        <v>94</v>
      </c>
      <c r="AL968" s="0" t="s">
        <v>95</v>
      </c>
      <c r="AN968" s="0" t="s">
        <v>97</v>
      </c>
      <c r="AW968" s="0" t="s">
        <v>106</v>
      </c>
      <c r="BB968" s="0" t="s">
        <v>111</v>
      </c>
      <c r="BW968" s="0" t="s">
        <v>132</v>
      </c>
      <c r="CT968" s="0" t="s">
        <v>155</v>
      </c>
    </row>
    <row r="969" ht="1308.75">
      <c r="B969" s="0" t="s">
        <v>2716</v>
      </c>
      <c r="C969" s="1" t="n">
        <v>352611</v>
      </c>
      <c r="E969" s="14" t="s">
        <v>748</v>
      </c>
      <c r="F969" s="14" t="s">
        <v>169</v>
      </c>
      <c r="G969" s="25" t="str">
        <f>HYPERLINK("http://www.ok.ru/profile/411053196041/statuses/155522841710601")</f>
      </c>
      <c r="H969" s="14" t="s">
        <v>170</v>
      </c>
      <c r="I969" s="14" t="s">
        <v>171</v>
      </c>
      <c r="J969" s="14" t="s">
        <v>2717</v>
      </c>
      <c r="K969" s="26" t="str">
        <f>HYPERLINK("http://www.ok.ru/profile/411053196041")</f>
      </c>
      <c r="L969" s="14" t="s">
        <v>173</v>
      </c>
      <c r="O969" s="1" t="s">
        <v>186</v>
      </c>
      <c r="P969" s="1" t="n">
        <v>62</v>
      </c>
      <c r="Q969" s="1" t="n">
        <v>278</v>
      </c>
      <c r="R969" s="1" t="n">
        <v>0</v>
      </c>
      <c r="S969" s="1"/>
      <c r="T969" s="1" t="n">
        <v>0</v>
      </c>
      <c r="U969" s="1" t="n">
        <v>2</v>
      </c>
      <c r="V969" s="1" t="n">
        <v>2</v>
      </c>
      <c r="W969" s="1"/>
      <c r="Y969" s="1" t="n">
        <v>4</v>
      </c>
      <c r="Z969" s="0" t="s">
        <v>175</v>
      </c>
      <c r="AA969" s="0" t="s">
        <v>176</v>
      </c>
      <c r="AC969" s="0" t="s">
        <v>177</v>
      </c>
      <c r="AD969" s="0" t="s">
        <v>178</v>
      </c>
      <c r="AE969" s="0" t="s">
        <v>1703</v>
      </c>
      <c r="AH969" s="0" t="s">
        <v>180</v>
      </c>
      <c r="AJ969" s="0" t="s">
        <v>437</v>
      </c>
      <c r="AK969" s="0" t="s">
        <v>94</v>
      </c>
      <c r="AL969" s="0" t="s">
        <v>95</v>
      </c>
      <c r="AM969" s="0" t="s">
        <v>96</v>
      </c>
      <c r="AO969" s="0" t="s">
        <v>98</v>
      </c>
      <c r="AQ969" s="0" t="s">
        <v>100</v>
      </c>
      <c r="AR969" s="0" t="s">
        <v>101</v>
      </c>
    </row>
    <row r="970" ht="24.75">
      <c r="B970" s="0" t="s">
        <v>2716</v>
      </c>
      <c r="C970" s="1" t="n">
        <v>352842</v>
      </c>
      <c r="E970" s="14" t="s">
        <v>554</v>
      </c>
      <c r="F970" s="14" t="s">
        <v>169</v>
      </c>
      <c r="G970" s="25" t="str">
        <f>HYPERLINK("http://www.ok.ru/profile/563749711170/statuses/155120122939458")</f>
      </c>
      <c r="H970" s="14" t="s">
        <v>170</v>
      </c>
      <c r="I970" s="14" t="s">
        <v>171</v>
      </c>
      <c r="J970" s="14" t="s">
        <v>2718</v>
      </c>
      <c r="K970" s="26" t="str">
        <f>HYPERLINK("http://www.ok.ru/profile/563749711170")</f>
      </c>
      <c r="L970" s="14" t="s">
        <v>173</v>
      </c>
      <c r="O970" s="1" t="s">
        <v>186</v>
      </c>
      <c r="P970" s="1" t="n">
        <v>74</v>
      </c>
      <c r="Q970" s="1" t="n">
        <v>121</v>
      </c>
      <c r="R970" s="1" t="n">
        <v>0</v>
      </c>
      <c r="S970" s="1"/>
      <c r="T970" s="1" t="n">
        <v>0</v>
      </c>
      <c r="U970" s="1" t="n">
        <v>0</v>
      </c>
      <c r="V970" s="1" t="n">
        <v>0</v>
      </c>
      <c r="W970" s="1"/>
      <c r="Y970" s="1" t="n">
        <v>59</v>
      </c>
      <c r="Z970" s="0" t="s">
        <v>175</v>
      </c>
      <c r="AA970" s="0" t="s">
        <v>176</v>
      </c>
      <c r="AC970" s="0" t="s">
        <v>177</v>
      </c>
      <c r="AD970" s="0" t="s">
        <v>1002</v>
      </c>
      <c r="AE970" s="0" t="s">
        <v>1002</v>
      </c>
      <c r="AH970" s="0" t="s">
        <v>180</v>
      </c>
      <c r="AJ970" s="0" t="s">
        <v>437</v>
      </c>
      <c r="AK970" s="0" t="s">
        <v>94</v>
      </c>
      <c r="AL970" s="0" t="s">
        <v>95</v>
      </c>
      <c r="AM970" s="0" t="s">
        <v>96</v>
      </c>
      <c r="AO970" s="0" t="s">
        <v>98</v>
      </c>
      <c r="AQ970" s="0" t="s">
        <v>100</v>
      </c>
    </row>
    <row r="971" ht="24.75">
      <c r="B971" s="0" t="s">
        <v>2719</v>
      </c>
      <c r="C971" s="1" t="n">
        <v>352817</v>
      </c>
      <c r="E971" s="14" t="s">
        <v>1102</v>
      </c>
      <c r="F971" s="14" t="s">
        <v>169</v>
      </c>
      <c r="G971" s="25" t="str">
        <f>HYPERLINK("http://www.ok.ru/profile/563407087064/statuses/155637765824728")</f>
      </c>
      <c r="H971" s="14" t="s">
        <v>170</v>
      </c>
      <c r="I971" s="14" t="s">
        <v>171</v>
      </c>
      <c r="J971" s="14" t="s">
        <v>2720</v>
      </c>
      <c r="K971" s="26" t="str">
        <f>HYPERLINK("http://www.ok.ru/profile/563407087064")</f>
      </c>
      <c r="L971" s="14" t="s">
        <v>173</v>
      </c>
      <c r="O971" s="1" t="s">
        <v>186</v>
      </c>
      <c r="P971" s="1" t="n">
        <v>63</v>
      </c>
      <c r="Q971" s="1" t="n">
        <v>287</v>
      </c>
      <c r="R971" s="1" t="n">
        <v>0</v>
      </c>
      <c r="S971" s="1"/>
      <c r="T971" s="1" t="n">
        <v>0</v>
      </c>
      <c r="U971" s="1" t="n">
        <v>2</v>
      </c>
      <c r="V971" s="1" t="n">
        <v>2</v>
      </c>
      <c r="W971" s="1"/>
      <c r="Y971" s="1" t="n">
        <v>93</v>
      </c>
      <c r="Z971" s="0" t="s">
        <v>175</v>
      </c>
      <c r="AA971" s="0" t="s">
        <v>187</v>
      </c>
      <c r="AC971" s="0" t="s">
        <v>177</v>
      </c>
      <c r="AD971" s="0" t="s">
        <v>681</v>
      </c>
      <c r="AE971" s="0" t="s">
        <v>682</v>
      </c>
      <c r="AH971" s="0" t="s">
        <v>180</v>
      </c>
      <c r="AJ971" s="0" t="s">
        <v>437</v>
      </c>
      <c r="AK971" s="0" t="s">
        <v>94</v>
      </c>
      <c r="AL971" s="0" t="s">
        <v>95</v>
      </c>
      <c r="AM971" s="0" t="s">
        <v>96</v>
      </c>
      <c r="AU971" s="0" t="s">
        <v>104</v>
      </c>
      <c r="AV971" s="0" t="s">
        <v>105</v>
      </c>
    </row>
    <row r="972" ht="24.75">
      <c r="B972" s="0" t="s">
        <v>2721</v>
      </c>
      <c r="C972" s="1" t="n">
        <v>352562</v>
      </c>
      <c r="E972" s="14" t="s">
        <v>183</v>
      </c>
      <c r="F972" s="14" t="s">
        <v>184</v>
      </c>
      <c r="G972" s="25" t="str">
        <f>HYPERLINK("http://vk.com/wall350562931_170")</f>
      </c>
      <c r="H972" s="14" t="s">
        <v>170</v>
      </c>
      <c r="I972" s="14" t="s">
        <v>171</v>
      </c>
      <c r="J972" s="14" t="s">
        <v>2722</v>
      </c>
      <c r="K972" s="26" t="str">
        <f>HYPERLINK("http://vk.com/id350562931")</f>
      </c>
      <c r="L972" s="14" t="s">
        <v>173</v>
      </c>
      <c r="O972" s="1" t="s">
        <v>174</v>
      </c>
      <c r="P972" s="1" t="n">
        <v>54</v>
      </c>
      <c r="Q972" s="1" t="n">
        <v>119</v>
      </c>
      <c r="R972" s="1" t="n">
        <v>0</v>
      </c>
      <c r="S972" s="1"/>
      <c r="T972" s="1" t="n">
        <v>0</v>
      </c>
      <c r="U972" s="1" t="n">
        <v>0</v>
      </c>
      <c r="V972" s="1" t="n">
        <v>0</v>
      </c>
      <c r="W972" s="1"/>
      <c r="Y972" s="1" t="n">
        <v>62</v>
      </c>
      <c r="Z972" s="0" t="s">
        <v>175</v>
      </c>
      <c r="AA972" s="0" t="s">
        <v>187</v>
      </c>
      <c r="AC972" s="0" t="s">
        <v>177</v>
      </c>
      <c r="AD972" s="0" t="s">
        <v>719</v>
      </c>
      <c r="AE972" s="0" t="s">
        <v>2723</v>
      </c>
      <c r="AH972" s="0" t="s">
        <v>180</v>
      </c>
      <c r="AJ972" s="0" t="s">
        <v>437</v>
      </c>
      <c r="AK972" s="0" t="s">
        <v>94</v>
      </c>
      <c r="AO972" s="0" t="s">
        <v>98</v>
      </c>
      <c r="AP972" s="0" t="s">
        <v>99</v>
      </c>
      <c r="AR972" s="0" t="s">
        <v>101</v>
      </c>
      <c r="BA972" s="0" t="s">
        <v>110</v>
      </c>
      <c r="BH972" s="0" t="s">
        <v>117</v>
      </c>
    </row>
    <row r="973" ht="24.75">
      <c r="B973" s="0" t="s">
        <v>2724</v>
      </c>
      <c r="C973" s="1" t="n">
        <v>352563</v>
      </c>
      <c r="E973" s="14" t="s">
        <v>296</v>
      </c>
      <c r="F973" s="14" t="s">
        <v>184</v>
      </c>
      <c r="G973" s="25" t="str">
        <f>HYPERLINK("http://vk.com/wall156994122_4940")</f>
      </c>
      <c r="H973" s="14" t="s">
        <v>170</v>
      </c>
      <c r="I973" s="14" t="s">
        <v>171</v>
      </c>
      <c r="J973" s="14" t="s">
        <v>2725</v>
      </c>
      <c r="K973" s="26" t="str">
        <f>HYPERLINK("http://vk.com/id156994122")</f>
      </c>
      <c r="L973" s="14" t="s">
        <v>173</v>
      </c>
      <c r="O973" s="1" t="s">
        <v>186</v>
      </c>
      <c r="P973" s="1"/>
      <c r="Q973" s="1" t="n">
        <v>600</v>
      </c>
      <c r="R973" s="1" t="n">
        <v>0</v>
      </c>
      <c r="S973" s="1"/>
      <c r="T973" s="1" t="n">
        <v>0</v>
      </c>
      <c r="U973" s="1" t="n">
        <v>0</v>
      </c>
      <c r="V973" s="1" t="n">
        <v>0</v>
      </c>
      <c r="W973" s="1" t="n">
        <v>2</v>
      </c>
      <c r="Y973" s="1" t="n">
        <v>93</v>
      </c>
      <c r="Z973" s="0" t="s">
        <v>175</v>
      </c>
      <c r="AA973" s="0" t="s">
        <v>187</v>
      </c>
      <c r="AC973" s="0" t="s">
        <v>177</v>
      </c>
      <c r="AD973" s="0" t="s">
        <v>384</v>
      </c>
      <c r="AE973" s="0" t="s">
        <v>1864</v>
      </c>
      <c r="AH973" s="0" t="s">
        <v>180</v>
      </c>
      <c r="AJ973" s="0" t="s">
        <v>437</v>
      </c>
      <c r="AK973" s="0" t="s">
        <v>94</v>
      </c>
      <c r="AL973" s="0" t="s">
        <v>95</v>
      </c>
      <c r="AM973" s="0" t="s">
        <v>96</v>
      </c>
      <c r="AU973" s="0" t="s">
        <v>104</v>
      </c>
      <c r="AV973" s="0" t="s">
        <v>105</v>
      </c>
    </row>
    <row r="974" ht="24.75">
      <c r="B974" s="0" t="s">
        <v>2726</v>
      </c>
      <c r="C974" s="1" t="n">
        <v>352592</v>
      </c>
      <c r="E974" s="14" t="s">
        <v>554</v>
      </c>
      <c r="F974" s="14" t="s">
        <v>169</v>
      </c>
      <c r="G974" s="25" t="str">
        <f>HYPERLINK("http://www.ok.ru/profile/548554419318/statuses/156531674792822")</f>
      </c>
      <c r="H974" s="14" t="s">
        <v>170</v>
      </c>
      <c r="I974" s="14" t="s">
        <v>171</v>
      </c>
      <c r="J974" s="14" t="s">
        <v>2727</v>
      </c>
      <c r="K974" s="26" t="str">
        <f>HYPERLINK("http://www.ok.ru/profile/548554419318")</f>
      </c>
      <c r="L974" s="14" t="s">
        <v>173</v>
      </c>
      <c r="O974" s="1" t="s">
        <v>186</v>
      </c>
      <c r="P974" s="1" t="n">
        <v>54</v>
      </c>
      <c r="Q974" s="1" t="n">
        <v>1798</v>
      </c>
      <c r="R974" s="1" t="n">
        <v>1</v>
      </c>
      <c r="S974" s="1"/>
      <c r="T974" s="1" t="n">
        <v>0</v>
      </c>
      <c r="U974" s="1" t="n">
        <v>3</v>
      </c>
      <c r="V974" s="1" t="n">
        <v>4</v>
      </c>
      <c r="W974" s="1"/>
      <c r="Y974" s="1" t="n">
        <v>59</v>
      </c>
      <c r="Z974" s="0" t="s">
        <v>175</v>
      </c>
      <c r="AA974" s="0" t="s">
        <v>176</v>
      </c>
      <c r="AC974" s="0" t="s">
        <v>177</v>
      </c>
      <c r="AD974" s="0" t="s">
        <v>341</v>
      </c>
      <c r="AE974" s="0" t="s">
        <v>2728</v>
      </c>
      <c r="AH974" s="0" t="s">
        <v>180</v>
      </c>
      <c r="AJ974" s="0" t="s">
        <v>437</v>
      </c>
      <c r="AK974" s="0" t="s">
        <v>94</v>
      </c>
      <c r="AL974" s="0" t="s">
        <v>95</v>
      </c>
      <c r="AM974" s="0" t="s">
        <v>96</v>
      </c>
      <c r="AO974" s="0" t="s">
        <v>98</v>
      </c>
      <c r="AQ974" s="0" t="s">
        <v>100</v>
      </c>
    </row>
    <row r="975" ht="36.75">
      <c r="B975" s="0" t="s">
        <v>2729</v>
      </c>
      <c r="C975" s="1" t="n">
        <v>352701</v>
      </c>
      <c r="E975" s="14" t="s">
        <v>1189</v>
      </c>
      <c r="F975" s="14" t="s">
        <v>169</v>
      </c>
      <c r="G975" s="25" t="str">
        <f>HYPERLINK("http://www.ok.ru/profile/563349119662/statuses/156493214494894")</f>
      </c>
      <c r="H975" s="14" t="s">
        <v>170</v>
      </c>
      <c r="I975" s="14" t="s">
        <v>171</v>
      </c>
      <c r="J975" s="14" t="s">
        <v>2730</v>
      </c>
      <c r="K975" s="26" t="str">
        <f>HYPERLINK("http://www.ok.ru/profile/563349119662")</f>
      </c>
      <c r="L975" s="14" t="s">
        <v>173</v>
      </c>
      <c r="O975" s="1" t="s">
        <v>186</v>
      </c>
      <c r="P975" s="1" t="n">
        <v>56</v>
      </c>
      <c r="Q975" s="1" t="n">
        <v>591</v>
      </c>
      <c r="R975" s="1" t="n">
        <v>0</v>
      </c>
      <c r="S975" s="1"/>
      <c r="T975" s="1" t="n">
        <v>2</v>
      </c>
      <c r="U975" s="1" t="n">
        <v>4</v>
      </c>
      <c r="V975" s="1" t="n">
        <v>6</v>
      </c>
      <c r="W975" s="1"/>
      <c r="Y975" s="1" t="n">
        <v>46</v>
      </c>
      <c r="Z975" s="0" t="s">
        <v>175</v>
      </c>
      <c r="AA975" s="0" t="s">
        <v>187</v>
      </c>
      <c r="AC975" s="0" t="s">
        <v>177</v>
      </c>
      <c r="AD975" s="0" t="s">
        <v>556</v>
      </c>
      <c r="AE975" s="0" t="s">
        <v>1868</v>
      </c>
      <c r="AH975" s="0" t="s">
        <v>180</v>
      </c>
      <c r="AJ975" s="0" t="s">
        <v>437</v>
      </c>
      <c r="AK975" s="0" t="s">
        <v>94</v>
      </c>
      <c r="AL975" s="0" t="s">
        <v>95</v>
      </c>
      <c r="AM975" s="0" t="s">
        <v>96</v>
      </c>
      <c r="AO975" s="0" t="s">
        <v>98</v>
      </c>
      <c r="AQ975" s="0" t="s">
        <v>100</v>
      </c>
    </row>
    <row r="976" ht="96.75">
      <c r="B976" s="0" t="s">
        <v>2729</v>
      </c>
      <c r="C976" s="1" t="n">
        <v>352554</v>
      </c>
      <c r="E976" s="14" t="s">
        <v>2731</v>
      </c>
      <c r="F976" s="14" t="s">
        <v>192</v>
      </c>
      <c r="G976" s="25" t="str">
        <f>HYPERLINK("https://telegram.me/kolokol_21/3504")</f>
      </c>
      <c r="H976" s="14" t="s">
        <v>655</v>
      </c>
      <c r="I976" s="14" t="s">
        <v>194</v>
      </c>
      <c r="J976" s="14" t="s">
        <v>2732</v>
      </c>
      <c r="K976" s="26" t="str">
        <f>HYPERLINK("https://telegram.me/kolokol_21")</f>
      </c>
      <c r="L976" s="14" t="s">
        <v>274</v>
      </c>
      <c r="O976" s="1"/>
      <c r="P976" s="1"/>
      <c r="Q976" s="1" t="n">
        <v>72108</v>
      </c>
      <c r="R976" s="1" t="n">
        <v>0</v>
      </c>
      <c r="S976" s="1"/>
      <c r="T976" s="1" t="n">
        <v>6</v>
      </c>
      <c r="U976" s="1" t="n">
        <v>28</v>
      </c>
      <c r="V976" s="1" t="n">
        <v>34</v>
      </c>
      <c r="W976" s="1" t="n">
        <v>14130</v>
      </c>
      <c r="Y976" s="1" t="n">
        <v>1</v>
      </c>
      <c r="Z976" s="0" t="s">
        <v>175</v>
      </c>
      <c r="AA976" s="0" t="s">
        <v>187</v>
      </c>
      <c r="AB976" s="0" t="s">
        <v>85</v>
      </c>
      <c r="AH976" s="0" t="s">
        <v>180</v>
      </c>
      <c r="AJ976" s="0" t="s">
        <v>437</v>
      </c>
      <c r="AK976" s="0" t="s">
        <v>94</v>
      </c>
      <c r="AL976" s="0" t="s">
        <v>95</v>
      </c>
      <c r="AR976" s="0" t="s">
        <v>101</v>
      </c>
      <c r="BA976" s="0" t="s">
        <v>110</v>
      </c>
      <c r="BJ976" s="0" t="s">
        <v>119</v>
      </c>
    </row>
    <row r="977" ht="24.75">
      <c r="B977" s="0" t="s">
        <v>2733</v>
      </c>
      <c r="C977" s="1" t="n">
        <v>352484</v>
      </c>
      <c r="E977" s="14" t="s">
        <v>2734</v>
      </c>
      <c r="F977" s="14" t="s">
        <v>184</v>
      </c>
      <c r="G977" s="25" t="str">
        <f>HYPERLINK("http://vk.com/wall-155403177_57057?reply=57229&amp;thread=57063")</f>
      </c>
      <c r="H977" s="14" t="s">
        <v>170</v>
      </c>
      <c r="I977" s="14" t="s">
        <v>231</v>
      </c>
      <c r="J977" s="14" t="s">
        <v>2735</v>
      </c>
      <c r="K977" s="26" t="str">
        <f>HYPERLINK("http://vk.com/id564999158")</f>
      </c>
      <c r="L977" s="14" t="s">
        <v>173</v>
      </c>
      <c r="M977" s="14" t="s">
        <v>740</v>
      </c>
      <c r="N977" s="25" t="str">
        <f>HYPERLINK("http://vk.com/club155403177")</f>
      </c>
      <c r="O977" s="1" t="s">
        <v>186</v>
      </c>
      <c r="P977" s="1"/>
      <c r="Q977" s="1" t="n">
        <v>95225</v>
      </c>
      <c r="R977" s="1" t="n">
        <v>0</v>
      </c>
      <c r="S977" s="1"/>
      <c r="T977" s="1" t="n">
        <v>0</v>
      </c>
      <c r="U977" s="1" t="n">
        <v>0</v>
      </c>
      <c r="V977" s="1" t="n">
        <v>0</v>
      </c>
      <c r="W977" s="1"/>
      <c r="Y977" s="1" t="n">
        <v>1</v>
      </c>
      <c r="Z977" s="0" t="s">
        <v>319</v>
      </c>
      <c r="AA977" s="0" t="s">
        <v>187</v>
      </c>
      <c r="AC977" s="0" t="s">
        <v>177</v>
      </c>
      <c r="AH977" s="0" t="s">
        <v>180</v>
      </c>
      <c r="AI977" s="0" t="s">
        <v>92</v>
      </c>
      <c r="AJ977" s="0" t="s">
        <v>437</v>
      </c>
      <c r="AK977" s="0" t="s">
        <v>94</v>
      </c>
      <c r="AL977" s="0" t="s">
        <v>95</v>
      </c>
      <c r="AN977" s="0" t="s">
        <v>97</v>
      </c>
      <c r="AR977" s="0" t="s">
        <v>101</v>
      </c>
      <c r="AS977" s="0" t="s">
        <v>102</v>
      </c>
    </row>
    <row r="978" ht="24.75">
      <c r="B978" s="0" t="s">
        <v>2733</v>
      </c>
      <c r="C978" s="1" t="n">
        <v>352837</v>
      </c>
      <c r="E978" s="14" t="s">
        <v>1102</v>
      </c>
      <c r="F978" s="14" t="s">
        <v>169</v>
      </c>
      <c r="G978" s="25" t="str">
        <f>HYPERLINK("http://www.ok.ru/profile/212789584072/statuses/155834967602632")</f>
      </c>
      <c r="H978" s="14" t="s">
        <v>170</v>
      </c>
      <c r="I978" s="14" t="s">
        <v>171</v>
      </c>
      <c r="J978" s="14" t="s">
        <v>2736</v>
      </c>
      <c r="K978" s="26" t="str">
        <f>HYPERLINK("http://www.ok.ru/profile/212789584072")</f>
      </c>
      <c r="L978" s="14" t="s">
        <v>173</v>
      </c>
      <c r="O978" s="1" t="s">
        <v>186</v>
      </c>
      <c r="P978" s="1" t="n">
        <v>64</v>
      </c>
      <c r="Q978" s="1" t="n">
        <v>347</v>
      </c>
      <c r="R978" s="1" t="n">
        <v>0</v>
      </c>
      <c r="S978" s="1"/>
      <c r="T978" s="1" t="n">
        <v>0</v>
      </c>
      <c r="U978" s="1" t="n">
        <v>0</v>
      </c>
      <c r="V978" s="1" t="n">
        <v>0</v>
      </c>
      <c r="W978" s="1"/>
      <c r="Y978" s="1" t="n">
        <v>93</v>
      </c>
      <c r="Z978" s="0" t="s">
        <v>175</v>
      </c>
      <c r="AA978" s="0" t="s">
        <v>187</v>
      </c>
      <c r="AC978" s="0" t="s">
        <v>177</v>
      </c>
      <c r="AD978" s="0" t="s">
        <v>760</v>
      </c>
      <c r="AE978" s="0" t="s">
        <v>2737</v>
      </c>
      <c r="AH978" s="0" t="s">
        <v>180</v>
      </c>
      <c r="AJ978" s="0" t="s">
        <v>437</v>
      </c>
      <c r="AK978" s="0" t="s">
        <v>94</v>
      </c>
      <c r="AL978" s="0" t="s">
        <v>95</v>
      </c>
      <c r="AM978" s="0" t="s">
        <v>96</v>
      </c>
      <c r="AU978" s="0" t="s">
        <v>104</v>
      </c>
      <c r="AV978" s="0" t="s">
        <v>105</v>
      </c>
    </row>
    <row r="979" ht="24.75">
      <c r="B979" s="0" t="s">
        <v>2733</v>
      </c>
      <c r="C979" s="1" t="n">
        <v>352953</v>
      </c>
      <c r="E979" s="14" t="s">
        <v>1102</v>
      </c>
      <c r="F979" s="14" t="s">
        <v>169</v>
      </c>
      <c r="G979" s="25" t="str">
        <f>HYPERLINK("http://www.ok.ru/profile/365817126074/statuses/155397848809658")</f>
      </c>
      <c r="H979" s="14" t="s">
        <v>170</v>
      </c>
      <c r="I979" s="14" t="s">
        <v>171</v>
      </c>
      <c r="J979" s="14" t="s">
        <v>2738</v>
      </c>
      <c r="K979" s="26" t="str">
        <f>HYPERLINK("http://www.ok.ru/profile/365817126074")</f>
      </c>
      <c r="L979" s="14" t="s">
        <v>173</v>
      </c>
      <c r="O979" s="1" t="s">
        <v>186</v>
      </c>
      <c r="P979" s="1"/>
      <c r="Q979" s="1" t="n">
        <v>436</v>
      </c>
      <c r="R979" s="1" t="n">
        <v>0</v>
      </c>
      <c r="S979" s="1"/>
      <c r="T979" s="1" t="n">
        <v>0</v>
      </c>
      <c r="U979" s="1" t="n">
        <v>2</v>
      </c>
      <c r="V979" s="1" t="n">
        <v>2</v>
      </c>
      <c r="W979" s="1"/>
      <c r="Y979" s="1" t="n">
        <v>93</v>
      </c>
      <c r="Z979" s="0" t="s">
        <v>175</v>
      </c>
      <c r="AA979" s="0" t="s">
        <v>187</v>
      </c>
      <c r="AC979" s="0" t="s">
        <v>177</v>
      </c>
      <c r="AH979" s="0" t="s">
        <v>180</v>
      </c>
      <c r="AJ979" s="0" t="s">
        <v>437</v>
      </c>
      <c r="AK979" s="0" t="s">
        <v>94</v>
      </c>
      <c r="AL979" s="0" t="s">
        <v>95</v>
      </c>
      <c r="AM979" s="0" t="s">
        <v>96</v>
      </c>
      <c r="AU979" s="0" t="s">
        <v>104</v>
      </c>
      <c r="AV979" s="0" t="s">
        <v>105</v>
      </c>
    </row>
    <row r="980">
      <c r="B980" s="0" t="s">
        <v>2739</v>
      </c>
      <c r="C980" s="1" t="n">
        <v>352607</v>
      </c>
      <c r="E980" s="14" t="s">
        <v>2740</v>
      </c>
      <c r="F980" s="14" t="s">
        <v>169</v>
      </c>
      <c r="G980" s="25" t="str">
        <f>HYPERLINK("http://www.ok.ru/profile/573791784916/statuses/155979256315348")</f>
      </c>
      <c r="H980" s="14" t="s">
        <v>170</v>
      </c>
      <c r="I980" s="14" t="s">
        <v>194</v>
      </c>
      <c r="J980" s="14" t="s">
        <v>2741</v>
      </c>
      <c r="K980" s="26" t="str">
        <f>HYPERLINK("http://www.ok.ru/profile/573791784916")</f>
      </c>
      <c r="L980" s="14" t="s">
        <v>173</v>
      </c>
      <c r="O980" s="1" t="s">
        <v>186</v>
      </c>
      <c r="P980" s="1" t="n">
        <v>78</v>
      </c>
      <c r="Q980" s="1" t="n">
        <v>1367</v>
      </c>
      <c r="R980" s="1" t="n">
        <v>0</v>
      </c>
      <c r="S980" s="1"/>
      <c r="T980" s="1" t="n">
        <v>0</v>
      </c>
      <c r="U980" s="1" t="n">
        <v>1</v>
      </c>
      <c r="V980" s="1" t="n">
        <v>1</v>
      </c>
      <c r="W980" s="1"/>
      <c r="Y980" s="1" t="n">
        <v>1</v>
      </c>
      <c r="Z980" s="0" t="s">
        <v>175</v>
      </c>
      <c r="AA980" s="0" t="s">
        <v>187</v>
      </c>
      <c r="AC980" s="0" t="s">
        <v>177</v>
      </c>
      <c r="AD980" s="0" t="s">
        <v>513</v>
      </c>
      <c r="AE980" s="0" t="s">
        <v>799</v>
      </c>
      <c r="AH980" s="0" t="s">
        <v>180</v>
      </c>
      <c r="AJ980" s="0" t="s">
        <v>437</v>
      </c>
      <c r="AK980" s="0" t="s">
        <v>94</v>
      </c>
      <c r="AL980" s="0" t="s">
        <v>95</v>
      </c>
      <c r="AN980" s="0" t="s">
        <v>97</v>
      </c>
      <c r="AT980" s="0" t="s">
        <v>103</v>
      </c>
      <c r="BE980" s="0" t="s">
        <v>114</v>
      </c>
      <c r="BK980" s="0" t="s">
        <v>120</v>
      </c>
      <c r="BX980" s="0" t="s">
        <v>133</v>
      </c>
    </row>
    <row r="981" ht="1164.75">
      <c r="B981" s="0" t="s">
        <v>2742</v>
      </c>
      <c r="C981" s="1" t="n">
        <v>352548</v>
      </c>
      <c r="E981" s="14" t="s">
        <v>269</v>
      </c>
      <c r="F981" s="14" t="s">
        <v>184</v>
      </c>
      <c r="G981" s="25" t="str">
        <f>HYPERLINK("http://vk.com/wall188988869_822")</f>
      </c>
      <c r="H981" s="14" t="s">
        <v>170</v>
      </c>
      <c r="I981" s="14" t="s">
        <v>171</v>
      </c>
      <c r="J981" s="14" t="s">
        <v>2743</v>
      </c>
      <c r="K981" s="26" t="str">
        <f>HYPERLINK("http://vk.com/id188988869")</f>
      </c>
      <c r="L981" s="14" t="s">
        <v>173</v>
      </c>
      <c r="O981" s="1" t="s">
        <v>186</v>
      </c>
      <c r="P981" s="1" t="n">
        <v>70</v>
      </c>
      <c r="Q981" s="1" t="n">
        <v>52</v>
      </c>
      <c r="R981" s="1" t="n">
        <v>0</v>
      </c>
      <c r="S981" s="1"/>
      <c r="T981" s="1" t="n">
        <v>0</v>
      </c>
      <c r="U981" s="1" t="n">
        <v>0</v>
      </c>
      <c r="V981" s="1" t="n">
        <v>0</v>
      </c>
      <c r="W981" s="1" t="n">
        <v>1</v>
      </c>
      <c r="Y981" s="1" t="n">
        <v>24</v>
      </c>
      <c r="Z981" s="0" t="s">
        <v>175</v>
      </c>
      <c r="AA981" s="0" t="s">
        <v>187</v>
      </c>
      <c r="AC981" s="0" t="s">
        <v>177</v>
      </c>
      <c r="AD981" s="0" t="s">
        <v>520</v>
      </c>
      <c r="AE981" s="0" t="s">
        <v>521</v>
      </c>
      <c r="AH981" s="0" t="s">
        <v>180</v>
      </c>
      <c r="AJ981" s="0" t="s">
        <v>437</v>
      </c>
      <c r="AK981" s="0" t="s">
        <v>94</v>
      </c>
      <c r="AL981" s="0" t="s">
        <v>95</v>
      </c>
      <c r="AM981" s="0" t="s">
        <v>96</v>
      </c>
      <c r="AX981" s="0" t="s">
        <v>107</v>
      </c>
    </row>
    <row r="982" ht="36.75">
      <c r="B982" s="0" t="s">
        <v>2744</v>
      </c>
      <c r="C982" s="1" t="n">
        <v>352801</v>
      </c>
      <c r="E982" s="14" t="s">
        <v>1189</v>
      </c>
      <c r="F982" s="14" t="s">
        <v>169</v>
      </c>
      <c r="G982" s="25" t="str">
        <f>HYPERLINK("http://www.ok.ru/profile/538901049127/statuses/155306666698791")</f>
      </c>
      <c r="H982" s="14" t="s">
        <v>170</v>
      </c>
      <c r="I982" s="14" t="s">
        <v>171</v>
      </c>
      <c r="J982" s="14" t="s">
        <v>2745</v>
      </c>
      <c r="K982" s="26" t="str">
        <f>HYPERLINK("http://www.ok.ru/profile/538901049127")</f>
      </c>
      <c r="L982" s="14" t="s">
        <v>173</v>
      </c>
      <c r="O982" s="1" t="s">
        <v>186</v>
      </c>
      <c r="P982" s="1"/>
      <c r="Q982" s="1" t="n">
        <v>521</v>
      </c>
      <c r="R982" s="1" t="n">
        <v>0</v>
      </c>
      <c r="S982" s="1"/>
      <c r="T982" s="1" t="n">
        <v>0</v>
      </c>
      <c r="U982" s="1" t="n">
        <v>1</v>
      </c>
      <c r="V982" s="1" t="n">
        <v>1</v>
      </c>
      <c r="W982" s="1"/>
      <c r="Y982" s="1" t="n">
        <v>46</v>
      </c>
      <c r="Z982" s="0" t="s">
        <v>175</v>
      </c>
      <c r="AA982" s="0" t="s">
        <v>187</v>
      </c>
      <c r="AC982" s="0" t="s">
        <v>177</v>
      </c>
      <c r="AD982" s="0" t="s">
        <v>1073</v>
      </c>
      <c r="AE982" s="0" t="s">
        <v>2746</v>
      </c>
      <c r="AH982" s="0" t="s">
        <v>180</v>
      </c>
      <c r="AJ982" s="0" t="s">
        <v>437</v>
      </c>
      <c r="AK982" s="0" t="s">
        <v>94</v>
      </c>
      <c r="AL982" s="0" t="s">
        <v>95</v>
      </c>
      <c r="AM982" s="0" t="s">
        <v>96</v>
      </c>
      <c r="AO982" s="0" t="s">
        <v>98</v>
      </c>
      <c r="AQ982" s="0" t="s">
        <v>100</v>
      </c>
    </row>
    <row r="983" ht="300.75">
      <c r="B983" s="0" t="s">
        <v>2747</v>
      </c>
      <c r="C983" s="1" t="n">
        <v>352871</v>
      </c>
      <c r="D983" s="0" t="s">
        <v>2748</v>
      </c>
      <c r="E983" s="14" t="s">
        <v>2749</v>
      </c>
      <c r="F983" s="14" t="s">
        <v>2750</v>
      </c>
      <c r="G983" s="25" t="str">
        <f>HYPERLINK("http://monitoring-money.com/wiki/item/65566-krugovorot-ingavirina-v-seme-reyharta")</f>
      </c>
      <c r="H983" s="14" t="s">
        <v>208</v>
      </c>
      <c r="I983" s="14" t="s">
        <v>194</v>
      </c>
      <c r="J983" s="14"/>
      <c r="L983" s="14"/>
      <c r="O983" s="1"/>
      <c r="P983" s="1"/>
      <c r="Q983" s="1"/>
      <c r="R983" s="1" t="n">
        <v>0</v>
      </c>
      <c r="S983" s="1" t="n">
        <v>74</v>
      </c>
      <c r="T983" s="1" t="n">
        <v>0</v>
      </c>
      <c r="U983" s="1" t="n">
        <v>0</v>
      </c>
      <c r="V983" s="1" t="n">
        <v>0</v>
      </c>
      <c r="W983" s="1"/>
      <c r="Y983" s="1" t="n">
        <v>1</v>
      </c>
      <c r="Z983" s="0" t="s">
        <v>175</v>
      </c>
      <c r="AA983" s="0" t="s">
        <v>187</v>
      </c>
      <c r="AH983" s="0" t="s">
        <v>180</v>
      </c>
      <c r="AJ983" s="0" t="s">
        <v>437</v>
      </c>
      <c r="AK983" s="0" t="s">
        <v>94</v>
      </c>
      <c r="AL983" s="0" t="s">
        <v>95</v>
      </c>
      <c r="BA983" s="0" t="s">
        <v>110</v>
      </c>
      <c r="BW983" s="0" t="s">
        <v>132</v>
      </c>
    </row>
    <row r="984" ht="24.75">
      <c r="B984" s="0" t="s">
        <v>2751</v>
      </c>
      <c r="C984" s="1" t="n">
        <v>352841</v>
      </c>
      <c r="E984" s="14" t="s">
        <v>1102</v>
      </c>
      <c r="F984" s="14" t="s">
        <v>169</v>
      </c>
      <c r="G984" s="25" t="str">
        <f>HYPERLINK("http://www.ok.ru/profile/545852551192/statuses/156278108069912")</f>
      </c>
      <c r="H984" s="14" t="s">
        <v>170</v>
      </c>
      <c r="I984" s="14" t="s">
        <v>171</v>
      </c>
      <c r="J984" s="14" t="s">
        <v>2752</v>
      </c>
      <c r="K984" s="26" t="str">
        <f>HYPERLINK("http://www.ok.ru/profile/545852551192")</f>
      </c>
      <c r="L984" s="14" t="s">
        <v>173</v>
      </c>
      <c r="O984" s="1" t="s">
        <v>186</v>
      </c>
      <c r="P984" s="1"/>
      <c r="Q984" s="1" t="n">
        <v>154</v>
      </c>
      <c r="R984" s="1" t="n">
        <v>0</v>
      </c>
      <c r="S984" s="1"/>
      <c r="T984" s="1" t="n">
        <v>2</v>
      </c>
      <c r="U984" s="1" t="n">
        <v>4</v>
      </c>
      <c r="V984" s="1" t="n">
        <v>6</v>
      </c>
      <c r="W984" s="1"/>
      <c r="Y984" s="1" t="n">
        <v>93</v>
      </c>
      <c r="Z984" s="0" t="s">
        <v>175</v>
      </c>
      <c r="AA984" s="0" t="s">
        <v>187</v>
      </c>
      <c r="AC984" s="0" t="s">
        <v>177</v>
      </c>
      <c r="AD984" s="0" t="s">
        <v>2476</v>
      </c>
      <c r="AE984" s="0" t="s">
        <v>2753</v>
      </c>
      <c r="AH984" s="0" t="s">
        <v>180</v>
      </c>
      <c r="AJ984" s="0" t="s">
        <v>437</v>
      </c>
      <c r="AK984" s="0" t="s">
        <v>94</v>
      </c>
      <c r="AL984" s="0" t="s">
        <v>95</v>
      </c>
      <c r="AM984" s="0" t="s">
        <v>96</v>
      </c>
      <c r="AU984" s="0" t="s">
        <v>104</v>
      </c>
      <c r="AV984" s="0" t="s">
        <v>105</v>
      </c>
    </row>
    <row r="985" ht="36.75">
      <c r="B985" s="0" t="s">
        <v>2754</v>
      </c>
      <c r="C985" s="1" t="n">
        <v>352536</v>
      </c>
      <c r="E985" s="14" t="s">
        <v>202</v>
      </c>
      <c r="F985" s="14" t="s">
        <v>184</v>
      </c>
      <c r="G985" s="25" t="str">
        <f>HYPERLINK("http://vk.com/wall443322588_1174")</f>
      </c>
      <c r="H985" s="14" t="s">
        <v>170</v>
      </c>
      <c r="I985" s="14" t="s">
        <v>171</v>
      </c>
      <c r="J985" s="14" t="s">
        <v>2755</v>
      </c>
      <c r="K985" s="26" t="str">
        <f>HYPERLINK("http://vk.com/id443322588")</f>
      </c>
      <c r="L985" s="14" t="s">
        <v>173</v>
      </c>
      <c r="O985" s="1" t="s">
        <v>186</v>
      </c>
      <c r="P985" s="1" t="n">
        <v>73</v>
      </c>
      <c r="Q985" s="1" t="n">
        <v>37</v>
      </c>
      <c r="R985" s="1" t="n">
        <v>0</v>
      </c>
      <c r="S985" s="1"/>
      <c r="T985" s="1" t="n">
        <v>0</v>
      </c>
      <c r="U985" s="1" t="n">
        <v>0</v>
      </c>
      <c r="V985" s="1" t="n">
        <v>0</v>
      </c>
      <c r="W985" s="1"/>
      <c r="Y985" s="1" t="n">
        <v>61</v>
      </c>
      <c r="Z985" s="0" t="s">
        <v>175</v>
      </c>
      <c r="AA985" s="0" t="s">
        <v>176</v>
      </c>
      <c r="AH985" s="0" t="s">
        <v>180</v>
      </c>
      <c r="AJ985" s="0" t="s">
        <v>437</v>
      </c>
      <c r="AK985" s="0" t="s">
        <v>94</v>
      </c>
      <c r="AL985" s="0" t="s">
        <v>95</v>
      </c>
      <c r="AM985" s="0" t="s">
        <v>96</v>
      </c>
      <c r="AO985" s="0" t="s">
        <v>98</v>
      </c>
      <c r="AQ985" s="0" t="s">
        <v>100</v>
      </c>
    </row>
    <row r="986" ht="24.75">
      <c r="B986" s="0" t="s">
        <v>2754</v>
      </c>
      <c r="C986" s="1" t="n">
        <v>352529</v>
      </c>
      <c r="E986" s="14" t="s">
        <v>2756</v>
      </c>
      <c r="F986" s="14" t="s">
        <v>184</v>
      </c>
      <c r="G986" s="25" t="str">
        <f>HYPERLINK("http://vk.com/wall567796735_76")</f>
      </c>
      <c r="H986" s="14" t="s">
        <v>170</v>
      </c>
      <c r="I986" s="14" t="s">
        <v>171</v>
      </c>
      <c r="J986" s="14" t="s">
        <v>2757</v>
      </c>
      <c r="K986" s="26" t="str">
        <f>HYPERLINK("http://vk.com/id567796735")</f>
      </c>
      <c r="L986" s="14" t="s">
        <v>173</v>
      </c>
      <c r="O986" s="1" t="s">
        <v>186</v>
      </c>
      <c r="P986" s="1"/>
      <c r="Q986" s="1" t="n">
        <v>166</v>
      </c>
      <c r="R986" s="1" t="n">
        <v>0</v>
      </c>
      <c r="S986" s="1"/>
      <c r="T986" s="1" t="n">
        <v>0</v>
      </c>
      <c r="U986" s="1" t="n">
        <v>0</v>
      </c>
      <c r="V986" s="1" t="n">
        <v>0</v>
      </c>
      <c r="W986" s="1" t="n">
        <v>1</v>
      </c>
      <c r="Y986" s="1" t="n">
        <v>4</v>
      </c>
      <c r="Z986" s="0" t="s">
        <v>175</v>
      </c>
      <c r="AA986" s="0" t="s">
        <v>187</v>
      </c>
      <c r="AH986" s="0" t="s">
        <v>180</v>
      </c>
      <c r="AJ986" s="0" t="s">
        <v>437</v>
      </c>
      <c r="AK986" s="0" t="s">
        <v>94</v>
      </c>
      <c r="AL986" s="0" t="s">
        <v>95</v>
      </c>
      <c r="AM986" s="0" t="s">
        <v>96</v>
      </c>
      <c r="BC986" s="0" t="s">
        <v>112</v>
      </c>
      <c r="BI986" s="0" t="s">
        <v>118</v>
      </c>
      <c r="BN986" s="0" t="s">
        <v>123</v>
      </c>
    </row>
    <row r="987">
      <c r="B987" s="0" t="s">
        <v>2758</v>
      </c>
      <c r="C987" s="1" t="n">
        <v>352455</v>
      </c>
      <c r="E987" s="14" t="s">
        <v>2759</v>
      </c>
      <c r="F987" s="14" t="s">
        <v>184</v>
      </c>
      <c r="G987" s="25" t="str">
        <f>HYPERLINK("http://vk.com/wall-155403177_57057?reply=57228&amp;thread=57063")</f>
      </c>
      <c r="H987" s="14" t="s">
        <v>170</v>
      </c>
      <c r="I987" s="14" t="s">
        <v>231</v>
      </c>
      <c r="J987" s="14" t="s">
        <v>2735</v>
      </c>
      <c r="K987" s="26" t="str">
        <f>HYPERLINK("http://vk.com/id564999158")</f>
      </c>
      <c r="L987" s="14" t="s">
        <v>173</v>
      </c>
      <c r="M987" s="14" t="s">
        <v>740</v>
      </c>
      <c r="N987" s="25" t="str">
        <f>HYPERLINK("http://vk.com/club155403177")</f>
      </c>
      <c r="O987" s="1" t="s">
        <v>186</v>
      </c>
      <c r="P987" s="1"/>
      <c r="Q987" s="1" t="n">
        <v>95225</v>
      </c>
      <c r="R987" s="1" t="n">
        <v>0</v>
      </c>
      <c r="S987" s="1"/>
      <c r="T987" s="1" t="n">
        <v>0</v>
      </c>
      <c r="U987" s="1" t="n">
        <v>0</v>
      </c>
      <c r="V987" s="1" t="n">
        <v>0</v>
      </c>
      <c r="W987" s="1"/>
      <c r="Y987" s="1" t="n">
        <v>1</v>
      </c>
      <c r="Z987" s="0" t="s">
        <v>319</v>
      </c>
      <c r="AA987" s="0" t="s">
        <v>187</v>
      </c>
      <c r="AC987" s="0" t="s">
        <v>177</v>
      </c>
      <c r="AH987" s="0" t="s">
        <v>180</v>
      </c>
      <c r="AI987" s="0" t="s">
        <v>92</v>
      </c>
      <c r="AJ987" s="0" t="s">
        <v>437</v>
      </c>
      <c r="AK987" s="0" t="s">
        <v>94</v>
      </c>
      <c r="AN987" s="0" t="s">
        <v>97</v>
      </c>
      <c r="AR987" s="0" t="s">
        <v>101</v>
      </c>
      <c r="AS987" s="0" t="s">
        <v>102</v>
      </c>
      <c r="AZ987" s="0" t="s">
        <v>109</v>
      </c>
      <c r="BG987" s="0" t="s">
        <v>116</v>
      </c>
    </row>
    <row r="988" ht="24.75">
      <c r="B988" s="0" t="s">
        <v>2760</v>
      </c>
      <c r="C988" s="1" t="n">
        <v>352856</v>
      </c>
      <c r="E988" s="14" t="s">
        <v>390</v>
      </c>
      <c r="F988" s="14" t="s">
        <v>169</v>
      </c>
      <c r="G988" s="25" t="str">
        <f>HYPERLINK("http://www.ok.ru/profile/567428872334/statuses/156072703839118")</f>
      </c>
      <c r="H988" s="14" t="s">
        <v>170</v>
      </c>
      <c r="I988" s="14" t="s">
        <v>171</v>
      </c>
      <c r="J988" s="14" t="s">
        <v>2761</v>
      </c>
      <c r="K988" s="26" t="str">
        <f>HYPERLINK("http://www.ok.ru/profile/567428872334")</f>
      </c>
      <c r="L988" s="14" t="s">
        <v>173</v>
      </c>
      <c r="O988" s="1" t="s">
        <v>186</v>
      </c>
      <c r="P988" s="1"/>
      <c r="Q988" s="1" t="n">
        <v>624</v>
      </c>
      <c r="R988" s="1" t="n">
        <v>0</v>
      </c>
      <c r="S988" s="1"/>
      <c r="T988" s="1" t="n">
        <v>1</v>
      </c>
      <c r="U988" s="1" t="n">
        <v>2</v>
      </c>
      <c r="V988" s="1" t="n">
        <v>3</v>
      </c>
      <c r="W988" s="1"/>
      <c r="Y988" s="1" t="n">
        <v>6</v>
      </c>
      <c r="Z988" s="0" t="s">
        <v>175</v>
      </c>
      <c r="AA988" s="0" t="s">
        <v>292</v>
      </c>
      <c r="AC988" s="0" t="s">
        <v>177</v>
      </c>
      <c r="AD988" s="0" t="s">
        <v>1930</v>
      </c>
      <c r="AE988" s="0" t="s">
        <v>2762</v>
      </c>
      <c r="AH988" s="0" t="s">
        <v>180</v>
      </c>
      <c r="AJ988" s="0" t="s">
        <v>437</v>
      </c>
      <c r="AK988" s="0" t="s">
        <v>94</v>
      </c>
      <c r="AL988" s="0" t="s">
        <v>95</v>
      </c>
      <c r="AM988" s="0" t="s">
        <v>96</v>
      </c>
      <c r="AX988" s="0" t="s">
        <v>107</v>
      </c>
      <c r="BR988" s="0" t="s">
        <v>127</v>
      </c>
    </row>
    <row r="989">
      <c r="B989" s="0" t="s">
        <v>2763</v>
      </c>
      <c r="C989" s="1" t="n">
        <v>352458</v>
      </c>
      <c r="E989" s="14" t="s">
        <v>2764</v>
      </c>
      <c r="F989" s="14" t="s">
        <v>192</v>
      </c>
      <c r="G989" s="25" t="str">
        <f>HYPERLINK("https://telegram.me/anaboliki_chat/588325")</f>
      </c>
      <c r="H989" s="14" t="s">
        <v>193</v>
      </c>
      <c r="I989" s="14" t="s">
        <v>194</v>
      </c>
      <c r="J989" s="14" t="s">
        <v>2765</v>
      </c>
      <c r="K989" s="26" t="str">
        <f>HYPERLINK("https://telegram.me/")</f>
      </c>
      <c r="L989" s="14" t="s">
        <v>173</v>
      </c>
      <c r="M989" s="14" t="s">
        <v>2766</v>
      </c>
      <c r="N989" s="25" t="str">
        <f>HYPERLINK("https://telegram.me/anaboliki_chat")</f>
      </c>
      <c r="O989" s="1" t="s">
        <v>174</v>
      </c>
      <c r="P989" s="1"/>
      <c r="Q989" s="1" t="n">
        <v>4994</v>
      </c>
      <c r="R989" s="1" t="n">
        <v>0</v>
      </c>
      <c r="S989" s="1"/>
      <c r="T989" s="1" t="n">
        <v>0</v>
      </c>
      <c r="U989" s="1" t="n">
        <v>0</v>
      </c>
      <c r="V989" s="1" t="n">
        <v>0</v>
      </c>
      <c r="W989" s="1"/>
      <c r="Y989" s="1" t="n">
        <v>1</v>
      </c>
      <c r="Z989" s="0" t="s">
        <v>175</v>
      </c>
      <c r="AA989" s="0" t="s">
        <v>187</v>
      </c>
      <c r="AH989" s="0" t="s">
        <v>180</v>
      </c>
      <c r="AJ989" s="0" t="s">
        <v>437</v>
      </c>
      <c r="AK989" s="0" t="s">
        <v>94</v>
      </c>
      <c r="AN989" s="0" t="s">
        <v>97</v>
      </c>
      <c r="AT989" s="0" t="s">
        <v>103</v>
      </c>
      <c r="AZ989" s="0" t="s">
        <v>109</v>
      </c>
      <c r="BJ989" s="0" t="s">
        <v>119</v>
      </c>
      <c r="BV989" s="0" t="s">
        <v>131</v>
      </c>
    </row>
    <row r="990">
      <c r="B990" s="0" t="s">
        <v>2763</v>
      </c>
      <c r="C990" s="1" t="n">
        <v>352679</v>
      </c>
      <c r="E990" s="14" t="s">
        <v>2767</v>
      </c>
      <c r="F990" s="14" t="s">
        <v>375</v>
      </c>
      <c r="G990" s="25" t="str">
        <f>HYPERLINK("https://www.babyblog.ru/community/diseases/post/3125065")</f>
      </c>
      <c r="H990" s="14" t="s">
        <v>376</v>
      </c>
      <c r="I990" s="14" t="s">
        <v>231</v>
      </c>
      <c r="J990" s="14" t="s">
        <v>2768</v>
      </c>
      <c r="L990" s="14"/>
      <c r="M990" s="14" t="s">
        <v>378</v>
      </c>
      <c r="O990" s="1"/>
      <c r="P990" s="1"/>
      <c r="Q990" s="1"/>
      <c r="R990" s="1" t="n">
        <v>0</v>
      </c>
      <c r="S990" s="1"/>
      <c r="T990" s="1" t="n">
        <v>0</v>
      </c>
      <c r="U990" s="1" t="n">
        <v>0</v>
      </c>
      <c r="V990" s="1" t="n">
        <v>0</v>
      </c>
      <c r="W990" s="1"/>
      <c r="Y990" s="1" t="n">
        <v>1</v>
      </c>
      <c r="Z990" s="0" t="s">
        <v>463</v>
      </c>
      <c r="AA990" s="0" t="s">
        <v>187</v>
      </c>
      <c r="AH990" s="0" t="s">
        <v>180</v>
      </c>
      <c r="AI990" s="0" t="s">
        <v>92</v>
      </c>
      <c r="AJ990" s="0" t="s">
        <v>437</v>
      </c>
      <c r="AK990" s="0" t="s">
        <v>94</v>
      </c>
      <c r="AL990" s="0" t="s">
        <v>95</v>
      </c>
      <c r="AN990" s="0" t="s">
        <v>97</v>
      </c>
      <c r="BC990" s="0" t="s">
        <v>112</v>
      </c>
      <c r="CT990" s="0" t="s">
        <v>155</v>
      </c>
    </row>
    <row r="991">
      <c r="B991" s="0" t="s">
        <v>2769</v>
      </c>
      <c r="C991" s="1" t="n">
        <v>352457</v>
      </c>
      <c r="E991" s="14" t="s">
        <v>2770</v>
      </c>
      <c r="F991" s="14" t="s">
        <v>184</v>
      </c>
      <c r="G991" s="25" t="str">
        <f>HYPERLINK("http://vk.com/wall-114156683_126915?reply=126916")</f>
      </c>
      <c r="H991" s="14" t="s">
        <v>170</v>
      </c>
      <c r="I991" s="14" t="s">
        <v>231</v>
      </c>
      <c r="J991" s="14" t="s">
        <v>2771</v>
      </c>
      <c r="K991" s="26" t="str">
        <f>HYPERLINK("http://vk.com/id700967740")</f>
      </c>
      <c r="L991" s="14" t="s">
        <v>173</v>
      </c>
      <c r="M991" s="14" t="s">
        <v>2772</v>
      </c>
      <c r="N991" s="25" t="str">
        <f>HYPERLINK("http://vk.com/club114156683")</f>
      </c>
      <c r="O991" s="1" t="s">
        <v>186</v>
      </c>
      <c r="P991" s="1" t="n">
        <v>15</v>
      </c>
      <c r="Q991" s="1" t="n">
        <v>41023</v>
      </c>
      <c r="R991" s="1" t="n">
        <v>0</v>
      </c>
      <c r="S991" s="1"/>
      <c r="T991" s="1" t="n">
        <v>0</v>
      </c>
      <c r="U991" s="1" t="n">
        <v>0</v>
      </c>
      <c r="V991" s="1" t="n">
        <v>0</v>
      </c>
      <c r="W991" s="1"/>
      <c r="Y991" s="1" t="n">
        <v>1</v>
      </c>
      <c r="Z991" s="0" t="s">
        <v>319</v>
      </c>
      <c r="AA991" s="0" t="s">
        <v>187</v>
      </c>
      <c r="AH991" s="0" t="s">
        <v>180</v>
      </c>
      <c r="AJ991" s="0" t="s">
        <v>437</v>
      </c>
      <c r="AK991" s="0" t="s">
        <v>94</v>
      </c>
      <c r="AL991" s="0" t="s">
        <v>95</v>
      </c>
      <c r="AN991" s="0" t="s">
        <v>97</v>
      </c>
      <c r="AS991" s="0" t="s">
        <v>102</v>
      </c>
      <c r="BB991" s="0" t="s">
        <v>111</v>
      </c>
      <c r="CB991" s="0" t="s">
        <v>137</v>
      </c>
    </row>
    <row r="992">
      <c r="B992" s="0" t="s">
        <v>2769</v>
      </c>
      <c r="C992" s="1" t="n">
        <v>352433</v>
      </c>
      <c r="E992" s="14" t="s">
        <v>2773</v>
      </c>
      <c r="F992" s="14" t="s">
        <v>184</v>
      </c>
      <c r="G992" s="25" t="str">
        <f>HYPERLINK("http://vk.com/wall-155403177_57057?reply=57226&amp;thread=57063")</f>
      </c>
      <c r="H992" s="14" t="s">
        <v>170</v>
      </c>
      <c r="I992" s="14" t="s">
        <v>231</v>
      </c>
      <c r="J992" s="14" t="s">
        <v>2735</v>
      </c>
      <c r="K992" s="26" t="str">
        <f>HYPERLINK("http://vk.com/id564999158")</f>
      </c>
      <c r="L992" s="14" t="s">
        <v>173</v>
      </c>
      <c r="M992" s="14" t="s">
        <v>740</v>
      </c>
      <c r="N992" s="25" t="str">
        <f>HYPERLINK("http://vk.com/club155403177")</f>
      </c>
      <c r="O992" s="1" t="s">
        <v>186</v>
      </c>
      <c r="P992" s="1"/>
      <c r="Q992" s="1" t="n">
        <v>95225</v>
      </c>
      <c r="R992" s="1" t="n">
        <v>0</v>
      </c>
      <c r="S992" s="1"/>
      <c r="T992" s="1" t="n">
        <v>0</v>
      </c>
      <c r="U992" s="1" t="n">
        <v>0</v>
      </c>
      <c r="V992" s="1" t="n">
        <v>0</v>
      </c>
      <c r="W992" s="1"/>
      <c r="Y992" s="1" t="n">
        <v>1</v>
      </c>
      <c r="Z992" s="0" t="s">
        <v>319</v>
      </c>
      <c r="AA992" s="0" t="s">
        <v>187</v>
      </c>
      <c r="AC992" s="0" t="s">
        <v>177</v>
      </c>
      <c r="AH992" s="0" t="s">
        <v>180</v>
      </c>
      <c r="AI992" s="0" t="s">
        <v>92</v>
      </c>
      <c r="AJ992" s="0" t="s">
        <v>437</v>
      </c>
      <c r="AK992" s="0" t="s">
        <v>94</v>
      </c>
      <c r="AN992" s="0" t="s">
        <v>97</v>
      </c>
      <c r="AR992" s="0" t="s">
        <v>101</v>
      </c>
      <c r="AS992" s="0" t="s">
        <v>102</v>
      </c>
      <c r="AZ992" s="0" t="s">
        <v>109</v>
      </c>
    </row>
    <row r="993" ht="36.75">
      <c r="B993" s="0" t="s">
        <v>2774</v>
      </c>
      <c r="C993" s="1" t="n">
        <v>352518</v>
      </c>
      <c r="E993" s="14" t="s">
        <v>202</v>
      </c>
      <c r="F993" s="14" t="s">
        <v>184</v>
      </c>
      <c r="G993" s="25" t="str">
        <f>HYPERLINK("http://vk.com/wall516956480_1582")</f>
      </c>
      <c r="H993" s="14" t="s">
        <v>170</v>
      </c>
      <c r="I993" s="14" t="s">
        <v>171</v>
      </c>
      <c r="J993" s="14" t="s">
        <v>2775</v>
      </c>
      <c r="K993" s="26" t="str">
        <f>HYPERLINK("http://vk.com/id516956480")</f>
      </c>
      <c r="L993" s="14" t="s">
        <v>173</v>
      </c>
      <c r="O993" s="1" t="s">
        <v>186</v>
      </c>
      <c r="P993" s="1" t="n">
        <v>61</v>
      </c>
      <c r="Q993" s="1" t="n">
        <v>90</v>
      </c>
      <c r="R993" s="1" t="n">
        <v>0</v>
      </c>
      <c r="S993" s="1"/>
      <c r="T993" s="1" t="n">
        <v>0</v>
      </c>
      <c r="U993" s="1" t="n">
        <v>0</v>
      </c>
      <c r="V993" s="1" t="n">
        <v>0</v>
      </c>
      <c r="W993" s="1" t="n">
        <v>1</v>
      </c>
      <c r="Y993" s="1" t="n">
        <v>61</v>
      </c>
      <c r="Z993" s="0" t="s">
        <v>175</v>
      </c>
      <c r="AA993" s="0" t="s">
        <v>176</v>
      </c>
      <c r="AH993" s="0" t="s">
        <v>180</v>
      </c>
      <c r="AJ993" s="0" t="s">
        <v>437</v>
      </c>
      <c r="AK993" s="0" t="s">
        <v>94</v>
      </c>
      <c r="AL993" s="0" t="s">
        <v>95</v>
      </c>
      <c r="AM993" s="0" t="s">
        <v>96</v>
      </c>
      <c r="AO993" s="0" t="s">
        <v>98</v>
      </c>
      <c r="AQ993" s="0" t="s">
        <v>100</v>
      </c>
    </row>
    <row r="994" ht="36.75">
      <c r="B994" s="0" t="s">
        <v>2776</v>
      </c>
      <c r="C994" s="1" t="n">
        <v>352525</v>
      </c>
      <c r="E994" s="14" t="s">
        <v>202</v>
      </c>
      <c r="F994" s="14" t="s">
        <v>184</v>
      </c>
      <c r="G994" s="25" t="str">
        <f>HYPERLINK("http://vk.com/wall553740263_173")</f>
      </c>
      <c r="H994" s="14" t="s">
        <v>170</v>
      </c>
      <c r="I994" s="14" t="s">
        <v>171</v>
      </c>
      <c r="J994" s="14" t="s">
        <v>2777</v>
      </c>
      <c r="K994" s="26" t="str">
        <f>HYPERLINK("http://vk.com/id553740263")</f>
      </c>
      <c r="L994" s="14" t="s">
        <v>173</v>
      </c>
      <c r="O994" s="1" t="s">
        <v>186</v>
      </c>
      <c r="P994" s="1" t="n">
        <v>58</v>
      </c>
      <c r="Q994" s="1" t="n">
        <v>114</v>
      </c>
      <c r="R994" s="1" t="n">
        <v>0</v>
      </c>
      <c r="S994" s="1"/>
      <c r="T994" s="1" t="n">
        <v>0</v>
      </c>
      <c r="U994" s="1" t="n">
        <v>0</v>
      </c>
      <c r="V994" s="1" t="n">
        <v>0</v>
      </c>
      <c r="W994" s="1" t="n">
        <v>2</v>
      </c>
      <c r="Y994" s="1" t="n">
        <v>61</v>
      </c>
      <c r="Z994" s="0" t="s">
        <v>175</v>
      </c>
      <c r="AA994" s="0" t="s">
        <v>176</v>
      </c>
      <c r="AC994" s="0" t="s">
        <v>177</v>
      </c>
      <c r="AD994" s="0" t="s">
        <v>410</v>
      </c>
      <c r="AE994" s="0" t="s">
        <v>1473</v>
      </c>
      <c r="AH994" s="0" t="s">
        <v>180</v>
      </c>
      <c r="AJ994" s="0" t="s">
        <v>437</v>
      </c>
      <c r="AK994" s="0" t="s">
        <v>94</v>
      </c>
      <c r="AL994" s="0" t="s">
        <v>95</v>
      </c>
      <c r="AM994" s="0" t="s">
        <v>96</v>
      </c>
      <c r="AO994" s="0" t="s">
        <v>98</v>
      </c>
      <c r="AQ994" s="0" t="s">
        <v>100</v>
      </c>
    </row>
    <row r="995" ht="108.75">
      <c r="B995" s="0" t="s">
        <v>2778</v>
      </c>
      <c r="C995" s="1" t="n">
        <v>352516</v>
      </c>
      <c r="E995" s="14" t="s">
        <v>529</v>
      </c>
      <c r="F995" s="14" t="s">
        <v>184</v>
      </c>
      <c r="G995" s="25" t="str">
        <f>HYPERLINK("http://vk.com/wall211735607_3911")</f>
      </c>
      <c r="H995" s="14" t="s">
        <v>170</v>
      </c>
      <c r="I995" s="14" t="s">
        <v>194</v>
      </c>
      <c r="J995" s="14" t="s">
        <v>2779</v>
      </c>
      <c r="K995" s="26" t="str">
        <f>HYPERLINK("http://vk.com/id211735607")</f>
      </c>
      <c r="L995" s="14" t="s">
        <v>173</v>
      </c>
      <c r="O995" s="1" t="s">
        <v>186</v>
      </c>
      <c r="P995" s="1"/>
      <c r="Q995" s="1" t="n">
        <v>115</v>
      </c>
      <c r="R995" s="1" t="n">
        <v>0</v>
      </c>
      <c r="S995" s="1"/>
      <c r="T995" s="1" t="n">
        <v>0</v>
      </c>
      <c r="U995" s="1" t="n">
        <v>0</v>
      </c>
      <c r="V995" s="1" t="n">
        <v>0</v>
      </c>
      <c r="W995" s="1" t="n">
        <v>1</v>
      </c>
      <c r="Y995" s="1" t="n">
        <v>9</v>
      </c>
      <c r="Z995" s="0" t="s">
        <v>175</v>
      </c>
      <c r="AA995" s="0" t="s">
        <v>292</v>
      </c>
      <c r="AC995" s="0" t="s">
        <v>177</v>
      </c>
      <c r="AD995" s="0" t="s">
        <v>2780</v>
      </c>
      <c r="AE995" s="0" t="s">
        <v>2781</v>
      </c>
      <c r="AH995" s="0" t="s">
        <v>180</v>
      </c>
      <c r="AJ995" s="0" t="s">
        <v>437</v>
      </c>
      <c r="AK995" s="0" t="s">
        <v>94</v>
      </c>
      <c r="AL995" s="0" t="s">
        <v>95</v>
      </c>
      <c r="AR995" s="0" t="s">
        <v>101</v>
      </c>
      <c r="BA995" s="0" t="s">
        <v>110</v>
      </c>
      <c r="BF995" s="0" t="s">
        <v>115</v>
      </c>
    </row>
    <row r="996">
      <c r="B996" s="0" t="s">
        <v>2778</v>
      </c>
      <c r="C996" s="1" t="n">
        <v>352538</v>
      </c>
      <c r="E996" s="14" t="s">
        <v>2782</v>
      </c>
      <c r="F996" s="14" t="s">
        <v>1655</v>
      </c>
      <c r="G996" s="25" t="str">
        <f>HYPERLINK("http://www.youtube.com/watch?v=xfx8WR60uIA&amp;lc=UgxBHoG2O0URGGdKqQF4AaABAg.9oQtY1Piv5f9oSYI4Aehop")</f>
      </c>
      <c r="H996" s="14" t="s">
        <v>1656</v>
      </c>
      <c r="I996" s="14" t="s">
        <v>231</v>
      </c>
      <c r="J996" s="14" t="s">
        <v>2783</v>
      </c>
      <c r="K996" s="26" t="str">
        <f>HYPERLINK("http://www.youtube.com/channel/UC4hus2HoJyRuCC3bucuRfvA")</f>
      </c>
      <c r="L996" s="14" t="s">
        <v>173</v>
      </c>
      <c r="M996" s="14" t="s">
        <v>2784</v>
      </c>
      <c r="N996" s="25" t="str">
        <f>HYPERLINK("http://www.youtube.com/channel/UCUs4YGaEXLUtCzshe-PhbCw")</f>
      </c>
      <c r="O996" s="1"/>
      <c r="P996" s="1"/>
      <c r="Q996" s="1" t="n">
        <v>168000</v>
      </c>
      <c r="R996" s="1" t="n">
        <v>0</v>
      </c>
      <c r="S996" s="1"/>
      <c r="T996" s="1" t="n">
        <v>0</v>
      </c>
      <c r="U996" s="1" t="n">
        <v>0</v>
      </c>
      <c r="V996" s="1" t="n">
        <v>0</v>
      </c>
      <c r="W996" s="1"/>
      <c r="Y996" s="1" t="n">
        <v>1</v>
      </c>
      <c r="Z996" s="0" t="s">
        <v>175</v>
      </c>
      <c r="AA996" s="0" t="s">
        <v>187</v>
      </c>
      <c r="AB996" s="0" t="s">
        <v>85</v>
      </c>
      <c r="AH996" s="0" t="s">
        <v>180</v>
      </c>
      <c r="AI996" s="0" t="s">
        <v>92</v>
      </c>
      <c r="AJ996" s="0" t="s">
        <v>437</v>
      </c>
      <c r="AK996" s="0" t="s">
        <v>94</v>
      </c>
      <c r="AL996" s="0" t="s">
        <v>95</v>
      </c>
      <c r="AR996" s="0" t="s">
        <v>101</v>
      </c>
      <c r="AS996" s="0" t="s">
        <v>102</v>
      </c>
    </row>
    <row r="997" ht="24.75">
      <c r="B997" s="0" t="s">
        <v>2785</v>
      </c>
      <c r="C997" s="1" t="n">
        <v>352530</v>
      </c>
      <c r="E997" s="14" t="s">
        <v>296</v>
      </c>
      <c r="F997" s="14" t="s">
        <v>184</v>
      </c>
      <c r="G997" s="25" t="str">
        <f>HYPERLINK("http://vk.com/wall563468472_219")</f>
      </c>
      <c r="H997" s="14" t="s">
        <v>170</v>
      </c>
      <c r="I997" s="14" t="s">
        <v>171</v>
      </c>
      <c r="J997" s="14" t="s">
        <v>2786</v>
      </c>
      <c r="K997" s="26" t="str">
        <f>HYPERLINK("http://vk.com/id563468472")</f>
      </c>
      <c r="L997" s="14" t="s">
        <v>173</v>
      </c>
      <c r="O997" s="1" t="s">
        <v>186</v>
      </c>
      <c r="P997" s="1" t="n">
        <v>56</v>
      </c>
      <c r="Q997" s="1" t="n">
        <v>11</v>
      </c>
      <c r="R997" s="1" t="n">
        <v>0</v>
      </c>
      <c r="S997" s="1"/>
      <c r="T997" s="1" t="n">
        <v>0</v>
      </c>
      <c r="U997" s="1" t="n">
        <v>0</v>
      </c>
      <c r="V997" s="1" t="n">
        <v>0</v>
      </c>
      <c r="W997" s="1"/>
      <c r="Y997" s="1" t="n">
        <v>93</v>
      </c>
      <c r="Z997" s="0" t="s">
        <v>175</v>
      </c>
      <c r="AA997" s="0" t="s">
        <v>187</v>
      </c>
      <c r="AH997" s="0" t="s">
        <v>180</v>
      </c>
      <c r="AJ997" s="0" t="s">
        <v>437</v>
      </c>
      <c r="AK997" s="0" t="s">
        <v>94</v>
      </c>
      <c r="AL997" s="0" t="s">
        <v>95</v>
      </c>
      <c r="AM997" s="0" t="s">
        <v>96</v>
      </c>
      <c r="AU997" s="0" t="s">
        <v>104</v>
      </c>
      <c r="AV997" s="0" t="s">
        <v>105</v>
      </c>
    </row>
    <row r="998" ht="1200.75">
      <c r="B998" s="0" t="s">
        <v>2785</v>
      </c>
      <c r="C998" s="1" t="n">
        <v>352565</v>
      </c>
      <c r="E998" s="14" t="s">
        <v>2787</v>
      </c>
      <c r="F998" s="14" t="s">
        <v>169</v>
      </c>
      <c r="G998" s="25" t="str">
        <f>HYPERLINK("http://www.ok.ru/profile/557581145332/statuses/156304941218804")</f>
      </c>
      <c r="H998" s="14" t="s">
        <v>170</v>
      </c>
      <c r="I998" s="14" t="s">
        <v>171</v>
      </c>
      <c r="J998" s="14" t="s">
        <v>2788</v>
      </c>
      <c r="K998" s="26" t="str">
        <f>HYPERLINK("http://www.ok.ru/profile/557581145332")</f>
      </c>
      <c r="L998" s="14" t="s">
        <v>173</v>
      </c>
      <c r="O998" s="1" t="s">
        <v>174</v>
      </c>
      <c r="P998" s="1" t="n">
        <v>61</v>
      </c>
      <c r="Q998" s="1" t="n">
        <v>1269</v>
      </c>
      <c r="R998" s="1" t="n">
        <v>0</v>
      </c>
      <c r="S998" s="1"/>
      <c r="T998" s="1" t="n">
        <v>0</v>
      </c>
      <c r="U998" s="1" t="n">
        <v>0</v>
      </c>
      <c r="V998" s="1" t="n">
        <v>0</v>
      </c>
      <c r="W998" s="1"/>
      <c r="Y998" s="1" t="n">
        <v>1</v>
      </c>
      <c r="Z998" s="0" t="s">
        <v>175</v>
      </c>
      <c r="AA998" s="0" t="s">
        <v>187</v>
      </c>
      <c r="AC998" s="0" t="s">
        <v>177</v>
      </c>
      <c r="AD998" s="0" t="s">
        <v>556</v>
      </c>
      <c r="AE998" s="0" t="s">
        <v>2789</v>
      </c>
      <c r="AH998" s="0" t="s">
        <v>180</v>
      </c>
      <c r="AJ998" s="0" t="s">
        <v>437</v>
      </c>
      <c r="AK998" s="0" t="s">
        <v>94</v>
      </c>
      <c r="AL998" s="0" t="s">
        <v>95</v>
      </c>
      <c r="AM998" s="0" t="s">
        <v>96</v>
      </c>
      <c r="AX998" s="0" t="s">
        <v>107</v>
      </c>
    </row>
    <row r="999">
      <c r="B999" s="0" t="s">
        <v>2785</v>
      </c>
      <c r="C999" s="1" t="n">
        <v>352442</v>
      </c>
      <c r="E999" s="14" t="s">
        <v>2790</v>
      </c>
      <c r="F999" s="14" t="s">
        <v>184</v>
      </c>
      <c r="G999" s="25" t="str">
        <f>HYPERLINK("http://vk.com/wall-150054253_404704?reply=404708")</f>
      </c>
      <c r="H999" s="14" t="s">
        <v>170</v>
      </c>
      <c r="I999" s="14" t="s">
        <v>231</v>
      </c>
      <c r="J999" s="14" t="s">
        <v>2791</v>
      </c>
      <c r="K999" s="26" t="str">
        <f>HYPERLINK("http://vk.com/id105628473")</f>
      </c>
      <c r="L999" s="14" t="s">
        <v>173</v>
      </c>
      <c r="M999" s="14" t="s">
        <v>2792</v>
      </c>
      <c r="N999" s="25" t="str">
        <f>HYPERLINK("http://vk.com/club150054253")</f>
      </c>
      <c r="O999" s="1" t="s">
        <v>186</v>
      </c>
      <c r="P999" s="1" t="n">
        <v>30</v>
      </c>
      <c r="Q999" s="1" t="n">
        <v>28817</v>
      </c>
      <c r="R999" s="1" t="n">
        <v>0</v>
      </c>
      <c r="S999" s="1"/>
      <c r="T999" s="1" t="n">
        <v>0</v>
      </c>
      <c r="U999" s="1" t="n">
        <v>0</v>
      </c>
      <c r="V999" s="1" t="n">
        <v>0</v>
      </c>
      <c r="W999" s="1"/>
      <c r="Y999" s="1" t="n">
        <v>1</v>
      </c>
      <c r="Z999" s="0" t="s">
        <v>175</v>
      </c>
      <c r="AA999" s="0" t="s">
        <v>187</v>
      </c>
      <c r="AC999" s="0" t="s">
        <v>177</v>
      </c>
      <c r="AD999" s="0" t="s">
        <v>1778</v>
      </c>
      <c r="AE999" s="0" t="s">
        <v>2793</v>
      </c>
      <c r="AH999" s="0" t="s">
        <v>180</v>
      </c>
      <c r="AI999" s="0" t="s">
        <v>92</v>
      </c>
      <c r="AJ999" s="0" t="s">
        <v>437</v>
      </c>
      <c r="AK999" s="0" t="s">
        <v>94</v>
      </c>
      <c r="AL999" s="0" t="s">
        <v>95</v>
      </c>
      <c r="AN999" s="0" t="s">
        <v>97</v>
      </c>
      <c r="AR999" s="0" t="s">
        <v>101</v>
      </c>
      <c r="AS999" s="0" t="s">
        <v>102</v>
      </c>
      <c r="BB999" s="0" t="s">
        <v>111</v>
      </c>
      <c r="CF999" s="0" t="s">
        <v>141</v>
      </c>
    </row>
    <row r="1000" ht="24.75">
      <c r="B1000" s="0" t="s">
        <v>2794</v>
      </c>
      <c r="C1000" s="1" t="n">
        <v>352439</v>
      </c>
      <c r="E1000" s="14" t="s">
        <v>2795</v>
      </c>
      <c r="F1000" s="14" t="s">
        <v>184</v>
      </c>
      <c r="G1000" s="25" t="str">
        <f>HYPERLINK("http://vk.com/wall-150054253_404704?reply=404707")</f>
      </c>
      <c r="H1000" s="14" t="s">
        <v>170</v>
      </c>
      <c r="I1000" s="14" t="s">
        <v>231</v>
      </c>
      <c r="J1000" s="14" t="s">
        <v>2796</v>
      </c>
      <c r="K1000" s="26" t="str">
        <f>HYPERLINK("http://vk.com/id62140573")</f>
      </c>
      <c r="L1000" s="14" t="s">
        <v>173</v>
      </c>
      <c r="M1000" s="14" t="s">
        <v>2792</v>
      </c>
      <c r="N1000" s="25" t="str">
        <f>HYPERLINK("http://vk.com/club150054253")</f>
      </c>
      <c r="O1000" s="1" t="s">
        <v>186</v>
      </c>
      <c r="P1000" s="1" t="n">
        <v>33</v>
      </c>
      <c r="Q1000" s="1" t="n">
        <v>28817</v>
      </c>
      <c r="R1000" s="1" t="n">
        <v>0</v>
      </c>
      <c r="S1000" s="1"/>
      <c r="T1000" s="1" t="n">
        <v>0</v>
      </c>
      <c r="U1000" s="1" t="n">
        <v>0</v>
      </c>
      <c r="V1000" s="1" t="n">
        <v>0</v>
      </c>
      <c r="W1000" s="1"/>
      <c r="Y1000" s="1" t="n">
        <v>1</v>
      </c>
      <c r="Z1000" s="0" t="s">
        <v>175</v>
      </c>
      <c r="AA1000" s="0" t="s">
        <v>187</v>
      </c>
      <c r="AC1000" s="0" t="s">
        <v>177</v>
      </c>
      <c r="AD1000" s="0" t="s">
        <v>1778</v>
      </c>
      <c r="AE1000" s="0" t="s">
        <v>1779</v>
      </c>
      <c r="AH1000" s="0" t="s">
        <v>180</v>
      </c>
      <c r="AI1000" s="0" t="s">
        <v>92</v>
      </c>
      <c r="AJ1000" s="0" t="s">
        <v>437</v>
      </c>
      <c r="AK1000" s="0" t="s">
        <v>94</v>
      </c>
      <c r="AL1000" s="0" t="s">
        <v>95</v>
      </c>
      <c r="AN1000" s="0" t="s">
        <v>97</v>
      </c>
      <c r="AS1000" s="0" t="s">
        <v>102</v>
      </c>
      <c r="CR1000" s="0" t="s">
        <v>153</v>
      </c>
    </row>
    <row r="1001">
      <c r="B1001" s="0" t="s">
        <v>2794</v>
      </c>
      <c r="C1001" s="1" t="n">
        <v>352555</v>
      </c>
      <c r="D1001" s="0" t="s">
        <v>1034</v>
      </c>
      <c r="E1001" s="14" t="s">
        <v>2797</v>
      </c>
      <c r="F1001" s="14" t="s">
        <v>263</v>
      </c>
      <c r="G1001" s="25" t="str">
        <f>HYPERLINK("https://www.baby.ru/blogs/post/2611463403-520375476/")</f>
      </c>
      <c r="H1001" s="14" t="s">
        <v>264</v>
      </c>
      <c r="I1001" s="14" t="s">
        <v>231</v>
      </c>
      <c r="J1001" s="14" t="s">
        <v>2798</v>
      </c>
      <c r="K1001" s="26" t="str">
        <f>HYPERLINK("https://www.baby.ru/u/usr2601479/")</f>
      </c>
      <c r="L1001" s="14"/>
      <c r="M1001" s="14" t="s">
        <v>353</v>
      </c>
      <c r="N1001" s="25" t="str">
        <f>HYPERLINK("https://www.baby.ru/u/usr1132236/")</f>
      </c>
      <c r="O1001" s="1"/>
      <c r="P1001" s="1"/>
      <c r="Q1001" s="1"/>
      <c r="R1001" s="1" t="n">
        <v>0</v>
      </c>
      <c r="S1001" s="1"/>
      <c r="T1001" s="1" t="n">
        <v>0</v>
      </c>
      <c r="U1001" s="1" t="n">
        <v>0</v>
      </c>
      <c r="V1001" s="1" t="n">
        <v>0</v>
      </c>
      <c r="W1001" s="1"/>
      <c r="Y1001" s="1" t="n">
        <v>1</v>
      </c>
      <c r="Z1001" s="0" t="s">
        <v>319</v>
      </c>
      <c r="AA1001" s="0" t="s">
        <v>292</v>
      </c>
      <c r="AC1001" s="0" t="s">
        <v>177</v>
      </c>
      <c r="AD1001" s="0" t="s">
        <v>332</v>
      </c>
      <c r="AE1001" s="0" t="s">
        <v>332</v>
      </c>
      <c r="AH1001" s="0" t="s">
        <v>180</v>
      </c>
      <c r="AI1001" s="0" t="s">
        <v>92</v>
      </c>
      <c r="AJ1001" s="0" t="s">
        <v>437</v>
      </c>
      <c r="AN1001" s="0" t="s">
        <v>97</v>
      </c>
      <c r="AS1001" s="0" t="s">
        <v>102</v>
      </c>
      <c r="AY1001" s="0" t="s">
        <v>108</v>
      </c>
      <c r="BS1001" s="0" t="s">
        <v>128</v>
      </c>
    </row>
    <row r="1002" ht="24.75">
      <c r="B1002" s="0" t="s">
        <v>2799</v>
      </c>
      <c r="C1002" s="1" t="n">
        <v>352515</v>
      </c>
      <c r="E1002" s="14" t="s">
        <v>554</v>
      </c>
      <c r="F1002" s="14" t="s">
        <v>169</v>
      </c>
      <c r="G1002" s="25" t="str">
        <f>HYPERLINK("http://www.ok.ru/profile/572418878058/statuses/155981869562730")</f>
      </c>
      <c r="H1002" s="14" t="s">
        <v>170</v>
      </c>
      <c r="I1002" s="14" t="s">
        <v>171</v>
      </c>
      <c r="J1002" s="14" t="s">
        <v>2800</v>
      </c>
      <c r="K1002" s="26" t="str">
        <f>HYPERLINK("http://www.ok.ru/profile/572418878058")</f>
      </c>
      <c r="L1002" s="14" t="s">
        <v>173</v>
      </c>
      <c r="O1002" s="1" t="s">
        <v>186</v>
      </c>
      <c r="P1002" s="1" t="n">
        <v>59</v>
      </c>
      <c r="Q1002" s="1" t="n">
        <v>481</v>
      </c>
      <c r="R1002" s="1" t="n">
        <v>0</v>
      </c>
      <c r="S1002" s="1"/>
      <c r="T1002" s="1" t="n">
        <v>0</v>
      </c>
      <c r="U1002" s="1" t="n">
        <v>0</v>
      </c>
      <c r="V1002" s="1" t="n">
        <v>0</v>
      </c>
      <c r="W1002" s="1"/>
      <c r="Y1002" s="1" t="n">
        <v>59</v>
      </c>
      <c r="Z1002" s="0" t="s">
        <v>175</v>
      </c>
      <c r="AA1002" s="0" t="s">
        <v>176</v>
      </c>
      <c r="AC1002" s="0" t="s">
        <v>177</v>
      </c>
      <c r="AD1002" s="0" t="s">
        <v>2591</v>
      </c>
      <c r="AE1002" s="0" t="s">
        <v>2801</v>
      </c>
      <c r="AH1002" s="0" t="s">
        <v>180</v>
      </c>
      <c r="AJ1002" s="0" t="s">
        <v>437</v>
      </c>
      <c r="AK1002" s="0" t="s">
        <v>94</v>
      </c>
      <c r="AL1002" s="0" t="s">
        <v>95</v>
      </c>
      <c r="AM1002" s="0" t="s">
        <v>96</v>
      </c>
      <c r="AO1002" s="0" t="s">
        <v>98</v>
      </c>
      <c r="AQ1002" s="0" t="s">
        <v>100</v>
      </c>
    </row>
    <row r="1003" ht="24.75">
      <c r="B1003" s="0" t="s">
        <v>2802</v>
      </c>
      <c r="C1003" s="1" t="n">
        <v>352790</v>
      </c>
      <c r="E1003" s="14" t="s">
        <v>554</v>
      </c>
      <c r="F1003" s="14" t="s">
        <v>169</v>
      </c>
      <c r="G1003" s="25" t="str">
        <f>HYPERLINK("http://www.ok.ru/profile/521829647348/statuses/156304922934260")</f>
      </c>
      <c r="H1003" s="14" t="s">
        <v>170</v>
      </c>
      <c r="I1003" s="14" t="s">
        <v>171</v>
      </c>
      <c r="J1003" s="14" t="s">
        <v>2803</v>
      </c>
      <c r="K1003" s="26" t="str">
        <f>HYPERLINK("http://www.ok.ru/profile/521829647348")</f>
      </c>
      <c r="L1003" s="14" t="s">
        <v>173</v>
      </c>
      <c r="O1003" s="1" t="s">
        <v>186</v>
      </c>
      <c r="P1003" s="1" t="n">
        <v>69</v>
      </c>
      <c r="Q1003" s="1" t="n">
        <v>234</v>
      </c>
      <c r="R1003" s="1" t="n">
        <v>0</v>
      </c>
      <c r="S1003" s="1"/>
      <c r="T1003" s="1" t="n">
        <v>1</v>
      </c>
      <c r="U1003" s="1" t="n">
        <v>3</v>
      </c>
      <c r="V1003" s="1" t="n">
        <v>4</v>
      </c>
      <c r="W1003" s="1"/>
      <c r="Y1003" s="1" t="n">
        <v>59</v>
      </c>
      <c r="Z1003" s="0" t="s">
        <v>175</v>
      </c>
      <c r="AA1003" s="0" t="s">
        <v>176</v>
      </c>
      <c r="AC1003" s="0" t="s">
        <v>177</v>
      </c>
      <c r="AD1003" s="0" t="s">
        <v>1577</v>
      </c>
      <c r="AE1003" s="0" t="s">
        <v>1578</v>
      </c>
      <c r="AH1003" s="0" t="s">
        <v>180</v>
      </c>
      <c r="AJ1003" s="0" t="s">
        <v>437</v>
      </c>
      <c r="AK1003" s="0" t="s">
        <v>94</v>
      </c>
      <c r="AL1003" s="0" t="s">
        <v>95</v>
      </c>
      <c r="AM1003" s="0" t="s">
        <v>96</v>
      </c>
      <c r="AO1003" s="0" t="s">
        <v>98</v>
      </c>
      <c r="AQ1003" s="0" t="s">
        <v>100</v>
      </c>
    </row>
    <row r="1004" ht="36.75">
      <c r="B1004" s="0" t="s">
        <v>2802</v>
      </c>
      <c r="C1004" s="1" t="n">
        <v>352503</v>
      </c>
      <c r="E1004" s="14" t="s">
        <v>2533</v>
      </c>
      <c r="F1004" s="14" t="s">
        <v>184</v>
      </c>
      <c r="G1004" s="25" t="str">
        <f>HYPERLINK("http://vk.com/wall512576493_1599")</f>
      </c>
      <c r="H1004" s="14" t="s">
        <v>170</v>
      </c>
      <c r="I1004" s="14" t="s">
        <v>171</v>
      </c>
      <c r="J1004" s="14" t="s">
        <v>2804</v>
      </c>
      <c r="K1004" s="26" t="str">
        <f>HYPERLINK("http://vk.com/id512576493")</f>
      </c>
      <c r="L1004" s="14" t="s">
        <v>173</v>
      </c>
      <c r="O1004" s="1" t="s">
        <v>186</v>
      </c>
      <c r="P1004" s="1" t="n">
        <v>63</v>
      </c>
      <c r="Q1004" s="1" t="n">
        <v>137</v>
      </c>
      <c r="R1004" s="1" t="n">
        <v>0</v>
      </c>
      <c r="S1004" s="1"/>
      <c r="T1004" s="1" t="n">
        <v>0</v>
      </c>
      <c r="U1004" s="1" t="n">
        <v>0</v>
      </c>
      <c r="V1004" s="1" t="n">
        <v>0</v>
      </c>
      <c r="W1004" s="1" t="n">
        <v>2</v>
      </c>
      <c r="Y1004" s="1" t="n">
        <v>9</v>
      </c>
      <c r="Z1004" s="0" t="s">
        <v>175</v>
      </c>
      <c r="AA1004" s="0" t="s">
        <v>187</v>
      </c>
      <c r="AC1004" s="0" t="s">
        <v>177</v>
      </c>
      <c r="AD1004" s="0" t="s">
        <v>278</v>
      </c>
      <c r="AE1004" s="0" t="s">
        <v>2805</v>
      </c>
      <c r="AH1004" s="0" t="s">
        <v>180</v>
      </c>
      <c r="AJ1004" s="0" t="s">
        <v>437</v>
      </c>
      <c r="AK1004" s="0" t="s">
        <v>94</v>
      </c>
      <c r="AL1004" s="0" t="s">
        <v>95</v>
      </c>
      <c r="AN1004" s="0" t="s">
        <v>97</v>
      </c>
      <c r="AT1004" s="0" t="s">
        <v>103</v>
      </c>
      <c r="AW1004" s="0" t="s">
        <v>106</v>
      </c>
      <c r="BE1004" s="0" t="s">
        <v>114</v>
      </c>
      <c r="BK1004" s="0" t="s">
        <v>120</v>
      </c>
      <c r="BX1004" s="0" t="s">
        <v>133</v>
      </c>
    </row>
    <row r="1005">
      <c r="B1005" s="0" t="s">
        <v>2806</v>
      </c>
      <c r="C1005" s="1" t="n">
        <v>352429</v>
      </c>
      <c r="E1005" s="14" t="s">
        <v>2807</v>
      </c>
      <c r="F1005" s="14" t="s">
        <v>192</v>
      </c>
      <c r="G1005" s="25" t="str">
        <f>HYPERLINK("https://telegram.me/hhv7ru/634049")</f>
      </c>
      <c r="H1005" s="14" t="s">
        <v>193</v>
      </c>
      <c r="I1005" s="14" t="s">
        <v>194</v>
      </c>
      <c r="J1005" s="14" t="s">
        <v>2808</v>
      </c>
      <c r="K1005" s="26" t="str">
        <f>HYPERLINK("https://telegram.me/")</f>
      </c>
      <c r="L1005" s="14" t="s">
        <v>173</v>
      </c>
      <c r="M1005" s="14" t="s">
        <v>2809</v>
      </c>
      <c r="N1005" s="25" t="str">
        <f>HYPERLINK("https://telegram.me/hhv7ru")</f>
      </c>
      <c r="O1005" s="1" t="s">
        <v>186</v>
      </c>
      <c r="P1005" s="1"/>
      <c r="Q1005" s="1" t="n">
        <v>709</v>
      </c>
      <c r="R1005" s="1" t="n">
        <v>0</v>
      </c>
      <c r="S1005" s="1"/>
      <c r="T1005" s="1" t="n">
        <v>0</v>
      </c>
      <c r="U1005" s="1" t="n">
        <v>0</v>
      </c>
      <c r="V1005" s="1" t="n">
        <v>0</v>
      </c>
      <c r="W1005" s="1"/>
      <c r="Y1005" s="1" t="n">
        <v>1</v>
      </c>
      <c r="Z1005" s="0" t="s">
        <v>175</v>
      </c>
      <c r="AA1005" s="0" t="s">
        <v>187</v>
      </c>
      <c r="AH1005" s="0" t="s">
        <v>180</v>
      </c>
      <c r="AJ1005" s="0" t="s">
        <v>437</v>
      </c>
      <c r="AK1005" s="0" t="s">
        <v>94</v>
      </c>
      <c r="AT1005" s="0" t="s">
        <v>103</v>
      </c>
      <c r="AZ1005" s="0" t="s">
        <v>109</v>
      </c>
      <c r="BN1005" s="0" t="s">
        <v>123</v>
      </c>
      <c r="BV1005" s="0" t="s">
        <v>131</v>
      </c>
    </row>
    <row r="1006">
      <c r="B1006" s="0" t="s">
        <v>2810</v>
      </c>
      <c r="C1006" s="1" t="n">
        <v>352421</v>
      </c>
      <c r="E1006" s="14" t="s">
        <v>2811</v>
      </c>
      <c r="F1006" s="14" t="s">
        <v>184</v>
      </c>
      <c r="G1006" s="25" t="str">
        <f>HYPERLINK("http://vk.com/wall-139923997_4238168?reply=4239847&amp;thread=4238180")</f>
      </c>
      <c r="H1006" s="14" t="s">
        <v>170</v>
      </c>
      <c r="I1006" s="14" t="s">
        <v>231</v>
      </c>
      <c r="J1006" s="14" t="s">
        <v>2812</v>
      </c>
      <c r="K1006" s="26" t="str">
        <f>HYPERLINK("http://vk.com/id564998361")</f>
      </c>
      <c r="L1006" s="14" t="s">
        <v>173</v>
      </c>
      <c r="M1006" s="14" t="s">
        <v>539</v>
      </c>
      <c r="N1006" s="25" t="str">
        <f>HYPERLINK("http://vk.com/club139923997")</f>
      </c>
      <c r="O1006" s="1" t="s">
        <v>186</v>
      </c>
      <c r="P1006" s="1"/>
      <c r="Q1006" s="1" t="n">
        <v>2371324</v>
      </c>
      <c r="R1006" s="1" t="n">
        <v>0</v>
      </c>
      <c r="S1006" s="1"/>
      <c r="T1006" s="1" t="n">
        <v>0</v>
      </c>
      <c r="U1006" s="1" t="n">
        <v>0</v>
      </c>
      <c r="V1006" s="1" t="n">
        <v>0</v>
      </c>
      <c r="W1006" s="1"/>
      <c r="Y1006" s="1" t="n">
        <v>1</v>
      </c>
      <c r="Z1006" s="0" t="s">
        <v>319</v>
      </c>
      <c r="AA1006" s="0" t="s">
        <v>187</v>
      </c>
      <c r="AC1006" s="0" t="s">
        <v>177</v>
      </c>
      <c r="AH1006" s="0" t="s">
        <v>180</v>
      </c>
      <c r="AI1006" s="0" t="s">
        <v>92</v>
      </c>
      <c r="AJ1006" s="0" t="s">
        <v>437</v>
      </c>
      <c r="AK1006" s="0" t="s">
        <v>94</v>
      </c>
      <c r="AN1006" s="0" t="s">
        <v>97</v>
      </c>
      <c r="AR1006" s="0" t="s">
        <v>101</v>
      </c>
      <c r="AS1006" s="0" t="s">
        <v>102</v>
      </c>
      <c r="AZ1006" s="0" t="s">
        <v>109</v>
      </c>
    </row>
    <row r="1007" ht="24.75">
      <c r="B1007" s="0" t="s">
        <v>2810</v>
      </c>
      <c r="C1007" s="1" t="n">
        <v>354037</v>
      </c>
      <c r="E1007" s="14" t="s">
        <v>554</v>
      </c>
      <c r="F1007" s="14" t="s">
        <v>169</v>
      </c>
      <c r="G1007" s="25" t="str">
        <f>HYPERLINK("http://www.ok.ru/profile/589645008146/statuses/156149677889554")</f>
      </c>
      <c r="H1007" s="14" t="s">
        <v>170</v>
      </c>
      <c r="I1007" s="14" t="s">
        <v>171</v>
      </c>
      <c r="J1007" s="14" t="s">
        <v>2813</v>
      </c>
      <c r="K1007" s="26" t="str">
        <f>HYPERLINK("http://www.ok.ru/profile/589645008146")</f>
      </c>
      <c r="L1007" s="14" t="s">
        <v>173</v>
      </c>
      <c r="O1007" s="1" t="s">
        <v>186</v>
      </c>
      <c r="P1007" s="1" t="n">
        <v>28</v>
      </c>
      <c r="Q1007" s="1" t="n">
        <v>238</v>
      </c>
      <c r="R1007" s="1" t="n">
        <v>0</v>
      </c>
      <c r="S1007" s="1"/>
      <c r="T1007" s="1" t="n">
        <v>0</v>
      </c>
      <c r="U1007" s="1" t="n">
        <v>0</v>
      </c>
      <c r="V1007" s="1" t="n">
        <v>0</v>
      </c>
      <c r="W1007" s="1"/>
      <c r="Y1007" s="1" t="n">
        <v>59</v>
      </c>
      <c r="Z1007" s="0" t="s">
        <v>175</v>
      </c>
      <c r="AA1007" s="0" t="s">
        <v>176</v>
      </c>
      <c r="AC1007" s="0" t="s">
        <v>177</v>
      </c>
      <c r="AD1007" s="0" t="s">
        <v>252</v>
      </c>
      <c r="AE1007" s="0" t="s">
        <v>267</v>
      </c>
      <c r="AH1007" s="0" t="s">
        <v>180</v>
      </c>
      <c r="AJ1007" s="0" t="s">
        <v>437</v>
      </c>
      <c r="AK1007" s="0" t="s">
        <v>94</v>
      </c>
      <c r="AM1007" s="0" t="s">
        <v>96</v>
      </c>
      <c r="AO1007" s="0" t="s">
        <v>98</v>
      </c>
      <c r="AP1007" s="0" t="s">
        <v>99</v>
      </c>
      <c r="AQ1007" s="0" t="s">
        <v>100</v>
      </c>
    </row>
    <row r="1008">
      <c r="B1008" s="0" t="s">
        <v>2814</v>
      </c>
      <c r="C1008" s="1" t="n">
        <v>352410</v>
      </c>
      <c r="E1008" s="14" t="s">
        <v>2815</v>
      </c>
      <c r="F1008" s="14" t="s">
        <v>184</v>
      </c>
      <c r="G1008" s="25" t="str">
        <f>HYPERLINK("http://vk.com/wall-175424117_692371?reply=692376")</f>
      </c>
      <c r="H1008" s="14" t="s">
        <v>170</v>
      </c>
      <c r="I1008" s="14" t="s">
        <v>231</v>
      </c>
      <c r="J1008" s="14" t="s">
        <v>2816</v>
      </c>
      <c r="K1008" s="26" t="str">
        <f>HYPERLINK("http://vk.com/id964445")</f>
      </c>
      <c r="L1008" s="14" t="s">
        <v>173</v>
      </c>
      <c r="M1008" s="14" t="s">
        <v>2817</v>
      </c>
      <c r="N1008" s="25" t="str">
        <f>HYPERLINK("http://vk.com/club175424117")</f>
      </c>
      <c r="O1008" s="1" t="s">
        <v>186</v>
      </c>
      <c r="P1008" s="1"/>
      <c r="Q1008" s="1" t="n">
        <v>44110</v>
      </c>
      <c r="R1008" s="1" t="n">
        <v>0</v>
      </c>
      <c r="S1008" s="1"/>
      <c r="T1008" s="1" t="n">
        <v>0</v>
      </c>
      <c r="U1008" s="1" t="n">
        <v>0</v>
      </c>
      <c r="V1008" s="1" t="n">
        <v>0</v>
      </c>
      <c r="W1008" s="1"/>
      <c r="Y1008" s="1" t="n">
        <v>1</v>
      </c>
      <c r="Z1008" s="0" t="s">
        <v>175</v>
      </c>
      <c r="AA1008" s="0" t="s">
        <v>187</v>
      </c>
      <c r="AC1008" s="0" t="s">
        <v>177</v>
      </c>
      <c r="AD1008" s="0" t="s">
        <v>240</v>
      </c>
      <c r="AE1008" s="0" t="s">
        <v>240</v>
      </c>
      <c r="AH1008" s="0" t="s">
        <v>180</v>
      </c>
      <c r="AI1008" s="0" t="s">
        <v>92</v>
      </c>
      <c r="AJ1008" s="0" t="s">
        <v>437</v>
      </c>
      <c r="AK1008" s="0" t="s">
        <v>94</v>
      </c>
      <c r="AL1008" s="0" t="s">
        <v>95</v>
      </c>
      <c r="AN1008" s="0" t="s">
        <v>97</v>
      </c>
      <c r="AS1008" s="0" t="s">
        <v>102</v>
      </c>
      <c r="BB1008" s="0" t="s">
        <v>111</v>
      </c>
      <c r="BC1008" s="0" t="s">
        <v>112</v>
      </c>
      <c r="BI1008" s="0" t="s">
        <v>118</v>
      </c>
      <c r="BL1008" s="0" t="s">
        <v>121</v>
      </c>
      <c r="BM1008" s="0" t="s">
        <v>122</v>
      </c>
    </row>
    <row r="1009" ht="1308.75">
      <c r="B1009" s="0" t="s">
        <v>2814</v>
      </c>
      <c r="C1009" s="1" t="n">
        <v>353006</v>
      </c>
      <c r="E1009" s="14" t="s">
        <v>748</v>
      </c>
      <c r="F1009" s="14" t="s">
        <v>169</v>
      </c>
      <c r="G1009" s="25" t="str">
        <f>HYPERLINK("http://www.ok.ru/profile/560137967353/statuses/155283083100409")</f>
      </c>
      <c r="H1009" s="14" t="s">
        <v>170</v>
      </c>
      <c r="I1009" s="14" t="s">
        <v>171</v>
      </c>
      <c r="J1009" s="14" t="s">
        <v>2818</v>
      </c>
      <c r="K1009" s="26" t="str">
        <f>HYPERLINK("http://www.ok.ru/profile/560137967353")</f>
      </c>
      <c r="L1009" s="14" t="s">
        <v>173</v>
      </c>
      <c r="O1009" s="1" t="s">
        <v>186</v>
      </c>
      <c r="P1009" s="1" t="n">
        <v>58</v>
      </c>
      <c r="Q1009" s="1" t="n">
        <v>832</v>
      </c>
      <c r="R1009" s="1" t="n">
        <v>0</v>
      </c>
      <c r="S1009" s="1"/>
      <c r="T1009" s="1" t="n">
        <v>0</v>
      </c>
      <c r="U1009" s="1" t="n">
        <v>1</v>
      </c>
      <c r="V1009" s="1" t="n">
        <v>1</v>
      </c>
      <c r="W1009" s="1"/>
      <c r="Y1009" s="1" t="n">
        <v>4</v>
      </c>
      <c r="Z1009" s="0" t="s">
        <v>175</v>
      </c>
      <c r="AA1009" s="0" t="s">
        <v>176</v>
      </c>
      <c r="AC1009" s="0" t="s">
        <v>177</v>
      </c>
      <c r="AH1009" s="0" t="s">
        <v>180</v>
      </c>
      <c r="AJ1009" s="0" t="s">
        <v>437</v>
      </c>
      <c r="AK1009" s="0" t="s">
        <v>94</v>
      </c>
      <c r="AL1009" s="0" t="s">
        <v>95</v>
      </c>
      <c r="AM1009" s="0" t="s">
        <v>96</v>
      </c>
      <c r="AO1009" s="0" t="s">
        <v>98</v>
      </c>
      <c r="AQ1009" s="0" t="s">
        <v>100</v>
      </c>
      <c r="AR1009" s="0" t="s">
        <v>101</v>
      </c>
    </row>
    <row r="1010" ht="24.75">
      <c r="B1010" s="0" t="s">
        <v>2819</v>
      </c>
      <c r="C1010" s="1" t="n">
        <v>352533</v>
      </c>
      <c r="E1010" s="14" t="s">
        <v>554</v>
      </c>
      <c r="F1010" s="14" t="s">
        <v>169</v>
      </c>
      <c r="G1010" s="25" t="str">
        <f>HYPERLINK("http://www.ok.ru/profile/572552791405/statuses/155867299167085")</f>
      </c>
      <c r="H1010" s="14" t="s">
        <v>170</v>
      </c>
      <c r="I1010" s="14" t="s">
        <v>171</v>
      </c>
      <c r="J1010" s="14" t="s">
        <v>1977</v>
      </c>
      <c r="K1010" s="26" t="str">
        <f>HYPERLINK("http://www.ok.ru/profile/572552791405")</f>
      </c>
      <c r="L1010" s="14" t="s">
        <v>173</v>
      </c>
      <c r="O1010" s="1" t="s">
        <v>186</v>
      </c>
      <c r="P1010" s="1"/>
      <c r="Q1010" s="1" t="n">
        <v>224</v>
      </c>
      <c r="R1010" s="1" t="n">
        <v>0</v>
      </c>
      <c r="S1010" s="1"/>
      <c r="T1010" s="1" t="n">
        <v>1</v>
      </c>
      <c r="U1010" s="1" t="n">
        <v>1</v>
      </c>
      <c r="V1010" s="1" t="n">
        <v>2</v>
      </c>
      <c r="W1010" s="1"/>
      <c r="Y1010" s="1" t="n">
        <v>59</v>
      </c>
      <c r="Z1010" s="0" t="s">
        <v>175</v>
      </c>
      <c r="AA1010" s="0" t="s">
        <v>176</v>
      </c>
      <c r="AC1010" s="0" t="s">
        <v>177</v>
      </c>
      <c r="AD1010" s="0" t="s">
        <v>2670</v>
      </c>
      <c r="AE1010" s="0" t="s">
        <v>2671</v>
      </c>
      <c r="AH1010" s="0" t="s">
        <v>180</v>
      </c>
      <c r="AJ1010" s="0" t="s">
        <v>437</v>
      </c>
      <c r="AK1010" s="0" t="s">
        <v>94</v>
      </c>
      <c r="AL1010" s="0" t="s">
        <v>95</v>
      </c>
      <c r="AM1010" s="0" t="s">
        <v>96</v>
      </c>
      <c r="AO1010" s="0" t="s">
        <v>98</v>
      </c>
      <c r="AQ1010" s="0" t="s">
        <v>100</v>
      </c>
    </row>
    <row r="1011">
      <c r="B1011" s="0" t="s">
        <v>2819</v>
      </c>
      <c r="C1011" s="1" t="n">
        <v>352419</v>
      </c>
      <c r="E1011" s="14" t="s">
        <v>2820</v>
      </c>
      <c r="F1011" s="14" t="s">
        <v>184</v>
      </c>
      <c r="G1011" s="25" t="str">
        <f>HYPERLINK("http://vk.com/wall-1678339_2239751?reply=2239788")</f>
      </c>
      <c r="H1011" s="14" t="s">
        <v>170</v>
      </c>
      <c r="I1011" s="14" t="s">
        <v>231</v>
      </c>
      <c r="J1011" s="14" t="s">
        <v>2821</v>
      </c>
      <c r="K1011" s="26" t="str">
        <f>HYPERLINK("http://vk.com/id259475676")</f>
      </c>
      <c r="L1011" s="14" t="s">
        <v>173</v>
      </c>
      <c r="M1011" s="14" t="s">
        <v>1674</v>
      </c>
      <c r="N1011" s="25" t="str">
        <f>HYPERLINK("http://vk.com/club1678339")</f>
      </c>
      <c r="O1011" s="1" t="s">
        <v>186</v>
      </c>
      <c r="P1011" s="1"/>
      <c r="Q1011" s="1" t="n">
        <v>39553</v>
      </c>
      <c r="R1011" s="1" t="n">
        <v>0</v>
      </c>
      <c r="S1011" s="1"/>
      <c r="T1011" s="1" t="n">
        <v>0</v>
      </c>
      <c r="U1011" s="1" t="n">
        <v>0</v>
      </c>
      <c r="V1011" s="1" t="n">
        <v>0</v>
      </c>
      <c r="W1011" s="1"/>
      <c r="Y1011" s="1" t="n">
        <v>1</v>
      </c>
      <c r="Z1011" s="0" t="s">
        <v>463</v>
      </c>
      <c r="AA1011" s="0" t="s">
        <v>187</v>
      </c>
      <c r="AC1011" s="0" t="s">
        <v>177</v>
      </c>
      <c r="AD1011" s="0" t="s">
        <v>427</v>
      </c>
      <c r="AE1011" s="0" t="s">
        <v>2822</v>
      </c>
      <c r="AH1011" s="0" t="s">
        <v>180</v>
      </c>
      <c r="AJ1011" s="0" t="s">
        <v>437</v>
      </c>
      <c r="AK1011" s="0" t="s">
        <v>94</v>
      </c>
      <c r="AL1011" s="0" t="s">
        <v>95</v>
      </c>
      <c r="AN1011" s="0" t="s">
        <v>97</v>
      </c>
      <c r="BB1011" s="0" t="s">
        <v>111</v>
      </c>
      <c r="BC1011" s="0" t="s">
        <v>112</v>
      </c>
      <c r="BY1011" s="0" t="s">
        <v>134</v>
      </c>
    </row>
    <row r="1012">
      <c r="B1012" s="0" t="s">
        <v>2823</v>
      </c>
      <c r="C1012" s="1" t="n">
        <v>352418</v>
      </c>
      <c r="E1012" s="14" t="s">
        <v>2824</v>
      </c>
      <c r="F1012" s="14" t="s">
        <v>184</v>
      </c>
      <c r="G1012" s="25" t="str">
        <f>HYPERLINK("http://vk.com/wall-58073616_649555?reply=649596&amp;thread=649582")</f>
      </c>
      <c r="H1012" s="14" t="s">
        <v>170</v>
      </c>
      <c r="I1012" s="14" t="s">
        <v>231</v>
      </c>
      <c r="J1012" s="14" t="s">
        <v>2825</v>
      </c>
      <c r="K1012" s="26" t="str">
        <f>HYPERLINK("http://vk.com/id32185341")</f>
      </c>
      <c r="L1012" s="14" t="s">
        <v>173</v>
      </c>
      <c r="M1012" s="14" t="s">
        <v>2826</v>
      </c>
      <c r="N1012" s="25" t="str">
        <f>HYPERLINK("http://vk.com/club58073616")</f>
      </c>
      <c r="O1012" s="1" t="s">
        <v>186</v>
      </c>
      <c r="P1012" s="1"/>
      <c r="Q1012" s="1" t="n">
        <v>46779</v>
      </c>
      <c r="R1012" s="1" t="n">
        <v>0</v>
      </c>
      <c r="S1012" s="1"/>
      <c r="T1012" s="1" t="n">
        <v>0</v>
      </c>
      <c r="U1012" s="1" t="n">
        <v>0</v>
      </c>
      <c r="V1012" s="1" t="n">
        <v>0</v>
      </c>
      <c r="W1012" s="1"/>
      <c r="Y1012" s="1" t="n">
        <v>1</v>
      </c>
      <c r="Z1012" s="0" t="s">
        <v>463</v>
      </c>
      <c r="AA1012" s="0" t="s">
        <v>187</v>
      </c>
      <c r="AC1012" s="0" t="s">
        <v>177</v>
      </c>
      <c r="AD1012" s="0" t="s">
        <v>716</v>
      </c>
      <c r="AE1012" s="0" t="s">
        <v>2827</v>
      </c>
      <c r="AH1012" s="0" t="s">
        <v>180</v>
      </c>
      <c r="AI1012" s="0" t="s">
        <v>92</v>
      </c>
      <c r="AJ1012" s="0" t="s">
        <v>437</v>
      </c>
      <c r="AK1012" s="0" t="s">
        <v>94</v>
      </c>
      <c r="AT1012" s="0" t="s">
        <v>103</v>
      </c>
      <c r="AZ1012" s="0" t="s">
        <v>109</v>
      </c>
      <c r="BY1012" s="0" t="s">
        <v>134</v>
      </c>
      <c r="CN1012" s="0" t="s">
        <v>149</v>
      </c>
    </row>
    <row r="1013" ht="1164.75">
      <c r="B1013" s="0" t="s">
        <v>2828</v>
      </c>
      <c r="C1013" s="1" t="n">
        <v>352486</v>
      </c>
      <c r="E1013" s="14" t="s">
        <v>269</v>
      </c>
      <c r="F1013" s="14" t="s">
        <v>184</v>
      </c>
      <c r="G1013" s="25" t="str">
        <f>HYPERLINK("http://vk.com/wall66980813_2677")</f>
      </c>
      <c r="H1013" s="14" t="s">
        <v>170</v>
      </c>
      <c r="I1013" s="14" t="s">
        <v>171</v>
      </c>
      <c r="J1013" s="14" t="s">
        <v>2829</v>
      </c>
      <c r="K1013" s="26" t="str">
        <f>HYPERLINK("http://vk.com/id66980813")</f>
      </c>
      <c r="L1013" s="14" t="s">
        <v>173</v>
      </c>
      <c r="O1013" s="1" t="s">
        <v>186</v>
      </c>
      <c r="P1013" s="1"/>
      <c r="Q1013" s="1" t="n">
        <v>178</v>
      </c>
      <c r="R1013" s="1" t="n">
        <v>0</v>
      </c>
      <c r="S1013" s="1"/>
      <c r="T1013" s="1" t="n">
        <v>0</v>
      </c>
      <c r="U1013" s="1" t="n">
        <v>0</v>
      </c>
      <c r="V1013" s="1" t="n">
        <v>0</v>
      </c>
      <c r="W1013" s="1" t="n">
        <v>2</v>
      </c>
      <c r="Y1013" s="1" t="n">
        <v>24</v>
      </c>
      <c r="Z1013" s="0" t="s">
        <v>175</v>
      </c>
      <c r="AA1013" s="0" t="s">
        <v>187</v>
      </c>
      <c r="AC1013" s="0" t="s">
        <v>177</v>
      </c>
      <c r="AD1013" s="0" t="s">
        <v>384</v>
      </c>
      <c r="AE1013" s="0" t="s">
        <v>385</v>
      </c>
      <c r="AH1013" s="0" t="s">
        <v>180</v>
      </c>
      <c r="AJ1013" s="0" t="s">
        <v>437</v>
      </c>
      <c r="AK1013" s="0" t="s">
        <v>94</v>
      </c>
      <c r="AL1013" s="0" t="s">
        <v>95</v>
      </c>
      <c r="AM1013" s="0" t="s">
        <v>96</v>
      </c>
      <c r="AX1013" s="0" t="s">
        <v>107</v>
      </c>
    </row>
    <row r="1014" ht="24.75">
      <c r="B1014" s="0" t="s">
        <v>2828</v>
      </c>
      <c r="C1014" s="1" t="n">
        <v>352753</v>
      </c>
      <c r="E1014" s="14" t="s">
        <v>440</v>
      </c>
      <c r="F1014" s="14" t="s">
        <v>169</v>
      </c>
      <c r="G1014" s="25" t="str">
        <f>HYPERLINK("http://www.ok.ru/profile/562130090479/statuses/156316760931823")</f>
      </c>
      <c r="H1014" s="14" t="s">
        <v>170</v>
      </c>
      <c r="I1014" s="14" t="s">
        <v>171</v>
      </c>
      <c r="J1014" s="14" t="s">
        <v>2830</v>
      </c>
      <c r="K1014" s="26" t="str">
        <f>HYPERLINK("http://www.ok.ru/profile/562130090479")</f>
      </c>
      <c r="L1014" s="14" t="s">
        <v>173</v>
      </c>
      <c r="O1014" s="1" t="s">
        <v>186</v>
      </c>
      <c r="P1014" s="1" t="n">
        <v>55</v>
      </c>
      <c r="Q1014" s="1" t="n">
        <v>130</v>
      </c>
      <c r="R1014" s="1" t="n">
        <v>0</v>
      </c>
      <c r="S1014" s="1"/>
      <c r="T1014" s="1" t="n">
        <v>1</v>
      </c>
      <c r="U1014" s="1" t="n">
        <v>1</v>
      </c>
      <c r="V1014" s="1" t="n">
        <v>2</v>
      </c>
      <c r="W1014" s="1"/>
      <c r="Y1014" s="1" t="n">
        <v>17</v>
      </c>
      <c r="Z1014" s="0" t="s">
        <v>175</v>
      </c>
      <c r="AA1014" s="0" t="s">
        <v>176</v>
      </c>
      <c r="AC1014" s="0" t="s">
        <v>177</v>
      </c>
      <c r="AD1014" s="0" t="s">
        <v>681</v>
      </c>
      <c r="AE1014" s="0" t="s">
        <v>682</v>
      </c>
      <c r="AH1014" s="0" t="s">
        <v>180</v>
      </c>
      <c r="AJ1014" s="0" t="s">
        <v>437</v>
      </c>
      <c r="AK1014" s="0" t="s">
        <v>94</v>
      </c>
      <c r="AL1014" s="0" t="s">
        <v>95</v>
      </c>
      <c r="AM1014" s="0" t="s">
        <v>96</v>
      </c>
      <c r="AO1014" s="0" t="s">
        <v>98</v>
      </c>
      <c r="AQ1014" s="0" t="s">
        <v>100</v>
      </c>
    </row>
    <row r="1015">
      <c r="B1015" s="0" t="s">
        <v>2831</v>
      </c>
      <c r="C1015" s="1" t="n">
        <v>352673</v>
      </c>
      <c r="E1015" s="14" t="s">
        <v>2832</v>
      </c>
      <c r="F1015" s="14" t="s">
        <v>1923</v>
      </c>
      <c r="G1015" s="25" t="str">
        <f>HYPERLINK("https://mom.life/post/6438385f44703c5e234cdfad")</f>
      </c>
      <c r="H1015" s="14" t="s">
        <v>264</v>
      </c>
      <c r="I1015" s="14" t="s">
        <v>194</v>
      </c>
      <c r="J1015" s="14" t="s">
        <v>2833</v>
      </c>
      <c r="K1015" s="26" t="str">
        <f>HYPERLINK("https://mom.life/")</f>
      </c>
      <c r="L1015" s="14"/>
      <c r="O1015" s="1"/>
      <c r="P1015" s="1"/>
      <c r="Q1015" s="1"/>
      <c r="R1015" s="1" t="n">
        <v>0</v>
      </c>
      <c r="S1015" s="1"/>
      <c r="T1015" s="1" t="n">
        <v>0</v>
      </c>
      <c r="U1015" s="1" t="n">
        <v>0</v>
      </c>
      <c r="V1015" s="1" t="n">
        <v>0</v>
      </c>
      <c r="W1015" s="1"/>
      <c r="Y1015" s="1" t="n">
        <v>1</v>
      </c>
      <c r="Z1015" s="0" t="s">
        <v>175</v>
      </c>
      <c r="AA1015" s="0" t="s">
        <v>187</v>
      </c>
      <c r="AC1015" s="0" t="s">
        <v>177</v>
      </c>
      <c r="AD1015" s="0" t="s">
        <v>278</v>
      </c>
      <c r="AE1015" s="0" t="s">
        <v>279</v>
      </c>
      <c r="AH1015" s="0" t="s">
        <v>180</v>
      </c>
      <c r="AJ1015" s="0" t="s">
        <v>437</v>
      </c>
      <c r="AK1015" s="0" t="s">
        <v>94</v>
      </c>
      <c r="AL1015" s="0" t="s">
        <v>95</v>
      </c>
      <c r="AN1015" s="0" t="s">
        <v>97</v>
      </c>
      <c r="AW1015" s="0" t="s">
        <v>106</v>
      </c>
      <c r="BB1015" s="0" t="s">
        <v>111</v>
      </c>
      <c r="BC1015" s="0" t="s">
        <v>112</v>
      </c>
      <c r="BQ1015" s="0" t="s">
        <v>126</v>
      </c>
    </row>
    <row r="1016" ht="24.75">
      <c r="B1016" s="0" t="s">
        <v>2834</v>
      </c>
      <c r="C1016" s="1" t="n">
        <v>352577</v>
      </c>
      <c r="E1016" s="14" t="s">
        <v>554</v>
      </c>
      <c r="F1016" s="14" t="s">
        <v>169</v>
      </c>
      <c r="G1016" s="25" t="str">
        <f>HYPERLINK("http://www.ok.ru/profile/591909245469/statuses/155023043611933")</f>
      </c>
      <c r="H1016" s="14" t="s">
        <v>170</v>
      </c>
      <c r="I1016" s="14" t="s">
        <v>171</v>
      </c>
      <c r="J1016" s="14" t="s">
        <v>2835</v>
      </c>
      <c r="K1016" s="26" t="str">
        <f>HYPERLINK("http://www.ok.ru/profile/591909245469")</f>
      </c>
      <c r="L1016" s="14" t="s">
        <v>173</v>
      </c>
      <c r="O1016" s="1" t="s">
        <v>186</v>
      </c>
      <c r="P1016" s="1" t="n">
        <v>57</v>
      </c>
      <c r="Q1016" s="1" t="n">
        <v>155</v>
      </c>
      <c r="R1016" s="1" t="n">
        <v>0</v>
      </c>
      <c r="S1016" s="1"/>
      <c r="T1016" s="1" t="n">
        <v>0</v>
      </c>
      <c r="U1016" s="1" t="n">
        <v>1</v>
      </c>
      <c r="V1016" s="1" t="n">
        <v>1</v>
      </c>
      <c r="W1016" s="1"/>
      <c r="Y1016" s="1" t="n">
        <v>59</v>
      </c>
      <c r="Z1016" s="0" t="s">
        <v>175</v>
      </c>
      <c r="AA1016" s="0" t="s">
        <v>176</v>
      </c>
      <c r="AC1016" s="0" t="s">
        <v>177</v>
      </c>
      <c r="AD1016" s="0" t="s">
        <v>454</v>
      </c>
      <c r="AE1016" s="0" t="s">
        <v>687</v>
      </c>
      <c r="AH1016" s="0" t="s">
        <v>180</v>
      </c>
      <c r="AJ1016" s="0" t="s">
        <v>437</v>
      </c>
      <c r="AK1016" s="0" t="s">
        <v>94</v>
      </c>
      <c r="AL1016" s="0" t="s">
        <v>95</v>
      </c>
      <c r="AM1016" s="0" t="s">
        <v>96</v>
      </c>
      <c r="AO1016" s="0" t="s">
        <v>98</v>
      </c>
      <c r="AQ1016" s="0" t="s">
        <v>100</v>
      </c>
    </row>
    <row r="1017" ht="36.75">
      <c r="B1017" s="0" t="s">
        <v>2834</v>
      </c>
      <c r="C1017" s="1" t="n">
        <v>353052</v>
      </c>
      <c r="E1017" s="14" t="s">
        <v>1189</v>
      </c>
      <c r="F1017" s="14" t="s">
        <v>169</v>
      </c>
      <c r="G1017" s="25" t="str">
        <f>HYPERLINK("http://www.ok.ru/profile/507494050339/statuses/156261101391139")</f>
      </c>
      <c r="H1017" s="14" t="s">
        <v>170</v>
      </c>
      <c r="I1017" s="14" t="s">
        <v>171</v>
      </c>
      <c r="J1017" s="14" t="s">
        <v>2836</v>
      </c>
      <c r="K1017" s="26" t="str">
        <f>HYPERLINK("http://www.ok.ru/profile/507494050339")</f>
      </c>
      <c r="L1017" s="14" t="s">
        <v>173</v>
      </c>
      <c r="O1017" s="1" t="s">
        <v>186</v>
      </c>
      <c r="P1017" s="1" t="n">
        <v>59</v>
      </c>
      <c r="Q1017" s="1" t="n">
        <v>450</v>
      </c>
      <c r="R1017" s="1" t="n">
        <v>0</v>
      </c>
      <c r="S1017" s="1"/>
      <c r="T1017" s="1" t="n">
        <v>0</v>
      </c>
      <c r="U1017" s="1" t="n">
        <v>2</v>
      </c>
      <c r="V1017" s="1" t="n">
        <v>2</v>
      </c>
      <c r="W1017" s="1"/>
      <c r="Y1017" s="1" t="n">
        <v>46</v>
      </c>
      <c r="Z1017" s="0" t="s">
        <v>175</v>
      </c>
      <c r="AA1017" s="0" t="s">
        <v>187</v>
      </c>
      <c r="AC1017" s="0" t="s">
        <v>177</v>
      </c>
      <c r="AD1017" s="0" t="s">
        <v>1778</v>
      </c>
      <c r="AE1017" s="0" t="s">
        <v>2837</v>
      </c>
      <c r="AH1017" s="0" t="s">
        <v>180</v>
      </c>
      <c r="AJ1017" s="0" t="s">
        <v>437</v>
      </c>
      <c r="AK1017" s="0" t="s">
        <v>94</v>
      </c>
      <c r="AL1017" s="0" t="s">
        <v>95</v>
      </c>
      <c r="AM1017" s="0" t="s">
        <v>96</v>
      </c>
      <c r="AO1017" s="0" t="s">
        <v>98</v>
      </c>
      <c r="AQ1017" s="0" t="s">
        <v>100</v>
      </c>
    </row>
    <row r="1018" ht="120.75">
      <c r="B1018" s="0" t="s">
        <v>2838</v>
      </c>
      <c r="C1018" s="1" t="n">
        <v>352524</v>
      </c>
      <c r="E1018" s="14" t="s">
        <v>2839</v>
      </c>
      <c r="F1018" s="14" t="s">
        <v>169</v>
      </c>
      <c r="G1018" s="25" t="str">
        <f>HYPERLINK("http://www.ok.ru/group/47187324633135/topic/157513051655471")</f>
      </c>
      <c r="H1018" s="14" t="s">
        <v>170</v>
      </c>
      <c r="I1018" s="14" t="s">
        <v>194</v>
      </c>
      <c r="J1018" s="14" t="s">
        <v>2840</v>
      </c>
      <c r="K1018" s="26" t="str">
        <f>HYPERLINK("http://www.ok.ru/group/47187324633135")</f>
      </c>
      <c r="L1018" s="14" t="s">
        <v>274</v>
      </c>
      <c r="O1018" s="1"/>
      <c r="P1018" s="1"/>
      <c r="Q1018" s="1" t="n">
        <v>165276</v>
      </c>
      <c r="R1018" s="1" t="n">
        <v>0</v>
      </c>
      <c r="S1018" s="1"/>
      <c r="T1018" s="1" t="n">
        <v>0</v>
      </c>
      <c r="U1018" s="1" t="n">
        <v>2</v>
      </c>
      <c r="V1018" s="1" t="n">
        <v>2</v>
      </c>
      <c r="W1018" s="1"/>
      <c r="Y1018" s="1" t="n">
        <v>1</v>
      </c>
      <c r="Z1018" s="0" t="s">
        <v>175</v>
      </c>
      <c r="AA1018" s="0" t="s">
        <v>187</v>
      </c>
      <c r="AH1018" s="0" t="s">
        <v>180</v>
      </c>
      <c r="AJ1018" s="0" t="s">
        <v>437</v>
      </c>
      <c r="AK1018" s="0" t="s">
        <v>94</v>
      </c>
      <c r="AL1018" s="0" t="s">
        <v>95</v>
      </c>
      <c r="AN1018" s="0" t="s">
        <v>97</v>
      </c>
      <c r="AT1018" s="0" t="s">
        <v>103</v>
      </c>
      <c r="BE1018" s="0" t="s">
        <v>114</v>
      </c>
      <c r="BK1018" s="0" t="s">
        <v>120</v>
      </c>
      <c r="BL1018" s="0" t="s">
        <v>121</v>
      </c>
      <c r="BX1018" s="0" t="s">
        <v>133</v>
      </c>
    </row>
    <row r="1019" ht="36.75">
      <c r="B1019" s="0" t="s">
        <v>2838</v>
      </c>
      <c r="C1019" s="1" t="n">
        <v>352463</v>
      </c>
      <c r="E1019" s="14" t="s">
        <v>2841</v>
      </c>
      <c r="F1019" s="14" t="s">
        <v>184</v>
      </c>
      <c r="G1019" s="25" t="str">
        <f>HYPERLINK("http://vk.com/wall158894058_1313")</f>
      </c>
      <c r="H1019" s="14" t="s">
        <v>170</v>
      </c>
      <c r="I1019" s="14" t="s">
        <v>171</v>
      </c>
      <c r="J1019" s="14" t="s">
        <v>2842</v>
      </c>
      <c r="K1019" s="26" t="str">
        <f>HYPERLINK("http://vk.com/id158894058")</f>
      </c>
      <c r="L1019" s="14" t="s">
        <v>173</v>
      </c>
      <c r="O1019" s="1" t="s">
        <v>186</v>
      </c>
      <c r="P1019" s="1"/>
      <c r="Q1019" s="1" t="n">
        <v>511</v>
      </c>
      <c r="R1019" s="1" t="n">
        <v>0</v>
      </c>
      <c r="S1019" s="1"/>
      <c r="T1019" s="1" t="n">
        <v>0</v>
      </c>
      <c r="U1019" s="1" t="n">
        <v>0</v>
      </c>
      <c r="V1019" s="1" t="n">
        <v>0</v>
      </c>
      <c r="W1019" s="1" t="n">
        <v>2</v>
      </c>
      <c r="Y1019" s="1" t="n">
        <v>1</v>
      </c>
      <c r="Z1019" s="0" t="s">
        <v>175</v>
      </c>
      <c r="AA1019" s="0" t="s">
        <v>187</v>
      </c>
      <c r="AC1019" s="0" t="s">
        <v>177</v>
      </c>
      <c r="AD1019" s="0" t="s">
        <v>410</v>
      </c>
      <c r="AE1019" s="0" t="s">
        <v>2843</v>
      </c>
      <c r="AH1019" s="0" t="s">
        <v>180</v>
      </c>
      <c r="AJ1019" s="0" t="s">
        <v>437</v>
      </c>
      <c r="AK1019" s="0" t="s">
        <v>94</v>
      </c>
      <c r="AM1019" s="0" t="s">
        <v>96</v>
      </c>
      <c r="AX1019" s="0" t="s">
        <v>107</v>
      </c>
      <c r="AZ1019" s="0" t="s">
        <v>109</v>
      </c>
    </row>
    <row r="1020">
      <c r="B1020" s="0" t="s">
        <v>2838</v>
      </c>
      <c r="C1020" s="1" t="n">
        <v>352404</v>
      </c>
      <c r="E1020" s="14" t="s">
        <v>2844</v>
      </c>
      <c r="F1020" s="14" t="s">
        <v>184</v>
      </c>
      <c r="G1020" s="25" t="str">
        <f>HYPERLINK("http://vk.com/wall-127321163_1127433?reply=1128374")</f>
      </c>
      <c r="H1020" s="14" t="s">
        <v>170</v>
      </c>
      <c r="I1020" s="14" t="s">
        <v>231</v>
      </c>
      <c r="J1020" s="14" t="s">
        <v>2845</v>
      </c>
      <c r="K1020" s="26" t="str">
        <f>HYPERLINK("http://vk.com/id793503693")</f>
      </c>
      <c r="L1020" s="14" t="s">
        <v>173</v>
      </c>
      <c r="M1020" s="14" t="s">
        <v>2846</v>
      </c>
      <c r="N1020" s="25" t="str">
        <f>HYPERLINK("http://vk.com/club127321163")</f>
      </c>
      <c r="O1020" s="1" t="s">
        <v>186</v>
      </c>
      <c r="P1020" s="1" t="n">
        <v>25</v>
      </c>
      <c r="Q1020" s="1" t="n">
        <v>35113</v>
      </c>
      <c r="R1020" s="1" t="n">
        <v>0</v>
      </c>
      <c r="S1020" s="1"/>
      <c r="T1020" s="1" t="n">
        <v>0</v>
      </c>
      <c r="U1020" s="1" t="n">
        <v>0</v>
      </c>
      <c r="V1020" s="1" t="n">
        <v>0</v>
      </c>
      <c r="W1020" s="1"/>
      <c r="Y1020" s="1" t="n">
        <v>1</v>
      </c>
      <c r="Z1020" s="0" t="s">
        <v>319</v>
      </c>
      <c r="AA1020" s="0" t="s">
        <v>292</v>
      </c>
      <c r="AH1020" s="0" t="s">
        <v>180</v>
      </c>
      <c r="AI1020" s="0" t="s">
        <v>92</v>
      </c>
      <c r="AJ1020" s="0" t="s">
        <v>437</v>
      </c>
      <c r="AN1020" s="0" t="s">
        <v>97</v>
      </c>
      <c r="AO1020" s="0" t="s">
        <v>98</v>
      </c>
      <c r="AS1020" s="0" t="s">
        <v>102</v>
      </c>
      <c r="AY1020" s="0" t="s">
        <v>108</v>
      </c>
      <c r="BM1020" s="0" t="s">
        <v>122</v>
      </c>
      <c r="BT1020" s="0" t="s">
        <v>129</v>
      </c>
      <c r="CC1020" s="0" t="s">
        <v>138</v>
      </c>
    </row>
    <row r="1021" ht="84.75">
      <c r="B1021" s="0" t="s">
        <v>2838</v>
      </c>
      <c r="C1021" s="1" t="n">
        <v>352489</v>
      </c>
      <c r="E1021" s="14" t="s">
        <v>2847</v>
      </c>
      <c r="F1021" s="14" t="s">
        <v>192</v>
      </c>
      <c r="G1021" s="25" t="str">
        <f>HYPERLINK("https://telegram.me/Votuum/2297")</f>
      </c>
      <c r="H1021" s="14" t="s">
        <v>655</v>
      </c>
      <c r="I1021" s="14" t="s">
        <v>194</v>
      </c>
      <c r="J1021" s="14" t="s">
        <v>2848</v>
      </c>
      <c r="K1021" s="26" t="str">
        <f>HYPERLINK("https://telegram.me/Votuum")</f>
      </c>
      <c r="L1021" s="14" t="s">
        <v>274</v>
      </c>
      <c r="O1021" s="1"/>
      <c r="P1021" s="1"/>
      <c r="Q1021" s="1" t="n">
        <v>31498</v>
      </c>
      <c r="R1021" s="1" t="n">
        <v>0</v>
      </c>
      <c r="S1021" s="1"/>
      <c r="T1021" s="1" t="n">
        <v>0</v>
      </c>
      <c r="U1021" s="1" t="n">
        <v>0</v>
      </c>
      <c r="V1021" s="1" t="n">
        <v>0</v>
      </c>
      <c r="W1021" s="1" t="n">
        <v>6500</v>
      </c>
      <c r="Y1021" s="1" t="n">
        <v>2</v>
      </c>
      <c r="Z1021" s="0" t="s">
        <v>175</v>
      </c>
      <c r="AA1021" s="0" t="s">
        <v>187</v>
      </c>
      <c r="AB1021" s="0" t="s">
        <v>85</v>
      </c>
      <c r="AH1021" s="0" t="s">
        <v>180</v>
      </c>
      <c r="AJ1021" s="0" t="s">
        <v>437</v>
      </c>
      <c r="AK1021" s="0" t="s">
        <v>94</v>
      </c>
      <c r="AL1021" s="0" t="s">
        <v>95</v>
      </c>
      <c r="AR1021" s="0" t="s">
        <v>101</v>
      </c>
      <c r="BA1021" s="0" t="s">
        <v>110</v>
      </c>
      <c r="BJ1021" s="0" t="s">
        <v>119</v>
      </c>
    </row>
    <row r="1022" ht="84.75">
      <c r="B1022" s="0" t="s">
        <v>2838</v>
      </c>
      <c r="C1022" s="1" t="n">
        <v>352472</v>
      </c>
      <c r="E1022" s="14" t="s">
        <v>2847</v>
      </c>
      <c r="F1022" s="14" t="s">
        <v>192</v>
      </c>
      <c r="G1022" s="25" t="str">
        <f>HYPERLINK("https://telegram.me/politcircus/9751")</f>
      </c>
      <c r="H1022" s="14" t="s">
        <v>655</v>
      </c>
      <c r="I1022" s="14" t="s">
        <v>194</v>
      </c>
      <c r="J1022" s="14" t="s">
        <v>2849</v>
      </c>
      <c r="K1022" s="26" t="str">
        <f>HYPERLINK("https://telegram.me/politcircus")</f>
      </c>
      <c r="L1022" s="14" t="s">
        <v>274</v>
      </c>
      <c r="O1022" s="1"/>
      <c r="P1022" s="1"/>
      <c r="Q1022" s="1" t="n">
        <v>119413</v>
      </c>
      <c r="R1022" s="1" t="n">
        <v>0</v>
      </c>
      <c r="S1022" s="1"/>
      <c r="T1022" s="1" t="n">
        <v>12</v>
      </c>
      <c r="U1022" s="1" t="n">
        <v>54</v>
      </c>
      <c r="V1022" s="1" t="n">
        <v>66</v>
      </c>
      <c r="W1022" s="1" t="n">
        <v>22535</v>
      </c>
      <c r="Y1022" s="1" t="n">
        <v>2</v>
      </c>
      <c r="Z1022" s="0" t="s">
        <v>175</v>
      </c>
      <c r="AA1022" s="0" t="s">
        <v>187</v>
      </c>
      <c r="AB1022" s="0" t="s">
        <v>85</v>
      </c>
      <c r="AH1022" s="0" t="s">
        <v>180</v>
      </c>
      <c r="AJ1022" s="0" t="s">
        <v>437</v>
      </c>
      <c r="AK1022" s="0" t="s">
        <v>94</v>
      </c>
      <c r="AR1022" s="0" t="s">
        <v>101</v>
      </c>
      <c r="AZ1022" s="0" t="s">
        <v>109</v>
      </c>
      <c r="BA1022" s="0" t="s">
        <v>110</v>
      </c>
      <c r="BJ1022" s="0" t="s">
        <v>119</v>
      </c>
    </row>
    <row r="1023" ht="36.75">
      <c r="B1023" s="0" t="s">
        <v>2850</v>
      </c>
      <c r="C1023" s="1" t="n">
        <v>352470</v>
      </c>
      <c r="E1023" s="14" t="s">
        <v>2533</v>
      </c>
      <c r="F1023" s="14" t="s">
        <v>184</v>
      </c>
      <c r="G1023" s="25" t="str">
        <f>HYPERLINK("http://vk.com/wall198607286_16927")</f>
      </c>
      <c r="H1023" s="14" t="s">
        <v>170</v>
      </c>
      <c r="I1023" s="14" t="s">
        <v>171</v>
      </c>
      <c r="J1023" s="14" t="s">
        <v>2851</v>
      </c>
      <c r="K1023" s="26" t="str">
        <f>HYPERLINK("http://vk.com/id198607286")</f>
      </c>
      <c r="L1023" s="14" t="s">
        <v>173</v>
      </c>
      <c r="O1023" s="1" t="s">
        <v>186</v>
      </c>
      <c r="P1023" s="1"/>
      <c r="Q1023" s="1" t="n">
        <v>110</v>
      </c>
      <c r="R1023" s="1" t="n">
        <v>0</v>
      </c>
      <c r="S1023" s="1"/>
      <c r="T1023" s="1" t="n">
        <v>0</v>
      </c>
      <c r="U1023" s="1" t="n">
        <v>0</v>
      </c>
      <c r="V1023" s="1" t="n">
        <v>0</v>
      </c>
      <c r="W1023" s="1"/>
      <c r="Y1023" s="1" t="n">
        <v>9</v>
      </c>
      <c r="Z1023" s="0" t="s">
        <v>175</v>
      </c>
      <c r="AA1023" s="0" t="s">
        <v>187</v>
      </c>
      <c r="AC1023" s="0" t="s">
        <v>177</v>
      </c>
      <c r="AD1023" s="0" t="s">
        <v>240</v>
      </c>
      <c r="AE1023" s="0" t="s">
        <v>240</v>
      </c>
      <c r="AH1023" s="0" t="s">
        <v>180</v>
      </c>
      <c r="AJ1023" s="0" t="s">
        <v>437</v>
      </c>
      <c r="AK1023" s="0" t="s">
        <v>94</v>
      </c>
      <c r="AN1023" s="0" t="s">
        <v>97</v>
      </c>
      <c r="AT1023" s="0" t="s">
        <v>103</v>
      </c>
      <c r="AZ1023" s="0" t="s">
        <v>109</v>
      </c>
      <c r="BE1023" s="0" t="s">
        <v>114</v>
      </c>
      <c r="BX1023" s="0" t="s">
        <v>133</v>
      </c>
      <c r="CD1023" s="0" t="s">
        <v>139</v>
      </c>
    </row>
    <row r="1024" ht="1212.75">
      <c r="B1024" s="0" t="s">
        <v>2850</v>
      </c>
      <c r="C1024" s="1" t="n">
        <v>352465</v>
      </c>
      <c r="E1024" s="14" t="s">
        <v>683</v>
      </c>
      <c r="F1024" s="14" t="s">
        <v>184</v>
      </c>
      <c r="G1024" s="25" t="str">
        <f>HYPERLINK("http://vk.com/wall-179880924_386")</f>
      </c>
      <c r="H1024" s="14" t="s">
        <v>170</v>
      </c>
      <c r="I1024" s="14" t="s">
        <v>171</v>
      </c>
      <c r="J1024" s="14" t="s">
        <v>2852</v>
      </c>
      <c r="K1024" s="26" t="str">
        <f>HYPERLINK("http://vk.com/club179880924")</f>
      </c>
      <c r="L1024" s="14" t="s">
        <v>274</v>
      </c>
      <c r="O1024" s="1"/>
      <c r="P1024" s="1"/>
      <c r="Q1024" s="1" t="n">
        <v>3</v>
      </c>
      <c r="R1024" s="1" t="n">
        <v>0</v>
      </c>
      <c r="S1024" s="1"/>
      <c r="T1024" s="1" t="n">
        <v>0</v>
      </c>
      <c r="U1024" s="1" t="n">
        <v>0</v>
      </c>
      <c r="V1024" s="1" t="n">
        <v>0</v>
      </c>
      <c r="W1024" s="1"/>
      <c r="Y1024" s="1" t="n">
        <v>22</v>
      </c>
      <c r="Z1024" s="0" t="s">
        <v>175</v>
      </c>
      <c r="AA1024" s="0" t="s">
        <v>187</v>
      </c>
      <c r="AC1024" s="0" t="s">
        <v>177</v>
      </c>
      <c r="AD1024" s="0" t="s">
        <v>1509</v>
      </c>
      <c r="AE1024" s="0" t="s">
        <v>2853</v>
      </c>
      <c r="AH1024" s="0" t="s">
        <v>180</v>
      </c>
      <c r="AJ1024" s="0" t="s">
        <v>437</v>
      </c>
      <c r="AK1024" s="0" t="s">
        <v>94</v>
      </c>
      <c r="AM1024" s="0" t="s">
        <v>96</v>
      </c>
      <c r="AU1024" s="0" t="s">
        <v>104</v>
      </c>
      <c r="AV1024" s="0" t="s">
        <v>105</v>
      </c>
      <c r="AX1024" s="0" t="s">
        <v>107</v>
      </c>
      <c r="AZ1024" s="0" t="s">
        <v>109</v>
      </c>
    </row>
    <row r="1025" ht="120.75">
      <c r="B1025" s="0" t="s">
        <v>2850</v>
      </c>
      <c r="C1025" s="1" t="n">
        <v>352846</v>
      </c>
      <c r="E1025" s="14" t="s">
        <v>1846</v>
      </c>
      <c r="F1025" s="14" t="s">
        <v>169</v>
      </c>
      <c r="G1025" s="25" t="str">
        <f>HYPERLINK("http://www.ok.ru/profile/564121568102/statuses/155235952060518")</f>
      </c>
      <c r="H1025" s="14" t="s">
        <v>170</v>
      </c>
      <c r="I1025" s="14" t="s">
        <v>171</v>
      </c>
      <c r="J1025" s="14" t="s">
        <v>2854</v>
      </c>
      <c r="K1025" s="26" t="str">
        <f>HYPERLINK("http://www.ok.ru/profile/564121568102")</f>
      </c>
      <c r="L1025" s="14" t="s">
        <v>173</v>
      </c>
      <c r="O1025" s="1" t="s">
        <v>186</v>
      </c>
      <c r="P1025" s="1" t="n">
        <v>71</v>
      </c>
      <c r="Q1025" s="1" t="n">
        <v>209</v>
      </c>
      <c r="R1025" s="1" t="n">
        <v>0</v>
      </c>
      <c r="S1025" s="1"/>
      <c r="T1025" s="1" t="n">
        <v>0</v>
      </c>
      <c r="U1025" s="1" t="n">
        <v>0</v>
      </c>
      <c r="V1025" s="1" t="n">
        <v>0</v>
      </c>
      <c r="W1025" s="1"/>
      <c r="Y1025" s="1" t="n">
        <v>6</v>
      </c>
      <c r="Z1025" s="0" t="s">
        <v>175</v>
      </c>
      <c r="AA1025" s="0" t="s">
        <v>176</v>
      </c>
      <c r="AC1025" s="0" t="s">
        <v>177</v>
      </c>
      <c r="AD1025" s="0" t="s">
        <v>1058</v>
      </c>
      <c r="AE1025" s="0" t="s">
        <v>2855</v>
      </c>
      <c r="AH1025" s="0" t="s">
        <v>180</v>
      </c>
      <c r="AJ1025" s="0" t="s">
        <v>437</v>
      </c>
      <c r="AL1025" s="0" t="s">
        <v>95</v>
      </c>
      <c r="AM1025" s="0" t="s">
        <v>96</v>
      </c>
      <c r="AO1025" s="0" t="s">
        <v>98</v>
      </c>
    </row>
    <row r="1026" ht="720.75">
      <c r="B1026" s="0" t="s">
        <v>2850</v>
      </c>
      <c r="C1026" s="1" t="n">
        <v>353003</v>
      </c>
      <c r="E1026" s="14" t="s">
        <v>1811</v>
      </c>
      <c r="F1026" s="14" t="s">
        <v>169</v>
      </c>
      <c r="G1026" s="25" t="str">
        <f>HYPERLINK("http://www.ok.ru/profile/584359559681/statuses/154790890341121")</f>
      </c>
      <c r="H1026" s="14" t="s">
        <v>170</v>
      </c>
      <c r="I1026" s="14" t="s">
        <v>194</v>
      </c>
      <c r="J1026" s="14" t="s">
        <v>2856</v>
      </c>
      <c r="K1026" s="26" t="str">
        <f>HYPERLINK("http://www.ok.ru/profile/584359559681")</f>
      </c>
      <c r="L1026" s="14" t="s">
        <v>173</v>
      </c>
      <c r="O1026" s="1" t="s">
        <v>174</v>
      </c>
      <c r="P1026" s="1" t="n">
        <v>60</v>
      </c>
      <c r="Q1026" s="1" t="n">
        <v>210</v>
      </c>
      <c r="R1026" s="1" t="n">
        <v>0</v>
      </c>
      <c r="S1026" s="1"/>
      <c r="T1026" s="1" t="n">
        <v>0</v>
      </c>
      <c r="U1026" s="1" t="n">
        <v>2</v>
      </c>
      <c r="V1026" s="1" t="n">
        <v>2</v>
      </c>
      <c r="W1026" s="1" t="n">
        <v>488</v>
      </c>
      <c r="Y1026" s="1" t="n">
        <v>13</v>
      </c>
      <c r="Z1026" s="0" t="s">
        <v>175</v>
      </c>
      <c r="AA1026" s="0" t="s">
        <v>176</v>
      </c>
      <c r="AC1026" s="0" t="s">
        <v>177</v>
      </c>
      <c r="AD1026" s="0" t="s">
        <v>212</v>
      </c>
      <c r="AE1026" s="0" t="s">
        <v>2857</v>
      </c>
      <c r="AH1026" s="0" t="s">
        <v>180</v>
      </c>
      <c r="AJ1026" s="0" t="s">
        <v>437</v>
      </c>
      <c r="AK1026" s="0" t="s">
        <v>94</v>
      </c>
      <c r="AL1026" s="0" t="s">
        <v>95</v>
      </c>
      <c r="AR1026" s="0" t="s">
        <v>101</v>
      </c>
      <c r="BA1026" s="0" t="s">
        <v>110</v>
      </c>
      <c r="BF1026" s="0" t="s">
        <v>115</v>
      </c>
    </row>
    <row r="1027">
      <c r="B1027" s="0" t="s">
        <v>2850</v>
      </c>
      <c r="C1027" s="1" t="n">
        <v>352393</v>
      </c>
      <c r="E1027" s="14" t="s">
        <v>2858</v>
      </c>
      <c r="F1027" s="14" t="s">
        <v>184</v>
      </c>
      <c r="G1027" s="25" t="str">
        <f>HYPERLINK("http://vk.com/wall-136860886_525463?reply=525902")</f>
      </c>
      <c r="H1027" s="14" t="s">
        <v>170</v>
      </c>
      <c r="I1027" s="14" t="s">
        <v>231</v>
      </c>
      <c r="J1027" s="14" t="s">
        <v>2845</v>
      </c>
      <c r="K1027" s="26" t="str">
        <f>HYPERLINK("http://vk.com/id793503693")</f>
      </c>
      <c r="L1027" s="14" t="s">
        <v>173</v>
      </c>
      <c r="M1027" s="14" t="s">
        <v>583</v>
      </c>
      <c r="N1027" s="25" t="str">
        <f>HYPERLINK("http://vk.com/club136860886")</f>
      </c>
      <c r="O1027" s="1" t="s">
        <v>186</v>
      </c>
      <c r="P1027" s="1" t="n">
        <v>25</v>
      </c>
      <c r="Q1027" s="1" t="n">
        <v>52245</v>
      </c>
      <c r="R1027" s="1" t="n">
        <v>0</v>
      </c>
      <c r="S1027" s="1"/>
      <c r="T1027" s="1" t="n">
        <v>0</v>
      </c>
      <c r="U1027" s="1" t="n">
        <v>0</v>
      </c>
      <c r="V1027" s="1" t="n">
        <v>0</v>
      </c>
      <c r="W1027" s="1"/>
      <c r="Y1027" s="1" t="n">
        <v>1</v>
      </c>
      <c r="Z1027" s="0" t="s">
        <v>319</v>
      </c>
      <c r="AA1027" s="0" t="s">
        <v>292</v>
      </c>
      <c r="AH1027" s="0" t="s">
        <v>180</v>
      </c>
      <c r="AI1027" s="0" t="s">
        <v>92</v>
      </c>
      <c r="AJ1027" s="0" t="s">
        <v>437</v>
      </c>
      <c r="AN1027" s="0" t="s">
        <v>97</v>
      </c>
      <c r="AO1027" s="0" t="s">
        <v>98</v>
      </c>
      <c r="AY1027" s="0" t="s">
        <v>108</v>
      </c>
      <c r="BT1027" s="0" t="s">
        <v>129</v>
      </c>
      <c r="CC1027" s="0" t="s">
        <v>138</v>
      </c>
    </row>
    <row r="1028" ht="60.75">
      <c r="B1028" s="0" t="s">
        <v>2859</v>
      </c>
      <c r="C1028" s="1" t="n">
        <v>352550</v>
      </c>
      <c r="D1028" s="0" t="s">
        <v>2860</v>
      </c>
      <c r="E1028" s="14" t="s">
        <v>2861</v>
      </c>
      <c r="F1028" s="14" t="s">
        <v>2862</v>
      </c>
      <c r="G1028" s="25" t="str">
        <f>HYPERLINK("https://factornews.ru/news/v-kareliju-za-nedelju-vyrosli-tseny-na-nekotorye-produkty/")</f>
      </c>
      <c r="H1028" s="14" t="s">
        <v>208</v>
      </c>
      <c r="I1028" s="14" t="s">
        <v>194</v>
      </c>
      <c r="J1028" s="14"/>
      <c r="L1028" s="14"/>
      <c r="O1028" s="1"/>
      <c r="P1028" s="1"/>
      <c r="Q1028" s="1"/>
      <c r="R1028" s="1" t="n">
        <v>0</v>
      </c>
      <c r="S1028" s="1" t="n">
        <v>2516</v>
      </c>
      <c r="T1028" s="1" t="n">
        <v>0</v>
      </c>
      <c r="U1028" s="1" t="n">
        <v>0</v>
      </c>
      <c r="V1028" s="1" t="n">
        <v>0</v>
      </c>
      <c r="W1028" s="1"/>
      <c r="Y1028" s="1" t="n">
        <v>1</v>
      </c>
      <c r="Z1028" s="0" t="s">
        <v>175</v>
      </c>
      <c r="AA1028" s="0" t="s">
        <v>223</v>
      </c>
      <c r="AH1028" s="0" t="s">
        <v>180</v>
      </c>
      <c r="AJ1028" s="0" t="s">
        <v>437</v>
      </c>
      <c r="AM1028" s="0" t="s">
        <v>96</v>
      </c>
      <c r="AP1028" s="0" t="s">
        <v>99</v>
      </c>
      <c r="BD1028" s="0" t="s">
        <v>113</v>
      </c>
    </row>
    <row r="1029">
      <c r="B1029" s="0" t="s">
        <v>2863</v>
      </c>
      <c r="C1029" s="1" t="n">
        <v>352388</v>
      </c>
      <c r="E1029" s="14" t="s">
        <v>2864</v>
      </c>
      <c r="F1029" s="14" t="s">
        <v>184</v>
      </c>
      <c r="G1029" s="25" t="str">
        <f>HYPERLINK("http://vk.com/wall-110697272_513644?reply=513681")</f>
      </c>
      <c r="H1029" s="14" t="s">
        <v>170</v>
      </c>
      <c r="I1029" s="14" t="s">
        <v>231</v>
      </c>
      <c r="J1029" s="14" t="s">
        <v>2845</v>
      </c>
      <c r="K1029" s="26" t="str">
        <f>HYPERLINK("http://vk.com/id793503693")</f>
      </c>
      <c r="L1029" s="14" t="s">
        <v>173</v>
      </c>
      <c r="M1029" s="14" t="s">
        <v>1225</v>
      </c>
      <c r="N1029" s="25" t="str">
        <f>HYPERLINK("http://vk.com/club110697272")</f>
      </c>
      <c r="O1029" s="1" t="s">
        <v>186</v>
      </c>
      <c r="P1029" s="1" t="n">
        <v>25</v>
      </c>
      <c r="Q1029" s="1" t="n">
        <v>31333</v>
      </c>
      <c r="R1029" s="1" t="n">
        <v>0</v>
      </c>
      <c r="S1029" s="1"/>
      <c r="T1029" s="1" t="n">
        <v>0</v>
      </c>
      <c r="U1029" s="1" t="n">
        <v>0</v>
      </c>
      <c r="V1029" s="1" t="n">
        <v>0</v>
      </c>
      <c r="W1029" s="1"/>
      <c r="Y1029" s="1" t="n">
        <v>1</v>
      </c>
      <c r="Z1029" s="0" t="s">
        <v>175</v>
      </c>
      <c r="AA1029" s="0" t="s">
        <v>292</v>
      </c>
      <c r="AH1029" s="0" t="s">
        <v>180</v>
      </c>
      <c r="AJ1029" s="0" t="s">
        <v>437</v>
      </c>
      <c r="AN1029" s="0" t="s">
        <v>97</v>
      </c>
      <c r="AO1029" s="0" t="s">
        <v>98</v>
      </c>
      <c r="AS1029" s="0" t="s">
        <v>102</v>
      </c>
      <c r="AW1029" s="0" t="s">
        <v>106</v>
      </c>
      <c r="AY1029" s="0" t="s">
        <v>108</v>
      </c>
      <c r="BL1029" s="0" t="s">
        <v>121</v>
      </c>
      <c r="BT1029" s="0" t="s">
        <v>129</v>
      </c>
      <c r="CC1029" s="0" t="s">
        <v>138</v>
      </c>
    </row>
    <row r="1030" ht="48.75">
      <c r="B1030" s="0" t="s">
        <v>2863</v>
      </c>
      <c r="C1030" s="1" t="n">
        <v>352394</v>
      </c>
      <c r="E1030" s="14" t="s">
        <v>2865</v>
      </c>
      <c r="F1030" s="14" t="s">
        <v>184</v>
      </c>
      <c r="G1030" s="25" t="str">
        <f>HYPERLINK("http://vk.com/wall-167717868_619295?reply=619297")</f>
      </c>
      <c r="H1030" s="14" t="s">
        <v>170</v>
      </c>
      <c r="I1030" s="14" t="s">
        <v>231</v>
      </c>
      <c r="J1030" s="14" t="s">
        <v>2866</v>
      </c>
      <c r="K1030" s="26" t="str">
        <f>HYPERLINK("http://vk.com/id32336022")</f>
      </c>
      <c r="L1030" s="14" t="s">
        <v>173</v>
      </c>
      <c r="M1030" s="14" t="s">
        <v>2867</v>
      </c>
      <c r="N1030" s="25" t="str">
        <f>HYPERLINK("http://vk.com/club167717868")</f>
      </c>
      <c r="O1030" s="1" t="s">
        <v>186</v>
      </c>
      <c r="P1030" s="1"/>
      <c r="Q1030" s="1" t="n">
        <v>196640</v>
      </c>
      <c r="R1030" s="1" t="n">
        <v>0</v>
      </c>
      <c r="S1030" s="1"/>
      <c r="T1030" s="1" t="n">
        <v>0</v>
      </c>
      <c r="U1030" s="1" t="n">
        <v>0</v>
      </c>
      <c r="V1030" s="1" t="n">
        <v>0</v>
      </c>
      <c r="W1030" s="1"/>
      <c r="Y1030" s="1" t="n">
        <v>1</v>
      </c>
      <c r="Z1030" s="0" t="s">
        <v>175</v>
      </c>
      <c r="AA1030" s="0" t="s">
        <v>187</v>
      </c>
      <c r="AC1030" s="0" t="s">
        <v>177</v>
      </c>
      <c r="AD1030" s="0" t="s">
        <v>454</v>
      </c>
      <c r="AE1030" s="0" t="s">
        <v>687</v>
      </c>
      <c r="AH1030" s="0" t="s">
        <v>180</v>
      </c>
      <c r="AI1030" s="0" t="s">
        <v>92</v>
      </c>
      <c r="AJ1030" s="0" t="s">
        <v>437</v>
      </c>
      <c r="AK1030" s="0" t="s">
        <v>94</v>
      </c>
      <c r="AL1030" s="0" t="s">
        <v>95</v>
      </c>
      <c r="AN1030" s="0" t="s">
        <v>97</v>
      </c>
      <c r="AS1030" s="0" t="s">
        <v>102</v>
      </c>
      <c r="AW1030" s="0" t="s">
        <v>106</v>
      </c>
      <c r="BB1030" s="0" t="s">
        <v>111</v>
      </c>
      <c r="BC1030" s="0" t="s">
        <v>112</v>
      </c>
      <c r="BM1030" s="0" t="s">
        <v>122</v>
      </c>
      <c r="BO1030" s="0" t="s">
        <v>124</v>
      </c>
    </row>
    <row r="1031" ht="1248.75">
      <c r="B1031" s="0" t="s">
        <v>2863</v>
      </c>
      <c r="C1031" s="1" t="n">
        <v>352815</v>
      </c>
      <c r="E1031" s="14" t="s">
        <v>1253</v>
      </c>
      <c r="F1031" s="14" t="s">
        <v>169</v>
      </c>
      <c r="G1031" s="25" t="str">
        <f>HYPERLINK("http://www.ok.ru/profile/579439682071/statuses/155963918699799")</f>
      </c>
      <c r="H1031" s="14" t="s">
        <v>170</v>
      </c>
      <c r="I1031" s="14" t="s">
        <v>171</v>
      </c>
      <c r="J1031" s="14" t="s">
        <v>2868</v>
      </c>
      <c r="K1031" s="26" t="str">
        <f>HYPERLINK("http://www.ok.ru/profile/579439682071")</f>
      </c>
      <c r="L1031" s="14" t="s">
        <v>173</v>
      </c>
      <c r="O1031" s="1" t="s">
        <v>186</v>
      </c>
      <c r="P1031" s="1" t="n">
        <v>77</v>
      </c>
      <c r="Q1031" s="1" t="n">
        <v>109</v>
      </c>
      <c r="R1031" s="1" t="n">
        <v>0</v>
      </c>
      <c r="S1031" s="1"/>
      <c r="T1031" s="1" t="n">
        <v>0</v>
      </c>
      <c r="U1031" s="1" t="n">
        <v>0</v>
      </c>
      <c r="V1031" s="1" t="n">
        <v>0</v>
      </c>
      <c r="W1031" s="1"/>
      <c r="Y1031" s="1" t="n">
        <v>5</v>
      </c>
      <c r="Z1031" s="0" t="s">
        <v>175</v>
      </c>
      <c r="AA1031" s="0" t="s">
        <v>187</v>
      </c>
      <c r="AC1031" s="0" t="s">
        <v>177</v>
      </c>
      <c r="AD1031" s="0" t="s">
        <v>767</v>
      </c>
      <c r="AE1031" s="0" t="s">
        <v>2869</v>
      </c>
      <c r="AH1031" s="0" t="s">
        <v>180</v>
      </c>
      <c r="AJ1031" s="0" t="s">
        <v>437</v>
      </c>
      <c r="AK1031" s="0" t="s">
        <v>94</v>
      </c>
      <c r="AL1031" s="0" t="s">
        <v>95</v>
      </c>
      <c r="AM1031" s="0" t="s">
        <v>96</v>
      </c>
      <c r="AX1031" s="0" t="s">
        <v>107</v>
      </c>
    </row>
    <row r="1032" ht="24.75">
      <c r="B1032" s="0" t="s">
        <v>2863</v>
      </c>
      <c r="C1032" s="1" t="n">
        <v>352828</v>
      </c>
      <c r="E1032" s="14" t="s">
        <v>1356</v>
      </c>
      <c r="F1032" s="14" t="s">
        <v>169</v>
      </c>
      <c r="G1032" s="25" t="str">
        <f>HYPERLINK("http://www.ok.ru/profile/563116094315/statuses/156101601254763")</f>
      </c>
      <c r="H1032" s="14" t="s">
        <v>170</v>
      </c>
      <c r="I1032" s="14" t="s">
        <v>171</v>
      </c>
      <c r="J1032" s="14" t="s">
        <v>2870</v>
      </c>
      <c r="K1032" s="26" t="str">
        <f>HYPERLINK("http://www.ok.ru/profile/563116094315")</f>
      </c>
      <c r="L1032" s="14" t="s">
        <v>173</v>
      </c>
      <c r="O1032" s="1" t="s">
        <v>186</v>
      </c>
      <c r="P1032" s="1" t="n">
        <v>74</v>
      </c>
      <c r="Q1032" s="1" t="n">
        <v>167</v>
      </c>
      <c r="R1032" s="1" t="n">
        <v>0</v>
      </c>
      <c r="S1032" s="1"/>
      <c r="T1032" s="1" t="n">
        <v>0</v>
      </c>
      <c r="U1032" s="1" t="n">
        <v>0</v>
      </c>
      <c r="V1032" s="1" t="n">
        <v>0</v>
      </c>
      <c r="W1032" s="1"/>
      <c r="Y1032" s="1" t="n">
        <v>93</v>
      </c>
      <c r="Z1032" s="0" t="s">
        <v>175</v>
      </c>
      <c r="AA1032" s="0" t="s">
        <v>187</v>
      </c>
      <c r="AC1032" s="0" t="s">
        <v>177</v>
      </c>
      <c r="AD1032" s="0" t="s">
        <v>332</v>
      </c>
      <c r="AE1032" s="0" t="s">
        <v>332</v>
      </c>
      <c r="AH1032" s="0" t="s">
        <v>180</v>
      </c>
      <c r="AJ1032" s="0" t="s">
        <v>437</v>
      </c>
      <c r="AK1032" s="0" t="s">
        <v>94</v>
      </c>
      <c r="AL1032" s="0" t="s">
        <v>95</v>
      </c>
      <c r="AM1032" s="0" t="s">
        <v>96</v>
      </c>
      <c r="AU1032" s="0" t="s">
        <v>104</v>
      </c>
      <c r="AV1032" s="0" t="s">
        <v>105</v>
      </c>
    </row>
    <row r="1033" ht="24.75">
      <c r="B1033" s="0" t="s">
        <v>2871</v>
      </c>
      <c r="C1033" s="1" t="n">
        <v>352757</v>
      </c>
      <c r="E1033" s="14" t="s">
        <v>2872</v>
      </c>
      <c r="F1033" s="14" t="s">
        <v>169</v>
      </c>
      <c r="G1033" s="25" t="str">
        <f>HYPERLINK("http://www.ok.ru/profile/520239845039/statuses/156334907906991")</f>
      </c>
      <c r="H1033" s="14" t="s">
        <v>170</v>
      </c>
      <c r="I1033" s="14" t="s">
        <v>171</v>
      </c>
      <c r="J1033" s="14" t="s">
        <v>2873</v>
      </c>
      <c r="K1033" s="26" t="str">
        <f>HYPERLINK("http://www.ok.ru/profile/520239845039")</f>
      </c>
      <c r="L1033" s="14" t="s">
        <v>173</v>
      </c>
      <c r="O1033" s="1" t="s">
        <v>186</v>
      </c>
      <c r="P1033" s="1" t="n">
        <v>64</v>
      </c>
      <c r="Q1033" s="1" t="n">
        <v>227</v>
      </c>
      <c r="R1033" s="1" t="n">
        <v>0</v>
      </c>
      <c r="S1033" s="1"/>
      <c r="T1033" s="1" t="n">
        <v>0</v>
      </c>
      <c r="U1033" s="1" t="n">
        <v>0</v>
      </c>
      <c r="V1033" s="1" t="n">
        <v>0</v>
      </c>
      <c r="W1033" s="1"/>
      <c r="Y1033" s="1" t="n">
        <v>1</v>
      </c>
      <c r="Z1033" s="0" t="s">
        <v>175</v>
      </c>
      <c r="AA1033" s="0" t="s">
        <v>187</v>
      </c>
      <c r="AC1033" s="0" t="s">
        <v>177</v>
      </c>
      <c r="AD1033" s="0" t="s">
        <v>410</v>
      </c>
      <c r="AE1033" s="0" t="s">
        <v>2843</v>
      </c>
      <c r="AH1033" s="0" t="s">
        <v>180</v>
      </c>
      <c r="AJ1033" s="0" t="s">
        <v>437</v>
      </c>
      <c r="AK1033" s="0" t="s">
        <v>94</v>
      </c>
      <c r="AL1033" s="0" t="s">
        <v>95</v>
      </c>
      <c r="AM1033" s="0" t="s">
        <v>96</v>
      </c>
      <c r="AX1033" s="0" t="s">
        <v>107</v>
      </c>
    </row>
    <row r="1034" ht="24.75">
      <c r="B1034" s="0" t="s">
        <v>2871</v>
      </c>
      <c r="C1034" s="1" t="n">
        <v>352880</v>
      </c>
      <c r="E1034" s="14" t="s">
        <v>1102</v>
      </c>
      <c r="F1034" s="14" t="s">
        <v>169</v>
      </c>
      <c r="G1034" s="25" t="str">
        <f>HYPERLINK("http://www.ok.ru/profile/570056524749/statuses/156009328602061")</f>
      </c>
      <c r="H1034" s="14" t="s">
        <v>170</v>
      </c>
      <c r="I1034" s="14" t="s">
        <v>171</v>
      </c>
      <c r="J1034" s="14" t="s">
        <v>2874</v>
      </c>
      <c r="K1034" s="26" t="str">
        <f>HYPERLINK("http://www.ok.ru/profile/570056524749")</f>
      </c>
      <c r="L1034" s="14" t="s">
        <v>173</v>
      </c>
      <c r="O1034" s="1" t="s">
        <v>186</v>
      </c>
      <c r="P1034" s="1" t="n">
        <v>68</v>
      </c>
      <c r="Q1034" s="1" t="n">
        <v>236</v>
      </c>
      <c r="R1034" s="1" t="n">
        <v>0</v>
      </c>
      <c r="S1034" s="1"/>
      <c r="T1034" s="1" t="n">
        <v>0</v>
      </c>
      <c r="U1034" s="1" t="n">
        <v>4</v>
      </c>
      <c r="V1034" s="1" t="n">
        <v>4</v>
      </c>
      <c r="W1034" s="1"/>
      <c r="Y1034" s="1" t="n">
        <v>93</v>
      </c>
      <c r="Z1034" s="0" t="s">
        <v>175</v>
      </c>
      <c r="AA1034" s="0" t="s">
        <v>187</v>
      </c>
      <c r="AC1034" s="0" t="s">
        <v>177</v>
      </c>
      <c r="AD1034" s="0" t="s">
        <v>881</v>
      </c>
      <c r="AE1034" s="0" t="s">
        <v>882</v>
      </c>
      <c r="AH1034" s="0" t="s">
        <v>180</v>
      </c>
      <c r="AJ1034" s="0" t="s">
        <v>437</v>
      </c>
      <c r="AK1034" s="0" t="s">
        <v>94</v>
      </c>
      <c r="AL1034" s="0" t="s">
        <v>95</v>
      </c>
      <c r="AM1034" s="0" t="s">
        <v>96</v>
      </c>
      <c r="AU1034" s="0" t="s">
        <v>104</v>
      </c>
      <c r="AV1034" s="0" t="s">
        <v>105</v>
      </c>
    </row>
    <row r="1035" ht="192.75">
      <c r="B1035" s="0" t="s">
        <v>2875</v>
      </c>
      <c r="C1035" s="1" t="n">
        <v>352390</v>
      </c>
      <c r="E1035" s="14" t="s">
        <v>2876</v>
      </c>
      <c r="F1035" s="14" t="s">
        <v>184</v>
      </c>
      <c r="G1035" s="25" t="str">
        <f>HYPERLINK("http://vk.com/wall-1023421_1005034")</f>
      </c>
      <c r="H1035" s="14" t="s">
        <v>170</v>
      </c>
      <c r="I1035" s="14" t="s">
        <v>194</v>
      </c>
      <c r="J1035" s="14" t="s">
        <v>2877</v>
      </c>
      <c r="K1035" s="26" t="str">
        <f>HYPERLINK("http://vk.com/club1023421")</f>
      </c>
      <c r="L1035" s="14" t="s">
        <v>274</v>
      </c>
      <c r="O1035" s="1"/>
      <c r="P1035" s="1"/>
      <c r="Q1035" s="1" t="n">
        <v>79409</v>
      </c>
      <c r="R1035" s="1" t="n">
        <v>35</v>
      </c>
      <c r="S1035" s="1"/>
      <c r="T1035" s="1" t="n">
        <v>7</v>
      </c>
      <c r="U1035" s="1" t="n">
        <v>24</v>
      </c>
      <c r="V1035" s="1" t="n">
        <v>66</v>
      </c>
      <c r="W1035" s="1" t="n">
        <v>8772</v>
      </c>
      <c r="Y1035" s="1" t="n">
        <v>1</v>
      </c>
      <c r="Z1035" s="0" t="s">
        <v>175</v>
      </c>
      <c r="AA1035" s="0" t="s">
        <v>187</v>
      </c>
      <c r="AC1035" s="0" t="s">
        <v>177</v>
      </c>
      <c r="AD1035" s="0" t="s">
        <v>240</v>
      </c>
      <c r="AE1035" s="0" t="s">
        <v>240</v>
      </c>
      <c r="AH1035" s="0" t="s">
        <v>180</v>
      </c>
      <c r="AJ1035" s="0" t="s">
        <v>437</v>
      </c>
      <c r="AK1035" s="0" t="s">
        <v>94</v>
      </c>
      <c r="AL1035" s="0" t="s">
        <v>95</v>
      </c>
      <c r="AN1035" s="0" t="s">
        <v>97</v>
      </c>
      <c r="AR1035" s="0" t="s">
        <v>101</v>
      </c>
      <c r="AT1035" s="0" t="s">
        <v>103</v>
      </c>
      <c r="AW1035" s="0" t="s">
        <v>106</v>
      </c>
      <c r="BQ1035" s="0" t="s">
        <v>126</v>
      </c>
    </row>
    <row r="1036" ht="36.75">
      <c r="B1036" s="0" t="s">
        <v>2878</v>
      </c>
      <c r="C1036" s="1" t="n">
        <v>352456</v>
      </c>
      <c r="E1036" s="14" t="s">
        <v>2197</v>
      </c>
      <c r="F1036" s="14" t="s">
        <v>184</v>
      </c>
      <c r="G1036" s="25" t="str">
        <f>HYPERLINK("http://vk.com/wall-95556357_683")</f>
      </c>
      <c r="H1036" s="14" t="s">
        <v>170</v>
      </c>
      <c r="I1036" s="14" t="s">
        <v>194</v>
      </c>
      <c r="J1036" s="14" t="s">
        <v>2879</v>
      </c>
      <c r="K1036" s="26" t="str">
        <f>HYPERLINK("http://vk.com/club95556357")</f>
      </c>
      <c r="L1036" s="14" t="s">
        <v>274</v>
      </c>
      <c r="O1036" s="1"/>
      <c r="P1036" s="1"/>
      <c r="Q1036" s="1" t="n">
        <v>10573</v>
      </c>
      <c r="R1036" s="1" t="n">
        <v>0</v>
      </c>
      <c r="S1036" s="1"/>
      <c r="T1036" s="1" t="n">
        <v>4</v>
      </c>
      <c r="U1036" s="1" t="n">
        <v>2</v>
      </c>
      <c r="V1036" s="1" t="n">
        <v>6</v>
      </c>
      <c r="W1036" s="1" t="n">
        <v>453</v>
      </c>
      <c r="Y1036" s="1" t="n">
        <v>2</v>
      </c>
      <c r="Z1036" s="0" t="s">
        <v>175</v>
      </c>
      <c r="AA1036" s="0" t="s">
        <v>187</v>
      </c>
      <c r="AC1036" s="0" t="s">
        <v>177</v>
      </c>
      <c r="AH1036" s="0" t="s">
        <v>180</v>
      </c>
      <c r="AJ1036" s="0" t="s">
        <v>437</v>
      </c>
      <c r="AK1036" s="0" t="s">
        <v>94</v>
      </c>
      <c r="AL1036" s="0" t="s">
        <v>95</v>
      </c>
      <c r="AR1036" s="0" t="s">
        <v>101</v>
      </c>
      <c r="BA1036" s="0" t="s">
        <v>110</v>
      </c>
      <c r="BF1036" s="0" t="s">
        <v>115</v>
      </c>
    </row>
    <row r="1037">
      <c r="B1037" s="0" t="s">
        <v>2878</v>
      </c>
      <c r="C1037" s="1" t="n">
        <v>352366</v>
      </c>
      <c r="E1037" s="14" t="s">
        <v>2880</v>
      </c>
      <c r="F1037" s="14" t="s">
        <v>184</v>
      </c>
      <c r="G1037" s="25" t="str">
        <f>HYPERLINK("http://vk.com/wall-135814562_2463230?reply=2470733")</f>
      </c>
      <c r="H1037" s="14" t="s">
        <v>170</v>
      </c>
      <c r="I1037" s="14" t="s">
        <v>231</v>
      </c>
      <c r="J1037" s="14" t="s">
        <v>2845</v>
      </c>
      <c r="K1037" s="26" t="str">
        <f>HYPERLINK("http://vk.com/id793503693")</f>
      </c>
      <c r="L1037" s="14" t="s">
        <v>173</v>
      </c>
      <c r="M1037" s="14" t="s">
        <v>2881</v>
      </c>
      <c r="N1037" s="25" t="str">
        <f>HYPERLINK("http://vk.com/club135814562")</f>
      </c>
      <c r="O1037" s="1" t="s">
        <v>186</v>
      </c>
      <c r="P1037" s="1" t="n">
        <v>25</v>
      </c>
      <c r="Q1037" s="1" t="n">
        <v>28751</v>
      </c>
      <c r="R1037" s="1" t="n">
        <v>0</v>
      </c>
      <c r="S1037" s="1"/>
      <c r="T1037" s="1" t="n">
        <v>0</v>
      </c>
      <c r="U1037" s="1" t="n">
        <v>0</v>
      </c>
      <c r="V1037" s="1" t="n">
        <v>0</v>
      </c>
      <c r="W1037" s="1"/>
      <c r="Y1037" s="1" t="n">
        <v>1</v>
      </c>
      <c r="Z1037" s="0" t="s">
        <v>319</v>
      </c>
      <c r="AA1037" s="0" t="s">
        <v>292</v>
      </c>
      <c r="AH1037" s="0" t="s">
        <v>180</v>
      </c>
      <c r="AI1037" s="0" t="s">
        <v>92</v>
      </c>
      <c r="AJ1037" s="0" t="s">
        <v>437</v>
      </c>
      <c r="AN1037" s="0" t="s">
        <v>97</v>
      </c>
      <c r="AO1037" s="0" t="s">
        <v>98</v>
      </c>
      <c r="AS1037" s="0" t="s">
        <v>102</v>
      </c>
      <c r="AY1037" s="0" t="s">
        <v>108</v>
      </c>
      <c r="BT1037" s="0" t="s">
        <v>129</v>
      </c>
      <c r="CC1037" s="0" t="s">
        <v>138</v>
      </c>
    </row>
    <row r="1038">
      <c r="B1038" s="0" t="s">
        <v>2878</v>
      </c>
      <c r="C1038" s="1" t="n">
        <v>352372</v>
      </c>
      <c r="E1038" s="14" t="s">
        <v>2882</v>
      </c>
      <c r="F1038" s="14" t="s">
        <v>184</v>
      </c>
      <c r="G1038" s="25" t="str">
        <f>HYPERLINK("http://vk.com/wall-58073616_649555?reply=649582")</f>
      </c>
      <c r="H1038" s="14" t="s">
        <v>170</v>
      </c>
      <c r="I1038" s="14" t="s">
        <v>231</v>
      </c>
      <c r="J1038" s="14" t="s">
        <v>2883</v>
      </c>
      <c r="K1038" s="26" t="str">
        <f>HYPERLINK("http://vk.com/id429393167")</f>
      </c>
      <c r="L1038" s="14" t="s">
        <v>173</v>
      </c>
      <c r="M1038" s="14" t="s">
        <v>2826</v>
      </c>
      <c r="N1038" s="25" t="str">
        <f>HYPERLINK("http://vk.com/club58073616")</f>
      </c>
      <c r="O1038" s="1" t="s">
        <v>186</v>
      </c>
      <c r="P1038" s="1" t="n">
        <v>14</v>
      </c>
      <c r="Q1038" s="1" t="n">
        <v>46779</v>
      </c>
      <c r="R1038" s="1" t="n">
        <v>0</v>
      </c>
      <c r="S1038" s="1"/>
      <c r="T1038" s="1" t="n">
        <v>0</v>
      </c>
      <c r="U1038" s="1" t="n">
        <v>0</v>
      </c>
      <c r="V1038" s="1" t="n">
        <v>0</v>
      </c>
      <c r="W1038" s="1"/>
      <c r="Y1038" s="1" t="n">
        <v>1</v>
      </c>
      <c r="Z1038" s="0" t="s">
        <v>175</v>
      </c>
      <c r="AA1038" s="0" t="s">
        <v>187</v>
      </c>
      <c r="AC1038" s="0" t="s">
        <v>177</v>
      </c>
      <c r="AD1038" s="0" t="s">
        <v>332</v>
      </c>
      <c r="AE1038" s="0" t="s">
        <v>332</v>
      </c>
      <c r="AH1038" s="0" t="s">
        <v>180</v>
      </c>
      <c r="AI1038" s="0" t="s">
        <v>92</v>
      </c>
      <c r="AJ1038" s="0" t="s">
        <v>437</v>
      </c>
      <c r="AK1038" s="0" t="s">
        <v>94</v>
      </c>
      <c r="AT1038" s="0" t="s">
        <v>103</v>
      </c>
      <c r="AW1038" s="0" t="s">
        <v>106</v>
      </c>
      <c r="AZ1038" s="0" t="s">
        <v>109</v>
      </c>
      <c r="BG1038" s="0" t="s">
        <v>116</v>
      </c>
      <c r="CN1038" s="0" t="s">
        <v>149</v>
      </c>
    </row>
    <row r="1039">
      <c r="B1039" s="0" t="s">
        <v>2878</v>
      </c>
      <c r="C1039" s="1" t="n">
        <v>352385</v>
      </c>
      <c r="E1039" s="14" t="s">
        <v>2884</v>
      </c>
      <c r="F1039" s="14" t="s">
        <v>184</v>
      </c>
      <c r="G1039" s="25" t="str">
        <f>HYPERLINK("http://vk.com/wall-111918418_3320645?reply=3320795")</f>
      </c>
      <c r="H1039" s="14" t="s">
        <v>170</v>
      </c>
      <c r="I1039" s="14" t="s">
        <v>231</v>
      </c>
      <c r="J1039" s="14" t="s">
        <v>2885</v>
      </c>
      <c r="K1039" s="26" t="str">
        <f>HYPERLINK("http://vk.com/id149093726")</f>
      </c>
      <c r="L1039" s="14" t="s">
        <v>173</v>
      </c>
      <c r="M1039" s="14" t="s">
        <v>2886</v>
      </c>
      <c r="N1039" s="25" t="str">
        <f>HYPERLINK("http://vk.com/club111918418")</f>
      </c>
      <c r="O1039" s="1" t="s">
        <v>186</v>
      </c>
      <c r="P1039" s="1"/>
      <c r="Q1039" s="1" t="n">
        <v>69260</v>
      </c>
      <c r="R1039" s="1" t="n">
        <v>0</v>
      </c>
      <c r="S1039" s="1"/>
      <c r="T1039" s="1" t="n">
        <v>0</v>
      </c>
      <c r="U1039" s="1" t="n">
        <v>0</v>
      </c>
      <c r="V1039" s="1" t="n">
        <v>0</v>
      </c>
      <c r="W1039" s="1"/>
      <c r="Y1039" s="1" t="n">
        <v>1</v>
      </c>
      <c r="Z1039" s="0" t="s">
        <v>319</v>
      </c>
      <c r="AA1039" s="0" t="s">
        <v>292</v>
      </c>
      <c r="AC1039" s="0" t="s">
        <v>177</v>
      </c>
      <c r="AD1039" s="0" t="s">
        <v>332</v>
      </c>
      <c r="AE1039" s="0" t="s">
        <v>332</v>
      </c>
      <c r="AH1039" s="0" t="s">
        <v>180</v>
      </c>
      <c r="AI1039" s="0" t="s">
        <v>92</v>
      </c>
      <c r="AJ1039" s="0" t="s">
        <v>437</v>
      </c>
      <c r="AN1039" s="0" t="s">
        <v>97</v>
      </c>
      <c r="AY1039" s="0" t="s">
        <v>108</v>
      </c>
      <c r="AZ1039" s="0" t="s">
        <v>109</v>
      </c>
      <c r="BB1039" s="0" t="s">
        <v>111</v>
      </c>
      <c r="BP1039" s="0" t="s">
        <v>125</v>
      </c>
    </row>
    <row r="1040" ht="36.75">
      <c r="B1040" s="0" t="s">
        <v>2887</v>
      </c>
      <c r="C1040" s="1" t="n">
        <v>352473</v>
      </c>
      <c r="E1040" s="14" t="s">
        <v>2888</v>
      </c>
      <c r="F1040" s="14" t="s">
        <v>184</v>
      </c>
      <c r="G1040" s="25" t="str">
        <f>HYPERLINK("http://vk.com/wall288740654_93515")</f>
      </c>
      <c r="H1040" s="14" t="s">
        <v>170</v>
      </c>
      <c r="I1040" s="14" t="s">
        <v>171</v>
      </c>
      <c r="J1040" s="14" t="s">
        <v>2889</v>
      </c>
      <c r="K1040" s="26" t="str">
        <f>HYPERLINK("http://vk.com/id288740654")</f>
      </c>
      <c r="L1040" s="14" t="s">
        <v>173</v>
      </c>
      <c r="O1040" s="1" t="s">
        <v>186</v>
      </c>
      <c r="P1040" s="1"/>
      <c r="Q1040" s="1" t="n">
        <v>1396</v>
      </c>
      <c r="R1040" s="1" t="n">
        <v>0</v>
      </c>
      <c r="S1040" s="1"/>
      <c r="T1040" s="1" t="n">
        <v>0</v>
      </c>
      <c r="U1040" s="1" t="n">
        <v>1</v>
      </c>
      <c r="V1040" s="1" t="n">
        <v>1</v>
      </c>
      <c r="W1040" s="1" t="n">
        <v>7</v>
      </c>
      <c r="Y1040" s="1" t="n">
        <v>1</v>
      </c>
      <c r="Z1040" s="0" t="s">
        <v>175</v>
      </c>
      <c r="AA1040" s="0" t="s">
        <v>292</v>
      </c>
      <c r="AC1040" s="0" t="s">
        <v>177</v>
      </c>
      <c r="AD1040" s="0" t="s">
        <v>341</v>
      </c>
      <c r="AE1040" s="0" t="s">
        <v>1968</v>
      </c>
      <c r="AH1040" s="0" t="s">
        <v>180</v>
      </c>
      <c r="AJ1040" s="0" t="s">
        <v>437</v>
      </c>
      <c r="AK1040" s="0" t="s">
        <v>94</v>
      </c>
      <c r="AR1040" s="0" t="s">
        <v>101</v>
      </c>
      <c r="AZ1040" s="0" t="s">
        <v>109</v>
      </c>
      <c r="BA1040" s="0" t="s">
        <v>110</v>
      </c>
      <c r="BF1040" s="0" t="s">
        <v>115</v>
      </c>
    </row>
    <row r="1041">
      <c r="B1041" s="0" t="s">
        <v>2890</v>
      </c>
      <c r="C1041" s="1" t="n">
        <v>352371</v>
      </c>
      <c r="E1041" s="14" t="s">
        <v>2891</v>
      </c>
      <c r="F1041" s="14" t="s">
        <v>184</v>
      </c>
      <c r="G1041" s="25" t="str">
        <f>HYPERLINK("http://vk.com/wall-162424850_543650?reply=543680")</f>
      </c>
      <c r="H1041" s="14" t="s">
        <v>170</v>
      </c>
      <c r="I1041" s="14" t="s">
        <v>231</v>
      </c>
      <c r="J1041" s="14" t="s">
        <v>2892</v>
      </c>
      <c r="K1041" s="26" t="str">
        <f>HYPERLINK("http://vk.com/id573462212")</f>
      </c>
      <c r="L1041" s="14" t="s">
        <v>173</v>
      </c>
      <c r="M1041" s="14" t="s">
        <v>325</v>
      </c>
      <c r="N1041" s="25" t="str">
        <f>HYPERLINK("http://vk.com/club162424850")</f>
      </c>
      <c r="O1041" s="1" t="s">
        <v>186</v>
      </c>
      <c r="P1041" s="1" t="n">
        <v>27</v>
      </c>
      <c r="Q1041" s="1" t="n">
        <v>17360</v>
      </c>
      <c r="R1041" s="1" t="n">
        <v>0</v>
      </c>
      <c r="S1041" s="1"/>
      <c r="T1041" s="1" t="n">
        <v>0</v>
      </c>
      <c r="U1041" s="1" t="n">
        <v>0</v>
      </c>
      <c r="V1041" s="1" t="n">
        <v>0</v>
      </c>
      <c r="W1041" s="1"/>
      <c r="Y1041" s="1" t="n">
        <v>1</v>
      </c>
      <c r="Z1041" s="0" t="s">
        <v>319</v>
      </c>
      <c r="AA1041" s="0" t="s">
        <v>187</v>
      </c>
      <c r="AH1041" s="0" t="s">
        <v>180</v>
      </c>
      <c r="AI1041" s="0" t="s">
        <v>92</v>
      </c>
      <c r="AJ1041" s="0" t="s">
        <v>437</v>
      </c>
      <c r="AK1041" s="0" t="s">
        <v>94</v>
      </c>
      <c r="AN1041" s="0" t="s">
        <v>97</v>
      </c>
      <c r="AZ1041" s="0" t="s">
        <v>109</v>
      </c>
      <c r="BE1041" s="0" t="s">
        <v>114</v>
      </c>
      <c r="BX1041" s="0" t="s">
        <v>133</v>
      </c>
    </row>
    <row r="1042" ht="1164.75">
      <c r="B1042" s="0" t="s">
        <v>2893</v>
      </c>
      <c r="C1042" s="1" t="n">
        <v>353043</v>
      </c>
      <c r="E1042" s="14" t="s">
        <v>269</v>
      </c>
      <c r="F1042" s="14" t="s">
        <v>169</v>
      </c>
      <c r="G1042" s="25" t="str">
        <f>HYPERLINK("http://www.ok.ru/profile/486659743339/statuses/156101575499115")</f>
      </c>
      <c r="H1042" s="14" t="s">
        <v>170</v>
      </c>
      <c r="I1042" s="14" t="s">
        <v>171</v>
      </c>
      <c r="J1042" s="14" t="s">
        <v>2894</v>
      </c>
      <c r="K1042" s="26" t="str">
        <f>HYPERLINK("http://www.ok.ru/profile/486659743339")</f>
      </c>
      <c r="L1042" s="14" t="s">
        <v>173</v>
      </c>
      <c r="O1042" s="1" t="s">
        <v>186</v>
      </c>
      <c r="P1042" s="1" t="n">
        <v>68</v>
      </c>
      <c r="Q1042" s="1" t="n">
        <v>466</v>
      </c>
      <c r="R1042" s="1" t="n">
        <v>0</v>
      </c>
      <c r="S1042" s="1"/>
      <c r="T1042" s="1" t="n">
        <v>0</v>
      </c>
      <c r="U1042" s="1" t="n">
        <v>0</v>
      </c>
      <c r="V1042" s="1" t="n">
        <v>0</v>
      </c>
      <c r="W1042" s="1"/>
      <c r="Y1042" s="1" t="n">
        <v>24</v>
      </c>
      <c r="Z1042" s="0" t="s">
        <v>175</v>
      </c>
      <c r="AA1042" s="0" t="s">
        <v>187</v>
      </c>
      <c r="AC1042" s="0" t="s">
        <v>177</v>
      </c>
      <c r="AD1042" s="0" t="s">
        <v>1073</v>
      </c>
      <c r="AE1042" s="0" t="s">
        <v>2746</v>
      </c>
      <c r="AH1042" s="0" t="s">
        <v>180</v>
      </c>
      <c r="AJ1042" s="0" t="s">
        <v>437</v>
      </c>
      <c r="AK1042" s="0" t="s">
        <v>94</v>
      </c>
      <c r="AL1042" s="0" t="s">
        <v>95</v>
      </c>
      <c r="AM1042" s="0" t="s">
        <v>96</v>
      </c>
      <c r="AX1042" s="0" t="s">
        <v>107</v>
      </c>
    </row>
    <row r="1043" ht="24.75">
      <c r="B1043" s="0" t="s">
        <v>2893</v>
      </c>
      <c r="C1043" s="1" t="n">
        <v>352462</v>
      </c>
      <c r="E1043" s="14" t="s">
        <v>1843</v>
      </c>
      <c r="F1043" s="14" t="s">
        <v>169</v>
      </c>
      <c r="G1043" s="25" t="str">
        <f>HYPERLINK("http://www.ok.ru/profile/586850999841/statuses/154876992694305")</f>
      </c>
      <c r="H1043" s="14" t="s">
        <v>170</v>
      </c>
      <c r="I1043" s="14" t="s">
        <v>171</v>
      </c>
      <c r="J1043" s="14" t="s">
        <v>2895</v>
      </c>
      <c r="K1043" s="26" t="str">
        <f>HYPERLINK("http://www.ok.ru/profile/586850999841")</f>
      </c>
      <c r="L1043" s="14" t="s">
        <v>173</v>
      </c>
      <c r="O1043" s="1" t="s">
        <v>186</v>
      </c>
      <c r="P1043" s="1" t="n">
        <v>65</v>
      </c>
      <c r="Q1043" s="1" t="n">
        <v>387</v>
      </c>
      <c r="R1043" s="1" t="n">
        <v>0</v>
      </c>
      <c r="S1043" s="1"/>
      <c r="T1043" s="1" t="n">
        <v>0</v>
      </c>
      <c r="U1043" s="1" t="n">
        <v>2</v>
      </c>
      <c r="V1043" s="1" t="n">
        <v>2</v>
      </c>
      <c r="W1043" s="1"/>
      <c r="Y1043" s="1" t="n">
        <v>5</v>
      </c>
      <c r="Z1043" s="0" t="s">
        <v>175</v>
      </c>
      <c r="AA1043" s="0" t="s">
        <v>176</v>
      </c>
      <c r="AC1043" s="0" t="s">
        <v>177</v>
      </c>
      <c r="AD1043" s="0" t="s">
        <v>2896</v>
      </c>
      <c r="AE1043" s="0" t="s">
        <v>2897</v>
      </c>
      <c r="AH1043" s="0" t="s">
        <v>180</v>
      </c>
      <c r="AJ1043" s="0" t="s">
        <v>437</v>
      </c>
      <c r="AK1043" s="0" t="s">
        <v>94</v>
      </c>
      <c r="AM1043" s="0" t="s">
        <v>96</v>
      </c>
      <c r="AO1043" s="0" t="s">
        <v>98</v>
      </c>
      <c r="AQ1043" s="0" t="s">
        <v>100</v>
      </c>
      <c r="AZ1043" s="0" t="s">
        <v>109</v>
      </c>
    </row>
    <row r="1044">
      <c r="B1044" s="0" t="s">
        <v>2898</v>
      </c>
      <c r="C1044" s="1" t="n">
        <v>352380</v>
      </c>
      <c r="E1044" s="14" t="s">
        <v>2899</v>
      </c>
      <c r="F1044" s="14" t="s">
        <v>184</v>
      </c>
      <c r="G1044" s="25" t="str">
        <f>HYPERLINK("http://vk.com/wall-118188716_869434?reply=871007")</f>
      </c>
      <c r="H1044" s="14" t="s">
        <v>170</v>
      </c>
      <c r="I1044" s="14" t="s">
        <v>231</v>
      </c>
      <c r="J1044" s="14" t="s">
        <v>2845</v>
      </c>
      <c r="K1044" s="26" t="str">
        <f>HYPERLINK("http://vk.com/id793503693")</f>
      </c>
      <c r="L1044" s="14" t="s">
        <v>173</v>
      </c>
      <c r="M1044" s="14" t="s">
        <v>469</v>
      </c>
      <c r="N1044" s="25" t="str">
        <f>HYPERLINK("http://vk.com/club118188716")</f>
      </c>
      <c r="O1044" s="1" t="s">
        <v>186</v>
      </c>
      <c r="P1044" s="1" t="n">
        <v>25</v>
      </c>
      <c r="Q1044" s="1" t="n">
        <v>42448</v>
      </c>
      <c r="R1044" s="1" t="n">
        <v>0</v>
      </c>
      <c r="S1044" s="1"/>
      <c r="T1044" s="1" t="n">
        <v>0</v>
      </c>
      <c r="U1044" s="1" t="n">
        <v>0</v>
      </c>
      <c r="V1044" s="1" t="n">
        <v>0</v>
      </c>
      <c r="W1044" s="1"/>
      <c r="Y1044" s="1" t="n">
        <v>1</v>
      </c>
      <c r="Z1044" s="0" t="s">
        <v>319</v>
      </c>
      <c r="AA1044" s="0" t="s">
        <v>292</v>
      </c>
      <c r="AH1044" s="0" t="s">
        <v>180</v>
      </c>
      <c r="AI1044" s="0" t="s">
        <v>92</v>
      </c>
      <c r="AJ1044" s="0" t="s">
        <v>437</v>
      </c>
      <c r="AO1044" s="0" t="s">
        <v>98</v>
      </c>
      <c r="AS1044" s="0" t="s">
        <v>102</v>
      </c>
      <c r="AY1044" s="0" t="s">
        <v>108</v>
      </c>
      <c r="BT1044" s="0" t="s">
        <v>129</v>
      </c>
      <c r="CC1044" s="0" t="s">
        <v>138</v>
      </c>
    </row>
    <row r="1045" ht="1212.75">
      <c r="B1045" s="0" t="s">
        <v>2898</v>
      </c>
      <c r="C1045" s="1" t="n">
        <v>352467</v>
      </c>
      <c r="E1045" s="14" t="s">
        <v>683</v>
      </c>
      <c r="F1045" s="14" t="s">
        <v>184</v>
      </c>
      <c r="G1045" s="25" t="str">
        <f>HYPERLINK("http://vk.com/wall713262819_417")</f>
      </c>
      <c r="H1045" s="14" t="s">
        <v>170</v>
      </c>
      <c r="I1045" s="14" t="s">
        <v>171</v>
      </c>
      <c r="J1045" s="14" t="s">
        <v>2900</v>
      </c>
      <c r="K1045" s="26" t="str">
        <f>HYPERLINK("http://vk.com/id713262819")</f>
      </c>
      <c r="L1045" s="14" t="s">
        <v>173</v>
      </c>
      <c r="O1045" s="1" t="s">
        <v>186</v>
      </c>
      <c r="P1045" s="1" t="n">
        <v>60</v>
      </c>
      <c r="Q1045" s="1" t="n">
        <v>106</v>
      </c>
      <c r="R1045" s="1" t="n">
        <v>0</v>
      </c>
      <c r="S1045" s="1"/>
      <c r="T1045" s="1" t="n">
        <v>0</v>
      </c>
      <c r="U1045" s="1" t="n">
        <v>1</v>
      </c>
      <c r="V1045" s="1" t="n">
        <v>1</v>
      </c>
      <c r="W1045" s="1" t="n">
        <v>4</v>
      </c>
      <c r="Y1045" s="1" t="n">
        <v>22</v>
      </c>
      <c r="Z1045" s="0" t="s">
        <v>175</v>
      </c>
      <c r="AA1045" s="0" t="s">
        <v>187</v>
      </c>
      <c r="AH1045" s="0" t="s">
        <v>180</v>
      </c>
      <c r="AJ1045" s="0" t="s">
        <v>437</v>
      </c>
      <c r="AK1045" s="0" t="s">
        <v>94</v>
      </c>
      <c r="AM1045" s="0" t="s">
        <v>96</v>
      </c>
      <c r="AU1045" s="0" t="s">
        <v>104</v>
      </c>
      <c r="AV1045" s="0" t="s">
        <v>105</v>
      </c>
      <c r="AX1045" s="0" t="s">
        <v>107</v>
      </c>
      <c r="AZ1045" s="0" t="s">
        <v>109</v>
      </c>
    </row>
    <row r="1046" ht="60.75">
      <c r="B1046" s="0" t="s">
        <v>2901</v>
      </c>
      <c r="C1046" s="1" t="n">
        <v>352488</v>
      </c>
      <c r="E1046" s="14" t="s">
        <v>2902</v>
      </c>
      <c r="F1046" s="14" t="s">
        <v>169</v>
      </c>
      <c r="G1046" s="25" t="str">
        <f>HYPERLINK("http://www.ok.ru/group/62531117318347/topic/155831870092747")</f>
      </c>
      <c r="H1046" s="14" t="s">
        <v>170</v>
      </c>
      <c r="I1046" s="14" t="s">
        <v>194</v>
      </c>
      <c r="J1046" s="14" t="s">
        <v>2903</v>
      </c>
      <c r="K1046" s="26" t="str">
        <f>HYPERLINK("http://www.ok.ru/group/62531117318347")</f>
      </c>
      <c r="L1046" s="14" t="s">
        <v>274</v>
      </c>
      <c r="O1046" s="1"/>
      <c r="P1046" s="1"/>
      <c r="Q1046" s="1" t="n">
        <v>1454</v>
      </c>
      <c r="R1046" s="1" t="n">
        <v>0</v>
      </c>
      <c r="S1046" s="1"/>
      <c r="T1046" s="1" t="n">
        <v>0</v>
      </c>
      <c r="U1046" s="1" t="n">
        <v>4</v>
      </c>
      <c r="V1046" s="1" t="n">
        <v>4</v>
      </c>
      <c r="W1046" s="1"/>
      <c r="Y1046" s="1" t="n">
        <v>1</v>
      </c>
      <c r="Z1046" s="0" t="s">
        <v>175</v>
      </c>
      <c r="AA1046" s="0" t="s">
        <v>187</v>
      </c>
      <c r="AH1046" s="0" t="s">
        <v>180</v>
      </c>
      <c r="AI1046" s="0" t="s">
        <v>92</v>
      </c>
      <c r="AJ1046" s="0" t="s">
        <v>437</v>
      </c>
      <c r="AK1046" s="0" t="s">
        <v>94</v>
      </c>
      <c r="AL1046" s="0" t="s">
        <v>95</v>
      </c>
      <c r="AM1046" s="0" t="s">
        <v>96</v>
      </c>
      <c r="AW1046" s="0" t="s">
        <v>106</v>
      </c>
      <c r="BC1046" s="0" t="s">
        <v>112</v>
      </c>
      <c r="BI1046" s="0" t="s">
        <v>118</v>
      </c>
      <c r="BN1046" s="0" t="s">
        <v>123</v>
      </c>
    </row>
    <row r="1047" ht="636.75">
      <c r="B1047" s="0" t="s">
        <v>2901</v>
      </c>
      <c r="C1047" s="1" t="n">
        <v>352454</v>
      </c>
      <c r="D1047" s="0" t="s">
        <v>2904</v>
      </c>
      <c r="E1047" s="14" t="s">
        <v>2905</v>
      </c>
      <c r="F1047" s="14" t="s">
        <v>870</v>
      </c>
      <c r="G1047" s="25" t="str">
        <f>HYPERLINK("https://dzen.ru/a/ZDgjEIYkRh3GBFBR")</f>
      </c>
      <c r="H1047" s="14" t="s">
        <v>376</v>
      </c>
      <c r="I1047" s="14" t="s">
        <v>194</v>
      </c>
      <c r="J1047" s="14" t="s">
        <v>1719</v>
      </c>
      <c r="K1047" s="26" t="str">
        <f>HYPERLINK("https://dzen.ru/id/60681da99678a719cc83d540")</f>
      </c>
      <c r="L1047" s="14" t="s">
        <v>173</v>
      </c>
      <c r="O1047" s="1"/>
      <c r="P1047" s="1"/>
      <c r="Q1047" s="1" t="n">
        <v>2924</v>
      </c>
      <c r="R1047" s="1" t="n">
        <v>0</v>
      </c>
      <c r="S1047" s="1"/>
      <c r="T1047" s="1" t="n">
        <v>0</v>
      </c>
      <c r="U1047" s="1" t="n">
        <v>0</v>
      </c>
      <c r="V1047" s="1" t="n">
        <v>0</v>
      </c>
      <c r="W1047" s="1"/>
      <c r="Y1047" s="1" t="n">
        <v>1</v>
      </c>
      <c r="Z1047" s="0" t="s">
        <v>463</v>
      </c>
      <c r="AA1047" s="0" t="s">
        <v>223</v>
      </c>
      <c r="AH1047" s="0" t="s">
        <v>180</v>
      </c>
      <c r="AJ1047" s="0" t="s">
        <v>437</v>
      </c>
      <c r="AL1047" s="0" t="s">
        <v>95</v>
      </c>
      <c r="BD1047" s="0" t="s">
        <v>113</v>
      </c>
      <c r="CK1047" s="0" t="s">
        <v>146</v>
      </c>
    </row>
    <row r="1048">
      <c r="B1048" s="0" t="s">
        <v>2901</v>
      </c>
      <c r="C1048" s="1" t="n">
        <v>352645</v>
      </c>
      <c r="E1048" s="14" t="s">
        <v>2486</v>
      </c>
      <c r="F1048" s="14" t="s">
        <v>169</v>
      </c>
      <c r="G1048" s="25" t="str">
        <f>HYPERLINK("http://www.ok.ru/profile/461888111230/statuses/154971460436094")</f>
      </c>
      <c r="H1048" s="14" t="s">
        <v>170</v>
      </c>
      <c r="I1048" s="14" t="s">
        <v>171</v>
      </c>
      <c r="J1048" s="14" t="s">
        <v>2906</v>
      </c>
      <c r="K1048" s="26" t="str">
        <f>HYPERLINK("http://www.ok.ru/profile/461888111230")</f>
      </c>
      <c r="L1048" s="14" t="s">
        <v>173</v>
      </c>
      <c r="O1048" s="1" t="s">
        <v>186</v>
      </c>
      <c r="P1048" s="1" t="n">
        <v>76</v>
      </c>
      <c r="Q1048" s="1" t="n">
        <v>661</v>
      </c>
      <c r="R1048" s="1" t="n">
        <v>0</v>
      </c>
      <c r="S1048" s="1"/>
      <c r="T1048" s="1" t="n">
        <v>0</v>
      </c>
      <c r="U1048" s="1" t="n">
        <v>1</v>
      </c>
      <c r="V1048" s="1" t="n">
        <v>1</v>
      </c>
      <c r="W1048" s="1"/>
      <c r="Y1048" s="1" t="n">
        <v>2</v>
      </c>
      <c r="Z1048" s="0" t="s">
        <v>175</v>
      </c>
      <c r="AA1048" s="0" t="s">
        <v>187</v>
      </c>
      <c r="AC1048" s="0" t="s">
        <v>177</v>
      </c>
      <c r="AD1048" s="0" t="s">
        <v>1073</v>
      </c>
      <c r="AE1048" s="0" t="s">
        <v>1074</v>
      </c>
      <c r="AH1048" s="0" t="s">
        <v>180</v>
      </c>
      <c r="AJ1048" s="0" t="s">
        <v>437</v>
      </c>
      <c r="AK1048" s="0" t="s">
        <v>94</v>
      </c>
      <c r="AL1048" s="0" t="s">
        <v>95</v>
      </c>
      <c r="AM1048" s="0" t="s">
        <v>96</v>
      </c>
      <c r="AU1048" s="0" t="s">
        <v>104</v>
      </c>
      <c r="AV1048" s="0" t="s">
        <v>105</v>
      </c>
    </row>
    <row r="1049">
      <c r="B1049" s="0" t="s">
        <v>2901</v>
      </c>
      <c r="C1049" s="1" t="n">
        <v>352379</v>
      </c>
      <c r="E1049" s="14" t="s">
        <v>2907</v>
      </c>
      <c r="F1049" s="14" t="s">
        <v>184</v>
      </c>
      <c r="G1049" s="25" t="str">
        <f>HYPERLINK("http://vk.com/wall-17577887_8008027?reply=8008238")</f>
      </c>
      <c r="H1049" s="14" t="s">
        <v>170</v>
      </c>
      <c r="I1049" s="14" t="s">
        <v>231</v>
      </c>
      <c r="J1049" s="14" t="s">
        <v>2908</v>
      </c>
      <c r="K1049" s="26" t="str">
        <f>HYPERLINK("http://vk.com/id148041737")</f>
      </c>
      <c r="L1049" s="14" t="s">
        <v>173</v>
      </c>
      <c r="M1049" s="14" t="s">
        <v>603</v>
      </c>
      <c r="N1049" s="25" t="str">
        <f>HYPERLINK("http://vk.com/club17577887")</f>
      </c>
      <c r="O1049" s="1" t="s">
        <v>186</v>
      </c>
      <c r="P1049" s="1"/>
      <c r="Q1049" s="1" t="n">
        <v>66550</v>
      </c>
      <c r="R1049" s="1" t="n">
        <v>0</v>
      </c>
      <c r="S1049" s="1"/>
      <c r="T1049" s="1" t="n">
        <v>0</v>
      </c>
      <c r="U1049" s="1" t="n">
        <v>0</v>
      </c>
      <c r="V1049" s="1" t="n">
        <v>0</v>
      </c>
      <c r="W1049" s="1"/>
      <c r="Y1049" s="1" t="n">
        <v>1</v>
      </c>
      <c r="Z1049" s="0" t="s">
        <v>319</v>
      </c>
      <c r="AA1049" s="0" t="s">
        <v>187</v>
      </c>
      <c r="AC1049" s="0" t="s">
        <v>177</v>
      </c>
      <c r="AD1049" s="0" t="s">
        <v>252</v>
      </c>
      <c r="AE1049" s="0" t="s">
        <v>1490</v>
      </c>
      <c r="AH1049" s="0" t="s">
        <v>180</v>
      </c>
      <c r="AI1049" s="0" t="s">
        <v>92</v>
      </c>
      <c r="AJ1049" s="0" t="s">
        <v>437</v>
      </c>
      <c r="AK1049" s="0" t="s">
        <v>94</v>
      </c>
      <c r="AN1049" s="0" t="s">
        <v>97</v>
      </c>
      <c r="AT1049" s="0" t="s">
        <v>103</v>
      </c>
      <c r="AZ1049" s="0" t="s">
        <v>109</v>
      </c>
      <c r="BE1049" s="0" t="s">
        <v>114</v>
      </c>
      <c r="BH1049" s="0" t="s">
        <v>117</v>
      </c>
    </row>
    <row r="1050">
      <c r="B1050" s="0" t="s">
        <v>2901</v>
      </c>
      <c r="C1050" s="1" t="n">
        <v>352612</v>
      </c>
      <c r="D1050" s="0" t="s">
        <v>2909</v>
      </c>
      <c r="E1050" s="14" t="s">
        <v>2910</v>
      </c>
      <c r="F1050" s="14" t="s">
        <v>263</v>
      </c>
      <c r="G1050" s="25" t="str">
        <f>HYPERLINK("https://www.baby.ru/community/view/30500/forum/post/2611538410/")</f>
      </c>
      <c r="H1050" s="14" t="s">
        <v>264</v>
      </c>
      <c r="I1050" s="14" t="s">
        <v>231</v>
      </c>
      <c r="J1050" s="14" t="s">
        <v>2911</v>
      </c>
      <c r="K1050" s="26" t="str">
        <f>HYPERLINK("https://www.baby.ru/u/usr1395184/")</f>
      </c>
      <c r="L1050" s="14"/>
      <c r="M1050" s="14" t="s">
        <v>2912</v>
      </c>
      <c r="N1050" s="25" t="str">
        <f>HYPERLINK("https://www.baby.ru/u/usr2936254/")</f>
      </c>
      <c r="O1050" s="1"/>
      <c r="P1050" s="1"/>
      <c r="Q1050" s="1"/>
      <c r="R1050" s="1" t="n">
        <v>0</v>
      </c>
      <c r="S1050" s="1"/>
      <c r="T1050" s="1" t="n">
        <v>0</v>
      </c>
      <c r="U1050" s="1" t="n">
        <v>0</v>
      </c>
      <c r="V1050" s="1" t="n">
        <v>0</v>
      </c>
      <c r="W1050" s="1"/>
      <c r="Y1050" s="1" t="n">
        <v>1</v>
      </c>
      <c r="Z1050" s="0" t="s">
        <v>175</v>
      </c>
      <c r="AA1050" s="0" t="s">
        <v>187</v>
      </c>
      <c r="AH1050" s="0" t="s">
        <v>180</v>
      </c>
      <c r="AJ1050" s="0" t="s">
        <v>437</v>
      </c>
      <c r="AK1050" s="0" t="s">
        <v>94</v>
      </c>
      <c r="AL1050" s="0" t="s">
        <v>95</v>
      </c>
      <c r="AN1050" s="0" t="s">
        <v>97</v>
      </c>
      <c r="AW1050" s="0" t="s">
        <v>106</v>
      </c>
      <c r="AX1050" s="0" t="s">
        <v>107</v>
      </c>
      <c r="BB1050" s="0" t="s">
        <v>111</v>
      </c>
      <c r="BE1050" s="0" t="s">
        <v>114</v>
      </c>
    </row>
    <row r="1051">
      <c r="B1051" s="0" t="s">
        <v>2913</v>
      </c>
      <c r="C1051" s="1" t="n">
        <v>352487</v>
      </c>
      <c r="E1051" s="14" t="s">
        <v>1349</v>
      </c>
      <c r="F1051" s="14" t="s">
        <v>169</v>
      </c>
      <c r="G1051" s="25" t="str">
        <f>HYPERLINK("http://www.ok.ru/profile/575564183939/statuses/154869661885827")</f>
      </c>
      <c r="H1051" s="14" t="s">
        <v>170</v>
      </c>
      <c r="I1051" s="14" t="s">
        <v>194</v>
      </c>
      <c r="J1051" s="14" t="s">
        <v>2914</v>
      </c>
      <c r="K1051" s="26" t="str">
        <f>HYPERLINK("http://www.ok.ru/profile/575564183939")</f>
      </c>
      <c r="L1051" s="14" t="s">
        <v>173</v>
      </c>
      <c r="O1051" s="1" t="s">
        <v>174</v>
      </c>
      <c r="P1051" s="1" t="n">
        <v>61</v>
      </c>
      <c r="Q1051" s="1" t="n">
        <v>822</v>
      </c>
      <c r="R1051" s="1" t="n">
        <v>0</v>
      </c>
      <c r="S1051" s="1"/>
      <c r="T1051" s="1" t="n">
        <v>0</v>
      </c>
      <c r="U1051" s="1" t="n">
        <v>5</v>
      </c>
      <c r="V1051" s="1" t="n">
        <v>5</v>
      </c>
      <c r="W1051" s="1"/>
      <c r="Y1051" s="1" t="n">
        <v>15</v>
      </c>
      <c r="Z1051" s="0" t="s">
        <v>175</v>
      </c>
      <c r="AA1051" s="0" t="s">
        <v>187</v>
      </c>
      <c r="AC1051" s="0" t="s">
        <v>177</v>
      </c>
      <c r="AD1051" s="0" t="s">
        <v>881</v>
      </c>
      <c r="AE1051" s="0" t="s">
        <v>2915</v>
      </c>
      <c r="AH1051" s="0" t="s">
        <v>180</v>
      </c>
      <c r="AJ1051" s="0" t="s">
        <v>437</v>
      </c>
      <c r="AK1051" s="0" t="s">
        <v>94</v>
      </c>
      <c r="AL1051" s="0" t="s">
        <v>95</v>
      </c>
      <c r="AM1051" s="0" t="s">
        <v>96</v>
      </c>
      <c r="AX1051" s="0" t="s">
        <v>107</v>
      </c>
      <c r="BF1051" s="0" t="s">
        <v>115</v>
      </c>
      <c r="BR1051" s="0" t="s">
        <v>127</v>
      </c>
    </row>
    <row r="1052" ht="1212.75">
      <c r="B1052" s="0" t="s">
        <v>2913</v>
      </c>
      <c r="C1052" s="1" t="n">
        <v>352431</v>
      </c>
      <c r="E1052" s="14" t="s">
        <v>683</v>
      </c>
      <c r="F1052" s="14" t="s">
        <v>184</v>
      </c>
      <c r="G1052" s="25" t="str">
        <f>HYPERLINK("http://vk.com/wall468199266_713")</f>
      </c>
      <c r="H1052" s="14" t="s">
        <v>170</v>
      </c>
      <c r="I1052" s="14" t="s">
        <v>171</v>
      </c>
      <c r="J1052" s="14" t="s">
        <v>2916</v>
      </c>
      <c r="K1052" s="26" t="str">
        <f>HYPERLINK("http://vk.com/id468199266")</f>
      </c>
      <c r="L1052" s="14" t="s">
        <v>173</v>
      </c>
      <c r="O1052" s="1" t="s">
        <v>186</v>
      </c>
      <c r="P1052" s="1"/>
      <c r="Q1052" s="1" t="n">
        <v>216</v>
      </c>
      <c r="R1052" s="1" t="n">
        <v>0</v>
      </c>
      <c r="S1052" s="1"/>
      <c r="T1052" s="1" t="n">
        <v>0</v>
      </c>
      <c r="U1052" s="1" t="n">
        <v>2</v>
      </c>
      <c r="V1052" s="1" t="n">
        <v>2</v>
      </c>
      <c r="W1052" s="1" t="n">
        <v>5</v>
      </c>
      <c r="Y1052" s="1" t="n">
        <v>22</v>
      </c>
      <c r="Z1052" s="0" t="s">
        <v>175</v>
      </c>
      <c r="AA1052" s="0" t="s">
        <v>187</v>
      </c>
      <c r="AC1052" s="0" t="s">
        <v>177</v>
      </c>
      <c r="AD1052" s="0" t="s">
        <v>1073</v>
      </c>
      <c r="AE1052" s="0" t="s">
        <v>2917</v>
      </c>
      <c r="AH1052" s="0" t="s">
        <v>180</v>
      </c>
      <c r="AJ1052" s="0" t="s">
        <v>437</v>
      </c>
      <c r="AK1052" s="0" t="s">
        <v>94</v>
      </c>
      <c r="AM1052" s="0" t="s">
        <v>96</v>
      </c>
      <c r="AU1052" s="0" t="s">
        <v>104</v>
      </c>
      <c r="AV1052" s="0" t="s">
        <v>105</v>
      </c>
      <c r="AX1052" s="0" t="s">
        <v>107</v>
      </c>
      <c r="AZ1052" s="0" t="s">
        <v>109</v>
      </c>
    </row>
    <row r="1053" ht="24.75">
      <c r="B1053" s="0" t="s">
        <v>2918</v>
      </c>
      <c r="C1053" s="1" t="n">
        <v>352446</v>
      </c>
      <c r="E1053" s="14" t="s">
        <v>296</v>
      </c>
      <c r="F1053" s="14" t="s">
        <v>184</v>
      </c>
      <c r="G1053" s="25" t="str">
        <f>HYPERLINK("http://vk.com/wall144338088_11010")</f>
      </c>
      <c r="H1053" s="14" t="s">
        <v>170</v>
      </c>
      <c r="I1053" s="14" t="s">
        <v>171</v>
      </c>
      <c r="J1053" s="14" t="s">
        <v>2919</v>
      </c>
      <c r="K1053" s="26" t="str">
        <f>HYPERLINK("http://vk.com/id144338088")</f>
      </c>
      <c r="L1053" s="14" t="s">
        <v>173</v>
      </c>
      <c r="O1053" s="1" t="s">
        <v>186</v>
      </c>
      <c r="P1053" s="1" t="n">
        <v>70</v>
      </c>
      <c r="Q1053" s="1" t="n">
        <v>264</v>
      </c>
      <c r="R1053" s="1" t="n">
        <v>0</v>
      </c>
      <c r="S1053" s="1"/>
      <c r="T1053" s="1" t="n">
        <v>0</v>
      </c>
      <c r="U1053" s="1" t="n">
        <v>0</v>
      </c>
      <c r="V1053" s="1" t="n">
        <v>0</v>
      </c>
      <c r="W1053" s="1"/>
      <c r="Y1053" s="1" t="n">
        <v>93</v>
      </c>
      <c r="Z1053" s="0" t="s">
        <v>175</v>
      </c>
      <c r="AA1053" s="0" t="s">
        <v>187</v>
      </c>
      <c r="AC1053" s="0" t="s">
        <v>177</v>
      </c>
      <c r="AD1053" s="0" t="s">
        <v>384</v>
      </c>
      <c r="AE1053" s="0" t="s">
        <v>480</v>
      </c>
      <c r="AH1053" s="0" t="s">
        <v>180</v>
      </c>
      <c r="AJ1053" s="0" t="s">
        <v>437</v>
      </c>
      <c r="AK1053" s="0" t="s">
        <v>94</v>
      </c>
      <c r="AM1053" s="0" t="s">
        <v>96</v>
      </c>
      <c r="AU1053" s="0" t="s">
        <v>104</v>
      </c>
      <c r="AV1053" s="0" t="s">
        <v>105</v>
      </c>
      <c r="AZ1053" s="0" t="s">
        <v>109</v>
      </c>
    </row>
    <row r="1054" ht="24.75">
      <c r="B1054" s="0" t="s">
        <v>2918</v>
      </c>
      <c r="C1054" s="1" t="n">
        <v>352556</v>
      </c>
      <c r="E1054" s="14" t="s">
        <v>440</v>
      </c>
      <c r="F1054" s="14" t="s">
        <v>169</v>
      </c>
      <c r="G1054" s="25" t="str">
        <f>HYPERLINK("http://www.ok.ru/profile/330157481884/statuses/155003636064412")</f>
      </c>
      <c r="H1054" s="14" t="s">
        <v>170</v>
      </c>
      <c r="I1054" s="14" t="s">
        <v>171</v>
      </c>
      <c r="J1054" s="14" t="s">
        <v>2920</v>
      </c>
      <c r="K1054" s="26" t="str">
        <f>HYPERLINK("http://www.ok.ru/profile/330157481884")</f>
      </c>
      <c r="L1054" s="14" t="s">
        <v>173</v>
      </c>
      <c r="O1054" s="1" t="s">
        <v>186</v>
      </c>
      <c r="P1054" s="1" t="n">
        <v>68</v>
      </c>
      <c r="Q1054" s="1" t="n">
        <v>323</v>
      </c>
      <c r="R1054" s="1" t="n">
        <v>0</v>
      </c>
      <c r="S1054" s="1"/>
      <c r="T1054" s="1" t="n">
        <v>0</v>
      </c>
      <c r="U1054" s="1" t="n">
        <v>0</v>
      </c>
      <c r="V1054" s="1" t="n">
        <v>0</v>
      </c>
      <c r="W1054" s="1"/>
      <c r="Y1054" s="1" t="n">
        <v>17</v>
      </c>
      <c r="Z1054" s="0" t="s">
        <v>175</v>
      </c>
      <c r="AA1054" s="0" t="s">
        <v>176</v>
      </c>
      <c r="AC1054" s="0" t="s">
        <v>177</v>
      </c>
      <c r="AD1054" s="0" t="s">
        <v>760</v>
      </c>
      <c r="AE1054" s="0" t="s">
        <v>761</v>
      </c>
      <c r="AH1054" s="0" t="s">
        <v>180</v>
      </c>
      <c r="AJ1054" s="0" t="s">
        <v>437</v>
      </c>
      <c r="AK1054" s="0" t="s">
        <v>94</v>
      </c>
      <c r="AL1054" s="0" t="s">
        <v>95</v>
      </c>
      <c r="AM1054" s="0" t="s">
        <v>96</v>
      </c>
      <c r="AO1054" s="0" t="s">
        <v>98</v>
      </c>
      <c r="AQ1054" s="0" t="s">
        <v>100</v>
      </c>
    </row>
    <row r="1055" ht="24.75">
      <c r="B1055" s="0" t="s">
        <v>2921</v>
      </c>
      <c r="C1055" s="1" t="n">
        <v>352561</v>
      </c>
      <c r="E1055" s="14" t="s">
        <v>1843</v>
      </c>
      <c r="F1055" s="14" t="s">
        <v>169</v>
      </c>
      <c r="G1055" s="25" t="str">
        <f>HYPERLINK("http://www.ok.ru/profile/591793774873/statuses/156520185172761")</f>
      </c>
      <c r="H1055" s="14" t="s">
        <v>170</v>
      </c>
      <c r="I1055" s="14" t="s">
        <v>171</v>
      </c>
      <c r="J1055" s="14" t="s">
        <v>2922</v>
      </c>
      <c r="K1055" s="26" t="str">
        <f>HYPERLINK("http://www.ok.ru/profile/591793774873")</f>
      </c>
      <c r="L1055" s="14" t="s">
        <v>173</v>
      </c>
      <c r="O1055" s="1" t="s">
        <v>186</v>
      </c>
      <c r="P1055" s="1" t="n">
        <v>58</v>
      </c>
      <c r="Q1055" s="1" t="n">
        <v>515</v>
      </c>
      <c r="R1055" s="1" t="n">
        <v>0</v>
      </c>
      <c r="S1055" s="1"/>
      <c r="T1055" s="1" t="n">
        <v>1</v>
      </c>
      <c r="U1055" s="1" t="n">
        <v>4</v>
      </c>
      <c r="V1055" s="1" t="n">
        <v>5</v>
      </c>
      <c r="W1055" s="1"/>
      <c r="Y1055" s="1" t="n">
        <v>5</v>
      </c>
      <c r="Z1055" s="0" t="s">
        <v>175</v>
      </c>
      <c r="AA1055" s="0" t="s">
        <v>176</v>
      </c>
      <c r="AC1055" s="0" t="s">
        <v>177</v>
      </c>
      <c r="AH1055" s="0" t="s">
        <v>180</v>
      </c>
      <c r="AJ1055" s="0" t="s">
        <v>437</v>
      </c>
      <c r="AK1055" s="0" t="s">
        <v>94</v>
      </c>
      <c r="AL1055" s="0" t="s">
        <v>95</v>
      </c>
      <c r="AM1055" s="0" t="s">
        <v>96</v>
      </c>
      <c r="AO1055" s="0" t="s">
        <v>98</v>
      </c>
      <c r="AQ1055" s="0" t="s">
        <v>100</v>
      </c>
    </row>
    <row r="1056" ht="24.75">
      <c r="B1056" s="0" t="s">
        <v>2921</v>
      </c>
      <c r="C1056" s="1" t="n">
        <v>352440</v>
      </c>
      <c r="E1056" s="14" t="s">
        <v>183</v>
      </c>
      <c r="F1056" s="14" t="s">
        <v>184</v>
      </c>
      <c r="G1056" s="25" t="str">
        <f>HYPERLINK("http://vk.com/wall200200330_58089")</f>
      </c>
      <c r="H1056" s="14" t="s">
        <v>170</v>
      </c>
      <c r="I1056" s="14" t="s">
        <v>171</v>
      </c>
      <c r="J1056" s="14" t="s">
        <v>2923</v>
      </c>
      <c r="K1056" s="26" t="str">
        <f>HYPERLINK("http://vk.com/id200200330")</f>
      </c>
      <c r="L1056" s="14" t="s">
        <v>173</v>
      </c>
      <c r="O1056" s="1" t="s">
        <v>186</v>
      </c>
      <c r="P1056" s="1" t="n">
        <v>53</v>
      </c>
      <c r="Q1056" s="1" t="n">
        <v>318</v>
      </c>
      <c r="R1056" s="1" t="n">
        <v>0</v>
      </c>
      <c r="S1056" s="1"/>
      <c r="T1056" s="1" t="n">
        <v>0</v>
      </c>
      <c r="U1056" s="1" t="n">
        <v>0</v>
      </c>
      <c r="V1056" s="1" t="n">
        <v>0</v>
      </c>
      <c r="W1056" s="1"/>
      <c r="Y1056" s="1" t="n">
        <v>62</v>
      </c>
      <c r="Z1056" s="0" t="s">
        <v>175</v>
      </c>
      <c r="AA1056" s="0" t="s">
        <v>187</v>
      </c>
      <c r="AC1056" s="0" t="s">
        <v>177</v>
      </c>
      <c r="AD1056" s="0" t="s">
        <v>293</v>
      </c>
      <c r="AE1056" s="0" t="s">
        <v>2924</v>
      </c>
      <c r="AH1056" s="0" t="s">
        <v>180</v>
      </c>
      <c r="AJ1056" s="0" t="s">
        <v>437</v>
      </c>
      <c r="AK1056" s="0" t="s">
        <v>94</v>
      </c>
      <c r="AR1056" s="0" t="s">
        <v>101</v>
      </c>
      <c r="AZ1056" s="0" t="s">
        <v>109</v>
      </c>
      <c r="BA1056" s="0" t="s">
        <v>110</v>
      </c>
    </row>
    <row r="1057" ht="24.75">
      <c r="B1057" s="0" t="s">
        <v>2921</v>
      </c>
      <c r="C1057" s="1" t="n">
        <v>352882</v>
      </c>
      <c r="E1057" s="14" t="s">
        <v>1102</v>
      </c>
      <c r="F1057" s="14" t="s">
        <v>169</v>
      </c>
      <c r="G1057" s="25" t="str">
        <f>HYPERLINK("http://www.ok.ru/profile/554335230200/statuses/155670328919544")</f>
      </c>
      <c r="H1057" s="14" t="s">
        <v>170</v>
      </c>
      <c r="I1057" s="14" t="s">
        <v>171</v>
      </c>
      <c r="J1057" s="14" t="s">
        <v>2925</v>
      </c>
      <c r="K1057" s="26" t="str">
        <f>HYPERLINK("http://www.ok.ru/profile/554335230200")</f>
      </c>
      <c r="L1057" s="14" t="s">
        <v>173</v>
      </c>
      <c r="O1057" s="1" t="s">
        <v>186</v>
      </c>
      <c r="P1057" s="1" t="n">
        <v>65</v>
      </c>
      <c r="Q1057" s="1" t="n">
        <v>313</v>
      </c>
      <c r="R1057" s="1" t="n">
        <v>0</v>
      </c>
      <c r="S1057" s="1"/>
      <c r="T1057" s="1" t="n">
        <v>0</v>
      </c>
      <c r="U1057" s="1" t="n">
        <v>0</v>
      </c>
      <c r="V1057" s="1" t="n">
        <v>0</v>
      </c>
      <c r="W1057" s="1"/>
      <c r="Y1057" s="1" t="n">
        <v>93</v>
      </c>
      <c r="Z1057" s="0" t="s">
        <v>175</v>
      </c>
      <c r="AA1057" s="0" t="s">
        <v>187</v>
      </c>
      <c r="AC1057" s="0" t="s">
        <v>177</v>
      </c>
      <c r="AD1057" s="0" t="s">
        <v>852</v>
      </c>
      <c r="AE1057" s="0" t="s">
        <v>2926</v>
      </c>
      <c r="AH1057" s="0" t="s">
        <v>180</v>
      </c>
      <c r="AJ1057" s="0" t="s">
        <v>437</v>
      </c>
      <c r="AK1057" s="0" t="s">
        <v>94</v>
      </c>
      <c r="AL1057" s="0" t="s">
        <v>95</v>
      </c>
      <c r="AM1057" s="0" t="s">
        <v>96</v>
      </c>
      <c r="AU1057" s="0" t="s">
        <v>104</v>
      </c>
      <c r="AV1057" s="0" t="s">
        <v>105</v>
      </c>
    </row>
    <row r="1058">
      <c r="B1058" s="0" t="s">
        <v>2921</v>
      </c>
      <c r="C1058" s="1" t="n">
        <v>352357</v>
      </c>
      <c r="E1058" s="14" t="s">
        <v>2927</v>
      </c>
      <c r="F1058" s="14" t="s">
        <v>184</v>
      </c>
      <c r="G1058" s="25" t="str">
        <f>HYPERLINK("http://vk.com/wall-134456770_246462?reply=246919")</f>
      </c>
      <c r="H1058" s="14" t="s">
        <v>170</v>
      </c>
      <c r="I1058" s="14" t="s">
        <v>231</v>
      </c>
      <c r="J1058" s="14" t="s">
        <v>2845</v>
      </c>
      <c r="K1058" s="26" t="str">
        <f>HYPERLINK("http://vk.com/id793503693")</f>
      </c>
      <c r="L1058" s="14" t="s">
        <v>173</v>
      </c>
      <c r="M1058" s="14" t="s">
        <v>2928</v>
      </c>
      <c r="N1058" s="25" t="str">
        <f>HYPERLINK("http://vk.com/club134456770")</f>
      </c>
      <c r="O1058" s="1" t="s">
        <v>186</v>
      </c>
      <c r="P1058" s="1" t="n">
        <v>25</v>
      </c>
      <c r="Q1058" s="1" t="n">
        <v>213667</v>
      </c>
      <c r="R1058" s="1" t="n">
        <v>0</v>
      </c>
      <c r="S1058" s="1"/>
      <c r="T1058" s="1" t="n">
        <v>0</v>
      </c>
      <c r="U1058" s="1" t="n">
        <v>0</v>
      </c>
      <c r="V1058" s="1" t="n">
        <v>0</v>
      </c>
      <c r="W1058" s="1"/>
      <c r="Y1058" s="1" t="n">
        <v>1</v>
      </c>
      <c r="Z1058" s="0" t="s">
        <v>319</v>
      </c>
      <c r="AA1058" s="0" t="s">
        <v>292</v>
      </c>
      <c r="AH1058" s="0" t="s">
        <v>180</v>
      </c>
      <c r="AI1058" s="0" t="s">
        <v>92</v>
      </c>
      <c r="AJ1058" s="0" t="s">
        <v>437</v>
      </c>
      <c r="AN1058" s="0" t="s">
        <v>97</v>
      </c>
      <c r="AO1058" s="0" t="s">
        <v>98</v>
      </c>
      <c r="AS1058" s="0" t="s">
        <v>102</v>
      </c>
      <c r="BT1058" s="0" t="s">
        <v>129</v>
      </c>
      <c r="CC1058" s="0" t="s">
        <v>138</v>
      </c>
    </row>
    <row r="1059" ht="24.75">
      <c r="B1059" s="0" t="s">
        <v>2929</v>
      </c>
      <c r="C1059" s="1" t="n">
        <v>352727</v>
      </c>
      <c r="E1059" s="14" t="s">
        <v>1632</v>
      </c>
      <c r="F1059" s="14" t="s">
        <v>169</v>
      </c>
      <c r="G1059" s="25" t="str">
        <f>HYPERLINK("http://www.ok.ru/profile/509870544860/statuses/155434364597212")</f>
      </c>
      <c r="H1059" s="14" t="s">
        <v>170</v>
      </c>
      <c r="I1059" s="14" t="s">
        <v>171</v>
      </c>
      <c r="J1059" s="14" t="s">
        <v>2930</v>
      </c>
      <c r="K1059" s="26" t="str">
        <f>HYPERLINK("http://www.ok.ru/profile/509870544860")</f>
      </c>
      <c r="L1059" s="14" t="s">
        <v>173</v>
      </c>
      <c r="O1059" s="1" t="s">
        <v>174</v>
      </c>
      <c r="P1059" s="1" t="n">
        <v>68</v>
      </c>
      <c r="Q1059" s="1" t="n">
        <v>42</v>
      </c>
      <c r="R1059" s="1" t="n">
        <v>0</v>
      </c>
      <c r="S1059" s="1"/>
      <c r="T1059" s="1" t="n">
        <v>0</v>
      </c>
      <c r="U1059" s="1" t="n">
        <v>0</v>
      </c>
      <c r="V1059" s="1" t="n">
        <v>0</v>
      </c>
      <c r="W1059" s="1"/>
      <c r="Y1059" s="1" t="n">
        <v>10</v>
      </c>
      <c r="Z1059" s="0" t="s">
        <v>175</v>
      </c>
      <c r="AA1059" s="0" t="s">
        <v>176</v>
      </c>
      <c r="AC1059" s="0" t="s">
        <v>177</v>
      </c>
      <c r="AD1059" s="0" t="s">
        <v>454</v>
      </c>
      <c r="AE1059" s="0" t="s">
        <v>2931</v>
      </c>
      <c r="AH1059" s="0" t="s">
        <v>180</v>
      </c>
      <c r="AJ1059" s="0" t="s">
        <v>437</v>
      </c>
      <c r="AK1059" s="0" t="s">
        <v>94</v>
      </c>
      <c r="AL1059" s="0" t="s">
        <v>95</v>
      </c>
      <c r="AM1059" s="0" t="s">
        <v>96</v>
      </c>
      <c r="AO1059" s="0" t="s">
        <v>98</v>
      </c>
      <c r="AQ1059" s="0" t="s">
        <v>100</v>
      </c>
    </row>
    <row r="1060">
      <c r="B1060" s="0" t="s">
        <v>2929</v>
      </c>
      <c r="C1060" s="1" t="n">
        <v>352358</v>
      </c>
      <c r="E1060" s="14" t="s">
        <v>2932</v>
      </c>
      <c r="F1060" s="14" t="s">
        <v>184</v>
      </c>
      <c r="G1060" s="25" t="str">
        <f>HYPERLINK("http://vk.com/wall-135814562_2463230?reply=2470731")</f>
      </c>
      <c r="H1060" s="14" t="s">
        <v>170</v>
      </c>
      <c r="I1060" s="14" t="s">
        <v>231</v>
      </c>
      <c r="J1060" s="14" t="s">
        <v>2845</v>
      </c>
      <c r="K1060" s="26" t="str">
        <f>HYPERLINK("http://vk.com/id793503693")</f>
      </c>
      <c r="L1060" s="14" t="s">
        <v>173</v>
      </c>
      <c r="M1060" s="14" t="s">
        <v>2881</v>
      </c>
      <c r="N1060" s="25" t="str">
        <f>HYPERLINK("http://vk.com/club135814562")</f>
      </c>
      <c r="O1060" s="1" t="s">
        <v>186</v>
      </c>
      <c r="P1060" s="1" t="n">
        <v>25</v>
      </c>
      <c r="Q1060" s="1" t="n">
        <v>28751</v>
      </c>
      <c r="R1060" s="1" t="n">
        <v>0</v>
      </c>
      <c r="S1060" s="1"/>
      <c r="T1060" s="1" t="n">
        <v>0</v>
      </c>
      <c r="U1060" s="1" t="n">
        <v>0</v>
      </c>
      <c r="V1060" s="1" t="n">
        <v>0</v>
      </c>
      <c r="W1060" s="1"/>
      <c r="Y1060" s="1" t="n">
        <v>1</v>
      </c>
      <c r="Z1060" s="0" t="s">
        <v>319</v>
      </c>
      <c r="AA1060" s="0" t="s">
        <v>292</v>
      </c>
      <c r="AH1060" s="0" t="s">
        <v>180</v>
      </c>
      <c r="AI1060" s="0" t="s">
        <v>92</v>
      </c>
      <c r="AJ1060" s="0" t="s">
        <v>437</v>
      </c>
      <c r="AN1060" s="0" t="s">
        <v>97</v>
      </c>
      <c r="AO1060" s="0" t="s">
        <v>98</v>
      </c>
      <c r="BT1060" s="0" t="s">
        <v>129</v>
      </c>
      <c r="CC1060" s="0" t="s">
        <v>138</v>
      </c>
    </row>
    <row r="1061" ht="36.75">
      <c r="B1061" s="0" t="s">
        <v>2933</v>
      </c>
      <c r="C1061" s="1" t="n">
        <v>352435</v>
      </c>
      <c r="E1061" s="14" t="s">
        <v>1218</v>
      </c>
      <c r="F1061" s="14" t="s">
        <v>184</v>
      </c>
      <c r="G1061" s="25" t="str">
        <f>HYPERLINK("http://vk.com/wall630989576_219")</f>
      </c>
      <c r="H1061" s="14" t="s">
        <v>170</v>
      </c>
      <c r="I1061" s="14" t="s">
        <v>171</v>
      </c>
      <c r="J1061" s="14" t="s">
        <v>2934</v>
      </c>
      <c r="K1061" s="26" t="str">
        <f>HYPERLINK("http://vk.com/id630989576")</f>
      </c>
      <c r="L1061" s="14" t="s">
        <v>173</v>
      </c>
      <c r="O1061" s="1" t="s">
        <v>186</v>
      </c>
      <c r="P1061" s="1" t="n">
        <v>60</v>
      </c>
      <c r="Q1061" s="1" t="n">
        <v>123</v>
      </c>
      <c r="R1061" s="1" t="n">
        <v>0</v>
      </c>
      <c r="S1061" s="1"/>
      <c r="T1061" s="1" t="n">
        <v>0</v>
      </c>
      <c r="U1061" s="1" t="n">
        <v>0</v>
      </c>
      <c r="V1061" s="1" t="n">
        <v>0</v>
      </c>
      <c r="W1061" s="1" t="n">
        <v>3</v>
      </c>
      <c r="Y1061" s="1" t="n">
        <v>9</v>
      </c>
      <c r="Z1061" s="0" t="s">
        <v>175</v>
      </c>
      <c r="AA1061" s="0" t="s">
        <v>187</v>
      </c>
      <c r="AC1061" s="0" t="s">
        <v>177</v>
      </c>
      <c r="AD1061" s="0" t="s">
        <v>384</v>
      </c>
      <c r="AE1061" s="0" t="s">
        <v>1818</v>
      </c>
      <c r="AH1061" s="0" t="s">
        <v>180</v>
      </c>
      <c r="AJ1061" s="0" t="s">
        <v>437</v>
      </c>
      <c r="AK1061" s="0" t="s">
        <v>94</v>
      </c>
      <c r="AM1061" s="0" t="s">
        <v>96</v>
      </c>
      <c r="AN1061" s="0" t="s">
        <v>97</v>
      </c>
      <c r="AS1061" s="0" t="s">
        <v>102</v>
      </c>
      <c r="BC1061" s="0" t="s">
        <v>112</v>
      </c>
      <c r="BG1061" s="0" t="s">
        <v>116</v>
      </c>
      <c r="BM1061" s="0" t="s">
        <v>122</v>
      </c>
      <c r="BN1061" s="0" t="s">
        <v>123</v>
      </c>
      <c r="BQ1061" s="0" t="s">
        <v>126</v>
      </c>
    </row>
    <row r="1062">
      <c r="B1062" s="0" t="s">
        <v>2935</v>
      </c>
      <c r="C1062" s="1" t="n">
        <v>352356</v>
      </c>
      <c r="E1062" s="14" t="s">
        <v>2936</v>
      </c>
      <c r="F1062" s="14" t="s">
        <v>184</v>
      </c>
      <c r="G1062" s="25" t="str">
        <f>HYPERLINK("http://vk.com/wall-111555133_2688910?reply=2689009")</f>
      </c>
      <c r="H1062" s="14" t="s">
        <v>170</v>
      </c>
      <c r="I1062" s="14" t="s">
        <v>231</v>
      </c>
      <c r="J1062" s="14" t="s">
        <v>2937</v>
      </c>
      <c r="K1062" s="26" t="str">
        <f>HYPERLINK("http://vk.com/id793510155")</f>
      </c>
      <c r="L1062" s="14" t="s">
        <v>173</v>
      </c>
      <c r="M1062" s="14" t="s">
        <v>845</v>
      </c>
      <c r="N1062" s="25" t="str">
        <f>HYPERLINK("http://vk.com/club111555133")</f>
      </c>
      <c r="O1062" s="1" t="s">
        <v>186</v>
      </c>
      <c r="P1062" s="1" t="n">
        <v>32</v>
      </c>
      <c r="Q1062" s="1" t="n">
        <v>79493</v>
      </c>
      <c r="R1062" s="1" t="n">
        <v>0</v>
      </c>
      <c r="S1062" s="1"/>
      <c r="T1062" s="1" t="n">
        <v>0</v>
      </c>
      <c r="U1062" s="1" t="n">
        <v>0</v>
      </c>
      <c r="V1062" s="1" t="n">
        <v>0</v>
      </c>
      <c r="W1062" s="1"/>
      <c r="Y1062" s="1" t="n">
        <v>1</v>
      </c>
      <c r="Z1062" s="0" t="s">
        <v>319</v>
      </c>
      <c r="AA1062" s="0" t="s">
        <v>292</v>
      </c>
      <c r="AH1062" s="0" t="s">
        <v>180</v>
      </c>
      <c r="AI1062" s="0" t="s">
        <v>92</v>
      </c>
      <c r="AJ1062" s="0" t="s">
        <v>437</v>
      </c>
      <c r="AN1062" s="0" t="s">
        <v>97</v>
      </c>
      <c r="AS1062" s="0" t="s">
        <v>102</v>
      </c>
      <c r="AY1062" s="0" t="s">
        <v>108</v>
      </c>
      <c r="BG1062" s="0" t="s">
        <v>116</v>
      </c>
      <c r="BS1062" s="0" t="s">
        <v>128</v>
      </c>
    </row>
    <row r="1063" ht="24.75">
      <c r="B1063" s="0" t="s">
        <v>2938</v>
      </c>
      <c r="C1063" s="1" t="n">
        <v>352688</v>
      </c>
      <c r="E1063" s="14" t="s">
        <v>1356</v>
      </c>
      <c r="F1063" s="14" t="s">
        <v>169</v>
      </c>
      <c r="G1063" s="25" t="str">
        <f>HYPERLINK("http://www.ok.ru/profile/482720420070/statuses/156600225545702")</f>
      </c>
      <c r="H1063" s="14" t="s">
        <v>170</v>
      </c>
      <c r="I1063" s="14" t="s">
        <v>171</v>
      </c>
      <c r="J1063" s="14" t="s">
        <v>2939</v>
      </c>
      <c r="K1063" s="26" t="str">
        <f>HYPERLINK("http://www.ok.ru/profile/482720420070")</f>
      </c>
      <c r="L1063" s="14" t="s">
        <v>173</v>
      </c>
      <c r="O1063" s="1" t="s">
        <v>174</v>
      </c>
      <c r="P1063" s="1" t="n">
        <v>71</v>
      </c>
      <c r="Q1063" s="1" t="n">
        <v>857</v>
      </c>
      <c r="R1063" s="1" t="n">
        <v>0</v>
      </c>
      <c r="S1063" s="1"/>
      <c r="T1063" s="1" t="n">
        <v>0</v>
      </c>
      <c r="U1063" s="1" t="n">
        <v>6</v>
      </c>
      <c r="V1063" s="1" t="n">
        <v>6</v>
      </c>
      <c r="W1063" s="1"/>
      <c r="Y1063" s="1" t="n">
        <v>93</v>
      </c>
      <c r="Z1063" s="0" t="s">
        <v>175</v>
      </c>
      <c r="AA1063" s="0" t="s">
        <v>187</v>
      </c>
      <c r="AC1063" s="0" t="s">
        <v>177</v>
      </c>
      <c r="AD1063" s="0" t="s">
        <v>513</v>
      </c>
      <c r="AE1063" s="0" t="s">
        <v>799</v>
      </c>
      <c r="AH1063" s="0" t="s">
        <v>180</v>
      </c>
      <c r="AJ1063" s="0" t="s">
        <v>437</v>
      </c>
      <c r="AK1063" s="0" t="s">
        <v>94</v>
      </c>
      <c r="AL1063" s="0" t="s">
        <v>95</v>
      </c>
      <c r="AM1063" s="0" t="s">
        <v>96</v>
      </c>
      <c r="AU1063" s="0" t="s">
        <v>104</v>
      </c>
      <c r="AV1063" s="0" t="s">
        <v>105</v>
      </c>
    </row>
    <row r="1064" ht="24.75">
      <c r="B1064" s="0" t="s">
        <v>2938</v>
      </c>
      <c r="C1064" s="1" t="n">
        <v>353004</v>
      </c>
      <c r="E1064" s="14" t="s">
        <v>1940</v>
      </c>
      <c r="F1064" s="14" t="s">
        <v>169</v>
      </c>
      <c r="G1064" s="25" t="str">
        <f>HYPERLINK("http://www.ok.ru/profile/587606618671/statuses/157512975961391")</f>
      </c>
      <c r="H1064" s="14" t="s">
        <v>170</v>
      </c>
      <c r="I1064" s="14" t="s">
        <v>171</v>
      </c>
      <c r="J1064" s="14" t="s">
        <v>2940</v>
      </c>
      <c r="K1064" s="26" t="str">
        <f>HYPERLINK("http://www.ok.ru/profile/587606618671")</f>
      </c>
      <c r="L1064" s="14" t="s">
        <v>173</v>
      </c>
      <c r="O1064" s="1" t="s">
        <v>186</v>
      </c>
      <c r="P1064" s="1" t="n">
        <v>40</v>
      </c>
      <c r="Q1064" s="1" t="n">
        <v>534</v>
      </c>
      <c r="R1064" s="1" t="n">
        <v>0</v>
      </c>
      <c r="S1064" s="1"/>
      <c r="T1064" s="1" t="n">
        <v>0</v>
      </c>
      <c r="U1064" s="1" t="n">
        <v>0</v>
      </c>
      <c r="V1064" s="1" t="n">
        <v>0</v>
      </c>
      <c r="W1064" s="1"/>
      <c r="Y1064" s="1" t="n">
        <v>2</v>
      </c>
      <c r="Z1064" s="0" t="s">
        <v>175</v>
      </c>
      <c r="AA1064" s="0" t="s">
        <v>187</v>
      </c>
      <c r="AC1064" s="0" t="s">
        <v>177</v>
      </c>
      <c r="AD1064" s="0" t="s">
        <v>760</v>
      </c>
      <c r="AE1064" s="0" t="s">
        <v>761</v>
      </c>
      <c r="AH1064" s="0" t="s">
        <v>180</v>
      </c>
      <c r="AJ1064" s="0" t="s">
        <v>437</v>
      </c>
      <c r="AK1064" s="0" t="s">
        <v>94</v>
      </c>
      <c r="AL1064" s="0" t="s">
        <v>95</v>
      </c>
      <c r="AM1064" s="0" t="s">
        <v>96</v>
      </c>
      <c r="AU1064" s="0" t="s">
        <v>104</v>
      </c>
      <c r="AV1064" s="0" t="s">
        <v>105</v>
      </c>
    </row>
    <row r="1065" ht="1212.75">
      <c r="B1065" s="0" t="s">
        <v>2938</v>
      </c>
      <c r="C1065" s="1" t="n">
        <v>352432</v>
      </c>
      <c r="E1065" s="14" t="s">
        <v>683</v>
      </c>
      <c r="F1065" s="14" t="s">
        <v>184</v>
      </c>
      <c r="G1065" s="25" t="str">
        <f>HYPERLINK("http://vk.com/wall-124730601_1465")</f>
      </c>
      <c r="H1065" s="14" t="s">
        <v>170</v>
      </c>
      <c r="I1065" s="14" t="s">
        <v>171</v>
      </c>
      <c r="J1065" s="14" t="s">
        <v>2941</v>
      </c>
      <c r="K1065" s="26" t="str">
        <f>HYPERLINK("http://vk.com/club124730601")</f>
      </c>
      <c r="L1065" s="14" t="s">
        <v>274</v>
      </c>
      <c r="O1065" s="1"/>
      <c r="P1065" s="1"/>
      <c r="Q1065" s="1" t="n">
        <v>161</v>
      </c>
      <c r="R1065" s="1" t="n">
        <v>0</v>
      </c>
      <c r="S1065" s="1"/>
      <c r="T1065" s="1" t="n">
        <v>0</v>
      </c>
      <c r="U1065" s="1" t="n">
        <v>0</v>
      </c>
      <c r="V1065" s="1" t="n">
        <v>0</v>
      </c>
      <c r="W1065" s="1" t="n">
        <v>5</v>
      </c>
      <c r="Y1065" s="1" t="n">
        <v>22</v>
      </c>
      <c r="Z1065" s="0" t="s">
        <v>175</v>
      </c>
      <c r="AA1065" s="0" t="s">
        <v>187</v>
      </c>
      <c r="AC1065" s="0" t="s">
        <v>177</v>
      </c>
      <c r="AD1065" s="0" t="s">
        <v>881</v>
      </c>
      <c r="AE1065" s="0" t="s">
        <v>882</v>
      </c>
      <c r="AH1065" s="0" t="s">
        <v>180</v>
      </c>
      <c r="AJ1065" s="0" t="s">
        <v>437</v>
      </c>
      <c r="AK1065" s="0" t="s">
        <v>94</v>
      </c>
      <c r="AM1065" s="0" t="s">
        <v>96</v>
      </c>
      <c r="AU1065" s="0" t="s">
        <v>104</v>
      </c>
      <c r="AV1065" s="0" t="s">
        <v>105</v>
      </c>
      <c r="AX1065" s="0" t="s">
        <v>107</v>
      </c>
      <c r="AZ1065" s="0" t="s">
        <v>109</v>
      </c>
    </row>
    <row r="1066">
      <c r="B1066" s="0" t="s">
        <v>2942</v>
      </c>
      <c r="C1066" s="1" t="n">
        <v>352349</v>
      </c>
      <c r="E1066" s="14" t="s">
        <v>2943</v>
      </c>
      <c r="F1066" s="14" t="s">
        <v>184</v>
      </c>
      <c r="G1066" s="25" t="str">
        <f>HYPERLINK("http://vk.com/wall-87169444_12293271?reply=12293292")</f>
      </c>
      <c r="H1066" s="14" t="s">
        <v>170</v>
      </c>
      <c r="I1066" s="14" t="s">
        <v>231</v>
      </c>
      <c r="J1066" s="14" t="s">
        <v>2944</v>
      </c>
      <c r="K1066" s="26" t="str">
        <f>HYPERLINK("http://vk.com/id785219250")</f>
      </c>
      <c r="L1066" s="14" t="s">
        <v>173</v>
      </c>
      <c r="M1066" s="14" t="s">
        <v>2496</v>
      </c>
      <c r="N1066" s="25" t="str">
        <f>HYPERLINK("http://vk.com/club87169444")</f>
      </c>
      <c r="O1066" s="1" t="s">
        <v>186</v>
      </c>
      <c r="P1066" s="1" t="n">
        <v>35</v>
      </c>
      <c r="Q1066" s="1" t="n">
        <v>137753</v>
      </c>
      <c r="R1066" s="1" t="n">
        <v>0</v>
      </c>
      <c r="S1066" s="1"/>
      <c r="T1066" s="1" t="n">
        <v>0</v>
      </c>
      <c r="U1066" s="1" t="n">
        <v>0</v>
      </c>
      <c r="V1066" s="1" t="n">
        <v>0</v>
      </c>
      <c r="W1066" s="1"/>
      <c r="Y1066" s="1" t="n">
        <v>1</v>
      </c>
      <c r="Z1066" s="0" t="s">
        <v>319</v>
      </c>
      <c r="AA1066" s="0" t="s">
        <v>292</v>
      </c>
      <c r="AH1066" s="0" t="s">
        <v>180</v>
      </c>
      <c r="AJ1066" s="0" t="s">
        <v>437</v>
      </c>
      <c r="AN1066" s="0" t="s">
        <v>97</v>
      </c>
      <c r="AO1066" s="0" t="s">
        <v>98</v>
      </c>
      <c r="AS1066" s="0" t="s">
        <v>102</v>
      </c>
      <c r="AY1066" s="0" t="s">
        <v>108</v>
      </c>
      <c r="BO1066" s="0" t="s">
        <v>124</v>
      </c>
      <c r="BT1066" s="0" t="s">
        <v>129</v>
      </c>
      <c r="CC1066" s="0" t="s">
        <v>138</v>
      </c>
    </row>
    <row r="1067" ht="36.75">
      <c r="B1067" s="0" t="s">
        <v>2945</v>
      </c>
      <c r="C1067" s="1" t="n">
        <v>352900</v>
      </c>
      <c r="E1067" s="14" t="s">
        <v>1189</v>
      </c>
      <c r="F1067" s="14" t="s">
        <v>169</v>
      </c>
      <c r="G1067" s="25" t="str">
        <f>HYPERLINK("http://www.ok.ru/profile/554775786465/statuses/155498159401185")</f>
      </c>
      <c r="H1067" s="14" t="s">
        <v>170</v>
      </c>
      <c r="I1067" s="14" t="s">
        <v>171</v>
      </c>
      <c r="J1067" s="14" t="s">
        <v>2946</v>
      </c>
      <c r="K1067" s="26" t="str">
        <f>HYPERLINK("http://www.ok.ru/profile/554775786465")</f>
      </c>
      <c r="L1067" s="14" t="s">
        <v>173</v>
      </c>
      <c r="O1067" s="1" t="s">
        <v>186</v>
      </c>
      <c r="P1067" s="1" t="n">
        <v>53</v>
      </c>
      <c r="Q1067" s="1" t="n">
        <v>615</v>
      </c>
      <c r="R1067" s="1" t="n">
        <v>0</v>
      </c>
      <c r="S1067" s="1"/>
      <c r="T1067" s="1" t="n">
        <v>0</v>
      </c>
      <c r="U1067" s="1" t="n">
        <v>0</v>
      </c>
      <c r="V1067" s="1" t="n">
        <v>0</v>
      </c>
      <c r="W1067" s="1"/>
      <c r="Y1067" s="1" t="n">
        <v>46</v>
      </c>
      <c r="Z1067" s="0" t="s">
        <v>175</v>
      </c>
      <c r="AA1067" s="0" t="s">
        <v>187</v>
      </c>
      <c r="AC1067" s="0" t="s">
        <v>177</v>
      </c>
      <c r="AD1067" s="0" t="s">
        <v>402</v>
      </c>
      <c r="AE1067" s="0" t="s">
        <v>2424</v>
      </c>
      <c r="AH1067" s="0" t="s">
        <v>180</v>
      </c>
      <c r="AJ1067" s="0" t="s">
        <v>437</v>
      </c>
      <c r="AK1067" s="0" t="s">
        <v>94</v>
      </c>
      <c r="AL1067" s="0" t="s">
        <v>95</v>
      </c>
      <c r="AM1067" s="0" t="s">
        <v>96</v>
      </c>
      <c r="AO1067" s="0" t="s">
        <v>98</v>
      </c>
      <c r="AQ1067" s="0" t="s">
        <v>100</v>
      </c>
    </row>
    <row r="1068" ht="1200.75">
      <c r="B1068" s="0" t="s">
        <v>2945</v>
      </c>
      <c r="C1068" s="1" t="n">
        <v>352865</v>
      </c>
      <c r="E1068" s="14" t="s">
        <v>2323</v>
      </c>
      <c r="F1068" s="14" t="s">
        <v>169</v>
      </c>
      <c r="G1068" s="25" t="str">
        <f>HYPERLINK("http://www.ok.ru/profile/540781198977/statuses/154742834366593")</f>
      </c>
      <c r="H1068" s="14" t="s">
        <v>170</v>
      </c>
      <c r="I1068" s="14" t="s">
        <v>171</v>
      </c>
      <c r="J1068" s="14" t="s">
        <v>2947</v>
      </c>
      <c r="K1068" s="26" t="str">
        <f>HYPERLINK("http://www.ok.ru/profile/540781198977")</f>
      </c>
      <c r="L1068" s="14" t="s">
        <v>173</v>
      </c>
      <c r="O1068" s="1" t="s">
        <v>186</v>
      </c>
      <c r="P1068" s="1" t="n">
        <v>62</v>
      </c>
      <c r="Q1068" s="1" t="n">
        <v>216</v>
      </c>
      <c r="R1068" s="1" t="n">
        <v>0</v>
      </c>
      <c r="S1068" s="1"/>
      <c r="T1068" s="1" t="n">
        <v>0</v>
      </c>
      <c r="U1068" s="1" t="n">
        <v>0</v>
      </c>
      <c r="V1068" s="1" t="n">
        <v>0</v>
      </c>
      <c r="W1068" s="1"/>
      <c r="Y1068" s="1" t="n">
        <v>5</v>
      </c>
      <c r="Z1068" s="0" t="s">
        <v>175</v>
      </c>
      <c r="AA1068" s="0" t="s">
        <v>187</v>
      </c>
      <c r="AC1068" s="0" t="s">
        <v>177</v>
      </c>
      <c r="AD1068" s="0" t="s">
        <v>1400</v>
      </c>
      <c r="AE1068" s="0" t="s">
        <v>1401</v>
      </c>
      <c r="AH1068" s="0" t="s">
        <v>180</v>
      </c>
      <c r="AJ1068" s="0" t="s">
        <v>437</v>
      </c>
      <c r="AK1068" s="0" t="s">
        <v>94</v>
      </c>
      <c r="AL1068" s="0" t="s">
        <v>95</v>
      </c>
      <c r="AM1068" s="0" t="s">
        <v>96</v>
      </c>
      <c r="AX1068" s="0" t="s">
        <v>107</v>
      </c>
    </row>
    <row r="1069" ht="24.75">
      <c r="B1069" s="0" t="s">
        <v>2948</v>
      </c>
      <c r="C1069" s="1" t="n">
        <v>352438</v>
      </c>
      <c r="E1069" s="14" t="s">
        <v>1102</v>
      </c>
      <c r="F1069" s="14" t="s">
        <v>169</v>
      </c>
      <c r="G1069" s="25" t="str">
        <f>HYPERLINK("http://www.ok.ru/profile/256437886698/statuses/156306373341418")</f>
      </c>
      <c r="H1069" s="14" t="s">
        <v>170</v>
      </c>
      <c r="I1069" s="14" t="s">
        <v>171</v>
      </c>
      <c r="J1069" s="14" t="s">
        <v>2949</v>
      </c>
      <c r="K1069" s="26" t="str">
        <f>HYPERLINK("http://www.ok.ru/profile/256437886698")</f>
      </c>
      <c r="L1069" s="14" t="s">
        <v>173</v>
      </c>
      <c r="O1069" s="1" t="s">
        <v>186</v>
      </c>
      <c r="P1069" s="1"/>
      <c r="Q1069" s="1" t="n">
        <v>165</v>
      </c>
      <c r="R1069" s="1" t="n">
        <v>0</v>
      </c>
      <c r="S1069" s="1"/>
      <c r="T1069" s="1" t="n">
        <v>0</v>
      </c>
      <c r="U1069" s="1" t="n">
        <v>0</v>
      </c>
      <c r="V1069" s="1" t="n">
        <v>0</v>
      </c>
      <c r="W1069" s="1"/>
      <c r="Y1069" s="1" t="n">
        <v>93</v>
      </c>
      <c r="Z1069" s="0" t="s">
        <v>175</v>
      </c>
      <c r="AA1069" s="0" t="s">
        <v>187</v>
      </c>
      <c r="AC1069" s="0" t="s">
        <v>177</v>
      </c>
      <c r="AH1069" s="0" t="s">
        <v>180</v>
      </c>
      <c r="AJ1069" s="0" t="s">
        <v>437</v>
      </c>
      <c r="AK1069" s="0" t="s">
        <v>94</v>
      </c>
      <c r="AM1069" s="0" t="s">
        <v>96</v>
      </c>
      <c r="AU1069" s="0" t="s">
        <v>104</v>
      </c>
      <c r="AV1069" s="0" t="s">
        <v>105</v>
      </c>
      <c r="AZ1069" s="0" t="s">
        <v>109</v>
      </c>
    </row>
    <row r="1070">
      <c r="B1070" s="0" t="s">
        <v>2948</v>
      </c>
      <c r="C1070" s="1" t="n">
        <v>352355</v>
      </c>
      <c r="E1070" s="14" t="s">
        <v>2950</v>
      </c>
      <c r="F1070" s="14" t="s">
        <v>184</v>
      </c>
      <c r="G1070" s="25" t="str">
        <f>HYPERLINK("http://vk.com/wall-51700884_1805845?reply=1806963")</f>
      </c>
      <c r="H1070" s="14" t="s">
        <v>170</v>
      </c>
      <c r="I1070" s="14" t="s">
        <v>231</v>
      </c>
      <c r="J1070" s="14" t="s">
        <v>2944</v>
      </c>
      <c r="K1070" s="26" t="str">
        <f>HYPERLINK("http://vk.com/id785219250")</f>
      </c>
      <c r="L1070" s="14" t="s">
        <v>173</v>
      </c>
      <c r="M1070" s="14" t="s">
        <v>2951</v>
      </c>
      <c r="N1070" s="25" t="str">
        <f>HYPERLINK("http://vk.com/club51700884")</f>
      </c>
      <c r="O1070" s="1" t="s">
        <v>174</v>
      </c>
      <c r="P1070" s="1" t="n">
        <v>35</v>
      </c>
      <c r="Q1070" s="1" t="n">
        <v>37179</v>
      </c>
      <c r="R1070" s="1" t="n">
        <v>0</v>
      </c>
      <c r="S1070" s="1"/>
      <c r="T1070" s="1" t="n">
        <v>0</v>
      </c>
      <c r="U1070" s="1" t="n">
        <v>0</v>
      </c>
      <c r="V1070" s="1" t="n">
        <v>0</v>
      </c>
      <c r="W1070" s="1"/>
      <c r="Y1070" s="1" t="n">
        <v>1</v>
      </c>
      <c r="Z1070" s="0" t="s">
        <v>319</v>
      </c>
      <c r="AA1070" s="0" t="s">
        <v>292</v>
      </c>
      <c r="AH1070" s="0" t="s">
        <v>180</v>
      </c>
      <c r="AI1070" s="0" t="s">
        <v>92</v>
      </c>
      <c r="AJ1070" s="0" t="s">
        <v>437</v>
      </c>
      <c r="AN1070" s="0" t="s">
        <v>97</v>
      </c>
      <c r="AO1070" s="0" t="s">
        <v>98</v>
      </c>
      <c r="AS1070" s="0" t="s">
        <v>102</v>
      </c>
      <c r="AY1070" s="0" t="s">
        <v>108</v>
      </c>
      <c r="BE1070" s="0" t="s">
        <v>114</v>
      </c>
      <c r="BQ1070" s="0" t="s">
        <v>126</v>
      </c>
      <c r="BT1070" s="0" t="s">
        <v>129</v>
      </c>
      <c r="CC1070" s="0" t="s">
        <v>138</v>
      </c>
    </row>
    <row r="1071" ht="24.75">
      <c r="B1071" s="0" t="s">
        <v>2948</v>
      </c>
      <c r="C1071" s="1" t="n">
        <v>352870</v>
      </c>
      <c r="E1071" s="14" t="s">
        <v>1102</v>
      </c>
      <c r="F1071" s="14" t="s">
        <v>169</v>
      </c>
      <c r="G1071" s="25" t="str">
        <f>HYPERLINK("http://www.ok.ru/profile/568567359115/statuses/156160922209163")</f>
      </c>
      <c r="H1071" s="14" t="s">
        <v>170</v>
      </c>
      <c r="I1071" s="14" t="s">
        <v>171</v>
      </c>
      <c r="J1071" s="14" t="s">
        <v>2952</v>
      </c>
      <c r="K1071" s="26" t="str">
        <f>HYPERLINK("http://www.ok.ru/profile/568567359115")</f>
      </c>
      <c r="L1071" s="14" t="s">
        <v>173</v>
      </c>
      <c r="O1071" s="1" t="s">
        <v>186</v>
      </c>
      <c r="P1071" s="1" t="n">
        <v>65</v>
      </c>
      <c r="Q1071" s="1" t="n">
        <v>185</v>
      </c>
      <c r="R1071" s="1" t="n">
        <v>0</v>
      </c>
      <c r="S1071" s="1"/>
      <c r="T1071" s="1" t="n">
        <v>0</v>
      </c>
      <c r="U1071" s="1" t="n">
        <v>0</v>
      </c>
      <c r="V1071" s="1" t="n">
        <v>0</v>
      </c>
      <c r="W1071" s="1"/>
      <c r="Y1071" s="1" t="n">
        <v>93</v>
      </c>
      <c r="Z1071" s="0" t="s">
        <v>175</v>
      </c>
      <c r="AA1071" s="0" t="s">
        <v>187</v>
      </c>
      <c r="AC1071" s="0" t="s">
        <v>177</v>
      </c>
      <c r="AD1071" s="0" t="s">
        <v>464</v>
      </c>
      <c r="AE1071" s="0" t="s">
        <v>1975</v>
      </c>
      <c r="AH1071" s="0" t="s">
        <v>180</v>
      </c>
      <c r="AJ1071" s="0" t="s">
        <v>437</v>
      </c>
      <c r="AK1071" s="0" t="s">
        <v>94</v>
      </c>
      <c r="AL1071" s="0" t="s">
        <v>95</v>
      </c>
      <c r="AM1071" s="0" t="s">
        <v>96</v>
      </c>
      <c r="AU1071" s="0" t="s">
        <v>104</v>
      </c>
      <c r="AV1071" s="0" t="s">
        <v>105</v>
      </c>
    </row>
    <row r="1072" ht="24.75">
      <c r="B1072" s="0" t="s">
        <v>2948</v>
      </c>
      <c r="C1072" s="1" t="n">
        <v>352901</v>
      </c>
      <c r="E1072" s="14" t="s">
        <v>554</v>
      </c>
      <c r="F1072" s="14" t="s">
        <v>169</v>
      </c>
      <c r="G1072" s="25" t="str">
        <f>HYPERLINK("http://www.ok.ru/profile/554775786465/statuses/155498153240801")</f>
      </c>
      <c r="H1072" s="14" t="s">
        <v>170</v>
      </c>
      <c r="I1072" s="14" t="s">
        <v>171</v>
      </c>
      <c r="J1072" s="14" t="s">
        <v>2946</v>
      </c>
      <c r="K1072" s="26" t="str">
        <f>HYPERLINK("http://www.ok.ru/profile/554775786465")</f>
      </c>
      <c r="L1072" s="14" t="s">
        <v>173</v>
      </c>
      <c r="O1072" s="1" t="s">
        <v>186</v>
      </c>
      <c r="P1072" s="1" t="n">
        <v>53</v>
      </c>
      <c r="Q1072" s="1" t="n">
        <v>615</v>
      </c>
      <c r="R1072" s="1" t="n">
        <v>0</v>
      </c>
      <c r="S1072" s="1"/>
      <c r="T1072" s="1" t="n">
        <v>1</v>
      </c>
      <c r="U1072" s="1" t="n">
        <v>6</v>
      </c>
      <c r="V1072" s="1" t="n">
        <v>7</v>
      </c>
      <c r="W1072" s="1"/>
      <c r="Y1072" s="1" t="n">
        <v>59</v>
      </c>
      <c r="Z1072" s="0" t="s">
        <v>175</v>
      </c>
      <c r="AA1072" s="0" t="s">
        <v>176</v>
      </c>
      <c r="AC1072" s="0" t="s">
        <v>177</v>
      </c>
      <c r="AD1072" s="0" t="s">
        <v>402</v>
      </c>
      <c r="AE1072" s="0" t="s">
        <v>2424</v>
      </c>
      <c r="AH1072" s="0" t="s">
        <v>180</v>
      </c>
      <c r="AJ1072" s="0" t="s">
        <v>437</v>
      </c>
      <c r="AK1072" s="0" t="s">
        <v>94</v>
      </c>
      <c r="AL1072" s="0" t="s">
        <v>95</v>
      </c>
      <c r="AM1072" s="0" t="s">
        <v>96</v>
      </c>
      <c r="AO1072" s="0" t="s">
        <v>98</v>
      </c>
      <c r="AQ1072" s="0" t="s">
        <v>100</v>
      </c>
    </row>
    <row r="1073" ht="24.75">
      <c r="B1073" s="0" t="s">
        <v>2953</v>
      </c>
      <c r="C1073" s="1" t="n">
        <v>352430</v>
      </c>
      <c r="E1073" s="14" t="s">
        <v>296</v>
      </c>
      <c r="F1073" s="14" t="s">
        <v>184</v>
      </c>
      <c r="G1073" s="25" t="str">
        <f>HYPERLINK("http://vk.com/wall430817000_2062")</f>
      </c>
      <c r="H1073" s="14" t="s">
        <v>170</v>
      </c>
      <c r="I1073" s="14" t="s">
        <v>171</v>
      </c>
      <c r="J1073" s="14" t="s">
        <v>2954</v>
      </c>
      <c r="K1073" s="26" t="str">
        <f>HYPERLINK("http://vk.com/id430817000")</f>
      </c>
      <c r="L1073" s="14" t="s">
        <v>173</v>
      </c>
      <c r="O1073" s="1" t="s">
        <v>186</v>
      </c>
      <c r="P1073" s="1" t="n">
        <v>39</v>
      </c>
      <c r="Q1073" s="1" t="n">
        <v>43</v>
      </c>
      <c r="R1073" s="1" t="n">
        <v>0</v>
      </c>
      <c r="S1073" s="1"/>
      <c r="T1073" s="1" t="n">
        <v>0</v>
      </c>
      <c r="U1073" s="1" t="n">
        <v>0</v>
      </c>
      <c r="V1073" s="1" t="n">
        <v>0</v>
      </c>
      <c r="W1073" s="1"/>
      <c r="Y1073" s="1" t="n">
        <v>93</v>
      </c>
      <c r="Z1073" s="0" t="s">
        <v>175</v>
      </c>
      <c r="AA1073" s="0" t="s">
        <v>187</v>
      </c>
      <c r="AH1073" s="0" t="s">
        <v>180</v>
      </c>
      <c r="AJ1073" s="0" t="s">
        <v>437</v>
      </c>
      <c r="AK1073" s="0" t="s">
        <v>94</v>
      </c>
      <c r="AM1073" s="0" t="s">
        <v>96</v>
      </c>
      <c r="AU1073" s="0" t="s">
        <v>104</v>
      </c>
      <c r="AV1073" s="0" t="s">
        <v>105</v>
      </c>
      <c r="AZ1073" s="0" t="s">
        <v>109</v>
      </c>
    </row>
    <row r="1074" ht="24.75">
      <c r="B1074" s="0" t="s">
        <v>2953</v>
      </c>
      <c r="C1074" s="1" t="n">
        <v>352425</v>
      </c>
      <c r="E1074" s="14" t="s">
        <v>296</v>
      </c>
      <c r="F1074" s="14" t="s">
        <v>184</v>
      </c>
      <c r="G1074" s="25" t="str">
        <f>HYPERLINK("http://vk.com/wall430817000_2061")</f>
      </c>
      <c r="H1074" s="14" t="s">
        <v>170</v>
      </c>
      <c r="I1074" s="14" t="s">
        <v>171</v>
      </c>
      <c r="J1074" s="14" t="s">
        <v>2954</v>
      </c>
      <c r="K1074" s="26" t="str">
        <f>HYPERLINK("http://vk.com/id430817000")</f>
      </c>
      <c r="L1074" s="14" t="s">
        <v>173</v>
      </c>
      <c r="O1074" s="1" t="s">
        <v>186</v>
      </c>
      <c r="P1074" s="1" t="n">
        <v>39</v>
      </c>
      <c r="Q1074" s="1" t="n">
        <v>43</v>
      </c>
      <c r="R1074" s="1" t="n">
        <v>0</v>
      </c>
      <c r="S1074" s="1"/>
      <c r="T1074" s="1" t="n">
        <v>0</v>
      </c>
      <c r="U1074" s="1" t="n">
        <v>0</v>
      </c>
      <c r="V1074" s="1" t="n">
        <v>0</v>
      </c>
      <c r="W1074" s="1"/>
      <c r="Y1074" s="1" t="n">
        <v>93</v>
      </c>
      <c r="Z1074" s="0" t="s">
        <v>175</v>
      </c>
      <c r="AA1074" s="0" t="s">
        <v>187</v>
      </c>
      <c r="AH1074" s="0" t="s">
        <v>180</v>
      </c>
      <c r="AJ1074" s="0" t="s">
        <v>437</v>
      </c>
      <c r="AK1074" s="0" t="s">
        <v>94</v>
      </c>
      <c r="AM1074" s="0" t="s">
        <v>96</v>
      </c>
      <c r="AU1074" s="0" t="s">
        <v>104</v>
      </c>
      <c r="AV1074" s="0" t="s">
        <v>105</v>
      </c>
      <c r="AZ1074" s="0" t="s">
        <v>109</v>
      </c>
    </row>
    <row r="1075" ht="24.75">
      <c r="B1075" s="0" t="s">
        <v>2955</v>
      </c>
      <c r="C1075" s="1" t="n">
        <v>352895</v>
      </c>
      <c r="E1075" s="14" t="s">
        <v>554</v>
      </c>
      <c r="F1075" s="14" t="s">
        <v>169</v>
      </c>
      <c r="G1075" s="25" t="str">
        <f>HYPERLINK("http://www.ok.ru/profile/550779649655/statuses/155774137984375")</f>
      </c>
      <c r="H1075" s="14" t="s">
        <v>170</v>
      </c>
      <c r="I1075" s="14" t="s">
        <v>171</v>
      </c>
      <c r="J1075" s="14" t="s">
        <v>2956</v>
      </c>
      <c r="K1075" s="26" t="str">
        <f>HYPERLINK("http://www.ok.ru/profile/550779649655")</f>
      </c>
      <c r="L1075" s="14" t="s">
        <v>173</v>
      </c>
      <c r="O1075" s="1" t="s">
        <v>174</v>
      </c>
      <c r="P1075" s="1" t="n">
        <v>59</v>
      </c>
      <c r="Q1075" s="1" t="n">
        <v>119</v>
      </c>
      <c r="R1075" s="1" t="n">
        <v>0</v>
      </c>
      <c r="S1075" s="1"/>
      <c r="T1075" s="1" t="n">
        <v>1</v>
      </c>
      <c r="U1075" s="1" t="n">
        <v>1</v>
      </c>
      <c r="V1075" s="1" t="n">
        <v>2</v>
      </c>
      <c r="W1075" s="1"/>
      <c r="Y1075" s="1" t="n">
        <v>59</v>
      </c>
      <c r="Z1075" s="0" t="s">
        <v>175</v>
      </c>
      <c r="AA1075" s="0" t="s">
        <v>176</v>
      </c>
      <c r="AC1075" s="0" t="s">
        <v>177</v>
      </c>
      <c r="AD1075" s="0" t="s">
        <v>513</v>
      </c>
      <c r="AH1075" s="0" t="s">
        <v>180</v>
      </c>
      <c r="AJ1075" s="0" t="s">
        <v>437</v>
      </c>
      <c r="AK1075" s="0" t="s">
        <v>94</v>
      </c>
      <c r="AL1075" s="0" t="s">
        <v>95</v>
      </c>
      <c r="AM1075" s="0" t="s">
        <v>96</v>
      </c>
      <c r="AO1075" s="0" t="s">
        <v>98</v>
      </c>
      <c r="AQ1075" s="0" t="s">
        <v>100</v>
      </c>
    </row>
    <row r="1076">
      <c r="B1076" s="0" t="s">
        <v>2955</v>
      </c>
      <c r="C1076" s="1" t="n">
        <v>352336</v>
      </c>
      <c r="E1076" s="14" t="s">
        <v>2957</v>
      </c>
      <c r="F1076" s="14" t="s">
        <v>184</v>
      </c>
      <c r="G1076" s="25" t="str">
        <f>HYPERLINK("http://vk.com/wall-33277814_729930?reply=730715")</f>
      </c>
      <c r="H1076" s="14" t="s">
        <v>170</v>
      </c>
      <c r="I1076" s="14" t="s">
        <v>231</v>
      </c>
      <c r="J1076" s="14" t="s">
        <v>2944</v>
      </c>
      <c r="K1076" s="26" t="str">
        <f>HYPERLINK("http://vk.com/id785219250")</f>
      </c>
      <c r="L1076" s="14" t="s">
        <v>173</v>
      </c>
      <c r="M1076" s="14" t="s">
        <v>1272</v>
      </c>
      <c r="N1076" s="25" t="str">
        <f>HYPERLINK("http://vk.com/club33277814")</f>
      </c>
      <c r="O1076" s="1" t="s">
        <v>186</v>
      </c>
      <c r="P1076" s="1" t="n">
        <v>35</v>
      </c>
      <c r="Q1076" s="1" t="n">
        <v>37798</v>
      </c>
      <c r="R1076" s="1" t="n">
        <v>0</v>
      </c>
      <c r="S1076" s="1"/>
      <c r="T1076" s="1" t="n">
        <v>0</v>
      </c>
      <c r="U1076" s="1" t="n">
        <v>0</v>
      </c>
      <c r="V1076" s="1" t="n">
        <v>0</v>
      </c>
      <c r="W1076" s="1"/>
      <c r="Y1076" s="1" t="n">
        <v>1</v>
      </c>
      <c r="Z1076" s="0" t="s">
        <v>319</v>
      </c>
      <c r="AA1076" s="0" t="s">
        <v>292</v>
      </c>
      <c r="AH1076" s="0" t="s">
        <v>180</v>
      </c>
      <c r="AI1076" s="0" t="s">
        <v>92</v>
      </c>
      <c r="AJ1076" s="0" t="s">
        <v>437</v>
      </c>
      <c r="AN1076" s="0" t="s">
        <v>97</v>
      </c>
      <c r="AO1076" s="0" t="s">
        <v>98</v>
      </c>
      <c r="AS1076" s="0" t="s">
        <v>102</v>
      </c>
      <c r="AY1076" s="0" t="s">
        <v>108</v>
      </c>
      <c r="AZ1076" s="0" t="s">
        <v>109</v>
      </c>
      <c r="BG1076" s="0" t="s">
        <v>116</v>
      </c>
      <c r="BT1076" s="0" t="s">
        <v>129</v>
      </c>
      <c r="CC1076" s="0" t="s">
        <v>138</v>
      </c>
    </row>
    <row r="1077">
      <c r="B1077" s="0" t="s">
        <v>2958</v>
      </c>
      <c r="C1077" s="1" t="n">
        <v>352347</v>
      </c>
      <c r="E1077" s="14" t="s">
        <v>2959</v>
      </c>
      <c r="F1077" s="14" t="s">
        <v>192</v>
      </c>
      <c r="G1077" s="25" t="str">
        <f>HYPERLINK("https://telegram.me/sandiexpert/3905?comment=32750")</f>
      </c>
      <c r="H1077" s="14" t="s">
        <v>193</v>
      </c>
      <c r="I1077" s="14" t="s">
        <v>231</v>
      </c>
      <c r="J1077" s="14" t="s">
        <v>2960</v>
      </c>
      <c r="K1077" s="26" t="str">
        <f>HYPERLINK("https://telegram.me/iGilman")</f>
      </c>
      <c r="L1077" s="14" t="s">
        <v>173</v>
      </c>
      <c r="M1077" s="14" t="s">
        <v>2961</v>
      </c>
      <c r="N1077" s="25" t="str">
        <f>HYPERLINK("https://telegram.me/sandiexpert")</f>
      </c>
      <c r="O1077" s="1" t="s">
        <v>174</v>
      </c>
      <c r="P1077" s="1"/>
      <c r="Q1077" s="1" t="n">
        <v>9433</v>
      </c>
      <c r="R1077" s="1" t="n">
        <v>0</v>
      </c>
      <c r="S1077" s="1"/>
      <c r="T1077" s="1" t="n">
        <v>0</v>
      </c>
      <c r="U1077" s="1" t="n">
        <v>0</v>
      </c>
      <c r="V1077" s="1" t="n">
        <v>0</v>
      </c>
      <c r="W1077" s="1"/>
      <c r="Y1077" s="1" t="n">
        <v>1</v>
      </c>
      <c r="Z1077" s="0" t="s">
        <v>463</v>
      </c>
      <c r="AA1077" s="0" t="s">
        <v>187</v>
      </c>
      <c r="AH1077" s="0" t="s">
        <v>180</v>
      </c>
      <c r="AI1077" s="0" t="s">
        <v>92</v>
      </c>
      <c r="AJ1077" s="0" t="s">
        <v>437</v>
      </c>
      <c r="AK1077" s="0" t="s">
        <v>94</v>
      </c>
      <c r="AT1077" s="0" t="s">
        <v>103</v>
      </c>
      <c r="AZ1077" s="0" t="s">
        <v>109</v>
      </c>
      <c r="BF1077" s="0" t="s">
        <v>115</v>
      </c>
      <c r="CQ1077" s="0" t="s">
        <v>152</v>
      </c>
    </row>
    <row r="1078" ht="24.75">
      <c r="B1078" s="0" t="s">
        <v>2958</v>
      </c>
      <c r="C1078" s="1" t="n">
        <v>352952</v>
      </c>
      <c r="E1078" s="14" t="s">
        <v>1102</v>
      </c>
      <c r="F1078" s="14" t="s">
        <v>169</v>
      </c>
      <c r="G1078" s="25" t="str">
        <f>HYPERLINK("http://www.ok.ru/profile/744458888/statuses/155483945126792")</f>
      </c>
      <c r="H1078" s="14" t="s">
        <v>170</v>
      </c>
      <c r="I1078" s="14" t="s">
        <v>171</v>
      </c>
      <c r="J1078" s="14" t="s">
        <v>2962</v>
      </c>
      <c r="K1078" s="26" t="str">
        <f>HYPERLINK("http://www.ok.ru/profile/744458888")</f>
      </c>
      <c r="L1078" s="14" t="s">
        <v>173</v>
      </c>
      <c r="O1078" s="1" t="s">
        <v>174</v>
      </c>
      <c r="P1078" s="1" t="n">
        <v>66</v>
      </c>
      <c r="Q1078" s="1" t="n">
        <v>106</v>
      </c>
      <c r="R1078" s="1" t="n">
        <v>0</v>
      </c>
      <c r="S1078" s="1"/>
      <c r="T1078" s="1" t="n">
        <v>2</v>
      </c>
      <c r="U1078" s="1" t="n">
        <v>2</v>
      </c>
      <c r="V1078" s="1" t="n">
        <v>4</v>
      </c>
      <c r="W1078" s="1"/>
      <c r="Y1078" s="1" t="n">
        <v>93</v>
      </c>
      <c r="Z1078" s="0" t="s">
        <v>175</v>
      </c>
      <c r="AA1078" s="0" t="s">
        <v>187</v>
      </c>
      <c r="AC1078" s="0" t="s">
        <v>177</v>
      </c>
      <c r="AH1078" s="0" t="s">
        <v>180</v>
      </c>
      <c r="AJ1078" s="0" t="s">
        <v>437</v>
      </c>
      <c r="AK1078" s="0" t="s">
        <v>94</v>
      </c>
      <c r="AL1078" s="0" t="s">
        <v>95</v>
      </c>
      <c r="AM1078" s="0" t="s">
        <v>96</v>
      </c>
      <c r="AU1078" s="0" t="s">
        <v>104</v>
      </c>
      <c r="AV1078" s="0" t="s">
        <v>105</v>
      </c>
    </row>
    <row r="1079">
      <c r="B1079" s="0" t="s">
        <v>2963</v>
      </c>
      <c r="C1079" s="1" t="n">
        <v>352332</v>
      </c>
      <c r="E1079" s="14" t="s">
        <v>2964</v>
      </c>
      <c r="F1079" s="14" t="s">
        <v>184</v>
      </c>
      <c r="G1079" s="25" t="str">
        <f>HYPERLINK("http://vk.com/wall-111555133_2688910?reply=2688997")</f>
      </c>
      <c r="H1079" s="14" t="s">
        <v>170</v>
      </c>
      <c r="I1079" s="14" t="s">
        <v>231</v>
      </c>
      <c r="J1079" s="14" t="s">
        <v>2965</v>
      </c>
      <c r="K1079" s="26" t="str">
        <f>HYPERLINK("http://vk.com/id254009760")</f>
      </c>
      <c r="L1079" s="14" t="s">
        <v>173</v>
      </c>
      <c r="M1079" s="14" t="s">
        <v>845</v>
      </c>
      <c r="N1079" s="25" t="str">
        <f>HYPERLINK("http://vk.com/club111555133")</f>
      </c>
      <c r="O1079" s="1" t="s">
        <v>186</v>
      </c>
      <c r="P1079" s="1"/>
      <c r="Q1079" s="1" t="n">
        <v>79493</v>
      </c>
      <c r="R1079" s="1" t="n">
        <v>0</v>
      </c>
      <c r="S1079" s="1"/>
      <c r="T1079" s="1" t="n">
        <v>0</v>
      </c>
      <c r="U1079" s="1" t="n">
        <v>0</v>
      </c>
      <c r="V1079" s="1" t="n">
        <v>0</v>
      </c>
      <c r="W1079" s="1"/>
      <c r="Y1079" s="1" t="n">
        <v>1</v>
      </c>
      <c r="Z1079" s="0" t="s">
        <v>319</v>
      </c>
      <c r="AA1079" s="0" t="s">
        <v>187</v>
      </c>
      <c r="AC1079" s="0" t="s">
        <v>177</v>
      </c>
      <c r="AD1079" s="0" t="s">
        <v>246</v>
      </c>
      <c r="AE1079" s="0" t="s">
        <v>2966</v>
      </c>
      <c r="AH1079" s="0" t="s">
        <v>180</v>
      </c>
      <c r="AI1079" s="0" t="s">
        <v>92</v>
      </c>
      <c r="AJ1079" s="0" t="s">
        <v>437</v>
      </c>
      <c r="AK1079" s="0" t="s">
        <v>94</v>
      </c>
      <c r="AN1079" s="0" t="s">
        <v>97</v>
      </c>
      <c r="AZ1079" s="0" t="s">
        <v>109</v>
      </c>
      <c r="BE1079" s="0" t="s">
        <v>114</v>
      </c>
      <c r="BJ1079" s="0" t="s">
        <v>119</v>
      </c>
    </row>
    <row r="1080" ht="36.75">
      <c r="B1080" s="0" t="s">
        <v>2963</v>
      </c>
      <c r="C1080" s="1" t="n">
        <v>352652</v>
      </c>
      <c r="E1080" s="14" t="s">
        <v>1218</v>
      </c>
      <c r="F1080" s="14" t="s">
        <v>169</v>
      </c>
      <c r="G1080" s="25" t="str">
        <f>HYPERLINK("http://www.ok.ru/profile/573246594677/statuses/156155041708149")</f>
      </c>
      <c r="H1080" s="14" t="s">
        <v>170</v>
      </c>
      <c r="I1080" s="14" t="s">
        <v>171</v>
      </c>
      <c r="J1080" s="14" t="s">
        <v>2967</v>
      </c>
      <c r="K1080" s="26" t="str">
        <f>HYPERLINK("http://www.ok.ru/profile/573246594677")</f>
      </c>
      <c r="L1080" s="14" t="s">
        <v>173</v>
      </c>
      <c r="O1080" s="1" t="s">
        <v>186</v>
      </c>
      <c r="P1080" s="1" t="n">
        <v>57</v>
      </c>
      <c r="Q1080" s="1" t="n">
        <v>125</v>
      </c>
      <c r="R1080" s="1" t="n">
        <v>0</v>
      </c>
      <c r="S1080" s="1"/>
      <c r="T1080" s="1" t="n">
        <v>0</v>
      </c>
      <c r="U1080" s="1" t="n">
        <v>1</v>
      </c>
      <c r="V1080" s="1" t="n">
        <v>1</v>
      </c>
      <c r="W1080" s="1"/>
      <c r="Y1080" s="1" t="n">
        <v>9</v>
      </c>
      <c r="Z1080" s="0" t="s">
        <v>175</v>
      </c>
      <c r="AA1080" s="0" t="s">
        <v>187</v>
      </c>
      <c r="AC1080" s="0" t="s">
        <v>177</v>
      </c>
      <c r="AD1080" s="0" t="s">
        <v>2968</v>
      </c>
      <c r="AH1080" s="0" t="s">
        <v>180</v>
      </c>
      <c r="AJ1080" s="0" t="s">
        <v>437</v>
      </c>
      <c r="AK1080" s="0" t="s">
        <v>94</v>
      </c>
      <c r="AL1080" s="0" t="s">
        <v>95</v>
      </c>
      <c r="AM1080" s="0" t="s">
        <v>96</v>
      </c>
      <c r="BC1080" s="0" t="s">
        <v>112</v>
      </c>
      <c r="BI1080" s="0" t="s">
        <v>118</v>
      </c>
      <c r="BN1080" s="0" t="s">
        <v>123</v>
      </c>
    </row>
    <row r="1081" ht="24.75">
      <c r="B1081" s="0" t="s">
        <v>2963</v>
      </c>
      <c r="C1081" s="1" t="n">
        <v>353038</v>
      </c>
      <c r="E1081" s="14" t="s">
        <v>554</v>
      </c>
      <c r="F1081" s="14" t="s">
        <v>169</v>
      </c>
      <c r="G1081" s="25" t="str">
        <f>HYPERLINK("http://www.ok.ru/profile/590601977880/statuses/156277927125016")</f>
      </c>
      <c r="H1081" s="14" t="s">
        <v>170</v>
      </c>
      <c r="I1081" s="14" t="s">
        <v>171</v>
      </c>
      <c r="J1081" s="14" t="s">
        <v>2969</v>
      </c>
      <c r="K1081" s="26" t="str">
        <f>HYPERLINK("http://www.ok.ru/profile/590601977880")</f>
      </c>
      <c r="L1081" s="14" t="s">
        <v>173</v>
      </c>
      <c r="O1081" s="1" t="s">
        <v>186</v>
      </c>
      <c r="P1081" s="1"/>
      <c r="Q1081" s="1" t="n">
        <v>98</v>
      </c>
      <c r="R1081" s="1" t="n">
        <v>0</v>
      </c>
      <c r="S1081" s="1"/>
      <c r="T1081" s="1" t="n">
        <v>1</v>
      </c>
      <c r="U1081" s="1" t="n">
        <v>1</v>
      </c>
      <c r="V1081" s="1" t="n">
        <v>2</v>
      </c>
      <c r="W1081" s="1"/>
      <c r="Y1081" s="1" t="n">
        <v>59</v>
      </c>
      <c r="Z1081" s="0" t="s">
        <v>175</v>
      </c>
      <c r="AA1081" s="0" t="s">
        <v>176</v>
      </c>
      <c r="AC1081" s="0" t="s">
        <v>177</v>
      </c>
      <c r="AD1081" s="0" t="s">
        <v>2670</v>
      </c>
      <c r="AE1081" s="0" t="s">
        <v>2671</v>
      </c>
      <c r="AH1081" s="0" t="s">
        <v>180</v>
      </c>
      <c r="AJ1081" s="0" t="s">
        <v>437</v>
      </c>
      <c r="AK1081" s="0" t="s">
        <v>94</v>
      </c>
      <c r="AL1081" s="0" t="s">
        <v>95</v>
      </c>
      <c r="AM1081" s="0" t="s">
        <v>96</v>
      </c>
      <c r="AO1081" s="0" t="s">
        <v>98</v>
      </c>
      <c r="AQ1081" s="0" t="s">
        <v>100</v>
      </c>
    </row>
    <row r="1082">
      <c r="B1082" s="0" t="s">
        <v>2963</v>
      </c>
      <c r="C1082" s="1" t="n">
        <v>352346</v>
      </c>
      <c r="E1082" s="14" t="s">
        <v>2970</v>
      </c>
      <c r="F1082" s="14" t="s">
        <v>184</v>
      </c>
      <c r="G1082" s="25" t="str">
        <f>HYPERLINK("http://vk.com/wall-153326278_404946?reply=405133")</f>
      </c>
      <c r="H1082" s="14" t="s">
        <v>170</v>
      </c>
      <c r="I1082" s="14" t="s">
        <v>231</v>
      </c>
      <c r="J1082" s="14" t="s">
        <v>2944</v>
      </c>
      <c r="K1082" s="26" t="str">
        <f>HYPERLINK("http://vk.com/id785219250")</f>
      </c>
      <c r="L1082" s="14" t="s">
        <v>173</v>
      </c>
      <c r="M1082" s="14" t="s">
        <v>1221</v>
      </c>
      <c r="N1082" s="25" t="str">
        <f>HYPERLINK("http://vk.com/club153326278")</f>
      </c>
      <c r="O1082" s="1" t="s">
        <v>186</v>
      </c>
      <c r="P1082" s="1" t="n">
        <v>35</v>
      </c>
      <c r="Q1082" s="1" t="n">
        <v>24685</v>
      </c>
      <c r="R1082" s="1" t="n">
        <v>0</v>
      </c>
      <c r="S1082" s="1"/>
      <c r="T1082" s="1" t="n">
        <v>0</v>
      </c>
      <c r="U1082" s="1" t="n">
        <v>0</v>
      </c>
      <c r="V1082" s="1" t="n">
        <v>0</v>
      </c>
      <c r="W1082" s="1"/>
      <c r="Y1082" s="1" t="n">
        <v>1</v>
      </c>
      <c r="Z1082" s="0" t="s">
        <v>319</v>
      </c>
      <c r="AA1082" s="0" t="s">
        <v>292</v>
      </c>
      <c r="AH1082" s="0" t="s">
        <v>180</v>
      </c>
      <c r="AI1082" s="0" t="s">
        <v>92</v>
      </c>
      <c r="AJ1082" s="0" t="s">
        <v>437</v>
      </c>
      <c r="AN1082" s="0" t="s">
        <v>97</v>
      </c>
      <c r="AO1082" s="0" t="s">
        <v>98</v>
      </c>
      <c r="AY1082" s="0" t="s">
        <v>108</v>
      </c>
      <c r="BT1082" s="0" t="s">
        <v>129</v>
      </c>
      <c r="CC1082" s="0" t="s">
        <v>138</v>
      </c>
    </row>
    <row r="1083">
      <c r="B1083" s="0" t="s">
        <v>2963</v>
      </c>
      <c r="C1083" s="1" t="n">
        <v>352331</v>
      </c>
      <c r="E1083" s="14" t="s">
        <v>2971</v>
      </c>
      <c r="F1083" s="14" t="s">
        <v>184</v>
      </c>
      <c r="G1083" s="25" t="str">
        <f>HYPERLINK("http://vk.com/wall-151317267_158355?reply=158639")</f>
      </c>
      <c r="H1083" s="14" t="s">
        <v>170</v>
      </c>
      <c r="I1083" s="14" t="s">
        <v>231</v>
      </c>
      <c r="J1083" s="14" t="s">
        <v>2937</v>
      </c>
      <c r="K1083" s="26" t="str">
        <f>HYPERLINK("http://vk.com/id793510155")</f>
      </c>
      <c r="L1083" s="14" t="s">
        <v>173</v>
      </c>
      <c r="M1083" s="14" t="s">
        <v>2972</v>
      </c>
      <c r="N1083" s="25" t="str">
        <f>HYPERLINK("http://vk.com/club151317267")</f>
      </c>
      <c r="O1083" s="1" t="s">
        <v>186</v>
      </c>
      <c r="P1083" s="1" t="n">
        <v>32</v>
      </c>
      <c r="Q1083" s="1" t="n">
        <v>14509</v>
      </c>
      <c r="R1083" s="1" t="n">
        <v>0</v>
      </c>
      <c r="S1083" s="1"/>
      <c r="T1083" s="1" t="n">
        <v>0</v>
      </c>
      <c r="U1083" s="1" t="n">
        <v>0</v>
      </c>
      <c r="V1083" s="1" t="n">
        <v>0</v>
      </c>
      <c r="W1083" s="1"/>
      <c r="Y1083" s="1" t="n">
        <v>1</v>
      </c>
      <c r="Z1083" s="0" t="s">
        <v>319</v>
      </c>
      <c r="AA1083" s="0" t="s">
        <v>292</v>
      </c>
      <c r="AH1083" s="0" t="s">
        <v>180</v>
      </c>
      <c r="AI1083" s="0" t="s">
        <v>92</v>
      </c>
      <c r="AJ1083" s="0" t="s">
        <v>437</v>
      </c>
      <c r="AN1083" s="0" t="s">
        <v>97</v>
      </c>
      <c r="AS1083" s="0" t="s">
        <v>102</v>
      </c>
      <c r="AY1083" s="0" t="s">
        <v>108</v>
      </c>
      <c r="BS1083" s="0" t="s">
        <v>128</v>
      </c>
    </row>
    <row r="1084">
      <c r="B1084" s="0" t="s">
        <v>2973</v>
      </c>
      <c r="C1084" s="1" t="n">
        <v>352340</v>
      </c>
      <c r="E1084" s="14" t="s">
        <v>2974</v>
      </c>
      <c r="F1084" s="14" t="s">
        <v>184</v>
      </c>
      <c r="G1084" s="25" t="str">
        <f>HYPERLINK("http://vk.com/wall-63794824_1087778?reply=1088362")</f>
      </c>
      <c r="H1084" s="14" t="s">
        <v>170</v>
      </c>
      <c r="I1084" s="14" t="s">
        <v>231</v>
      </c>
      <c r="J1084" s="14" t="s">
        <v>2944</v>
      </c>
      <c r="K1084" s="26" t="str">
        <f>HYPERLINK("http://vk.com/id785219250")</f>
      </c>
      <c r="L1084" s="14" t="s">
        <v>173</v>
      </c>
      <c r="M1084" s="14" t="s">
        <v>2975</v>
      </c>
      <c r="N1084" s="25" t="str">
        <f>HYPERLINK("http://vk.com/club63794824")</f>
      </c>
      <c r="O1084" s="1" t="s">
        <v>186</v>
      </c>
      <c r="P1084" s="1" t="n">
        <v>35</v>
      </c>
      <c r="Q1084" s="1" t="n">
        <v>44870</v>
      </c>
      <c r="R1084" s="1" t="n">
        <v>0</v>
      </c>
      <c r="S1084" s="1"/>
      <c r="T1084" s="1" t="n">
        <v>0</v>
      </c>
      <c r="U1084" s="1" t="n">
        <v>0</v>
      </c>
      <c r="V1084" s="1" t="n">
        <v>0</v>
      </c>
      <c r="W1084" s="1"/>
      <c r="Y1084" s="1" t="n">
        <v>1</v>
      </c>
      <c r="Z1084" s="0" t="s">
        <v>319</v>
      </c>
      <c r="AA1084" s="0" t="s">
        <v>292</v>
      </c>
      <c r="AH1084" s="0" t="s">
        <v>180</v>
      </c>
      <c r="AI1084" s="0" t="s">
        <v>92</v>
      </c>
      <c r="AJ1084" s="0" t="s">
        <v>437</v>
      </c>
      <c r="AN1084" s="0" t="s">
        <v>97</v>
      </c>
      <c r="AO1084" s="0" t="s">
        <v>98</v>
      </c>
      <c r="AY1084" s="0" t="s">
        <v>108</v>
      </c>
      <c r="BT1084" s="0" t="s">
        <v>129</v>
      </c>
      <c r="CC1084" s="0" t="s">
        <v>138</v>
      </c>
    </row>
    <row r="1085">
      <c r="B1085" s="0" t="s">
        <v>2976</v>
      </c>
      <c r="C1085" s="1" t="n">
        <v>352445</v>
      </c>
      <c r="E1085" s="14" t="s">
        <v>2977</v>
      </c>
      <c r="F1085" s="14" t="s">
        <v>192</v>
      </c>
      <c r="G1085" s="25" t="str">
        <f>HYPERLINK("https://telegram.me/chat_dubai/318080")</f>
      </c>
      <c r="H1085" s="14" t="s">
        <v>193</v>
      </c>
      <c r="I1085" s="14" t="s">
        <v>194</v>
      </c>
      <c r="J1085" s="14" t="s">
        <v>1281</v>
      </c>
      <c r="K1085" s="26" t="str">
        <f>HYPERLINK("https://telegram.me/ElenaLanski")</f>
      </c>
      <c r="L1085" s="14" t="s">
        <v>173</v>
      </c>
      <c r="M1085" s="14" t="s">
        <v>2978</v>
      </c>
      <c r="N1085" s="25" t="str">
        <f>HYPERLINK("https://telegram.me/chat_dubai")</f>
      </c>
      <c r="O1085" s="1" t="s">
        <v>186</v>
      </c>
      <c r="P1085" s="1"/>
      <c r="Q1085" s="1" t="n">
        <v>27852</v>
      </c>
      <c r="R1085" s="1" t="n">
        <v>0</v>
      </c>
      <c r="S1085" s="1"/>
      <c r="T1085" s="1" t="n">
        <v>0</v>
      </c>
      <c r="U1085" s="1" t="n">
        <v>0</v>
      </c>
      <c r="V1085" s="1" t="n">
        <v>0</v>
      </c>
      <c r="W1085" s="1"/>
      <c r="Y1085" s="1" t="n">
        <v>1</v>
      </c>
      <c r="Z1085" s="0" t="s">
        <v>175</v>
      </c>
      <c r="AA1085" s="0" t="s">
        <v>187</v>
      </c>
      <c r="AH1085" s="0" t="s">
        <v>180</v>
      </c>
      <c r="AJ1085" s="0" t="s">
        <v>437</v>
      </c>
      <c r="AK1085" s="0" t="s">
        <v>94</v>
      </c>
      <c r="AN1085" s="0" t="s">
        <v>97</v>
      </c>
      <c r="AT1085" s="0" t="s">
        <v>103</v>
      </c>
      <c r="AZ1085" s="0" t="s">
        <v>109</v>
      </c>
      <c r="BE1085" s="0" t="s">
        <v>114</v>
      </c>
      <c r="BJ1085" s="0" t="s">
        <v>119</v>
      </c>
    </row>
    <row r="1086" ht="24.75">
      <c r="B1086" s="0" t="s">
        <v>2976</v>
      </c>
      <c r="C1086" s="1" t="n">
        <v>352931</v>
      </c>
      <c r="E1086" s="14" t="s">
        <v>1632</v>
      </c>
      <c r="F1086" s="14" t="s">
        <v>169</v>
      </c>
      <c r="G1086" s="25" t="str">
        <f>HYPERLINK("http://www.ok.ru/profile/555621913561/statuses/155521858270169")</f>
      </c>
      <c r="H1086" s="14" t="s">
        <v>170</v>
      </c>
      <c r="I1086" s="14" t="s">
        <v>171</v>
      </c>
      <c r="J1086" s="14" t="s">
        <v>2979</v>
      </c>
      <c r="K1086" s="26" t="str">
        <f>HYPERLINK("http://www.ok.ru/profile/555621913561")</f>
      </c>
      <c r="L1086" s="14" t="s">
        <v>173</v>
      </c>
      <c r="O1086" s="1" t="s">
        <v>186</v>
      </c>
      <c r="P1086" s="1" t="n">
        <v>63</v>
      </c>
      <c r="Q1086" s="1" t="n">
        <v>80</v>
      </c>
      <c r="R1086" s="1" t="n">
        <v>0</v>
      </c>
      <c r="S1086" s="1"/>
      <c r="T1086" s="1" t="n">
        <v>0</v>
      </c>
      <c r="U1086" s="1" t="n">
        <v>0</v>
      </c>
      <c r="V1086" s="1" t="n">
        <v>0</v>
      </c>
      <c r="W1086" s="1"/>
      <c r="Y1086" s="1" t="n">
        <v>10</v>
      </c>
      <c r="Z1086" s="0" t="s">
        <v>175</v>
      </c>
      <c r="AA1086" s="0" t="s">
        <v>176</v>
      </c>
      <c r="AC1086" s="0" t="s">
        <v>177</v>
      </c>
      <c r="AD1086" s="0" t="s">
        <v>556</v>
      </c>
      <c r="AE1086" s="0" t="s">
        <v>2980</v>
      </c>
      <c r="AH1086" s="0" t="s">
        <v>180</v>
      </c>
      <c r="AJ1086" s="0" t="s">
        <v>437</v>
      </c>
      <c r="AK1086" s="0" t="s">
        <v>94</v>
      </c>
      <c r="AL1086" s="0" t="s">
        <v>95</v>
      </c>
      <c r="AM1086" s="0" t="s">
        <v>96</v>
      </c>
      <c r="AO1086" s="0" t="s">
        <v>98</v>
      </c>
      <c r="AQ1086" s="0" t="s">
        <v>100</v>
      </c>
    </row>
    <row r="1087">
      <c r="B1087" s="0" t="s">
        <v>2981</v>
      </c>
      <c r="C1087" s="1" t="n">
        <v>352345</v>
      </c>
      <c r="E1087" s="14" t="s">
        <v>2982</v>
      </c>
      <c r="F1087" s="14" t="s">
        <v>184</v>
      </c>
      <c r="G1087" s="25" t="str">
        <f>HYPERLINK("http://vk.com/wall-142914432_6384796?reply=6385946")</f>
      </c>
      <c r="H1087" s="14" t="s">
        <v>170</v>
      </c>
      <c r="I1087" s="14" t="s">
        <v>231</v>
      </c>
      <c r="J1087" s="14" t="s">
        <v>2937</v>
      </c>
      <c r="K1087" s="26" t="str">
        <f>HYPERLINK("http://vk.com/id793510155")</f>
      </c>
      <c r="L1087" s="14" t="s">
        <v>173</v>
      </c>
      <c r="M1087" s="14" t="s">
        <v>2983</v>
      </c>
      <c r="N1087" s="25" t="str">
        <f>HYPERLINK("http://vk.com/club142914432")</f>
      </c>
      <c r="O1087" s="1" t="s">
        <v>186</v>
      </c>
      <c r="P1087" s="1" t="n">
        <v>32</v>
      </c>
      <c r="Q1087" s="1" t="n">
        <v>280357</v>
      </c>
      <c r="R1087" s="1" t="n">
        <v>0</v>
      </c>
      <c r="S1087" s="1"/>
      <c r="T1087" s="1" t="n">
        <v>0</v>
      </c>
      <c r="U1087" s="1" t="n">
        <v>0</v>
      </c>
      <c r="V1087" s="1" t="n">
        <v>0</v>
      </c>
      <c r="W1087" s="1"/>
      <c r="Y1087" s="1" t="n">
        <v>1</v>
      </c>
      <c r="Z1087" s="0" t="s">
        <v>319</v>
      </c>
      <c r="AA1087" s="0" t="s">
        <v>292</v>
      </c>
      <c r="AH1087" s="0" t="s">
        <v>180</v>
      </c>
      <c r="AI1087" s="0" t="s">
        <v>92</v>
      </c>
      <c r="AJ1087" s="0" t="s">
        <v>437</v>
      </c>
      <c r="AN1087" s="0" t="s">
        <v>97</v>
      </c>
      <c r="AS1087" s="0" t="s">
        <v>102</v>
      </c>
      <c r="AY1087" s="0" t="s">
        <v>108</v>
      </c>
      <c r="BS1087" s="0" t="s">
        <v>128</v>
      </c>
    </row>
    <row r="1088">
      <c r="B1088" s="0" t="s">
        <v>2981</v>
      </c>
      <c r="C1088" s="1" t="n">
        <v>352333</v>
      </c>
      <c r="E1088" s="14" t="s">
        <v>2984</v>
      </c>
      <c r="F1088" s="14" t="s">
        <v>184</v>
      </c>
      <c r="G1088" s="25" t="str">
        <f>HYPERLINK("http://vk.com/wall-207636601_71358?reply=71436")</f>
      </c>
      <c r="H1088" s="14" t="s">
        <v>170</v>
      </c>
      <c r="I1088" s="14" t="s">
        <v>231</v>
      </c>
      <c r="J1088" s="14" t="s">
        <v>2985</v>
      </c>
      <c r="K1088" s="26" t="str">
        <f>HYPERLINK("http://vk.com/id136166298")</f>
      </c>
      <c r="L1088" s="14" t="s">
        <v>173</v>
      </c>
      <c r="M1088" s="14" t="s">
        <v>2986</v>
      </c>
      <c r="N1088" s="25" t="str">
        <f>HYPERLINK("http://vk.com/club207636601")</f>
      </c>
      <c r="O1088" s="1" t="s">
        <v>186</v>
      </c>
      <c r="P1088" s="1"/>
      <c r="Q1088" s="1" t="n">
        <v>508527</v>
      </c>
      <c r="R1088" s="1" t="n">
        <v>0</v>
      </c>
      <c r="S1088" s="1"/>
      <c r="T1088" s="1" t="n">
        <v>0</v>
      </c>
      <c r="U1088" s="1" t="n">
        <v>0</v>
      </c>
      <c r="V1088" s="1" t="n">
        <v>0</v>
      </c>
      <c r="W1088" s="1"/>
      <c r="Y1088" s="1" t="n">
        <v>1</v>
      </c>
      <c r="Z1088" s="0" t="s">
        <v>175</v>
      </c>
      <c r="AA1088" s="0" t="s">
        <v>187</v>
      </c>
      <c r="AC1088" s="0" t="s">
        <v>177</v>
      </c>
      <c r="AD1088" s="0" t="s">
        <v>410</v>
      </c>
      <c r="AE1088" s="0" t="s">
        <v>792</v>
      </c>
      <c r="AH1088" s="0" t="s">
        <v>180</v>
      </c>
      <c r="AI1088" s="0" t="s">
        <v>92</v>
      </c>
      <c r="AJ1088" s="0" t="s">
        <v>437</v>
      </c>
      <c r="AK1088" s="0" t="s">
        <v>94</v>
      </c>
      <c r="AR1088" s="0" t="s">
        <v>101</v>
      </c>
      <c r="AT1088" s="0" t="s">
        <v>103</v>
      </c>
      <c r="AZ1088" s="0" t="s">
        <v>109</v>
      </c>
    </row>
    <row r="1089">
      <c r="B1089" s="0" t="s">
        <v>2981</v>
      </c>
      <c r="C1089" s="1" t="n">
        <v>352434</v>
      </c>
      <c r="D1089" s="0" t="s">
        <v>2987</v>
      </c>
      <c r="E1089" s="14" t="s">
        <v>2988</v>
      </c>
      <c r="F1089" s="14" t="s">
        <v>263</v>
      </c>
      <c r="G1089" s="25" t="str">
        <f>HYPERLINK("https://www.baby.ru/blogs/post/2611450902-2597681634/")</f>
      </c>
      <c r="H1089" s="14" t="s">
        <v>264</v>
      </c>
      <c r="I1089" s="14" t="s">
        <v>231</v>
      </c>
      <c r="J1089" s="14" t="s">
        <v>2798</v>
      </c>
      <c r="K1089" s="26" t="str">
        <f>HYPERLINK("https://www.baby.ru/u/usr2601479/")</f>
      </c>
      <c r="L1089" s="14"/>
      <c r="M1089" s="14" t="s">
        <v>353</v>
      </c>
      <c r="N1089" s="25" t="str">
        <f>HYPERLINK("https://www.baby.ru/u/usr2710213/")</f>
      </c>
      <c r="O1089" s="1"/>
      <c r="P1089" s="1"/>
      <c r="Q1089" s="1"/>
      <c r="R1089" s="1" t="n">
        <v>0</v>
      </c>
      <c r="S1089" s="1"/>
      <c r="T1089" s="1" t="n">
        <v>0</v>
      </c>
      <c r="U1089" s="1" t="n">
        <v>0</v>
      </c>
      <c r="V1089" s="1" t="n">
        <v>0</v>
      </c>
      <c r="W1089" s="1"/>
      <c r="Y1089" s="1" t="n">
        <v>1</v>
      </c>
      <c r="Z1089" s="0" t="s">
        <v>319</v>
      </c>
      <c r="AA1089" s="0" t="s">
        <v>292</v>
      </c>
      <c r="AC1089" s="0" t="s">
        <v>177</v>
      </c>
      <c r="AD1089" s="0" t="s">
        <v>332</v>
      </c>
      <c r="AE1089" s="0" t="s">
        <v>332</v>
      </c>
      <c r="AH1089" s="0" t="s">
        <v>180</v>
      </c>
      <c r="AJ1089" s="0" t="s">
        <v>437</v>
      </c>
      <c r="AN1089" s="0" t="s">
        <v>97</v>
      </c>
      <c r="AS1089" s="0" t="s">
        <v>102</v>
      </c>
      <c r="AY1089" s="0" t="s">
        <v>108</v>
      </c>
      <c r="BL1089" s="0" t="s">
        <v>121</v>
      </c>
      <c r="BO1089" s="0" t="s">
        <v>124</v>
      </c>
      <c r="BQ1089" s="0" t="s">
        <v>126</v>
      </c>
      <c r="BS1089" s="0" t="s">
        <v>128</v>
      </c>
    </row>
    <row r="1090">
      <c r="B1090" s="0" t="s">
        <v>2981</v>
      </c>
      <c r="C1090" s="1" t="n">
        <v>352342</v>
      </c>
      <c r="E1090" s="14" t="s">
        <v>2989</v>
      </c>
      <c r="F1090" s="14" t="s">
        <v>184</v>
      </c>
      <c r="G1090" s="25" t="str">
        <f>HYPERLINK("http://vk.com/wall-138168859_290183?reply=290249")</f>
      </c>
      <c r="H1090" s="14" t="s">
        <v>170</v>
      </c>
      <c r="I1090" s="14" t="s">
        <v>231</v>
      </c>
      <c r="J1090" s="14" t="s">
        <v>2944</v>
      </c>
      <c r="K1090" s="26" t="str">
        <f>HYPERLINK("http://vk.com/id785219250")</f>
      </c>
      <c r="L1090" s="14" t="s">
        <v>173</v>
      </c>
      <c r="M1090" s="14" t="s">
        <v>2990</v>
      </c>
      <c r="N1090" s="25" t="str">
        <f>HYPERLINK("http://vk.com/club138168859")</f>
      </c>
      <c r="O1090" s="1" t="s">
        <v>186</v>
      </c>
      <c r="P1090" s="1" t="n">
        <v>35</v>
      </c>
      <c r="Q1090" s="1" t="n">
        <v>7141</v>
      </c>
      <c r="R1090" s="1" t="n">
        <v>0</v>
      </c>
      <c r="S1090" s="1"/>
      <c r="T1090" s="1" t="n">
        <v>0</v>
      </c>
      <c r="U1090" s="1" t="n">
        <v>0</v>
      </c>
      <c r="V1090" s="1" t="n">
        <v>0</v>
      </c>
      <c r="W1090" s="1"/>
      <c r="Y1090" s="1" t="n">
        <v>1</v>
      </c>
      <c r="Z1090" s="0" t="s">
        <v>319</v>
      </c>
      <c r="AA1090" s="0" t="s">
        <v>292</v>
      </c>
      <c r="AH1090" s="0" t="s">
        <v>180</v>
      </c>
      <c r="AJ1090" s="0" t="s">
        <v>437</v>
      </c>
      <c r="AN1090" s="0" t="s">
        <v>97</v>
      </c>
      <c r="AO1090" s="0" t="s">
        <v>98</v>
      </c>
      <c r="AS1090" s="0" t="s">
        <v>102</v>
      </c>
      <c r="AY1090" s="0" t="s">
        <v>108</v>
      </c>
      <c r="BT1090" s="0" t="s">
        <v>129</v>
      </c>
      <c r="CC1090" s="0" t="s">
        <v>138</v>
      </c>
    </row>
    <row r="1091" ht="1164.75">
      <c r="B1091" s="0" t="s">
        <v>2991</v>
      </c>
      <c r="C1091" s="1" t="n">
        <v>352441</v>
      </c>
      <c r="E1091" s="14" t="s">
        <v>269</v>
      </c>
      <c r="F1091" s="14" t="s">
        <v>169</v>
      </c>
      <c r="G1091" s="25" t="str">
        <f>HYPERLINK("http://www.ok.ru/group/53445801869520/topic/156198662269904")</f>
      </c>
      <c r="H1091" s="14" t="s">
        <v>170</v>
      </c>
      <c r="I1091" s="14" t="s">
        <v>194</v>
      </c>
      <c r="J1091" s="14" t="s">
        <v>2992</v>
      </c>
      <c r="K1091" s="26" t="str">
        <f>HYPERLINK("http://www.ok.ru/group/53445801869520")</f>
      </c>
      <c r="L1091" s="14" t="s">
        <v>274</v>
      </c>
      <c r="O1091" s="1"/>
      <c r="P1091" s="1"/>
      <c r="Q1091" s="1" t="n">
        <v>76354</v>
      </c>
      <c r="R1091" s="1" t="n">
        <v>0</v>
      </c>
      <c r="S1091" s="1"/>
      <c r="T1091" s="1" t="n">
        <v>11</v>
      </c>
      <c r="U1091" s="1" t="n">
        <v>100</v>
      </c>
      <c r="V1091" s="1" t="n">
        <v>111</v>
      </c>
      <c r="W1091" s="1"/>
      <c r="Y1091" s="1" t="n">
        <v>24</v>
      </c>
      <c r="Z1091" s="0" t="s">
        <v>175</v>
      </c>
      <c r="AA1091" s="0" t="s">
        <v>187</v>
      </c>
      <c r="AH1091" s="0" t="s">
        <v>180</v>
      </c>
      <c r="AJ1091" s="0" t="s">
        <v>437</v>
      </c>
      <c r="AK1091" s="0" t="s">
        <v>94</v>
      </c>
      <c r="AM1091" s="0" t="s">
        <v>96</v>
      </c>
      <c r="AX1091" s="0" t="s">
        <v>107</v>
      </c>
      <c r="AZ1091" s="0" t="s">
        <v>109</v>
      </c>
    </row>
    <row r="1092">
      <c r="B1092" s="0" t="s">
        <v>2993</v>
      </c>
      <c r="C1092" s="1" t="n">
        <v>352339</v>
      </c>
      <c r="E1092" s="14" t="s">
        <v>2994</v>
      </c>
      <c r="F1092" s="14" t="s">
        <v>184</v>
      </c>
      <c r="G1092" s="25" t="str">
        <f>HYPERLINK("http://vk.com/wall-206214408_165065?reply=165891")</f>
      </c>
      <c r="H1092" s="14" t="s">
        <v>170</v>
      </c>
      <c r="I1092" s="14" t="s">
        <v>231</v>
      </c>
      <c r="J1092" s="14" t="s">
        <v>2944</v>
      </c>
      <c r="K1092" s="26" t="str">
        <f>HYPERLINK("http://vk.com/id785219250")</f>
      </c>
      <c r="L1092" s="14" t="s">
        <v>173</v>
      </c>
      <c r="M1092" s="14" t="s">
        <v>2995</v>
      </c>
      <c r="N1092" s="25" t="str">
        <f>HYPERLINK("http://vk.com/club206214408")</f>
      </c>
      <c r="O1092" s="1" t="s">
        <v>186</v>
      </c>
      <c r="P1092" s="1" t="n">
        <v>35</v>
      </c>
      <c r="Q1092" s="1" t="n">
        <v>12207</v>
      </c>
      <c r="R1092" s="1" t="n">
        <v>0</v>
      </c>
      <c r="S1092" s="1"/>
      <c r="T1092" s="1" t="n">
        <v>0</v>
      </c>
      <c r="U1092" s="1" t="n">
        <v>0</v>
      </c>
      <c r="V1092" s="1" t="n">
        <v>0</v>
      </c>
      <c r="W1092" s="1"/>
      <c r="Y1092" s="1" t="n">
        <v>1</v>
      </c>
      <c r="Z1092" s="0" t="s">
        <v>319</v>
      </c>
      <c r="AA1092" s="0" t="s">
        <v>292</v>
      </c>
      <c r="AH1092" s="0" t="s">
        <v>180</v>
      </c>
      <c r="AI1092" s="0" t="s">
        <v>92</v>
      </c>
      <c r="AJ1092" s="0" t="s">
        <v>437</v>
      </c>
      <c r="AN1092" s="0" t="s">
        <v>97</v>
      </c>
      <c r="AO1092" s="0" t="s">
        <v>98</v>
      </c>
      <c r="AS1092" s="0" t="s">
        <v>102</v>
      </c>
      <c r="AY1092" s="0" t="s">
        <v>108</v>
      </c>
      <c r="BM1092" s="0" t="s">
        <v>122</v>
      </c>
      <c r="BT1092" s="0" t="s">
        <v>129</v>
      </c>
      <c r="CC1092" s="0" t="s">
        <v>138</v>
      </c>
    </row>
    <row r="1093">
      <c r="B1093" s="0" t="s">
        <v>2996</v>
      </c>
      <c r="C1093" s="1" t="n">
        <v>352974</v>
      </c>
      <c r="E1093" s="14" t="s">
        <v>2997</v>
      </c>
      <c r="F1093" s="14" t="s">
        <v>2998</v>
      </c>
      <c r="G1093" s="25" t="str">
        <f>HYPERLINK("http://www.facebook.com/1173481785/posts/10227230549127552?comment_id=1203276090549898")</f>
      </c>
      <c r="H1093" s="14" t="s">
        <v>170</v>
      </c>
      <c r="I1093" s="14" t="s">
        <v>231</v>
      </c>
      <c r="J1093" s="14" t="s">
        <v>2999</v>
      </c>
      <c r="K1093" s="26" t="str">
        <f>HYPERLINK("http://www.facebook.com/100000413421162")</f>
      </c>
      <c r="L1093" s="14" t="s">
        <v>173</v>
      </c>
      <c r="M1093" s="14" t="s">
        <v>3000</v>
      </c>
      <c r="N1093" s="25" t="str">
        <f>HYPERLINK("http://www.facebook.com/1173481785")</f>
      </c>
      <c r="O1093" s="1" t="s">
        <v>186</v>
      </c>
      <c r="P1093" s="1"/>
      <c r="Q1093" s="1" t="n">
        <v>476</v>
      </c>
      <c r="R1093" s="1" t="n">
        <v>0</v>
      </c>
      <c r="S1093" s="1"/>
      <c r="T1093" s="1" t="n">
        <v>0</v>
      </c>
      <c r="U1093" s="1" t="n">
        <v>0</v>
      </c>
      <c r="V1093" s="1" t="n">
        <v>0</v>
      </c>
      <c r="W1093" s="1"/>
      <c r="Y1093" s="1" t="n">
        <v>1</v>
      </c>
      <c r="Z1093" s="0" t="s">
        <v>319</v>
      </c>
      <c r="AA1093" s="0" t="s">
        <v>187</v>
      </c>
      <c r="AH1093" s="0" t="s">
        <v>180</v>
      </c>
      <c r="AI1093" s="0" t="s">
        <v>92</v>
      </c>
      <c r="AJ1093" s="0" t="s">
        <v>437</v>
      </c>
      <c r="AK1093" s="0" t="s">
        <v>94</v>
      </c>
      <c r="AL1093" s="0" t="s">
        <v>95</v>
      </c>
      <c r="AN1093" s="0" t="s">
        <v>97</v>
      </c>
      <c r="AX1093" s="0" t="s">
        <v>107</v>
      </c>
      <c r="BE1093" s="0" t="s">
        <v>114</v>
      </c>
      <c r="BG1093" s="0" t="s">
        <v>116</v>
      </c>
    </row>
    <row r="1094" ht="24.75">
      <c r="B1094" s="0" t="s">
        <v>2996</v>
      </c>
      <c r="C1094" s="1" t="n">
        <v>352740</v>
      </c>
      <c r="E1094" s="14" t="s">
        <v>1102</v>
      </c>
      <c r="F1094" s="14" t="s">
        <v>169</v>
      </c>
      <c r="G1094" s="25" t="str">
        <f>HYPERLINK("http://www.ok.ru/profile/513088821194/statuses/155846042020810")</f>
      </c>
      <c r="H1094" s="14" t="s">
        <v>170</v>
      </c>
      <c r="I1094" s="14" t="s">
        <v>171</v>
      </c>
      <c r="J1094" s="14" t="s">
        <v>3001</v>
      </c>
      <c r="K1094" s="26" t="str">
        <f>HYPERLINK("http://www.ok.ru/profile/513088821194")</f>
      </c>
      <c r="L1094" s="14" t="s">
        <v>173</v>
      </c>
      <c r="O1094" s="1" t="s">
        <v>186</v>
      </c>
      <c r="P1094" s="1"/>
      <c r="Q1094" s="1" t="n">
        <v>58</v>
      </c>
      <c r="R1094" s="1" t="n">
        <v>0</v>
      </c>
      <c r="S1094" s="1"/>
      <c r="T1094" s="1" t="n">
        <v>0</v>
      </c>
      <c r="U1094" s="1" t="n">
        <v>0</v>
      </c>
      <c r="V1094" s="1" t="n">
        <v>0</v>
      </c>
      <c r="W1094" s="1"/>
      <c r="Y1094" s="1" t="n">
        <v>93</v>
      </c>
      <c r="Z1094" s="0" t="s">
        <v>175</v>
      </c>
      <c r="AA1094" s="0" t="s">
        <v>187</v>
      </c>
      <c r="AC1094" s="0" t="s">
        <v>177</v>
      </c>
      <c r="AD1094" s="0" t="s">
        <v>760</v>
      </c>
      <c r="AE1094" s="0" t="s">
        <v>761</v>
      </c>
      <c r="AH1094" s="0" t="s">
        <v>180</v>
      </c>
      <c r="AJ1094" s="0" t="s">
        <v>437</v>
      </c>
      <c r="AK1094" s="0" t="s">
        <v>94</v>
      </c>
      <c r="AL1094" s="0" t="s">
        <v>95</v>
      </c>
      <c r="AM1094" s="0" t="s">
        <v>96</v>
      </c>
      <c r="AU1094" s="0" t="s">
        <v>104</v>
      </c>
      <c r="AV1094" s="0" t="s">
        <v>105</v>
      </c>
    </row>
    <row r="1095">
      <c r="B1095" s="0" t="s">
        <v>3002</v>
      </c>
      <c r="C1095" s="1" t="n">
        <v>352351</v>
      </c>
      <c r="E1095" s="14" t="s">
        <v>3003</v>
      </c>
      <c r="F1095" s="14" t="s">
        <v>3004</v>
      </c>
      <c r="G1095" s="25" t="str">
        <f>HYPERLINK("https://panorama.pub/news/sud-smozet-arestovyvat-podozrevaemyh-cerez#comment-37496")</f>
      </c>
      <c r="H1095" s="14" t="s">
        <v>317</v>
      </c>
      <c r="I1095" s="14" t="s">
        <v>231</v>
      </c>
      <c r="J1095" s="14" t="s">
        <v>3005</v>
      </c>
      <c r="L1095" s="14"/>
      <c r="M1095" s="14" t="s">
        <v>3004</v>
      </c>
      <c r="O1095" s="1"/>
      <c r="P1095" s="1"/>
      <c r="Q1095" s="1"/>
      <c r="R1095" s="1" t="n">
        <v>0</v>
      </c>
      <c r="S1095" s="1"/>
      <c r="T1095" s="1" t="n">
        <v>0</v>
      </c>
      <c r="U1095" s="1" t="n">
        <v>0</v>
      </c>
      <c r="V1095" s="1" t="n">
        <v>0</v>
      </c>
      <c r="W1095" s="1"/>
      <c r="Y1095" s="1" t="n">
        <v>2</v>
      </c>
      <c r="Z1095" s="0" t="s">
        <v>463</v>
      </c>
      <c r="AA1095" s="0" t="s">
        <v>187</v>
      </c>
      <c r="AH1095" s="0" t="s">
        <v>180</v>
      </c>
      <c r="AI1095" s="0" t="s">
        <v>92</v>
      </c>
      <c r="AJ1095" s="0" t="s">
        <v>437</v>
      </c>
      <c r="AK1095" s="0" t="s">
        <v>94</v>
      </c>
      <c r="AL1095" s="0" t="s">
        <v>95</v>
      </c>
      <c r="AN1095" s="0" t="s">
        <v>97</v>
      </c>
      <c r="AR1095" s="0" t="s">
        <v>101</v>
      </c>
      <c r="CK1095" s="0" t="s">
        <v>146</v>
      </c>
    </row>
    <row r="1096">
      <c r="B1096" s="0" t="s">
        <v>3002</v>
      </c>
      <c r="C1096" s="1" t="n">
        <v>352337</v>
      </c>
      <c r="E1096" s="14" t="s">
        <v>3003</v>
      </c>
      <c r="F1096" s="14" t="s">
        <v>192</v>
      </c>
      <c r="G1096" s="25" t="str">
        <f>HYPERLINK("https://telegram.me/ia_panorama/15145?comment=165137")</f>
      </c>
      <c r="H1096" s="14" t="s">
        <v>193</v>
      </c>
      <c r="I1096" s="14" t="s">
        <v>231</v>
      </c>
      <c r="J1096" s="14" t="s">
        <v>3006</v>
      </c>
      <c r="K1096" s="26" t="str">
        <f>HYPERLINK("https://telegram.me/")</f>
      </c>
      <c r="L1096" s="14" t="s">
        <v>173</v>
      </c>
      <c r="M1096" s="14" t="s">
        <v>3007</v>
      </c>
      <c r="N1096" s="25" t="str">
        <f>HYPERLINK("https://telegram.me/ia_panorama")</f>
      </c>
      <c r="O1096" s="1"/>
      <c r="P1096" s="1"/>
      <c r="Q1096" s="1" t="n">
        <v>69465</v>
      </c>
      <c r="R1096" s="1" t="n">
        <v>0</v>
      </c>
      <c r="S1096" s="1"/>
      <c r="T1096" s="1" t="n">
        <v>0</v>
      </c>
      <c r="U1096" s="1" t="n">
        <v>0</v>
      </c>
      <c r="V1096" s="1" t="n">
        <v>0</v>
      </c>
      <c r="W1096" s="1"/>
      <c r="Y1096" s="1" t="n">
        <v>2</v>
      </c>
      <c r="Z1096" s="0" t="s">
        <v>175</v>
      </c>
      <c r="AA1096" s="0" t="s">
        <v>187</v>
      </c>
      <c r="AH1096" s="0" t="s">
        <v>180</v>
      </c>
      <c r="AI1096" s="0" t="s">
        <v>92</v>
      </c>
      <c r="AJ1096" s="0" t="s">
        <v>437</v>
      </c>
      <c r="AK1096" s="0" t="s">
        <v>94</v>
      </c>
      <c r="AN1096" s="0" t="s">
        <v>97</v>
      </c>
      <c r="AR1096" s="0" t="s">
        <v>101</v>
      </c>
      <c r="AT1096" s="0" t="s">
        <v>103</v>
      </c>
      <c r="AZ1096" s="0" t="s">
        <v>109</v>
      </c>
    </row>
    <row r="1097">
      <c r="B1097" s="0" t="s">
        <v>3008</v>
      </c>
      <c r="C1097" s="1" t="n">
        <v>352423</v>
      </c>
      <c r="D1097" s="0" t="s">
        <v>1177</v>
      </c>
      <c r="E1097" s="14" t="s">
        <v>3009</v>
      </c>
      <c r="F1097" s="14" t="s">
        <v>263</v>
      </c>
      <c r="G1097" s="25" t="str">
        <f>HYPERLINK("https://www.baby.ru/blogs/post/2611452164-2278440064/")</f>
      </c>
      <c r="H1097" s="14" t="s">
        <v>264</v>
      </c>
      <c r="I1097" s="14" t="s">
        <v>231</v>
      </c>
      <c r="J1097" s="14" t="s">
        <v>2798</v>
      </c>
      <c r="K1097" s="26" t="str">
        <f>HYPERLINK("https://www.baby.ru/u/usr2601479/")</f>
      </c>
      <c r="L1097" s="14"/>
      <c r="M1097" s="14" t="s">
        <v>1180</v>
      </c>
      <c r="N1097" s="25" t="str">
        <f>HYPERLINK("https://www.baby.ru/u/usr2113670/")</f>
      </c>
      <c r="O1097" s="1"/>
      <c r="P1097" s="1"/>
      <c r="Q1097" s="1"/>
      <c r="R1097" s="1" t="n">
        <v>0</v>
      </c>
      <c r="S1097" s="1"/>
      <c r="T1097" s="1" t="n">
        <v>0</v>
      </c>
      <c r="U1097" s="1" t="n">
        <v>0</v>
      </c>
      <c r="V1097" s="1" t="n">
        <v>0</v>
      </c>
      <c r="W1097" s="1"/>
      <c r="Y1097" s="1" t="n">
        <v>1</v>
      </c>
      <c r="Z1097" s="0" t="s">
        <v>319</v>
      </c>
      <c r="AA1097" s="0" t="s">
        <v>292</v>
      </c>
      <c r="AC1097" s="0" t="s">
        <v>177</v>
      </c>
      <c r="AD1097" s="0" t="s">
        <v>332</v>
      </c>
      <c r="AE1097" s="0" t="s">
        <v>332</v>
      </c>
      <c r="AH1097" s="0" t="s">
        <v>180</v>
      </c>
      <c r="AI1097" s="0" t="s">
        <v>92</v>
      </c>
      <c r="AJ1097" s="0" t="s">
        <v>437</v>
      </c>
      <c r="AN1097" s="0" t="s">
        <v>97</v>
      </c>
      <c r="AY1097" s="0" t="s">
        <v>108</v>
      </c>
      <c r="BS1097" s="0" t="s">
        <v>128</v>
      </c>
    </row>
    <row r="1098">
      <c r="B1098" s="0" t="s">
        <v>3010</v>
      </c>
      <c r="C1098" s="1" t="n">
        <v>352321</v>
      </c>
      <c r="E1098" s="14" t="s">
        <v>3011</v>
      </c>
      <c r="F1098" s="14" t="s">
        <v>184</v>
      </c>
      <c r="G1098" s="25" t="str">
        <f>HYPERLINK("http://vk.com/wall-172880205_272485?reply=272698")</f>
      </c>
      <c r="H1098" s="14" t="s">
        <v>170</v>
      </c>
      <c r="I1098" s="14" t="s">
        <v>231</v>
      </c>
      <c r="J1098" s="14" t="s">
        <v>3012</v>
      </c>
      <c r="K1098" s="26" t="str">
        <f>HYPERLINK("http://vk.com/id793759114")</f>
      </c>
      <c r="L1098" s="14" t="s">
        <v>173</v>
      </c>
      <c r="M1098" s="14" t="s">
        <v>3013</v>
      </c>
      <c r="N1098" s="25" t="str">
        <f>HYPERLINK("http://vk.com/club172880205")</f>
      </c>
      <c r="O1098" s="1" t="s">
        <v>186</v>
      </c>
      <c r="P1098" s="1" t="n">
        <v>22</v>
      </c>
      <c r="Q1098" s="1" t="n">
        <v>29391</v>
      </c>
      <c r="R1098" s="1" t="n">
        <v>0</v>
      </c>
      <c r="S1098" s="1"/>
      <c r="T1098" s="1" t="n">
        <v>0</v>
      </c>
      <c r="U1098" s="1" t="n">
        <v>0</v>
      </c>
      <c r="V1098" s="1" t="n">
        <v>0</v>
      </c>
      <c r="W1098" s="1"/>
      <c r="Y1098" s="1" t="n">
        <v>1</v>
      </c>
      <c r="Z1098" s="0" t="s">
        <v>319</v>
      </c>
      <c r="AA1098" s="0" t="s">
        <v>292</v>
      </c>
      <c r="AH1098" s="0" t="s">
        <v>180</v>
      </c>
      <c r="AI1098" s="0" t="s">
        <v>92</v>
      </c>
      <c r="AJ1098" s="0" t="s">
        <v>437</v>
      </c>
      <c r="AN1098" s="0" t="s">
        <v>97</v>
      </c>
      <c r="AO1098" s="0" t="s">
        <v>98</v>
      </c>
      <c r="AS1098" s="0" t="s">
        <v>102</v>
      </c>
      <c r="AY1098" s="0" t="s">
        <v>108</v>
      </c>
      <c r="BG1098" s="0" t="s">
        <v>116</v>
      </c>
      <c r="BT1098" s="0" t="s">
        <v>129</v>
      </c>
      <c r="CC1098" s="0" t="s">
        <v>138</v>
      </c>
      <c r="CS1098" s="0" t="s">
        <v>154</v>
      </c>
    </row>
    <row r="1099" ht="24.75">
      <c r="B1099" s="0" t="s">
        <v>3014</v>
      </c>
      <c r="C1099" s="1" t="n">
        <v>352444</v>
      </c>
      <c r="E1099" s="14" t="s">
        <v>554</v>
      </c>
      <c r="F1099" s="14" t="s">
        <v>169</v>
      </c>
      <c r="G1099" s="25" t="str">
        <f>HYPERLINK("http://www.ok.ru/profile/570716786834/statuses/155936808936850")</f>
      </c>
      <c r="H1099" s="14" t="s">
        <v>170</v>
      </c>
      <c r="I1099" s="14" t="s">
        <v>171</v>
      </c>
      <c r="J1099" s="14" t="s">
        <v>3015</v>
      </c>
      <c r="K1099" s="26" t="str">
        <f>HYPERLINK("http://www.ok.ru/profile/570716786834")</f>
      </c>
      <c r="L1099" s="14" t="s">
        <v>173</v>
      </c>
      <c r="O1099" s="1" t="s">
        <v>186</v>
      </c>
      <c r="P1099" s="1"/>
      <c r="Q1099" s="1" t="n">
        <v>289</v>
      </c>
      <c r="R1099" s="1" t="n">
        <v>0</v>
      </c>
      <c r="S1099" s="1"/>
      <c r="T1099" s="1" t="n">
        <v>0</v>
      </c>
      <c r="U1099" s="1" t="n">
        <v>1</v>
      </c>
      <c r="V1099" s="1" t="n">
        <v>1</v>
      </c>
      <c r="W1099" s="1"/>
      <c r="Y1099" s="1" t="n">
        <v>59</v>
      </c>
      <c r="Z1099" s="0" t="s">
        <v>175</v>
      </c>
      <c r="AA1099" s="0" t="s">
        <v>176</v>
      </c>
      <c r="AC1099" s="0" t="s">
        <v>177</v>
      </c>
      <c r="AD1099" s="0" t="s">
        <v>1058</v>
      </c>
      <c r="AE1099" s="0" t="s">
        <v>3016</v>
      </c>
      <c r="AH1099" s="0" t="s">
        <v>180</v>
      </c>
      <c r="AJ1099" s="0" t="s">
        <v>437</v>
      </c>
      <c r="AK1099" s="0" t="s">
        <v>94</v>
      </c>
      <c r="AM1099" s="0" t="s">
        <v>96</v>
      </c>
      <c r="AO1099" s="0" t="s">
        <v>98</v>
      </c>
      <c r="AQ1099" s="0" t="s">
        <v>100</v>
      </c>
      <c r="AZ1099" s="0" t="s">
        <v>109</v>
      </c>
    </row>
    <row r="1100">
      <c r="B1100" s="0" t="s">
        <v>3014</v>
      </c>
      <c r="C1100" s="1" t="n">
        <v>352324</v>
      </c>
      <c r="E1100" s="14" t="s">
        <v>3017</v>
      </c>
      <c r="F1100" s="14" t="s">
        <v>184</v>
      </c>
      <c r="G1100" s="25" t="str">
        <f>HYPERLINK("http://vk.com/wall-204242132_10674?reply=10683")</f>
      </c>
      <c r="H1100" s="14" t="s">
        <v>170</v>
      </c>
      <c r="I1100" s="14" t="s">
        <v>231</v>
      </c>
      <c r="J1100" s="14" t="s">
        <v>3018</v>
      </c>
      <c r="K1100" s="26" t="str">
        <f>HYPERLINK("http://vk.com/id276606411")</f>
      </c>
      <c r="L1100" s="14" t="s">
        <v>173</v>
      </c>
      <c r="M1100" s="14" t="s">
        <v>3019</v>
      </c>
      <c r="N1100" s="25" t="str">
        <f>HYPERLINK("http://vk.com/club204242132")</f>
      </c>
      <c r="O1100" s="1" t="s">
        <v>186</v>
      </c>
      <c r="P1100" s="1"/>
      <c r="Q1100" s="1" t="n">
        <v>386</v>
      </c>
      <c r="R1100" s="1" t="n">
        <v>0</v>
      </c>
      <c r="S1100" s="1"/>
      <c r="T1100" s="1" t="n">
        <v>0</v>
      </c>
      <c r="U1100" s="1" t="n">
        <v>0</v>
      </c>
      <c r="V1100" s="1" t="n">
        <v>0</v>
      </c>
      <c r="W1100" s="1"/>
      <c r="Y1100" s="1" t="n">
        <v>1</v>
      </c>
      <c r="Z1100" s="0" t="s">
        <v>175</v>
      </c>
      <c r="AA1100" s="0" t="s">
        <v>187</v>
      </c>
      <c r="AC1100" s="0" t="s">
        <v>177</v>
      </c>
      <c r="AD1100" s="0" t="s">
        <v>561</v>
      </c>
      <c r="AE1100" s="0" t="s">
        <v>562</v>
      </c>
      <c r="AH1100" s="0" t="s">
        <v>180</v>
      </c>
      <c r="AI1100" s="0" t="s">
        <v>92</v>
      </c>
      <c r="AJ1100" s="0" t="s">
        <v>437</v>
      </c>
      <c r="AK1100" s="0" t="s">
        <v>94</v>
      </c>
      <c r="AT1100" s="0" t="s">
        <v>103</v>
      </c>
      <c r="AZ1100" s="0" t="s">
        <v>109</v>
      </c>
      <c r="BJ1100" s="0" t="s">
        <v>119</v>
      </c>
    </row>
    <row r="1101" ht="24.75">
      <c r="B1101" s="0" t="s">
        <v>3014</v>
      </c>
      <c r="C1101" s="1" t="n">
        <v>352414</v>
      </c>
      <c r="E1101" s="14" t="s">
        <v>440</v>
      </c>
      <c r="F1101" s="14" t="s">
        <v>169</v>
      </c>
      <c r="G1101" s="25" t="str">
        <f>HYPERLINK("http://www.ok.ru/profile/345961585880/statuses/155637522161880")</f>
      </c>
      <c r="H1101" s="14" t="s">
        <v>170</v>
      </c>
      <c r="I1101" s="14" t="s">
        <v>171</v>
      </c>
      <c r="J1101" s="14" t="s">
        <v>3020</v>
      </c>
      <c r="K1101" s="26" t="str">
        <f>HYPERLINK("http://www.ok.ru/profile/345961585880")</f>
      </c>
      <c r="L1101" s="14" t="s">
        <v>173</v>
      </c>
      <c r="O1101" s="1" t="s">
        <v>186</v>
      </c>
      <c r="P1101" s="1" t="n">
        <v>64</v>
      </c>
      <c r="Q1101" s="1" t="n">
        <v>1346</v>
      </c>
      <c r="R1101" s="1" t="n">
        <v>0</v>
      </c>
      <c r="S1101" s="1"/>
      <c r="T1101" s="1" t="n">
        <v>1</v>
      </c>
      <c r="U1101" s="1" t="n">
        <v>4</v>
      </c>
      <c r="V1101" s="1" t="n">
        <v>5</v>
      </c>
      <c r="W1101" s="1"/>
      <c r="Y1101" s="1" t="n">
        <v>17</v>
      </c>
      <c r="Z1101" s="0" t="s">
        <v>175</v>
      </c>
      <c r="AA1101" s="0" t="s">
        <v>176</v>
      </c>
      <c r="AC1101" s="0" t="s">
        <v>177</v>
      </c>
      <c r="AD1101" s="0" t="s">
        <v>719</v>
      </c>
      <c r="AE1101" s="0" t="s">
        <v>3021</v>
      </c>
      <c r="AH1101" s="0" t="s">
        <v>180</v>
      </c>
      <c r="AJ1101" s="0" t="s">
        <v>437</v>
      </c>
      <c r="AK1101" s="0" t="s">
        <v>94</v>
      </c>
      <c r="AM1101" s="0" t="s">
        <v>96</v>
      </c>
      <c r="AO1101" s="0" t="s">
        <v>98</v>
      </c>
      <c r="AQ1101" s="0" t="s">
        <v>100</v>
      </c>
      <c r="AZ1101" s="0" t="s">
        <v>109</v>
      </c>
    </row>
    <row r="1102" ht="156.75">
      <c r="B1102" s="0" t="s">
        <v>3014</v>
      </c>
      <c r="C1102" s="1" t="n">
        <v>352408</v>
      </c>
      <c r="E1102" s="14" t="s">
        <v>3022</v>
      </c>
      <c r="F1102" s="14" t="s">
        <v>184</v>
      </c>
      <c r="G1102" s="25" t="str">
        <f>HYPERLINK("http://vk.com/wall-23327897_40503")</f>
      </c>
      <c r="H1102" s="14" t="s">
        <v>170</v>
      </c>
      <c r="I1102" s="14" t="s">
        <v>194</v>
      </c>
      <c r="J1102" s="14" t="s">
        <v>3023</v>
      </c>
      <c r="K1102" s="26" t="str">
        <f>HYPERLINK("http://vk.com/club23327897")</f>
      </c>
      <c r="L1102" s="14" t="s">
        <v>274</v>
      </c>
      <c r="O1102" s="1"/>
      <c r="P1102" s="1"/>
      <c r="Q1102" s="1" t="n">
        <v>53294</v>
      </c>
      <c r="R1102" s="1" t="n">
        <v>0</v>
      </c>
      <c r="S1102" s="1"/>
      <c r="T1102" s="1" t="n">
        <v>0</v>
      </c>
      <c r="U1102" s="1" t="n">
        <v>1</v>
      </c>
      <c r="V1102" s="1" t="n">
        <v>1</v>
      </c>
      <c r="W1102" s="1" t="n">
        <v>180</v>
      </c>
      <c r="Y1102" s="1" t="n">
        <v>1</v>
      </c>
      <c r="Z1102" s="0" t="s">
        <v>175</v>
      </c>
      <c r="AA1102" s="0" t="s">
        <v>187</v>
      </c>
      <c r="AC1102" s="0" t="s">
        <v>177</v>
      </c>
      <c r="AH1102" s="0" t="s">
        <v>180</v>
      </c>
      <c r="AJ1102" s="0" t="s">
        <v>437</v>
      </c>
      <c r="AK1102" s="0" t="s">
        <v>94</v>
      </c>
      <c r="AN1102" s="0" t="s">
        <v>97</v>
      </c>
      <c r="AS1102" s="0" t="s">
        <v>102</v>
      </c>
      <c r="AT1102" s="0" t="s">
        <v>103</v>
      </c>
      <c r="AZ1102" s="0" t="s">
        <v>109</v>
      </c>
      <c r="BK1102" s="0" t="s">
        <v>120</v>
      </c>
      <c r="BN1102" s="0" t="s">
        <v>123</v>
      </c>
    </row>
    <row r="1103" ht="24.75">
      <c r="B1103" s="0" t="s">
        <v>3024</v>
      </c>
      <c r="C1103" s="1" t="n">
        <v>352625</v>
      </c>
      <c r="E1103" s="14" t="s">
        <v>1632</v>
      </c>
      <c r="F1103" s="14" t="s">
        <v>169</v>
      </c>
      <c r="G1103" s="25" t="str">
        <f>HYPERLINK("http://www.ok.ru/profile/447550221043/statuses/156226344646899")</f>
      </c>
      <c r="H1103" s="14" t="s">
        <v>170</v>
      </c>
      <c r="I1103" s="14" t="s">
        <v>171</v>
      </c>
      <c r="J1103" s="14" t="s">
        <v>3025</v>
      </c>
      <c r="K1103" s="26" t="str">
        <f>HYPERLINK("http://www.ok.ru/profile/447550221043")</f>
      </c>
      <c r="L1103" s="14" t="s">
        <v>173</v>
      </c>
      <c r="O1103" s="1" t="s">
        <v>186</v>
      </c>
      <c r="P1103" s="1" t="n">
        <v>69</v>
      </c>
      <c r="Q1103" s="1" t="n">
        <v>99</v>
      </c>
      <c r="R1103" s="1" t="n">
        <v>0</v>
      </c>
      <c r="S1103" s="1"/>
      <c r="T1103" s="1" t="n">
        <v>0</v>
      </c>
      <c r="U1103" s="1" t="n">
        <v>0</v>
      </c>
      <c r="V1103" s="1" t="n">
        <v>0</v>
      </c>
      <c r="W1103" s="1"/>
      <c r="Y1103" s="1" t="n">
        <v>10</v>
      </c>
      <c r="Z1103" s="0" t="s">
        <v>175</v>
      </c>
      <c r="AA1103" s="0" t="s">
        <v>176</v>
      </c>
      <c r="AC1103" s="0" t="s">
        <v>177</v>
      </c>
      <c r="AD1103" s="0" t="s">
        <v>1778</v>
      </c>
      <c r="AE1103" s="0" t="s">
        <v>1779</v>
      </c>
      <c r="AH1103" s="0" t="s">
        <v>180</v>
      </c>
      <c r="AJ1103" s="0" t="s">
        <v>437</v>
      </c>
      <c r="AK1103" s="0" t="s">
        <v>94</v>
      </c>
      <c r="AL1103" s="0" t="s">
        <v>95</v>
      </c>
      <c r="AM1103" s="0" t="s">
        <v>96</v>
      </c>
      <c r="AO1103" s="0" t="s">
        <v>98</v>
      </c>
      <c r="AQ1103" s="0" t="s">
        <v>100</v>
      </c>
    </row>
    <row r="1104" ht="36.75">
      <c r="B1104" s="0" t="s">
        <v>3026</v>
      </c>
      <c r="C1104" s="1" t="n">
        <v>352402</v>
      </c>
      <c r="E1104" s="14" t="s">
        <v>202</v>
      </c>
      <c r="F1104" s="14" t="s">
        <v>184</v>
      </c>
      <c r="G1104" s="25" t="str">
        <f>HYPERLINK("http://vk.com/wall588144209_974")</f>
      </c>
      <c r="H1104" s="14" t="s">
        <v>170</v>
      </c>
      <c r="I1104" s="14" t="s">
        <v>171</v>
      </c>
      <c r="J1104" s="14" t="s">
        <v>3027</v>
      </c>
      <c r="K1104" s="26" t="str">
        <f>HYPERLINK("http://vk.com/id588144209")</f>
      </c>
      <c r="L1104" s="14" t="s">
        <v>173</v>
      </c>
      <c r="O1104" s="1" t="s">
        <v>186</v>
      </c>
      <c r="P1104" s="1" t="n">
        <v>69</v>
      </c>
      <c r="Q1104" s="1" t="n">
        <v>24</v>
      </c>
      <c r="R1104" s="1" t="n">
        <v>0</v>
      </c>
      <c r="S1104" s="1"/>
      <c r="T1104" s="1" t="n">
        <v>0</v>
      </c>
      <c r="U1104" s="1" t="n">
        <v>0</v>
      </c>
      <c r="V1104" s="1" t="n">
        <v>0</v>
      </c>
      <c r="W1104" s="1" t="n">
        <v>1</v>
      </c>
      <c r="Y1104" s="1" t="n">
        <v>61</v>
      </c>
      <c r="Z1104" s="0" t="s">
        <v>175</v>
      </c>
      <c r="AA1104" s="0" t="s">
        <v>176</v>
      </c>
      <c r="AH1104" s="0" t="s">
        <v>180</v>
      </c>
      <c r="AJ1104" s="0" t="s">
        <v>437</v>
      </c>
      <c r="AK1104" s="0" t="s">
        <v>94</v>
      </c>
      <c r="AM1104" s="0" t="s">
        <v>96</v>
      </c>
      <c r="AO1104" s="0" t="s">
        <v>98</v>
      </c>
      <c r="AQ1104" s="0" t="s">
        <v>100</v>
      </c>
      <c r="AZ1104" s="0" t="s">
        <v>109</v>
      </c>
    </row>
    <row r="1105" ht="24.75">
      <c r="B1105" s="0" t="s">
        <v>3028</v>
      </c>
      <c r="C1105" s="1" t="n">
        <v>352798</v>
      </c>
      <c r="E1105" s="14" t="s">
        <v>1102</v>
      </c>
      <c r="F1105" s="14" t="s">
        <v>169</v>
      </c>
      <c r="G1105" s="25" t="str">
        <f>HYPERLINK("http://www.ok.ru/profile/560490753893/statuses/155183110577509")</f>
      </c>
      <c r="H1105" s="14" t="s">
        <v>170</v>
      </c>
      <c r="I1105" s="14" t="s">
        <v>171</v>
      </c>
      <c r="J1105" s="14" t="s">
        <v>3029</v>
      </c>
      <c r="K1105" s="26" t="str">
        <f>HYPERLINK("http://www.ok.ru/profile/560490753893")</f>
      </c>
      <c r="L1105" s="14" t="s">
        <v>173</v>
      </c>
      <c r="O1105" s="1" t="s">
        <v>186</v>
      </c>
      <c r="P1105" s="1" t="n">
        <v>74</v>
      </c>
      <c r="Q1105" s="1" t="n">
        <v>273</v>
      </c>
      <c r="R1105" s="1" t="n">
        <v>0</v>
      </c>
      <c r="S1105" s="1"/>
      <c r="T1105" s="1" t="n">
        <v>0</v>
      </c>
      <c r="U1105" s="1" t="n">
        <v>0</v>
      </c>
      <c r="V1105" s="1" t="n">
        <v>0</v>
      </c>
      <c r="W1105" s="1"/>
      <c r="Y1105" s="1" t="n">
        <v>93</v>
      </c>
      <c r="Z1105" s="0" t="s">
        <v>175</v>
      </c>
      <c r="AA1105" s="0" t="s">
        <v>187</v>
      </c>
      <c r="AC1105" s="0" t="s">
        <v>177</v>
      </c>
      <c r="AD1105" s="0" t="s">
        <v>427</v>
      </c>
      <c r="AE1105" s="0" t="s">
        <v>2822</v>
      </c>
      <c r="AH1105" s="0" t="s">
        <v>180</v>
      </c>
      <c r="AJ1105" s="0" t="s">
        <v>437</v>
      </c>
      <c r="AK1105" s="0" t="s">
        <v>94</v>
      </c>
      <c r="AL1105" s="0" t="s">
        <v>95</v>
      </c>
      <c r="AM1105" s="0" t="s">
        <v>96</v>
      </c>
      <c r="AU1105" s="0" t="s">
        <v>104</v>
      </c>
      <c r="AV1105" s="0" t="s">
        <v>105</v>
      </c>
    </row>
    <row r="1106" ht="24.75">
      <c r="B1106" s="0" t="s">
        <v>3030</v>
      </c>
      <c r="C1106" s="1" t="n">
        <v>352389</v>
      </c>
      <c r="E1106" s="14" t="s">
        <v>3031</v>
      </c>
      <c r="F1106" s="14" t="s">
        <v>184</v>
      </c>
      <c r="G1106" s="25" t="str">
        <f>HYPERLINK("http://vk.com/wall525757428_601")</f>
      </c>
      <c r="H1106" s="14" t="s">
        <v>170</v>
      </c>
      <c r="I1106" s="14" t="s">
        <v>171</v>
      </c>
      <c r="J1106" s="14" t="s">
        <v>3032</v>
      </c>
      <c r="K1106" s="26" t="str">
        <f>HYPERLINK("http://vk.com/id525757428")</f>
      </c>
      <c r="L1106" s="14" t="s">
        <v>173</v>
      </c>
      <c r="O1106" s="1" t="s">
        <v>186</v>
      </c>
      <c r="P1106" s="1" t="n">
        <v>26</v>
      </c>
      <c r="Q1106" s="1" t="n">
        <v>2</v>
      </c>
      <c r="R1106" s="1" t="n">
        <v>0</v>
      </c>
      <c r="S1106" s="1"/>
      <c r="T1106" s="1" t="n">
        <v>0</v>
      </c>
      <c r="U1106" s="1" t="n">
        <v>0</v>
      </c>
      <c r="V1106" s="1" t="n">
        <v>0</v>
      </c>
      <c r="W1106" s="1"/>
      <c r="Y1106" s="1" t="n">
        <v>1</v>
      </c>
      <c r="Z1106" s="0" t="s">
        <v>175</v>
      </c>
      <c r="AA1106" s="0" t="s">
        <v>176</v>
      </c>
      <c r="AH1106" s="0" t="s">
        <v>180</v>
      </c>
      <c r="AJ1106" s="0" t="s">
        <v>437</v>
      </c>
      <c r="AK1106" s="0" t="s">
        <v>94</v>
      </c>
      <c r="AM1106" s="0" t="s">
        <v>96</v>
      </c>
      <c r="AO1106" s="0" t="s">
        <v>98</v>
      </c>
      <c r="AQ1106" s="0" t="s">
        <v>100</v>
      </c>
      <c r="AZ1106" s="0" t="s">
        <v>109</v>
      </c>
    </row>
    <row r="1107" ht="36.75">
      <c r="B1107" s="0" t="s">
        <v>3033</v>
      </c>
      <c r="C1107" s="1" t="n">
        <v>353056</v>
      </c>
      <c r="E1107" s="14" t="s">
        <v>1189</v>
      </c>
      <c r="F1107" s="14" t="s">
        <v>169</v>
      </c>
      <c r="G1107" s="25" t="str">
        <f>HYPERLINK("http://www.ok.ru/profile/500103441107/statuses/156200083319763")</f>
      </c>
      <c r="H1107" s="14" t="s">
        <v>170</v>
      </c>
      <c r="I1107" s="14" t="s">
        <v>171</v>
      </c>
      <c r="J1107" s="14" t="s">
        <v>3034</v>
      </c>
      <c r="K1107" s="26" t="str">
        <f>HYPERLINK("http://www.ok.ru/profile/500103441107")</f>
      </c>
      <c r="L1107" s="14" t="s">
        <v>173</v>
      </c>
      <c r="O1107" s="1" t="s">
        <v>186</v>
      </c>
      <c r="P1107" s="1" t="n">
        <v>67</v>
      </c>
      <c r="Q1107" s="1" t="n">
        <v>110</v>
      </c>
      <c r="R1107" s="1" t="n">
        <v>0</v>
      </c>
      <c r="S1107" s="1"/>
      <c r="T1107" s="1" t="n">
        <v>0</v>
      </c>
      <c r="U1107" s="1" t="n">
        <v>0</v>
      </c>
      <c r="V1107" s="1" t="n">
        <v>0</v>
      </c>
      <c r="W1107" s="1"/>
      <c r="Y1107" s="1" t="n">
        <v>46</v>
      </c>
      <c r="Z1107" s="0" t="s">
        <v>175</v>
      </c>
      <c r="AA1107" s="0" t="s">
        <v>187</v>
      </c>
      <c r="AC1107" s="0" t="s">
        <v>177</v>
      </c>
      <c r="AD1107" s="0" t="s">
        <v>760</v>
      </c>
      <c r="AE1107" s="0" t="s">
        <v>761</v>
      </c>
      <c r="AH1107" s="0" t="s">
        <v>180</v>
      </c>
      <c r="AJ1107" s="0" t="s">
        <v>437</v>
      </c>
      <c r="AK1107" s="0" t="s">
        <v>94</v>
      </c>
      <c r="AL1107" s="0" t="s">
        <v>95</v>
      </c>
      <c r="AM1107" s="0" t="s">
        <v>96</v>
      </c>
      <c r="AO1107" s="0" t="s">
        <v>98</v>
      </c>
      <c r="AQ1107" s="0" t="s">
        <v>100</v>
      </c>
    </row>
    <row r="1108" ht="24.75">
      <c r="B1108" s="0" t="s">
        <v>3035</v>
      </c>
      <c r="C1108" s="1" t="n">
        <v>352376</v>
      </c>
      <c r="E1108" s="14" t="s">
        <v>296</v>
      </c>
      <c r="F1108" s="14" t="s">
        <v>184</v>
      </c>
      <c r="G1108" s="25" t="str">
        <f>HYPERLINK("http://vk.com/wall166718517_1077")</f>
      </c>
      <c r="H1108" s="14" t="s">
        <v>170</v>
      </c>
      <c r="I1108" s="14" t="s">
        <v>171</v>
      </c>
      <c r="J1108" s="14" t="s">
        <v>3036</v>
      </c>
      <c r="K1108" s="26" t="str">
        <f>HYPERLINK("http://vk.com/id166718517")</f>
      </c>
      <c r="L1108" s="14" t="s">
        <v>173</v>
      </c>
      <c r="O1108" s="1" t="s">
        <v>186</v>
      </c>
      <c r="P1108" s="1"/>
      <c r="Q1108" s="1" t="n">
        <v>32</v>
      </c>
      <c r="R1108" s="1" t="n">
        <v>0</v>
      </c>
      <c r="S1108" s="1"/>
      <c r="T1108" s="1" t="n">
        <v>0</v>
      </c>
      <c r="U1108" s="1" t="n">
        <v>0</v>
      </c>
      <c r="V1108" s="1" t="n">
        <v>0</v>
      </c>
      <c r="W1108" s="1"/>
      <c r="Y1108" s="1" t="n">
        <v>93</v>
      </c>
      <c r="Z1108" s="0" t="s">
        <v>175</v>
      </c>
      <c r="AA1108" s="0" t="s">
        <v>187</v>
      </c>
      <c r="AC1108" s="0" t="s">
        <v>177</v>
      </c>
      <c r="AH1108" s="0" t="s">
        <v>180</v>
      </c>
      <c r="AJ1108" s="0" t="s">
        <v>437</v>
      </c>
      <c r="AK1108" s="0" t="s">
        <v>94</v>
      </c>
      <c r="AM1108" s="0" t="s">
        <v>96</v>
      </c>
      <c r="AU1108" s="0" t="s">
        <v>104</v>
      </c>
      <c r="AV1108" s="0" t="s">
        <v>105</v>
      </c>
      <c r="AZ1108" s="0" t="s">
        <v>109</v>
      </c>
    </row>
    <row r="1109">
      <c r="B1109" s="0" t="s">
        <v>3035</v>
      </c>
      <c r="C1109" s="1" t="n">
        <v>352307</v>
      </c>
      <c r="E1109" s="14" t="s">
        <v>3037</v>
      </c>
      <c r="F1109" s="14" t="s">
        <v>184</v>
      </c>
      <c r="G1109" s="25" t="str">
        <f>HYPERLINK("http://vk.com/wall-162424850_543650?reply=543666")</f>
      </c>
      <c r="H1109" s="14" t="s">
        <v>170</v>
      </c>
      <c r="I1109" s="14" t="s">
        <v>231</v>
      </c>
      <c r="J1109" s="14" t="s">
        <v>3038</v>
      </c>
      <c r="K1109" s="26" t="str">
        <f>HYPERLINK("http://vk.com/id555331154")</f>
      </c>
      <c r="L1109" s="14" t="s">
        <v>173</v>
      </c>
      <c r="M1109" s="14" t="s">
        <v>325</v>
      </c>
      <c r="N1109" s="25" t="str">
        <f>HYPERLINK("http://vk.com/club162424850")</f>
      </c>
      <c r="O1109" s="1" t="s">
        <v>186</v>
      </c>
      <c r="P1109" s="1" t="n">
        <v>43</v>
      </c>
      <c r="Q1109" s="1" t="n">
        <v>17360</v>
      </c>
      <c r="R1109" s="1" t="n">
        <v>0</v>
      </c>
      <c r="S1109" s="1"/>
      <c r="T1109" s="1" t="n">
        <v>0</v>
      </c>
      <c r="U1109" s="1" t="n">
        <v>0</v>
      </c>
      <c r="V1109" s="1" t="n">
        <v>0</v>
      </c>
      <c r="W1109" s="1"/>
      <c r="Y1109" s="1" t="n">
        <v>1</v>
      </c>
      <c r="Z1109" s="0" t="s">
        <v>319</v>
      </c>
      <c r="AA1109" s="0" t="s">
        <v>187</v>
      </c>
      <c r="AH1109" s="0" t="s">
        <v>180</v>
      </c>
      <c r="AI1109" s="0" t="s">
        <v>92</v>
      </c>
      <c r="AJ1109" s="0" t="s">
        <v>437</v>
      </c>
      <c r="AK1109" s="0" t="s">
        <v>94</v>
      </c>
      <c r="AN1109" s="0" t="s">
        <v>97</v>
      </c>
      <c r="AZ1109" s="0" t="s">
        <v>109</v>
      </c>
      <c r="BE1109" s="0" t="s">
        <v>114</v>
      </c>
      <c r="BJ1109" s="0" t="s">
        <v>119</v>
      </c>
    </row>
    <row r="1110" ht="1248.75">
      <c r="B1110" s="0" t="s">
        <v>3039</v>
      </c>
      <c r="C1110" s="1" t="n">
        <v>352411</v>
      </c>
      <c r="E1110" s="14" t="s">
        <v>1253</v>
      </c>
      <c r="F1110" s="14" t="s">
        <v>169</v>
      </c>
      <c r="G1110" s="25" t="str">
        <f>HYPERLINK("http://www.ok.ru/profile/337914891964/statuses/155061702178236")</f>
      </c>
      <c r="H1110" s="14" t="s">
        <v>170</v>
      </c>
      <c r="I1110" s="14" t="s">
        <v>171</v>
      </c>
      <c r="J1110" s="14" t="s">
        <v>3040</v>
      </c>
      <c r="K1110" s="26" t="str">
        <f>HYPERLINK("http://www.ok.ru/profile/337914891964")</f>
      </c>
      <c r="L1110" s="14" t="s">
        <v>173</v>
      </c>
      <c r="O1110" s="1" t="s">
        <v>186</v>
      </c>
      <c r="P1110" s="1" t="n">
        <v>62</v>
      </c>
      <c r="Q1110" s="1" t="n">
        <v>1009</v>
      </c>
      <c r="R1110" s="1" t="n">
        <v>0</v>
      </c>
      <c r="S1110" s="1"/>
      <c r="T1110" s="1" t="n">
        <v>0</v>
      </c>
      <c r="U1110" s="1" t="n">
        <v>4</v>
      </c>
      <c r="V1110" s="1" t="n">
        <v>4</v>
      </c>
      <c r="W1110" s="1"/>
      <c r="Y1110" s="1" t="n">
        <v>5</v>
      </c>
      <c r="Z1110" s="0" t="s">
        <v>175</v>
      </c>
      <c r="AA1110" s="0" t="s">
        <v>187</v>
      </c>
      <c r="AC1110" s="0" t="s">
        <v>177</v>
      </c>
      <c r="AD1110" s="0" t="s">
        <v>1385</v>
      </c>
      <c r="AE1110" s="0" t="s">
        <v>3041</v>
      </c>
      <c r="AH1110" s="0" t="s">
        <v>180</v>
      </c>
      <c r="AJ1110" s="0" t="s">
        <v>437</v>
      </c>
      <c r="AK1110" s="0" t="s">
        <v>94</v>
      </c>
      <c r="AM1110" s="0" t="s">
        <v>96</v>
      </c>
      <c r="AX1110" s="0" t="s">
        <v>107</v>
      </c>
      <c r="AZ1110" s="0" t="s">
        <v>109</v>
      </c>
    </row>
    <row r="1111" ht="852.75">
      <c r="B1111" s="0" t="s">
        <v>3042</v>
      </c>
      <c r="C1111" s="1" t="n">
        <v>352300</v>
      </c>
      <c r="E1111" s="14" t="s">
        <v>865</v>
      </c>
      <c r="F1111" s="14" t="s">
        <v>184</v>
      </c>
      <c r="G1111" s="25" t="str">
        <f>HYPERLINK("http://vk.com/wall-66420111_792613?reply=794243")</f>
      </c>
      <c r="H1111" s="14" t="s">
        <v>170</v>
      </c>
      <c r="I1111" s="14" t="s">
        <v>231</v>
      </c>
      <c r="J1111" s="14" t="s">
        <v>3043</v>
      </c>
      <c r="K1111" s="26" t="str">
        <f>HYPERLINK("http://vk.com/id63919480")</f>
      </c>
      <c r="L1111" s="14" t="s">
        <v>173</v>
      </c>
      <c r="M1111" s="14" t="s">
        <v>3044</v>
      </c>
      <c r="N1111" s="25" t="str">
        <f>HYPERLINK("http://vk.com/club66420111")</f>
      </c>
      <c r="O1111" s="1" t="s">
        <v>186</v>
      </c>
      <c r="P1111" s="1"/>
      <c r="Q1111" s="1" t="n">
        <v>1427763</v>
      </c>
      <c r="R1111" s="1" t="n">
        <v>0</v>
      </c>
      <c r="S1111" s="1"/>
      <c r="T1111" s="1" t="n">
        <v>0</v>
      </c>
      <c r="U1111" s="1" t="n">
        <v>0</v>
      </c>
      <c r="V1111" s="1" t="n">
        <v>0</v>
      </c>
      <c r="W1111" s="1"/>
      <c r="Y1111" s="1" t="n">
        <v>4</v>
      </c>
      <c r="Z1111" s="0" t="s">
        <v>175</v>
      </c>
      <c r="AA1111" s="0" t="s">
        <v>176</v>
      </c>
      <c r="AC1111" s="0" t="s">
        <v>177</v>
      </c>
      <c r="AD1111" s="0" t="s">
        <v>1526</v>
      </c>
      <c r="AE1111" s="0" t="s">
        <v>1527</v>
      </c>
      <c r="AH1111" s="0" t="s">
        <v>180</v>
      </c>
      <c r="AJ1111" s="0" t="s">
        <v>437</v>
      </c>
      <c r="AK1111" s="0" t="s">
        <v>94</v>
      </c>
      <c r="AR1111" s="0" t="s">
        <v>101</v>
      </c>
      <c r="AZ1111" s="0" t="s">
        <v>109</v>
      </c>
      <c r="BA1111" s="0" t="s">
        <v>110</v>
      </c>
      <c r="BF1111" s="0" t="s">
        <v>115</v>
      </c>
    </row>
    <row r="1112">
      <c r="B1112" s="0" t="s">
        <v>3042</v>
      </c>
      <c r="C1112" s="1" t="n">
        <v>352306</v>
      </c>
      <c r="E1112" s="14" t="s">
        <v>3045</v>
      </c>
      <c r="F1112" s="14" t="s">
        <v>184</v>
      </c>
      <c r="G1112" s="25" t="str">
        <f>HYPERLINK("http://vk.com/wall-107912187_1346349?reply=1348091")</f>
      </c>
      <c r="H1112" s="14" t="s">
        <v>170</v>
      </c>
      <c r="I1112" s="14" t="s">
        <v>231</v>
      </c>
      <c r="J1112" s="14" t="s">
        <v>2937</v>
      </c>
      <c r="K1112" s="26" t="str">
        <f>HYPERLINK("http://vk.com/id793510155")</f>
      </c>
      <c r="L1112" s="14" t="s">
        <v>173</v>
      </c>
      <c r="M1112" s="14" t="s">
        <v>3046</v>
      </c>
      <c r="N1112" s="25" t="str">
        <f>HYPERLINK("http://vk.com/club107912187")</f>
      </c>
      <c r="O1112" s="1" t="s">
        <v>186</v>
      </c>
      <c r="P1112" s="1" t="n">
        <v>32</v>
      </c>
      <c r="Q1112" s="1" t="n">
        <v>32218</v>
      </c>
      <c r="R1112" s="1" t="n">
        <v>0</v>
      </c>
      <c r="S1112" s="1"/>
      <c r="T1112" s="1" t="n">
        <v>0</v>
      </c>
      <c r="U1112" s="1" t="n">
        <v>0</v>
      </c>
      <c r="V1112" s="1" t="n">
        <v>0</v>
      </c>
      <c r="W1112" s="1"/>
      <c r="Y1112" s="1" t="n">
        <v>1</v>
      </c>
      <c r="Z1112" s="0" t="s">
        <v>319</v>
      </c>
      <c r="AA1112" s="0" t="s">
        <v>292</v>
      </c>
      <c r="AH1112" s="0" t="s">
        <v>180</v>
      </c>
      <c r="AJ1112" s="0" t="s">
        <v>437</v>
      </c>
      <c r="AN1112" s="0" t="s">
        <v>97</v>
      </c>
      <c r="AS1112" s="0" t="s">
        <v>102</v>
      </c>
      <c r="AY1112" s="0" t="s">
        <v>108</v>
      </c>
      <c r="BS1112" s="0" t="s">
        <v>128</v>
      </c>
    </row>
    <row r="1113">
      <c r="B1113" s="0" t="s">
        <v>3047</v>
      </c>
      <c r="C1113" s="1" t="n">
        <v>352686</v>
      </c>
      <c r="E1113" s="14" t="s">
        <v>3048</v>
      </c>
      <c r="F1113" s="14" t="s">
        <v>375</v>
      </c>
      <c r="G1113" s="25" t="str">
        <f>HYPERLINK("https://www.babyblog.ru/community/diseases/post/3125065")</f>
      </c>
      <c r="H1113" s="14" t="s">
        <v>376</v>
      </c>
      <c r="I1113" s="14" t="s">
        <v>231</v>
      </c>
      <c r="J1113" s="14" t="s">
        <v>3049</v>
      </c>
      <c r="L1113" s="14"/>
      <c r="M1113" s="14" t="s">
        <v>378</v>
      </c>
      <c r="O1113" s="1"/>
      <c r="P1113" s="1"/>
      <c r="Q1113" s="1"/>
      <c r="R1113" s="1" t="n">
        <v>0</v>
      </c>
      <c r="S1113" s="1"/>
      <c r="T1113" s="1" t="n">
        <v>0</v>
      </c>
      <c r="U1113" s="1" t="n">
        <v>0</v>
      </c>
      <c r="V1113" s="1" t="n">
        <v>0</v>
      </c>
      <c r="W1113" s="1"/>
      <c r="Y1113" s="1" t="n">
        <v>1</v>
      </c>
      <c r="Z1113" s="0" t="s">
        <v>175</v>
      </c>
      <c r="AA1113" s="0" t="s">
        <v>187</v>
      </c>
      <c r="AH1113" s="0" t="s">
        <v>180</v>
      </c>
      <c r="AJ1113" s="0" t="s">
        <v>437</v>
      </c>
      <c r="AK1113" s="0" t="s">
        <v>94</v>
      </c>
      <c r="AL1113" s="0" t="s">
        <v>95</v>
      </c>
      <c r="AN1113" s="0" t="s">
        <v>97</v>
      </c>
      <c r="AS1113" s="0" t="s">
        <v>102</v>
      </c>
      <c r="BB1113" s="0" t="s">
        <v>111</v>
      </c>
      <c r="BC1113" s="0" t="s">
        <v>112</v>
      </c>
      <c r="BO1113" s="0" t="s">
        <v>124</v>
      </c>
    </row>
    <row r="1114" ht="24.75">
      <c r="B1114" s="0" t="s">
        <v>3047</v>
      </c>
      <c r="C1114" s="1" t="n">
        <v>352715</v>
      </c>
      <c r="E1114" s="14" t="s">
        <v>440</v>
      </c>
      <c r="F1114" s="14" t="s">
        <v>169</v>
      </c>
      <c r="G1114" s="25" t="str">
        <f>HYPERLINK("http://www.ok.ru/profile/563354369960/statuses/156116972974248")</f>
      </c>
      <c r="H1114" s="14" t="s">
        <v>170</v>
      </c>
      <c r="I1114" s="14" t="s">
        <v>171</v>
      </c>
      <c r="J1114" s="14" t="s">
        <v>3050</v>
      </c>
      <c r="K1114" s="26" t="str">
        <f>HYPERLINK("http://www.ok.ru/profile/563354369960")</f>
      </c>
      <c r="L1114" s="14" t="s">
        <v>173</v>
      </c>
      <c r="O1114" s="1" t="s">
        <v>186</v>
      </c>
      <c r="P1114" s="1"/>
      <c r="Q1114" s="1" t="n">
        <v>194</v>
      </c>
      <c r="R1114" s="1" t="n">
        <v>0</v>
      </c>
      <c r="S1114" s="1"/>
      <c r="T1114" s="1" t="n">
        <v>2</v>
      </c>
      <c r="U1114" s="1" t="n">
        <v>4</v>
      </c>
      <c r="V1114" s="1" t="n">
        <v>6</v>
      </c>
      <c r="W1114" s="1"/>
      <c r="Y1114" s="1" t="n">
        <v>17</v>
      </c>
      <c r="Z1114" s="0" t="s">
        <v>175</v>
      </c>
      <c r="AA1114" s="0" t="s">
        <v>176</v>
      </c>
      <c r="AC1114" s="0" t="s">
        <v>177</v>
      </c>
      <c r="AD1114" s="0" t="s">
        <v>681</v>
      </c>
      <c r="AE1114" s="0" t="s">
        <v>682</v>
      </c>
      <c r="AH1114" s="0" t="s">
        <v>180</v>
      </c>
      <c r="AJ1114" s="0" t="s">
        <v>437</v>
      </c>
      <c r="AK1114" s="0" t="s">
        <v>94</v>
      </c>
      <c r="AL1114" s="0" t="s">
        <v>95</v>
      </c>
      <c r="AM1114" s="0" t="s">
        <v>96</v>
      </c>
      <c r="AO1114" s="0" t="s">
        <v>98</v>
      </c>
      <c r="AQ1114" s="0" t="s">
        <v>100</v>
      </c>
    </row>
    <row r="1115" ht="108.75">
      <c r="B1115" s="0" t="s">
        <v>3047</v>
      </c>
      <c r="C1115" s="1" t="n">
        <v>352367</v>
      </c>
      <c r="E1115" s="14" t="s">
        <v>2607</v>
      </c>
      <c r="F1115" s="14" t="s">
        <v>184</v>
      </c>
      <c r="G1115" s="25" t="str">
        <f>HYPERLINK("http://vk.com/wall511017964_2674")</f>
      </c>
      <c r="H1115" s="14" t="s">
        <v>170</v>
      </c>
      <c r="I1115" s="14" t="s">
        <v>171</v>
      </c>
      <c r="J1115" s="14" t="s">
        <v>3051</v>
      </c>
      <c r="K1115" s="26" t="str">
        <f>HYPERLINK("http://vk.com/id511017964")</f>
      </c>
      <c r="L1115" s="14" t="s">
        <v>173</v>
      </c>
      <c r="O1115" s="1" t="s">
        <v>186</v>
      </c>
      <c r="P1115" s="1" t="n">
        <v>67</v>
      </c>
      <c r="Q1115" s="1" t="n">
        <v>25</v>
      </c>
      <c r="R1115" s="1" t="n">
        <v>0</v>
      </c>
      <c r="S1115" s="1"/>
      <c r="T1115" s="1" t="n">
        <v>0</v>
      </c>
      <c r="U1115" s="1" t="n">
        <v>0</v>
      </c>
      <c r="V1115" s="1" t="n">
        <v>0</v>
      </c>
      <c r="W1115" s="1"/>
      <c r="Y1115" s="1" t="n">
        <v>3</v>
      </c>
      <c r="Z1115" s="0" t="s">
        <v>175</v>
      </c>
      <c r="AA1115" s="0" t="s">
        <v>187</v>
      </c>
      <c r="AH1115" s="0" t="s">
        <v>180</v>
      </c>
      <c r="AJ1115" s="0" t="s">
        <v>437</v>
      </c>
      <c r="AK1115" s="0" t="s">
        <v>94</v>
      </c>
      <c r="AU1115" s="0" t="s">
        <v>104</v>
      </c>
      <c r="AZ1115" s="0" t="s">
        <v>109</v>
      </c>
      <c r="BA1115" s="0" t="s">
        <v>110</v>
      </c>
      <c r="BJ1115" s="0" t="s">
        <v>119</v>
      </c>
    </row>
    <row r="1116">
      <c r="B1116" s="0" t="s">
        <v>3052</v>
      </c>
      <c r="C1116" s="1" t="n">
        <v>352299</v>
      </c>
      <c r="E1116" s="14" t="s">
        <v>3053</v>
      </c>
      <c r="F1116" s="14" t="s">
        <v>184</v>
      </c>
      <c r="G1116" s="25" t="str">
        <f>HYPERLINK("http://vk.com/wall-126272719_685358")</f>
      </c>
      <c r="H1116" s="14" t="s">
        <v>170</v>
      </c>
      <c r="I1116" s="14" t="s">
        <v>194</v>
      </c>
      <c r="J1116" s="14" t="s">
        <v>3054</v>
      </c>
      <c r="K1116" s="26" t="str">
        <f>HYPERLINK("http://vk.com/id595781259")</f>
      </c>
      <c r="L1116" s="14" t="s">
        <v>173</v>
      </c>
      <c r="M1116" s="14" t="s">
        <v>3055</v>
      </c>
      <c r="N1116" s="25" t="str">
        <f>HYPERLINK("http://vk.com/club126272719")</f>
      </c>
      <c r="O1116" s="1" t="s">
        <v>186</v>
      </c>
      <c r="P1116" s="1" t="n">
        <v>26</v>
      </c>
      <c r="Q1116" s="1" t="n">
        <v>24869</v>
      </c>
      <c r="R1116" s="1" t="n">
        <v>0</v>
      </c>
      <c r="S1116" s="1"/>
      <c r="T1116" s="1" t="n">
        <v>0</v>
      </c>
      <c r="U1116" s="1" t="n">
        <v>1</v>
      </c>
      <c r="V1116" s="1" t="n">
        <v>1</v>
      </c>
      <c r="W1116" s="1"/>
      <c r="Y1116" s="1" t="n">
        <v>1</v>
      </c>
      <c r="Z1116" s="0" t="s">
        <v>175</v>
      </c>
      <c r="AA1116" s="0" t="s">
        <v>187</v>
      </c>
      <c r="AC1116" s="0" t="s">
        <v>177</v>
      </c>
      <c r="AD1116" s="0" t="s">
        <v>464</v>
      </c>
      <c r="AE1116" s="0" t="s">
        <v>1975</v>
      </c>
      <c r="AH1116" s="0" t="s">
        <v>180</v>
      </c>
      <c r="AJ1116" s="0" t="s">
        <v>437</v>
      </c>
      <c r="AK1116" s="0" t="s">
        <v>94</v>
      </c>
      <c r="AT1116" s="0" t="s">
        <v>103</v>
      </c>
      <c r="AZ1116" s="0" t="s">
        <v>109</v>
      </c>
      <c r="BB1116" s="0" t="s">
        <v>111</v>
      </c>
      <c r="BI1116" s="0" t="s">
        <v>118</v>
      </c>
      <c r="BV1116" s="0" t="s">
        <v>131</v>
      </c>
    </row>
    <row r="1117" ht="1212.75">
      <c r="B1117" s="0" t="s">
        <v>3052</v>
      </c>
      <c r="C1117" s="1" t="n">
        <v>352373</v>
      </c>
      <c r="E1117" s="14" t="s">
        <v>683</v>
      </c>
      <c r="F1117" s="14" t="s">
        <v>184</v>
      </c>
      <c r="G1117" s="25" t="str">
        <f>HYPERLINK("http://vk.com/wall21474245_6643")</f>
      </c>
      <c r="H1117" s="14" t="s">
        <v>170</v>
      </c>
      <c r="I1117" s="14" t="s">
        <v>171</v>
      </c>
      <c r="J1117" s="14" t="s">
        <v>3056</v>
      </c>
      <c r="K1117" s="26" t="str">
        <f>HYPERLINK("http://vk.com/id21474245")</f>
      </c>
      <c r="L1117" s="14" t="s">
        <v>173</v>
      </c>
      <c r="O1117" s="1" t="s">
        <v>186</v>
      </c>
      <c r="P1117" s="1" t="n">
        <v>43</v>
      </c>
      <c r="Q1117" s="1" t="n">
        <v>975</v>
      </c>
      <c r="R1117" s="1" t="n">
        <v>0</v>
      </c>
      <c r="S1117" s="1"/>
      <c r="T1117" s="1" t="n">
        <v>0</v>
      </c>
      <c r="U1117" s="1" t="n">
        <v>0</v>
      </c>
      <c r="V1117" s="1" t="n">
        <v>0</v>
      </c>
      <c r="W1117" s="1" t="n">
        <v>1</v>
      </c>
      <c r="Y1117" s="1" t="n">
        <v>22</v>
      </c>
      <c r="Z1117" s="0" t="s">
        <v>175</v>
      </c>
      <c r="AA1117" s="0" t="s">
        <v>187</v>
      </c>
      <c r="AC1117" s="0" t="s">
        <v>177</v>
      </c>
      <c r="AD1117" s="0" t="s">
        <v>681</v>
      </c>
      <c r="AE1117" s="0" t="s">
        <v>682</v>
      </c>
      <c r="AH1117" s="0" t="s">
        <v>180</v>
      </c>
      <c r="AJ1117" s="0" t="s">
        <v>437</v>
      </c>
      <c r="AK1117" s="0" t="s">
        <v>94</v>
      </c>
      <c r="AM1117" s="0" t="s">
        <v>96</v>
      </c>
      <c r="AU1117" s="0" t="s">
        <v>104</v>
      </c>
      <c r="AV1117" s="0" t="s">
        <v>105</v>
      </c>
      <c r="AX1117" s="0" t="s">
        <v>107</v>
      </c>
      <c r="AZ1117" s="0" t="s">
        <v>109</v>
      </c>
    </row>
    <row r="1118">
      <c r="B1118" s="0" t="s">
        <v>3052</v>
      </c>
      <c r="C1118" s="1" t="n">
        <v>352292</v>
      </c>
      <c r="E1118" s="14" t="s">
        <v>3057</v>
      </c>
      <c r="F1118" s="14" t="s">
        <v>184</v>
      </c>
      <c r="G1118" s="25" t="str">
        <f>HYPERLINK("http://vk.com/wall-87598739_813314?reply=817022")</f>
      </c>
      <c r="H1118" s="14" t="s">
        <v>170</v>
      </c>
      <c r="I1118" s="14" t="s">
        <v>231</v>
      </c>
      <c r="J1118" s="14" t="s">
        <v>2937</v>
      </c>
      <c r="K1118" s="26" t="str">
        <f>HYPERLINK("http://vk.com/id793510155")</f>
      </c>
      <c r="L1118" s="14" t="s">
        <v>173</v>
      </c>
      <c r="M1118" s="14" t="s">
        <v>331</v>
      </c>
      <c r="N1118" s="25" t="str">
        <f>HYPERLINK("http://vk.com/club87598739")</f>
      </c>
      <c r="O1118" s="1" t="s">
        <v>186</v>
      </c>
      <c r="P1118" s="1" t="n">
        <v>32</v>
      </c>
      <c r="Q1118" s="1" t="n">
        <v>36757</v>
      </c>
      <c r="R1118" s="1" t="n">
        <v>0</v>
      </c>
      <c r="S1118" s="1"/>
      <c r="T1118" s="1" t="n">
        <v>0</v>
      </c>
      <c r="U1118" s="1" t="n">
        <v>0</v>
      </c>
      <c r="V1118" s="1" t="n">
        <v>0</v>
      </c>
      <c r="W1118" s="1"/>
      <c r="Y1118" s="1" t="n">
        <v>1</v>
      </c>
      <c r="Z1118" s="0" t="s">
        <v>319</v>
      </c>
      <c r="AA1118" s="0" t="s">
        <v>292</v>
      </c>
      <c r="AH1118" s="0" t="s">
        <v>180</v>
      </c>
      <c r="AI1118" s="0" t="s">
        <v>92</v>
      </c>
      <c r="AJ1118" s="0" t="s">
        <v>437</v>
      </c>
      <c r="AS1118" s="0" t="s">
        <v>102</v>
      </c>
      <c r="AY1118" s="0" t="s">
        <v>108</v>
      </c>
      <c r="BS1118" s="0" t="s">
        <v>128</v>
      </c>
    </row>
    <row r="1119" ht="36.75">
      <c r="B1119" s="0" t="s">
        <v>3052</v>
      </c>
      <c r="C1119" s="1" t="n">
        <v>352665</v>
      </c>
      <c r="E1119" s="14" t="s">
        <v>1189</v>
      </c>
      <c r="F1119" s="14" t="s">
        <v>169</v>
      </c>
      <c r="G1119" s="25" t="str">
        <f>HYPERLINK("http://www.ok.ru/profile/554874050915/statuses/155651261884515")</f>
      </c>
      <c r="H1119" s="14" t="s">
        <v>170</v>
      </c>
      <c r="I1119" s="14" t="s">
        <v>171</v>
      </c>
      <c r="J1119" s="14" t="s">
        <v>3058</v>
      </c>
      <c r="K1119" s="26" t="str">
        <f>HYPERLINK("http://www.ok.ru/profile/554874050915")</f>
      </c>
      <c r="L1119" s="14" t="s">
        <v>173</v>
      </c>
      <c r="O1119" s="1" t="s">
        <v>186</v>
      </c>
      <c r="P1119" s="1"/>
      <c r="Q1119" s="1" t="n">
        <v>436</v>
      </c>
      <c r="R1119" s="1" t="n">
        <v>0</v>
      </c>
      <c r="S1119" s="1"/>
      <c r="T1119" s="1" t="n">
        <v>0</v>
      </c>
      <c r="U1119" s="1" t="n">
        <v>1</v>
      </c>
      <c r="V1119" s="1" t="n">
        <v>1</v>
      </c>
      <c r="W1119" s="1"/>
      <c r="Y1119" s="1" t="n">
        <v>46</v>
      </c>
      <c r="Z1119" s="0" t="s">
        <v>175</v>
      </c>
      <c r="AA1119" s="0" t="s">
        <v>187</v>
      </c>
      <c r="AC1119" s="0" t="s">
        <v>177</v>
      </c>
      <c r="AD1119" s="0" t="s">
        <v>2476</v>
      </c>
      <c r="AE1119" s="0" t="s">
        <v>2655</v>
      </c>
      <c r="AH1119" s="0" t="s">
        <v>180</v>
      </c>
      <c r="AJ1119" s="0" t="s">
        <v>437</v>
      </c>
      <c r="AK1119" s="0" t="s">
        <v>94</v>
      </c>
      <c r="AL1119" s="0" t="s">
        <v>95</v>
      </c>
      <c r="AM1119" s="0" t="s">
        <v>96</v>
      </c>
      <c r="AO1119" s="0" t="s">
        <v>98</v>
      </c>
      <c r="AQ1119" s="0" t="s">
        <v>100</v>
      </c>
    </row>
    <row r="1120" ht="24.75">
      <c r="B1120" s="0" t="s">
        <v>3059</v>
      </c>
      <c r="C1120" s="1" t="n">
        <v>352789</v>
      </c>
      <c r="E1120" s="14" t="s">
        <v>1102</v>
      </c>
      <c r="F1120" s="14" t="s">
        <v>169</v>
      </c>
      <c r="G1120" s="25" t="str">
        <f>HYPERLINK("http://www.ok.ru/profile/563674773686/statuses/160044059112886")</f>
      </c>
      <c r="H1120" s="14" t="s">
        <v>170</v>
      </c>
      <c r="I1120" s="14" t="s">
        <v>171</v>
      </c>
      <c r="J1120" s="14" t="s">
        <v>3060</v>
      </c>
      <c r="K1120" s="26" t="str">
        <f>HYPERLINK("http://www.ok.ru/profile/563674773686")</f>
      </c>
      <c r="L1120" s="14" t="s">
        <v>173</v>
      </c>
      <c r="O1120" s="1" t="s">
        <v>186</v>
      </c>
      <c r="P1120" s="1"/>
      <c r="Q1120" s="1" t="n">
        <v>338</v>
      </c>
      <c r="R1120" s="1" t="n">
        <v>0</v>
      </c>
      <c r="S1120" s="1"/>
      <c r="T1120" s="1" t="n">
        <v>0</v>
      </c>
      <c r="U1120" s="1" t="n">
        <v>2</v>
      </c>
      <c r="V1120" s="1" t="n">
        <v>2</v>
      </c>
      <c r="W1120" s="1"/>
      <c r="Y1120" s="1" t="n">
        <v>93</v>
      </c>
      <c r="Z1120" s="0" t="s">
        <v>175</v>
      </c>
      <c r="AA1120" s="0" t="s">
        <v>187</v>
      </c>
      <c r="AC1120" s="0" t="s">
        <v>177</v>
      </c>
      <c r="AD1120" s="0" t="s">
        <v>760</v>
      </c>
      <c r="AE1120" s="0" t="s">
        <v>3061</v>
      </c>
      <c r="AH1120" s="0" t="s">
        <v>180</v>
      </c>
      <c r="AJ1120" s="0" t="s">
        <v>437</v>
      </c>
      <c r="AK1120" s="0" t="s">
        <v>94</v>
      </c>
      <c r="AL1120" s="0" t="s">
        <v>95</v>
      </c>
      <c r="AM1120" s="0" t="s">
        <v>96</v>
      </c>
      <c r="AU1120" s="0" t="s">
        <v>104</v>
      </c>
      <c r="AV1120" s="0" t="s">
        <v>105</v>
      </c>
    </row>
    <row r="1121">
      <c r="B1121" s="0" t="s">
        <v>3062</v>
      </c>
      <c r="C1121" s="1" t="n">
        <v>352287</v>
      </c>
      <c r="E1121" s="14" t="s">
        <v>3063</v>
      </c>
      <c r="F1121" s="14" t="s">
        <v>184</v>
      </c>
      <c r="G1121" s="25" t="str">
        <f>HYPERLINK("http://vk.com/wall-172880205_272485?reply=272693")</f>
      </c>
      <c r="H1121" s="14" t="s">
        <v>170</v>
      </c>
      <c r="I1121" s="14" t="s">
        <v>231</v>
      </c>
      <c r="J1121" s="14" t="s">
        <v>2937</v>
      </c>
      <c r="K1121" s="26" t="str">
        <f>HYPERLINK("http://vk.com/id793510155")</f>
      </c>
      <c r="L1121" s="14" t="s">
        <v>173</v>
      </c>
      <c r="M1121" s="14" t="s">
        <v>3013</v>
      </c>
      <c r="N1121" s="25" t="str">
        <f>HYPERLINK("http://vk.com/club172880205")</f>
      </c>
      <c r="O1121" s="1" t="s">
        <v>186</v>
      </c>
      <c r="P1121" s="1" t="n">
        <v>32</v>
      </c>
      <c r="Q1121" s="1" t="n">
        <v>29391</v>
      </c>
      <c r="R1121" s="1" t="n">
        <v>0</v>
      </c>
      <c r="S1121" s="1"/>
      <c r="T1121" s="1" t="n">
        <v>0</v>
      </c>
      <c r="U1121" s="1" t="n">
        <v>0</v>
      </c>
      <c r="V1121" s="1" t="n">
        <v>0</v>
      </c>
      <c r="W1121" s="1"/>
      <c r="Y1121" s="1" t="n">
        <v>1</v>
      </c>
      <c r="Z1121" s="0" t="s">
        <v>319</v>
      </c>
      <c r="AA1121" s="0" t="s">
        <v>292</v>
      </c>
      <c r="AH1121" s="0" t="s">
        <v>180</v>
      </c>
      <c r="AI1121" s="0" t="s">
        <v>92</v>
      </c>
      <c r="AJ1121" s="0" t="s">
        <v>437</v>
      </c>
      <c r="AN1121" s="0" t="s">
        <v>97</v>
      </c>
      <c r="AS1121" s="0" t="s">
        <v>102</v>
      </c>
      <c r="AY1121" s="0" t="s">
        <v>108</v>
      </c>
      <c r="BG1121" s="0" t="s">
        <v>116</v>
      </c>
      <c r="BS1121" s="0" t="s">
        <v>128</v>
      </c>
    </row>
    <row r="1122">
      <c r="B1122" s="0" t="s">
        <v>3064</v>
      </c>
      <c r="C1122" s="1" t="n">
        <v>352284</v>
      </c>
      <c r="E1122" s="14" t="s">
        <v>3065</v>
      </c>
      <c r="F1122" s="14" t="s">
        <v>184</v>
      </c>
      <c r="G1122" s="25" t="str">
        <f>HYPERLINK("http://vk.com/wall-1678339_2239751?reply=2239758")</f>
      </c>
      <c r="H1122" s="14" t="s">
        <v>170</v>
      </c>
      <c r="I1122" s="14" t="s">
        <v>231</v>
      </c>
      <c r="J1122" s="14" t="s">
        <v>3066</v>
      </c>
      <c r="K1122" s="26" t="str">
        <f>HYPERLINK("http://vk.com/id545810130")</f>
      </c>
      <c r="L1122" s="14" t="s">
        <v>173</v>
      </c>
      <c r="M1122" s="14" t="s">
        <v>1674</v>
      </c>
      <c r="N1122" s="25" t="str">
        <f>HYPERLINK("http://vk.com/club1678339")</f>
      </c>
      <c r="O1122" s="1" t="s">
        <v>186</v>
      </c>
      <c r="P1122" s="1" t="n">
        <v>30</v>
      </c>
      <c r="Q1122" s="1" t="n">
        <v>39553</v>
      </c>
      <c r="R1122" s="1" t="n">
        <v>0</v>
      </c>
      <c r="S1122" s="1"/>
      <c r="T1122" s="1" t="n">
        <v>0</v>
      </c>
      <c r="U1122" s="1" t="n">
        <v>0</v>
      </c>
      <c r="V1122" s="1" t="n">
        <v>0</v>
      </c>
      <c r="W1122" s="1"/>
      <c r="Y1122" s="1" t="n">
        <v>1</v>
      </c>
      <c r="Z1122" s="0" t="s">
        <v>463</v>
      </c>
      <c r="AA1122" s="0" t="s">
        <v>187</v>
      </c>
      <c r="AC1122" s="0" t="s">
        <v>177</v>
      </c>
      <c r="AH1122" s="0" t="s">
        <v>180</v>
      </c>
      <c r="AI1122" s="0" t="s">
        <v>92</v>
      </c>
      <c r="AJ1122" s="0" t="s">
        <v>437</v>
      </c>
      <c r="AK1122" s="0" t="s">
        <v>94</v>
      </c>
      <c r="AT1122" s="0" t="s">
        <v>103</v>
      </c>
      <c r="AZ1122" s="0" t="s">
        <v>109</v>
      </c>
      <c r="BB1122" s="0" t="s">
        <v>111</v>
      </c>
      <c r="BC1122" s="0" t="s">
        <v>112</v>
      </c>
      <c r="CB1122" s="0" t="s">
        <v>137</v>
      </c>
      <c r="CE1122" s="0" t="s">
        <v>140</v>
      </c>
      <c r="DE1122" s="0" t="s">
        <v>166</v>
      </c>
    </row>
    <row r="1123">
      <c r="B1123" s="0" t="s">
        <v>3064</v>
      </c>
      <c r="C1123" s="1" t="n">
        <v>354131</v>
      </c>
      <c r="E1123" s="14" t="s">
        <v>3067</v>
      </c>
      <c r="F1123" s="14" t="s">
        <v>1414</v>
      </c>
      <c r="G1123" s="25" t="str">
        <f>HYPERLINK("http://instagram.com/p/Cq5T2ZMLdEn/c/17971705436260068/")</f>
      </c>
      <c r="H1123" s="14" t="s">
        <v>170</v>
      </c>
      <c r="I1123" s="14" t="s">
        <v>231</v>
      </c>
      <c r="J1123" s="14" t="s">
        <v>3068</v>
      </c>
      <c r="K1123" s="26" t="str">
        <f>HYPERLINK("http://instagram.com/sdobnayaplyushka")</f>
      </c>
      <c r="L1123" s="14" t="s">
        <v>173</v>
      </c>
      <c r="M1123" s="14" t="s">
        <v>3069</v>
      </c>
      <c r="N1123" s="25" t="str">
        <f>HYPERLINK("http://instagram.com/ainannet")</f>
      </c>
      <c r="O1123" s="1"/>
      <c r="P1123" s="1"/>
      <c r="Q1123" s="1" t="n">
        <v>171119</v>
      </c>
      <c r="R1123" s="1" t="n">
        <v>0</v>
      </c>
      <c r="S1123" s="1"/>
      <c r="T1123" s="1" t="n">
        <v>0</v>
      </c>
      <c r="U1123" s="1" t="n">
        <v>0</v>
      </c>
      <c r="V1123" s="1" t="n">
        <v>0</v>
      </c>
      <c r="W1123" s="1"/>
      <c r="Y1123" s="1" t="n">
        <v>1</v>
      </c>
      <c r="Z1123" s="0" t="s">
        <v>175</v>
      </c>
      <c r="AA1123" s="0" t="s">
        <v>292</v>
      </c>
      <c r="AH1123" s="0" t="s">
        <v>180</v>
      </c>
      <c r="AI1123" s="0" t="s">
        <v>92</v>
      </c>
      <c r="AJ1123" s="0" t="s">
        <v>181</v>
      </c>
      <c r="AO1123" s="0" t="s">
        <v>98</v>
      </c>
    </row>
    <row r="1124" ht="1212.75">
      <c r="B1124" s="0" t="s">
        <v>3070</v>
      </c>
      <c r="C1124" s="1" t="n">
        <v>352353</v>
      </c>
      <c r="E1124" s="14" t="s">
        <v>683</v>
      </c>
      <c r="F1124" s="14" t="s">
        <v>184</v>
      </c>
      <c r="G1124" s="25" t="str">
        <f>HYPERLINK("http://vk.com/wall279356447_4347")</f>
      </c>
      <c r="H1124" s="14" t="s">
        <v>170</v>
      </c>
      <c r="I1124" s="14" t="s">
        <v>171</v>
      </c>
      <c r="J1124" s="14" t="s">
        <v>3071</v>
      </c>
      <c r="K1124" s="26" t="str">
        <f>HYPERLINK("http://vk.com/id279356447")</f>
      </c>
      <c r="L1124" s="14" t="s">
        <v>173</v>
      </c>
      <c r="O1124" s="1" t="s">
        <v>186</v>
      </c>
      <c r="P1124" s="1"/>
      <c r="Q1124" s="1" t="n">
        <v>177</v>
      </c>
      <c r="R1124" s="1" t="n">
        <v>0</v>
      </c>
      <c r="S1124" s="1"/>
      <c r="T1124" s="1" t="n">
        <v>0</v>
      </c>
      <c r="U1124" s="1" t="n">
        <v>0</v>
      </c>
      <c r="V1124" s="1" t="n">
        <v>0</v>
      </c>
      <c r="W1124" s="1" t="n">
        <v>2</v>
      </c>
      <c r="Y1124" s="1" t="n">
        <v>22</v>
      </c>
      <c r="Z1124" s="0" t="s">
        <v>175</v>
      </c>
      <c r="AA1124" s="0" t="s">
        <v>187</v>
      </c>
      <c r="AC1124" s="0" t="s">
        <v>177</v>
      </c>
      <c r="AH1124" s="0" t="s">
        <v>180</v>
      </c>
      <c r="AJ1124" s="0" t="s">
        <v>437</v>
      </c>
      <c r="AK1124" s="0" t="s">
        <v>94</v>
      </c>
      <c r="AL1124" s="0" t="s">
        <v>95</v>
      </c>
      <c r="AM1124" s="0" t="s">
        <v>96</v>
      </c>
      <c r="AU1124" s="0" t="s">
        <v>104</v>
      </c>
      <c r="AV1124" s="0" t="s">
        <v>105</v>
      </c>
      <c r="AX1124" s="0" t="s">
        <v>107</v>
      </c>
    </row>
    <row r="1125" ht="36.75">
      <c r="B1125" s="0" t="s">
        <v>3070</v>
      </c>
      <c r="C1125" s="1" t="n">
        <v>352862</v>
      </c>
      <c r="E1125" s="14" t="s">
        <v>1189</v>
      </c>
      <c r="F1125" s="14" t="s">
        <v>169</v>
      </c>
      <c r="G1125" s="25" t="str">
        <f>HYPERLINK("http://www.ok.ru/profile/538612803323/statuses/157077253522939")</f>
      </c>
      <c r="H1125" s="14" t="s">
        <v>170</v>
      </c>
      <c r="I1125" s="14" t="s">
        <v>171</v>
      </c>
      <c r="J1125" s="14" t="s">
        <v>3072</v>
      </c>
      <c r="K1125" s="26" t="str">
        <f>HYPERLINK("http://www.ok.ru/profile/538612803323")</f>
      </c>
      <c r="L1125" s="14" t="s">
        <v>173</v>
      </c>
      <c r="O1125" s="1" t="s">
        <v>186</v>
      </c>
      <c r="P1125" s="1" t="n">
        <v>59</v>
      </c>
      <c r="Q1125" s="1" t="n">
        <v>883</v>
      </c>
      <c r="R1125" s="1" t="n">
        <v>0</v>
      </c>
      <c r="S1125" s="1"/>
      <c r="T1125" s="1" t="n">
        <v>2</v>
      </c>
      <c r="U1125" s="1" t="n">
        <v>3</v>
      </c>
      <c r="V1125" s="1" t="n">
        <v>5</v>
      </c>
      <c r="W1125" s="1"/>
      <c r="Y1125" s="1" t="n">
        <v>46</v>
      </c>
      <c r="Z1125" s="0" t="s">
        <v>175</v>
      </c>
      <c r="AA1125" s="0" t="s">
        <v>187</v>
      </c>
      <c r="AC1125" s="0" t="s">
        <v>177</v>
      </c>
      <c r="AD1125" s="0" t="s">
        <v>681</v>
      </c>
      <c r="AE1125" s="0" t="s">
        <v>682</v>
      </c>
      <c r="AH1125" s="0" t="s">
        <v>180</v>
      </c>
      <c r="AJ1125" s="0" t="s">
        <v>437</v>
      </c>
      <c r="AK1125" s="0" t="s">
        <v>94</v>
      </c>
      <c r="AL1125" s="0" t="s">
        <v>95</v>
      </c>
      <c r="AM1125" s="0" t="s">
        <v>96</v>
      </c>
      <c r="AO1125" s="0" t="s">
        <v>98</v>
      </c>
      <c r="AQ1125" s="0" t="s">
        <v>100</v>
      </c>
    </row>
    <row r="1126">
      <c r="B1126" s="0" t="s">
        <v>3073</v>
      </c>
      <c r="C1126" s="1" t="n">
        <v>352280</v>
      </c>
      <c r="E1126" s="14" t="s">
        <v>3074</v>
      </c>
      <c r="F1126" s="14" t="s">
        <v>184</v>
      </c>
      <c r="G1126" s="25" t="str">
        <f>HYPERLINK("http://vk.com/wall-206214408_165065?reply=165877")</f>
      </c>
      <c r="H1126" s="14" t="s">
        <v>170</v>
      </c>
      <c r="I1126" s="14" t="s">
        <v>231</v>
      </c>
      <c r="J1126" s="14" t="s">
        <v>2937</v>
      </c>
      <c r="K1126" s="26" t="str">
        <f>HYPERLINK("http://vk.com/id793510155")</f>
      </c>
      <c r="L1126" s="14" t="s">
        <v>173</v>
      </c>
      <c r="M1126" s="14" t="s">
        <v>2995</v>
      </c>
      <c r="N1126" s="25" t="str">
        <f>HYPERLINK("http://vk.com/club206214408")</f>
      </c>
      <c r="O1126" s="1" t="s">
        <v>186</v>
      </c>
      <c r="P1126" s="1" t="n">
        <v>32</v>
      </c>
      <c r="Q1126" s="1" t="n">
        <v>12207</v>
      </c>
      <c r="R1126" s="1" t="n">
        <v>0</v>
      </c>
      <c r="S1126" s="1"/>
      <c r="T1126" s="1" t="n">
        <v>0</v>
      </c>
      <c r="U1126" s="1" t="n">
        <v>0</v>
      </c>
      <c r="V1126" s="1" t="n">
        <v>0</v>
      </c>
      <c r="W1126" s="1"/>
      <c r="Y1126" s="1" t="n">
        <v>1</v>
      </c>
      <c r="Z1126" s="0" t="s">
        <v>319</v>
      </c>
      <c r="AA1126" s="0" t="s">
        <v>292</v>
      </c>
      <c r="AH1126" s="0" t="s">
        <v>180</v>
      </c>
      <c r="AI1126" s="0" t="s">
        <v>92</v>
      </c>
      <c r="AJ1126" s="0" t="s">
        <v>437</v>
      </c>
      <c r="AN1126" s="0" t="s">
        <v>97</v>
      </c>
      <c r="AS1126" s="0" t="s">
        <v>102</v>
      </c>
      <c r="AY1126" s="0" t="s">
        <v>108</v>
      </c>
      <c r="BS1126" s="0" t="s">
        <v>128</v>
      </c>
    </row>
    <row r="1127" ht="24.75">
      <c r="B1127" s="0" t="s">
        <v>3075</v>
      </c>
      <c r="C1127" s="1" t="n">
        <v>352363</v>
      </c>
      <c r="E1127" s="14" t="s">
        <v>3076</v>
      </c>
      <c r="F1127" s="14" t="s">
        <v>169</v>
      </c>
      <c r="G1127" s="25" t="str">
        <f>HYPERLINK("http://www.ok.ru/group/52884672020665/topic/155682670409145")</f>
      </c>
      <c r="H1127" s="14" t="s">
        <v>170</v>
      </c>
      <c r="I1127" s="14" t="s">
        <v>194</v>
      </c>
      <c r="J1127" s="14" t="s">
        <v>3077</v>
      </c>
      <c r="K1127" s="26" t="str">
        <f>HYPERLINK("http://www.ok.ru/group/52884672020665")</f>
      </c>
      <c r="L1127" s="14" t="s">
        <v>274</v>
      </c>
      <c r="O1127" s="1"/>
      <c r="P1127" s="1"/>
      <c r="Q1127" s="1" t="n">
        <v>161743</v>
      </c>
      <c r="R1127" s="1" t="n">
        <v>0</v>
      </c>
      <c r="S1127" s="1"/>
      <c r="T1127" s="1" t="n">
        <v>0</v>
      </c>
      <c r="U1127" s="1" t="n">
        <v>0</v>
      </c>
      <c r="V1127" s="1" t="n">
        <v>0</v>
      </c>
      <c r="W1127" s="1"/>
      <c r="Y1127" s="1" t="n">
        <v>1</v>
      </c>
      <c r="Z1127" s="0" t="s">
        <v>175</v>
      </c>
      <c r="AA1127" s="0" t="s">
        <v>187</v>
      </c>
      <c r="AB1127" s="0" t="s">
        <v>85</v>
      </c>
      <c r="AH1127" s="0" t="s">
        <v>180</v>
      </c>
      <c r="AJ1127" s="0" t="s">
        <v>437</v>
      </c>
      <c r="AK1127" s="0" t="s">
        <v>94</v>
      </c>
      <c r="AM1127" s="0" t="s">
        <v>96</v>
      </c>
      <c r="AX1127" s="0" t="s">
        <v>107</v>
      </c>
      <c r="AZ1127" s="0" t="s">
        <v>109</v>
      </c>
    </row>
    <row r="1128" ht="1164.75">
      <c r="B1128" s="0" t="s">
        <v>3075</v>
      </c>
      <c r="C1128" s="1" t="n">
        <v>352354</v>
      </c>
      <c r="E1128" s="14" t="s">
        <v>269</v>
      </c>
      <c r="F1128" s="14" t="s">
        <v>184</v>
      </c>
      <c r="G1128" s="25" t="str">
        <f>HYPERLINK("http://vk.com/wall-47119920_205323")</f>
      </c>
      <c r="H1128" s="14" t="s">
        <v>170</v>
      </c>
      <c r="I1128" s="14" t="s">
        <v>194</v>
      </c>
      <c r="J1128" s="14" t="s">
        <v>3078</v>
      </c>
      <c r="K1128" s="26" t="str">
        <f>HYPERLINK("http://vk.com/club47119920")</f>
      </c>
      <c r="L1128" s="14" t="s">
        <v>274</v>
      </c>
      <c r="O1128" s="1"/>
      <c r="P1128" s="1"/>
      <c r="Q1128" s="1" t="n">
        <v>215294</v>
      </c>
      <c r="R1128" s="1" t="n">
        <v>0</v>
      </c>
      <c r="S1128" s="1"/>
      <c r="T1128" s="1" t="n">
        <v>24</v>
      </c>
      <c r="U1128" s="1" t="n">
        <v>14</v>
      </c>
      <c r="V1128" s="1" t="n">
        <v>38</v>
      </c>
      <c r="W1128" s="1" t="n">
        <v>2129</v>
      </c>
      <c r="Y1128" s="1" t="n">
        <v>24</v>
      </c>
      <c r="Z1128" s="0" t="s">
        <v>175</v>
      </c>
      <c r="AA1128" s="0" t="s">
        <v>187</v>
      </c>
      <c r="AH1128" s="0" t="s">
        <v>180</v>
      </c>
      <c r="AJ1128" s="0" t="s">
        <v>437</v>
      </c>
      <c r="AK1128" s="0" t="s">
        <v>94</v>
      </c>
      <c r="AL1128" s="0" t="s">
        <v>95</v>
      </c>
      <c r="AM1128" s="0" t="s">
        <v>96</v>
      </c>
      <c r="AX1128" s="0" t="s">
        <v>107</v>
      </c>
    </row>
    <row r="1129">
      <c r="B1129" s="0" t="s">
        <v>3075</v>
      </c>
      <c r="C1129" s="1" t="n">
        <v>352766</v>
      </c>
      <c r="E1129" s="14" t="s">
        <v>3079</v>
      </c>
      <c r="F1129" s="14" t="s">
        <v>1655</v>
      </c>
      <c r="G1129" s="25" t="str">
        <f>HYPERLINK("http://www.youtube.com/watch?v=2n3998vy0bE&amp;lc=UgzB2fssSeFQFnHK7yl4AaABAg")</f>
      </c>
      <c r="H1129" s="14" t="s">
        <v>1656</v>
      </c>
      <c r="I1129" s="14" t="s">
        <v>231</v>
      </c>
      <c r="J1129" s="14" t="s">
        <v>3080</v>
      </c>
      <c r="K1129" s="26" t="str">
        <f>HYPERLINK("http://www.youtube.com/channel/UCahaPnnEVNBBc_8LJtbkqrQ")</f>
      </c>
      <c r="L1129" s="14" t="s">
        <v>173</v>
      </c>
      <c r="M1129" s="14" t="s">
        <v>3081</v>
      </c>
      <c r="N1129" s="25" t="str">
        <f>HYPERLINK("http://www.youtube.com/channel/UC3wGCqoIZmnJI65NHEq1VGg")</f>
      </c>
      <c r="O1129" s="1" t="s">
        <v>186</v>
      </c>
      <c r="P1129" s="1"/>
      <c r="Q1129" s="1" t="n">
        <v>1730000</v>
      </c>
      <c r="R1129" s="1" t="n">
        <v>0</v>
      </c>
      <c r="S1129" s="1"/>
      <c r="T1129" s="1" t="n">
        <v>0</v>
      </c>
      <c r="U1129" s="1" t="n">
        <v>0</v>
      </c>
      <c r="V1129" s="1" t="n">
        <v>0</v>
      </c>
      <c r="W1129" s="1"/>
      <c r="Y1129" s="1" t="n">
        <v>1</v>
      </c>
      <c r="Z1129" s="0" t="s">
        <v>463</v>
      </c>
      <c r="AA1129" s="0" t="s">
        <v>187</v>
      </c>
      <c r="AH1129" s="0" t="s">
        <v>180</v>
      </c>
      <c r="AI1129" s="0" t="s">
        <v>92</v>
      </c>
      <c r="AJ1129" s="0" t="s">
        <v>437</v>
      </c>
      <c r="AK1129" s="0" t="s">
        <v>94</v>
      </c>
      <c r="AL1129" s="0" t="s">
        <v>95</v>
      </c>
      <c r="AN1129" s="0" t="s">
        <v>97</v>
      </c>
      <c r="AR1129" s="0" t="s">
        <v>101</v>
      </c>
      <c r="CG1129" s="0" t="s">
        <v>142</v>
      </c>
    </row>
    <row r="1130" ht="24.75">
      <c r="B1130" s="0" t="s">
        <v>3082</v>
      </c>
      <c r="C1130" s="1" t="n">
        <v>352791</v>
      </c>
      <c r="E1130" s="14" t="s">
        <v>1102</v>
      </c>
      <c r="F1130" s="14" t="s">
        <v>169</v>
      </c>
      <c r="G1130" s="25" t="str">
        <f>HYPERLINK("http://www.ok.ru/profile/563645570794/statuses/156306187481322")</f>
      </c>
      <c r="H1130" s="14" t="s">
        <v>170</v>
      </c>
      <c r="I1130" s="14" t="s">
        <v>171</v>
      </c>
      <c r="J1130" s="14" t="s">
        <v>3083</v>
      </c>
      <c r="K1130" s="26" t="str">
        <f>HYPERLINK("http://www.ok.ru/profile/563645570794")</f>
      </c>
      <c r="L1130" s="14" t="s">
        <v>173</v>
      </c>
      <c r="O1130" s="1" t="s">
        <v>186</v>
      </c>
      <c r="P1130" s="1"/>
      <c r="Q1130" s="1" t="n">
        <v>371</v>
      </c>
      <c r="R1130" s="1" t="n">
        <v>0</v>
      </c>
      <c r="S1130" s="1"/>
      <c r="T1130" s="1" t="n">
        <v>0</v>
      </c>
      <c r="U1130" s="1" t="n">
        <v>1</v>
      </c>
      <c r="V1130" s="1" t="n">
        <v>1</v>
      </c>
      <c r="W1130" s="1"/>
      <c r="Y1130" s="1" t="n">
        <v>93</v>
      </c>
      <c r="Z1130" s="0" t="s">
        <v>175</v>
      </c>
      <c r="AA1130" s="0" t="s">
        <v>187</v>
      </c>
      <c r="AC1130" s="0" t="s">
        <v>177</v>
      </c>
      <c r="AD1130" s="0" t="s">
        <v>1385</v>
      </c>
      <c r="AE1130" s="0" t="s">
        <v>1386</v>
      </c>
      <c r="AH1130" s="0" t="s">
        <v>180</v>
      </c>
      <c r="AJ1130" s="0" t="s">
        <v>437</v>
      </c>
      <c r="AK1130" s="0" t="s">
        <v>94</v>
      </c>
      <c r="AL1130" s="0" t="s">
        <v>95</v>
      </c>
      <c r="AM1130" s="0" t="s">
        <v>96</v>
      </c>
      <c r="AU1130" s="0" t="s">
        <v>104</v>
      </c>
      <c r="AV1130" s="0" t="s">
        <v>105</v>
      </c>
    </row>
    <row r="1131" ht="24.75">
      <c r="B1131" s="0" t="s">
        <v>3082</v>
      </c>
      <c r="C1131" s="1" t="n">
        <v>352839</v>
      </c>
      <c r="E1131" s="14" t="s">
        <v>554</v>
      </c>
      <c r="F1131" s="14" t="s">
        <v>169</v>
      </c>
      <c r="G1131" s="25" t="str">
        <f>HYPERLINK("http://www.ok.ru/profile/578092880441/statuses/155433719382073")</f>
      </c>
      <c r="H1131" s="14" t="s">
        <v>170</v>
      </c>
      <c r="I1131" s="14" t="s">
        <v>171</v>
      </c>
      <c r="J1131" s="14" t="s">
        <v>3084</v>
      </c>
      <c r="K1131" s="26" t="str">
        <f>HYPERLINK("http://www.ok.ru/profile/578092880441")</f>
      </c>
      <c r="L1131" s="14" t="s">
        <v>173</v>
      </c>
      <c r="O1131" s="1" t="s">
        <v>174</v>
      </c>
      <c r="P1131" s="1" t="n">
        <v>64</v>
      </c>
      <c r="Q1131" s="1" t="n">
        <v>592</v>
      </c>
      <c r="R1131" s="1" t="n">
        <v>0</v>
      </c>
      <c r="S1131" s="1"/>
      <c r="T1131" s="1" t="n">
        <v>1</v>
      </c>
      <c r="U1131" s="1" t="n">
        <v>0</v>
      </c>
      <c r="V1131" s="1" t="n">
        <v>1</v>
      </c>
      <c r="W1131" s="1"/>
      <c r="Y1131" s="1" t="n">
        <v>59</v>
      </c>
      <c r="Z1131" s="0" t="s">
        <v>175</v>
      </c>
      <c r="AA1131" s="0" t="s">
        <v>176</v>
      </c>
      <c r="AC1131" s="0" t="s">
        <v>177</v>
      </c>
      <c r="AH1131" s="0" t="s">
        <v>180</v>
      </c>
      <c r="AJ1131" s="0" t="s">
        <v>437</v>
      </c>
      <c r="AK1131" s="0" t="s">
        <v>94</v>
      </c>
      <c r="AL1131" s="0" t="s">
        <v>95</v>
      </c>
      <c r="AM1131" s="0" t="s">
        <v>96</v>
      </c>
      <c r="AO1131" s="0" t="s">
        <v>98</v>
      </c>
      <c r="AQ1131" s="0" t="s">
        <v>100</v>
      </c>
    </row>
    <row r="1132">
      <c r="B1132" s="0" t="s">
        <v>3085</v>
      </c>
      <c r="C1132" s="1" t="n">
        <v>352282</v>
      </c>
      <c r="E1132" s="14" t="s">
        <v>3086</v>
      </c>
      <c r="F1132" s="14" t="s">
        <v>184</v>
      </c>
      <c r="G1132" s="25" t="str">
        <f>HYPERLINK("http://vk.com/wall-138168859_290183?reply=290239")</f>
      </c>
      <c r="H1132" s="14" t="s">
        <v>170</v>
      </c>
      <c r="I1132" s="14" t="s">
        <v>231</v>
      </c>
      <c r="J1132" s="14" t="s">
        <v>3087</v>
      </c>
      <c r="K1132" s="26" t="str">
        <f>HYPERLINK("http://vk.com/id489334289")</f>
      </c>
      <c r="L1132" s="14" t="s">
        <v>173</v>
      </c>
      <c r="M1132" s="14" t="s">
        <v>2990</v>
      </c>
      <c r="N1132" s="25" t="str">
        <f>HYPERLINK("http://vk.com/club138168859")</f>
      </c>
      <c r="O1132" s="1" t="s">
        <v>186</v>
      </c>
      <c r="P1132" s="1" t="n">
        <v>35</v>
      </c>
      <c r="Q1132" s="1" t="n">
        <v>7141</v>
      </c>
      <c r="R1132" s="1" t="n">
        <v>0</v>
      </c>
      <c r="S1132" s="1"/>
      <c r="T1132" s="1" t="n">
        <v>0</v>
      </c>
      <c r="U1132" s="1" t="n">
        <v>0</v>
      </c>
      <c r="V1132" s="1" t="n">
        <v>0</v>
      </c>
      <c r="W1132" s="1"/>
      <c r="Y1132" s="1" t="n">
        <v>1</v>
      </c>
      <c r="Z1132" s="0" t="s">
        <v>319</v>
      </c>
      <c r="AA1132" s="0" t="s">
        <v>187</v>
      </c>
      <c r="AC1132" s="0" t="s">
        <v>177</v>
      </c>
      <c r="AH1132" s="0" t="s">
        <v>180</v>
      </c>
      <c r="AI1132" s="0" t="s">
        <v>92</v>
      </c>
      <c r="AJ1132" s="0" t="s">
        <v>437</v>
      </c>
      <c r="AK1132" s="0" t="s">
        <v>94</v>
      </c>
      <c r="AN1132" s="0" t="s">
        <v>97</v>
      </c>
      <c r="AS1132" s="0" t="s">
        <v>102</v>
      </c>
      <c r="AW1132" s="0" t="s">
        <v>106</v>
      </c>
      <c r="AZ1132" s="0" t="s">
        <v>109</v>
      </c>
      <c r="BB1132" s="0" t="s">
        <v>111</v>
      </c>
      <c r="CB1132" s="0" t="s">
        <v>137</v>
      </c>
    </row>
    <row r="1133">
      <c r="B1133" s="0" t="s">
        <v>3088</v>
      </c>
      <c r="C1133" s="1" t="n">
        <v>352277</v>
      </c>
      <c r="E1133" s="14" t="s">
        <v>3089</v>
      </c>
      <c r="F1133" s="14" t="s">
        <v>184</v>
      </c>
      <c r="G1133" s="25" t="str">
        <f>HYPERLINK("http://vk.com/wall-1678339_2239751?reply=2239756")</f>
      </c>
      <c r="H1133" s="14" t="s">
        <v>170</v>
      </c>
      <c r="I1133" s="14" t="s">
        <v>231</v>
      </c>
      <c r="J1133" s="14" t="s">
        <v>3090</v>
      </c>
      <c r="K1133" s="26" t="str">
        <f>HYPERLINK("http://vk.com/id171225597")</f>
      </c>
      <c r="L1133" s="14" t="s">
        <v>173</v>
      </c>
      <c r="M1133" s="14" t="s">
        <v>1674</v>
      </c>
      <c r="N1133" s="25" t="str">
        <f>HYPERLINK("http://vk.com/club1678339")</f>
      </c>
      <c r="O1133" s="1" t="s">
        <v>186</v>
      </c>
      <c r="P1133" s="1"/>
      <c r="Q1133" s="1" t="n">
        <v>39553</v>
      </c>
      <c r="R1133" s="1" t="n">
        <v>0</v>
      </c>
      <c r="S1133" s="1"/>
      <c r="T1133" s="1" t="n">
        <v>0</v>
      </c>
      <c r="U1133" s="1" t="n">
        <v>0</v>
      </c>
      <c r="V1133" s="1" t="n">
        <v>0</v>
      </c>
      <c r="W1133" s="1"/>
      <c r="Y1133" s="1" t="n">
        <v>1</v>
      </c>
      <c r="Z1133" s="0" t="s">
        <v>463</v>
      </c>
      <c r="AA1133" s="0" t="s">
        <v>187</v>
      </c>
      <c r="AC1133" s="0" t="s">
        <v>177</v>
      </c>
      <c r="AH1133" s="0" t="s">
        <v>180</v>
      </c>
      <c r="AI1133" s="0" t="s">
        <v>92</v>
      </c>
      <c r="AJ1133" s="0" t="s">
        <v>437</v>
      </c>
      <c r="AK1133" s="0" t="s">
        <v>94</v>
      </c>
      <c r="AT1133" s="0" t="s">
        <v>103</v>
      </c>
      <c r="AZ1133" s="0" t="s">
        <v>109</v>
      </c>
      <c r="BB1133" s="0" t="s">
        <v>111</v>
      </c>
      <c r="BC1133" s="0" t="s">
        <v>112</v>
      </c>
      <c r="BY1133" s="0" t="s">
        <v>134</v>
      </c>
      <c r="CQ1133" s="0" t="s">
        <v>152</v>
      </c>
      <c r="CY1133" s="0" t="s">
        <v>160</v>
      </c>
    </row>
    <row r="1134">
      <c r="B1134" s="0" t="s">
        <v>3091</v>
      </c>
      <c r="C1134" s="1" t="n">
        <v>352272</v>
      </c>
      <c r="E1134" s="14" t="s">
        <v>3092</v>
      </c>
      <c r="F1134" s="14" t="s">
        <v>184</v>
      </c>
      <c r="G1134" s="25" t="str">
        <f>HYPERLINK("http://vk.com/wall-63794824_1087778?reply=1088358&amp;thread=1088076")</f>
      </c>
      <c r="H1134" s="14" t="s">
        <v>170</v>
      </c>
      <c r="I1134" s="14" t="s">
        <v>231</v>
      </c>
      <c r="J1134" s="14" t="s">
        <v>3093</v>
      </c>
      <c r="K1134" s="26" t="str">
        <f>HYPERLINK("http://vk.com/id504498160")</f>
      </c>
      <c r="L1134" s="14" t="s">
        <v>173</v>
      </c>
      <c r="M1134" s="14" t="s">
        <v>2975</v>
      </c>
      <c r="N1134" s="25" t="str">
        <f>HYPERLINK("http://vk.com/club63794824")</f>
      </c>
      <c r="O1134" s="1" t="s">
        <v>186</v>
      </c>
      <c r="P1134" s="1" t="n">
        <v>36</v>
      </c>
      <c r="Q1134" s="1" t="n">
        <v>44870</v>
      </c>
      <c r="R1134" s="1" t="n">
        <v>0</v>
      </c>
      <c r="S1134" s="1"/>
      <c r="T1134" s="1" t="n">
        <v>0</v>
      </c>
      <c r="U1134" s="1" t="n">
        <v>0</v>
      </c>
      <c r="V1134" s="1" t="n">
        <v>0</v>
      </c>
      <c r="W1134" s="1"/>
      <c r="Y1134" s="1" t="n">
        <v>1</v>
      </c>
      <c r="Z1134" s="0" t="s">
        <v>319</v>
      </c>
      <c r="AA1134" s="0" t="s">
        <v>187</v>
      </c>
      <c r="AC1134" s="0" t="s">
        <v>177</v>
      </c>
      <c r="AH1134" s="0" t="s">
        <v>180</v>
      </c>
      <c r="AI1134" s="0" t="s">
        <v>92</v>
      </c>
      <c r="AJ1134" s="0" t="s">
        <v>437</v>
      </c>
      <c r="AK1134" s="0" t="s">
        <v>94</v>
      </c>
      <c r="AN1134" s="0" t="s">
        <v>97</v>
      </c>
      <c r="AS1134" s="0" t="s">
        <v>102</v>
      </c>
      <c r="AZ1134" s="0" t="s">
        <v>109</v>
      </c>
      <c r="BB1134" s="0" t="s">
        <v>111</v>
      </c>
      <c r="CB1134" s="0" t="s">
        <v>137</v>
      </c>
    </row>
    <row r="1135" ht="36.75">
      <c r="B1135" s="0" t="s">
        <v>3091</v>
      </c>
      <c r="C1135" s="1" t="n">
        <v>352343</v>
      </c>
      <c r="E1135" s="14" t="s">
        <v>2533</v>
      </c>
      <c r="F1135" s="14" t="s">
        <v>184</v>
      </c>
      <c r="G1135" s="25" t="str">
        <f>HYPERLINK("http://vk.com/wall354876372_414")</f>
      </c>
      <c r="H1135" s="14" t="s">
        <v>170</v>
      </c>
      <c r="I1135" s="14" t="s">
        <v>171</v>
      </c>
      <c r="J1135" s="14" t="s">
        <v>3094</v>
      </c>
      <c r="K1135" s="26" t="str">
        <f>HYPERLINK("http://vk.com/id354876372")</f>
      </c>
      <c r="L1135" s="14" t="s">
        <v>173</v>
      </c>
      <c r="O1135" s="1" t="s">
        <v>186</v>
      </c>
      <c r="P1135" s="1"/>
      <c r="Q1135" s="1" t="n">
        <v>32</v>
      </c>
      <c r="R1135" s="1" t="n">
        <v>0</v>
      </c>
      <c r="S1135" s="1"/>
      <c r="T1135" s="1" t="n">
        <v>0</v>
      </c>
      <c r="U1135" s="1" t="n">
        <v>0</v>
      </c>
      <c r="V1135" s="1" t="n">
        <v>0</v>
      </c>
      <c r="W1135" s="1"/>
      <c r="Y1135" s="1" t="n">
        <v>9</v>
      </c>
      <c r="Z1135" s="0" t="s">
        <v>175</v>
      </c>
      <c r="AA1135" s="0" t="s">
        <v>187</v>
      </c>
      <c r="AH1135" s="0" t="s">
        <v>180</v>
      </c>
      <c r="AJ1135" s="0" t="s">
        <v>437</v>
      </c>
      <c r="AK1135" s="0" t="s">
        <v>94</v>
      </c>
      <c r="AN1135" s="0" t="s">
        <v>97</v>
      </c>
      <c r="AT1135" s="0" t="s">
        <v>103</v>
      </c>
      <c r="AZ1135" s="0" t="s">
        <v>109</v>
      </c>
      <c r="BE1135" s="0" t="s">
        <v>114</v>
      </c>
      <c r="BX1135" s="0" t="s">
        <v>133</v>
      </c>
      <c r="CD1135" s="0" t="s">
        <v>139</v>
      </c>
    </row>
    <row r="1136">
      <c r="B1136" s="0" t="s">
        <v>3095</v>
      </c>
      <c r="C1136" s="1" t="n">
        <v>352276</v>
      </c>
      <c r="E1136" s="14" t="s">
        <v>3096</v>
      </c>
      <c r="F1136" s="14" t="s">
        <v>184</v>
      </c>
      <c r="G1136" s="25" t="str">
        <f>HYPERLINK("http://vk.com/wall-203023242_19133?reply=19247&amp;thread=19145")</f>
      </c>
      <c r="H1136" s="14" t="s">
        <v>170</v>
      </c>
      <c r="I1136" s="14" t="s">
        <v>231</v>
      </c>
      <c r="J1136" s="14" t="s">
        <v>3097</v>
      </c>
      <c r="K1136" s="26" t="str">
        <f>HYPERLINK("http://vk.com/id169982201")</f>
      </c>
      <c r="L1136" s="14" t="s">
        <v>173</v>
      </c>
      <c r="M1136" s="14" t="s">
        <v>553</v>
      </c>
      <c r="N1136" s="25" t="str">
        <f>HYPERLINK("http://vk.com/club203023242")</f>
      </c>
      <c r="O1136" s="1" t="s">
        <v>186</v>
      </c>
      <c r="P1136" s="1" t="n">
        <v>25</v>
      </c>
      <c r="Q1136" s="1" t="n">
        <v>5390</v>
      </c>
      <c r="R1136" s="1" t="n">
        <v>0</v>
      </c>
      <c r="S1136" s="1"/>
      <c r="T1136" s="1" t="n">
        <v>0</v>
      </c>
      <c r="U1136" s="1" t="n">
        <v>0</v>
      </c>
      <c r="V1136" s="1" t="n">
        <v>0</v>
      </c>
      <c r="W1136" s="1"/>
      <c r="Y1136" s="1" t="n">
        <v>1</v>
      </c>
      <c r="Z1136" s="0" t="s">
        <v>319</v>
      </c>
      <c r="AA1136" s="0" t="s">
        <v>292</v>
      </c>
      <c r="AC1136" s="0" t="s">
        <v>177</v>
      </c>
      <c r="AD1136" s="0" t="s">
        <v>341</v>
      </c>
      <c r="AE1136" s="0" t="s">
        <v>3098</v>
      </c>
      <c r="AH1136" s="0" t="s">
        <v>180</v>
      </c>
      <c r="AI1136" s="0" t="s">
        <v>92</v>
      </c>
      <c r="AJ1136" s="0" t="s">
        <v>437</v>
      </c>
      <c r="AO1136" s="0" t="s">
        <v>98</v>
      </c>
      <c r="AY1136" s="0" t="s">
        <v>108</v>
      </c>
      <c r="BT1136" s="0" t="s">
        <v>129</v>
      </c>
      <c r="CH1136" s="0" t="s">
        <v>143</v>
      </c>
    </row>
    <row r="1137">
      <c r="B1137" s="0" t="s">
        <v>3095</v>
      </c>
      <c r="C1137" s="1" t="n">
        <v>352609</v>
      </c>
      <c r="E1137" s="14" t="s">
        <v>1447</v>
      </c>
      <c r="F1137" s="14" t="s">
        <v>169</v>
      </c>
      <c r="G1137" s="25" t="str">
        <f>HYPERLINK("http://www.ok.ru/profile/572772389497/statuses/155506775999353")</f>
      </c>
      <c r="H1137" s="14" t="s">
        <v>170</v>
      </c>
      <c r="I1137" s="14" t="s">
        <v>171</v>
      </c>
      <c r="J1137" s="14" t="s">
        <v>3099</v>
      </c>
      <c r="K1137" s="26" t="str">
        <f>HYPERLINK("http://www.ok.ru/profile/572772389497")</f>
      </c>
      <c r="L1137" s="14" t="s">
        <v>173</v>
      </c>
      <c r="O1137" s="1" t="s">
        <v>186</v>
      </c>
      <c r="P1137" s="1"/>
      <c r="Q1137" s="1" t="n">
        <v>196</v>
      </c>
      <c r="R1137" s="1" t="n">
        <v>0</v>
      </c>
      <c r="S1137" s="1"/>
      <c r="T1137" s="1" t="n">
        <v>0</v>
      </c>
      <c r="U1137" s="1" t="n">
        <v>0</v>
      </c>
      <c r="V1137" s="1" t="n">
        <v>0</v>
      </c>
      <c r="W1137" s="1"/>
      <c r="Y1137" s="1" t="n">
        <v>9</v>
      </c>
      <c r="Z1137" s="0" t="s">
        <v>175</v>
      </c>
      <c r="AA1137" s="0" t="s">
        <v>187</v>
      </c>
      <c r="AC1137" s="0" t="s">
        <v>177</v>
      </c>
      <c r="AD1137" s="0" t="s">
        <v>402</v>
      </c>
      <c r="AE1137" s="0" t="s">
        <v>2350</v>
      </c>
      <c r="AH1137" s="0" t="s">
        <v>180</v>
      </c>
      <c r="AJ1137" s="0" t="s">
        <v>437</v>
      </c>
      <c r="AK1137" s="0" t="s">
        <v>94</v>
      </c>
      <c r="AL1137" s="0" t="s">
        <v>95</v>
      </c>
      <c r="AM1137" s="0" t="s">
        <v>96</v>
      </c>
      <c r="AU1137" s="0" t="s">
        <v>104</v>
      </c>
      <c r="AV1137" s="0" t="s">
        <v>105</v>
      </c>
    </row>
    <row r="1138" ht="24.75">
      <c r="B1138" s="0" t="s">
        <v>3095</v>
      </c>
      <c r="C1138" s="1" t="n">
        <v>352750</v>
      </c>
      <c r="E1138" s="14" t="s">
        <v>554</v>
      </c>
      <c r="F1138" s="14" t="s">
        <v>169</v>
      </c>
      <c r="G1138" s="25" t="str">
        <f>HYPERLINK("http://www.ok.ru/profile/514499924962/statuses/155563172656098")</f>
      </c>
      <c r="H1138" s="14" t="s">
        <v>170</v>
      </c>
      <c r="I1138" s="14" t="s">
        <v>171</v>
      </c>
      <c r="J1138" s="14" t="s">
        <v>3100</v>
      </c>
      <c r="K1138" s="26" t="str">
        <f>HYPERLINK("http://www.ok.ru/profile/514499924962")</f>
      </c>
      <c r="L1138" s="14" t="s">
        <v>173</v>
      </c>
      <c r="O1138" s="1" t="s">
        <v>186</v>
      </c>
      <c r="P1138" s="1"/>
      <c r="Q1138" s="1" t="n">
        <v>161</v>
      </c>
      <c r="R1138" s="1" t="n">
        <v>0</v>
      </c>
      <c r="S1138" s="1"/>
      <c r="T1138" s="1" t="n">
        <v>1</v>
      </c>
      <c r="U1138" s="1" t="n">
        <v>2</v>
      </c>
      <c r="V1138" s="1" t="n">
        <v>3</v>
      </c>
      <c r="W1138" s="1"/>
      <c r="Y1138" s="1" t="n">
        <v>59</v>
      </c>
      <c r="Z1138" s="0" t="s">
        <v>175</v>
      </c>
      <c r="AA1138" s="0" t="s">
        <v>176</v>
      </c>
      <c r="AC1138" s="0" t="s">
        <v>177</v>
      </c>
      <c r="AD1138" s="0" t="s">
        <v>1930</v>
      </c>
      <c r="AE1138" s="0" t="s">
        <v>3101</v>
      </c>
      <c r="AH1138" s="0" t="s">
        <v>180</v>
      </c>
      <c r="AJ1138" s="0" t="s">
        <v>437</v>
      </c>
      <c r="AK1138" s="0" t="s">
        <v>94</v>
      </c>
      <c r="AL1138" s="0" t="s">
        <v>95</v>
      </c>
      <c r="AM1138" s="0" t="s">
        <v>96</v>
      </c>
      <c r="AO1138" s="0" t="s">
        <v>98</v>
      </c>
      <c r="AQ1138" s="0" t="s">
        <v>100</v>
      </c>
    </row>
    <row r="1139" ht="36.75">
      <c r="B1139" s="0" t="s">
        <v>3095</v>
      </c>
      <c r="C1139" s="1" t="n">
        <v>352334</v>
      </c>
      <c r="E1139" s="14" t="s">
        <v>1218</v>
      </c>
      <c r="F1139" s="14" t="s">
        <v>184</v>
      </c>
      <c r="G1139" s="25" t="str">
        <f>HYPERLINK("http://vk.com/wall676265681_150")</f>
      </c>
      <c r="H1139" s="14" t="s">
        <v>170</v>
      </c>
      <c r="I1139" s="14" t="s">
        <v>171</v>
      </c>
      <c r="J1139" s="14" t="s">
        <v>3102</v>
      </c>
      <c r="K1139" s="26" t="str">
        <f>HYPERLINK("http://vk.com/id676265681")</f>
      </c>
      <c r="L1139" s="14" t="s">
        <v>173</v>
      </c>
      <c r="O1139" s="1" t="s">
        <v>186</v>
      </c>
      <c r="P1139" s="1" t="n">
        <v>60</v>
      </c>
      <c r="Q1139" s="1" t="n">
        <v>26</v>
      </c>
      <c r="R1139" s="1" t="n">
        <v>0</v>
      </c>
      <c r="S1139" s="1"/>
      <c r="T1139" s="1" t="n">
        <v>0</v>
      </c>
      <c r="U1139" s="1" t="n">
        <v>0</v>
      </c>
      <c r="V1139" s="1" t="n">
        <v>0</v>
      </c>
      <c r="W1139" s="1"/>
      <c r="Y1139" s="1" t="n">
        <v>9</v>
      </c>
      <c r="Z1139" s="0" t="s">
        <v>175</v>
      </c>
      <c r="AA1139" s="0" t="s">
        <v>187</v>
      </c>
      <c r="AC1139" s="0" t="s">
        <v>177</v>
      </c>
      <c r="AD1139" s="0" t="s">
        <v>454</v>
      </c>
      <c r="AE1139" s="0" t="s">
        <v>3103</v>
      </c>
      <c r="AH1139" s="0" t="s">
        <v>180</v>
      </c>
      <c r="AJ1139" s="0" t="s">
        <v>437</v>
      </c>
      <c r="AK1139" s="0" t="s">
        <v>94</v>
      </c>
      <c r="AM1139" s="0" t="s">
        <v>96</v>
      </c>
      <c r="AZ1139" s="0" t="s">
        <v>109</v>
      </c>
      <c r="BC1139" s="0" t="s">
        <v>112</v>
      </c>
      <c r="BI1139" s="0" t="s">
        <v>118</v>
      </c>
      <c r="BN1139" s="0" t="s">
        <v>123</v>
      </c>
    </row>
    <row r="1140">
      <c r="B1140" s="0" t="s">
        <v>3104</v>
      </c>
      <c r="C1140" s="1" t="n">
        <v>352271</v>
      </c>
      <c r="E1140" s="14" t="s">
        <v>3105</v>
      </c>
      <c r="F1140" s="14" t="s">
        <v>184</v>
      </c>
      <c r="G1140" s="25" t="str">
        <f>HYPERLINK("http://vk.com/wall-153326278_404946?reply=405129")</f>
      </c>
      <c r="H1140" s="14" t="s">
        <v>170</v>
      </c>
      <c r="I1140" s="14" t="s">
        <v>231</v>
      </c>
      <c r="J1140" s="14" t="s">
        <v>2937</v>
      </c>
      <c r="K1140" s="26" t="str">
        <f>HYPERLINK("http://vk.com/id793510155")</f>
      </c>
      <c r="L1140" s="14" t="s">
        <v>173</v>
      </c>
      <c r="M1140" s="14" t="s">
        <v>1221</v>
      </c>
      <c r="N1140" s="25" t="str">
        <f>HYPERLINK("http://vk.com/club153326278")</f>
      </c>
      <c r="O1140" s="1" t="s">
        <v>186</v>
      </c>
      <c r="P1140" s="1" t="n">
        <v>32</v>
      </c>
      <c r="Q1140" s="1" t="n">
        <v>24685</v>
      </c>
      <c r="R1140" s="1" t="n">
        <v>0</v>
      </c>
      <c r="S1140" s="1"/>
      <c r="T1140" s="1" t="n">
        <v>0</v>
      </c>
      <c r="U1140" s="1" t="n">
        <v>0</v>
      </c>
      <c r="V1140" s="1" t="n">
        <v>0</v>
      </c>
      <c r="W1140" s="1"/>
      <c r="Y1140" s="1" t="n">
        <v>1</v>
      </c>
      <c r="Z1140" s="0" t="s">
        <v>319</v>
      </c>
      <c r="AA1140" s="0" t="s">
        <v>292</v>
      </c>
      <c r="AH1140" s="0" t="s">
        <v>180</v>
      </c>
      <c r="AI1140" s="0" t="s">
        <v>92</v>
      </c>
      <c r="AJ1140" s="0" t="s">
        <v>437</v>
      </c>
      <c r="AN1140" s="0" t="s">
        <v>97</v>
      </c>
      <c r="AS1140" s="0" t="s">
        <v>102</v>
      </c>
      <c r="AY1140" s="0" t="s">
        <v>108</v>
      </c>
      <c r="BS1140" s="0" t="s">
        <v>128</v>
      </c>
    </row>
    <row r="1141" ht="1212.75">
      <c r="B1141" s="0" t="s">
        <v>3106</v>
      </c>
      <c r="C1141" s="1" t="n">
        <v>352338</v>
      </c>
      <c r="E1141" s="14" t="s">
        <v>683</v>
      </c>
      <c r="F1141" s="14" t="s">
        <v>184</v>
      </c>
      <c r="G1141" s="25" t="str">
        <f>HYPERLINK("http://vk.com/wall515318322_2521")</f>
      </c>
      <c r="H1141" s="14" t="s">
        <v>170</v>
      </c>
      <c r="I1141" s="14" t="s">
        <v>171</v>
      </c>
      <c r="J1141" s="14" t="s">
        <v>3107</v>
      </c>
      <c r="K1141" s="26" t="str">
        <f>HYPERLINK("http://vk.com/id515318322")</f>
      </c>
      <c r="L1141" s="14" t="s">
        <v>173</v>
      </c>
      <c r="O1141" s="1" t="s">
        <v>186</v>
      </c>
      <c r="P1141" s="1" t="n">
        <v>38</v>
      </c>
      <c r="Q1141" s="1" t="n">
        <v>77</v>
      </c>
      <c r="R1141" s="1" t="n">
        <v>0</v>
      </c>
      <c r="S1141" s="1"/>
      <c r="T1141" s="1" t="n">
        <v>0</v>
      </c>
      <c r="U1141" s="1" t="n">
        <v>0</v>
      </c>
      <c r="V1141" s="1" t="n">
        <v>0</v>
      </c>
      <c r="W1141" s="1"/>
      <c r="Y1141" s="1" t="n">
        <v>22</v>
      </c>
      <c r="Z1141" s="0" t="s">
        <v>175</v>
      </c>
      <c r="AA1141" s="0" t="s">
        <v>187</v>
      </c>
      <c r="AH1141" s="0" t="s">
        <v>180</v>
      </c>
      <c r="AJ1141" s="0" t="s">
        <v>437</v>
      </c>
      <c r="AK1141" s="0" t="s">
        <v>94</v>
      </c>
      <c r="AM1141" s="0" t="s">
        <v>96</v>
      </c>
      <c r="AU1141" s="0" t="s">
        <v>104</v>
      </c>
      <c r="AV1141" s="0" t="s">
        <v>105</v>
      </c>
      <c r="AX1141" s="0" t="s">
        <v>107</v>
      </c>
      <c r="AZ1141" s="0" t="s">
        <v>109</v>
      </c>
    </row>
    <row r="1142">
      <c r="B1142" s="0" t="s">
        <v>3106</v>
      </c>
      <c r="C1142" s="1" t="n">
        <v>352265</v>
      </c>
      <c r="E1142" s="14" t="s">
        <v>3108</v>
      </c>
      <c r="F1142" s="14" t="s">
        <v>184</v>
      </c>
      <c r="G1142" s="25" t="str">
        <f>HYPERLINK("http://vk.com/wall-203023242_19133?reply=19246&amp;thread=19143")</f>
      </c>
      <c r="H1142" s="14" t="s">
        <v>170</v>
      </c>
      <c r="I1142" s="14" t="s">
        <v>231</v>
      </c>
      <c r="J1142" s="14" t="s">
        <v>672</v>
      </c>
      <c r="K1142" s="26" t="str">
        <f>HYPERLINK("http://vk.com/id439472")</f>
      </c>
      <c r="L1142" s="14" t="s">
        <v>173</v>
      </c>
      <c r="M1142" s="14" t="s">
        <v>553</v>
      </c>
      <c r="N1142" s="25" t="str">
        <f>HYPERLINK("http://vk.com/club203023242")</f>
      </c>
      <c r="O1142" s="1" t="s">
        <v>186</v>
      </c>
      <c r="P1142" s="1" t="n">
        <v>40</v>
      </c>
      <c r="Q1142" s="1" t="n">
        <v>5390</v>
      </c>
      <c r="R1142" s="1" t="n">
        <v>0</v>
      </c>
      <c r="S1142" s="1"/>
      <c r="T1142" s="1" t="n">
        <v>0</v>
      </c>
      <c r="U1142" s="1" t="n">
        <v>0</v>
      </c>
      <c r="V1142" s="1" t="n">
        <v>0</v>
      </c>
      <c r="W1142" s="1"/>
      <c r="Y1142" s="1" t="n">
        <v>1</v>
      </c>
      <c r="Z1142" s="0" t="s">
        <v>463</v>
      </c>
      <c r="AA1142" s="0" t="s">
        <v>187</v>
      </c>
      <c r="AC1142" s="0" t="s">
        <v>177</v>
      </c>
      <c r="AD1142" s="0" t="s">
        <v>240</v>
      </c>
      <c r="AE1142" s="0" t="s">
        <v>240</v>
      </c>
      <c r="AH1142" s="0" t="s">
        <v>180</v>
      </c>
      <c r="AI1142" s="0" t="s">
        <v>92</v>
      </c>
      <c r="AJ1142" s="0" t="s">
        <v>437</v>
      </c>
      <c r="AK1142" s="0" t="s">
        <v>94</v>
      </c>
      <c r="AN1142" s="0" t="s">
        <v>97</v>
      </c>
      <c r="AS1142" s="0" t="s">
        <v>102</v>
      </c>
      <c r="AT1142" s="0" t="s">
        <v>103</v>
      </c>
      <c r="AZ1142" s="0" t="s">
        <v>109</v>
      </c>
      <c r="BQ1142" s="0" t="s">
        <v>126</v>
      </c>
      <c r="BY1142" s="0" t="s">
        <v>134</v>
      </c>
      <c r="CJ1142" s="0" t="s">
        <v>145</v>
      </c>
      <c r="CN1142" s="0" t="s">
        <v>149</v>
      </c>
    </row>
    <row r="1143" ht="1200.75">
      <c r="B1143" s="0" t="s">
        <v>3109</v>
      </c>
      <c r="C1143" s="1" t="n">
        <v>352602</v>
      </c>
      <c r="E1143" s="14" t="s">
        <v>2323</v>
      </c>
      <c r="F1143" s="14" t="s">
        <v>169</v>
      </c>
      <c r="G1143" s="25" t="str">
        <f>HYPERLINK("http://www.ok.ru/profile/354791653216/statuses/154974403455072")</f>
      </c>
      <c r="H1143" s="14" t="s">
        <v>170</v>
      </c>
      <c r="I1143" s="14" t="s">
        <v>171</v>
      </c>
      <c r="J1143" s="14" t="s">
        <v>3110</v>
      </c>
      <c r="K1143" s="26" t="str">
        <f>HYPERLINK("http://www.ok.ru/profile/354791653216")</f>
      </c>
      <c r="L1143" s="14" t="s">
        <v>173</v>
      </c>
      <c r="O1143" s="1" t="s">
        <v>186</v>
      </c>
      <c r="P1143" s="1" t="n">
        <v>53</v>
      </c>
      <c r="Q1143" s="1" t="n">
        <v>980</v>
      </c>
      <c r="R1143" s="1" t="n">
        <v>0</v>
      </c>
      <c r="S1143" s="1"/>
      <c r="T1143" s="1" t="n">
        <v>0</v>
      </c>
      <c r="U1143" s="1" t="n">
        <v>1</v>
      </c>
      <c r="V1143" s="1" t="n">
        <v>1</v>
      </c>
      <c r="W1143" s="1"/>
      <c r="Y1143" s="1" t="n">
        <v>5</v>
      </c>
      <c r="Z1143" s="0" t="s">
        <v>175</v>
      </c>
      <c r="AA1143" s="0" t="s">
        <v>187</v>
      </c>
      <c r="AC1143" s="0" t="s">
        <v>177</v>
      </c>
      <c r="AD1143" s="0" t="s">
        <v>513</v>
      </c>
      <c r="AE1143" s="0" t="s">
        <v>2707</v>
      </c>
      <c r="AH1143" s="0" t="s">
        <v>180</v>
      </c>
      <c r="AJ1143" s="0" t="s">
        <v>437</v>
      </c>
      <c r="AK1143" s="0" t="s">
        <v>94</v>
      </c>
      <c r="AL1143" s="0" t="s">
        <v>95</v>
      </c>
      <c r="AM1143" s="0" t="s">
        <v>96</v>
      </c>
      <c r="AX1143" s="0" t="s">
        <v>107</v>
      </c>
    </row>
    <row r="1144" ht="24.75">
      <c r="B1144" s="0" t="s">
        <v>3109</v>
      </c>
      <c r="C1144" s="1" t="n">
        <v>353017</v>
      </c>
      <c r="E1144" s="14" t="s">
        <v>390</v>
      </c>
      <c r="F1144" s="14" t="s">
        <v>169</v>
      </c>
      <c r="G1144" s="25" t="str">
        <f>HYPERLINK("http://www.ok.ru/profile/452605201604/statuses/155142413181892")</f>
      </c>
      <c r="H1144" s="14" t="s">
        <v>170</v>
      </c>
      <c r="I1144" s="14" t="s">
        <v>171</v>
      </c>
      <c r="J1144" s="14" t="s">
        <v>3111</v>
      </c>
      <c r="K1144" s="26" t="str">
        <f>HYPERLINK("http://www.ok.ru/profile/452605201604")</f>
      </c>
      <c r="L1144" s="14" t="s">
        <v>173</v>
      </c>
      <c r="O1144" s="1" t="s">
        <v>186</v>
      </c>
      <c r="P1144" s="1" t="n">
        <v>67</v>
      </c>
      <c r="Q1144" s="1" t="n">
        <v>610</v>
      </c>
      <c r="R1144" s="1" t="n">
        <v>0</v>
      </c>
      <c r="S1144" s="1"/>
      <c r="T1144" s="1" t="n">
        <v>0</v>
      </c>
      <c r="U1144" s="1" t="n">
        <v>0</v>
      </c>
      <c r="V1144" s="1" t="n">
        <v>0</v>
      </c>
      <c r="W1144" s="1"/>
      <c r="Y1144" s="1" t="n">
        <v>6</v>
      </c>
      <c r="Z1144" s="0" t="s">
        <v>175</v>
      </c>
      <c r="AA1144" s="0" t="s">
        <v>292</v>
      </c>
      <c r="AC1144" s="0" t="s">
        <v>177</v>
      </c>
      <c r="AD1144" s="0" t="s">
        <v>2396</v>
      </c>
      <c r="AE1144" s="0" t="s">
        <v>3112</v>
      </c>
      <c r="AH1144" s="0" t="s">
        <v>180</v>
      </c>
      <c r="AJ1144" s="0" t="s">
        <v>437</v>
      </c>
      <c r="AK1144" s="0" t="s">
        <v>94</v>
      </c>
      <c r="AL1144" s="0" t="s">
        <v>95</v>
      </c>
      <c r="AM1144" s="0" t="s">
        <v>96</v>
      </c>
      <c r="AX1144" s="0" t="s">
        <v>107</v>
      </c>
      <c r="BR1144" s="0" t="s">
        <v>127</v>
      </c>
    </row>
    <row r="1145" ht="24.75">
      <c r="B1145" s="0" t="s">
        <v>3113</v>
      </c>
      <c r="C1145" s="1" t="n">
        <v>352447</v>
      </c>
      <c r="E1145" s="14" t="s">
        <v>554</v>
      </c>
      <c r="F1145" s="14" t="s">
        <v>169</v>
      </c>
      <c r="G1145" s="25" t="str">
        <f>HYPERLINK("http://www.ok.ru/profile/556327285230/statuses/156609374682094")</f>
      </c>
      <c r="H1145" s="14" t="s">
        <v>170</v>
      </c>
      <c r="I1145" s="14" t="s">
        <v>171</v>
      </c>
      <c r="J1145" s="14" t="s">
        <v>3114</v>
      </c>
      <c r="K1145" s="26" t="str">
        <f>HYPERLINK("http://www.ok.ru/profile/556327285230")</f>
      </c>
      <c r="L1145" s="14" t="s">
        <v>173</v>
      </c>
      <c r="O1145" s="1" t="s">
        <v>186</v>
      </c>
      <c r="P1145" s="1" t="n">
        <v>41</v>
      </c>
      <c r="Q1145" s="1" t="n">
        <v>2760</v>
      </c>
      <c r="R1145" s="1" t="n">
        <v>0</v>
      </c>
      <c r="S1145" s="1"/>
      <c r="T1145" s="1" t="n">
        <v>1</v>
      </c>
      <c r="U1145" s="1" t="n">
        <v>0</v>
      </c>
      <c r="V1145" s="1" t="n">
        <v>1</v>
      </c>
      <c r="W1145" s="1"/>
      <c r="Y1145" s="1" t="n">
        <v>59</v>
      </c>
      <c r="Z1145" s="0" t="s">
        <v>175</v>
      </c>
      <c r="AA1145" s="0" t="s">
        <v>176</v>
      </c>
      <c r="AC1145" s="0" t="s">
        <v>177</v>
      </c>
      <c r="AD1145" s="0" t="s">
        <v>252</v>
      </c>
      <c r="AE1145" s="0" t="s">
        <v>267</v>
      </c>
      <c r="AH1145" s="0" t="s">
        <v>180</v>
      </c>
      <c r="AJ1145" s="0" t="s">
        <v>437</v>
      </c>
      <c r="AK1145" s="0" t="s">
        <v>94</v>
      </c>
      <c r="AM1145" s="0" t="s">
        <v>96</v>
      </c>
      <c r="AO1145" s="0" t="s">
        <v>98</v>
      </c>
      <c r="AQ1145" s="0" t="s">
        <v>100</v>
      </c>
      <c r="AZ1145" s="0" t="s">
        <v>109</v>
      </c>
    </row>
    <row r="1146">
      <c r="B1146" s="0" t="s">
        <v>3113</v>
      </c>
      <c r="C1146" s="1" t="n">
        <v>352927</v>
      </c>
      <c r="E1146" s="14" t="s">
        <v>1349</v>
      </c>
      <c r="F1146" s="14" t="s">
        <v>169</v>
      </c>
      <c r="G1146" s="25" t="str">
        <f>HYPERLINK("http://www.ok.ru/profile/572187247499/statuses/156160666749835")</f>
      </c>
      <c r="H1146" s="14" t="s">
        <v>170</v>
      </c>
      <c r="I1146" s="14" t="s">
        <v>194</v>
      </c>
      <c r="J1146" s="14" t="s">
        <v>3115</v>
      </c>
      <c r="K1146" s="26" t="str">
        <f>HYPERLINK("http://www.ok.ru/profile/572187247499")</f>
      </c>
      <c r="L1146" s="14" t="s">
        <v>173</v>
      </c>
      <c r="O1146" s="1" t="s">
        <v>174</v>
      </c>
      <c r="P1146" s="1" t="n">
        <v>46</v>
      </c>
      <c r="Q1146" s="1" t="n">
        <v>166</v>
      </c>
      <c r="R1146" s="1" t="n">
        <v>0</v>
      </c>
      <c r="S1146" s="1"/>
      <c r="T1146" s="1" t="n">
        <v>0</v>
      </c>
      <c r="U1146" s="1" t="n">
        <v>1</v>
      </c>
      <c r="V1146" s="1" t="n">
        <v>1</v>
      </c>
      <c r="W1146" s="1"/>
      <c r="Y1146" s="1" t="n">
        <v>15</v>
      </c>
      <c r="Z1146" s="0" t="s">
        <v>175</v>
      </c>
      <c r="AA1146" s="0" t="s">
        <v>187</v>
      </c>
      <c r="AC1146" s="0" t="s">
        <v>177</v>
      </c>
      <c r="AD1146" s="0" t="s">
        <v>1580</v>
      </c>
      <c r="AE1146" s="0" t="s">
        <v>1581</v>
      </c>
      <c r="AH1146" s="0" t="s">
        <v>180</v>
      </c>
      <c r="AJ1146" s="0" t="s">
        <v>437</v>
      </c>
      <c r="AK1146" s="0" t="s">
        <v>94</v>
      </c>
      <c r="AL1146" s="0" t="s">
        <v>95</v>
      </c>
      <c r="AM1146" s="0" t="s">
        <v>96</v>
      </c>
      <c r="AX1146" s="0" t="s">
        <v>107</v>
      </c>
      <c r="BF1146" s="0" t="s">
        <v>115</v>
      </c>
      <c r="BR1146" s="0" t="s">
        <v>127</v>
      </c>
    </row>
    <row r="1147" ht="1632.75">
      <c r="B1147" s="0" t="s">
        <v>3116</v>
      </c>
      <c r="C1147" s="1" t="n">
        <v>352344</v>
      </c>
      <c r="E1147" s="14" t="s">
        <v>320</v>
      </c>
      <c r="F1147" s="14" t="s">
        <v>184</v>
      </c>
      <c r="G1147" s="25" t="str">
        <f>HYPERLINK("http://vk.com/wall245834361_924")</f>
      </c>
      <c r="H1147" s="14" t="s">
        <v>170</v>
      </c>
      <c r="I1147" s="14" t="s">
        <v>171</v>
      </c>
      <c r="J1147" s="14" t="s">
        <v>3117</v>
      </c>
      <c r="K1147" s="26" t="str">
        <f>HYPERLINK("http://vk.com/id245834361")</f>
      </c>
      <c r="L1147" s="14" t="s">
        <v>173</v>
      </c>
      <c r="O1147" s="1" t="s">
        <v>186</v>
      </c>
      <c r="P1147" s="1"/>
      <c r="Q1147" s="1" t="n">
        <v>45</v>
      </c>
      <c r="R1147" s="1" t="n">
        <v>0</v>
      </c>
      <c r="S1147" s="1"/>
      <c r="T1147" s="1" t="n">
        <v>0</v>
      </c>
      <c r="U1147" s="1" t="n">
        <v>0</v>
      </c>
      <c r="V1147" s="1" t="n">
        <v>0</v>
      </c>
      <c r="W1147" s="1" t="n">
        <v>1</v>
      </c>
      <c r="Y1147" s="1" t="n">
        <v>12</v>
      </c>
      <c r="Z1147" s="0" t="s">
        <v>175</v>
      </c>
      <c r="AA1147" s="0" t="s">
        <v>187</v>
      </c>
      <c r="AC1147" s="0" t="s">
        <v>177</v>
      </c>
      <c r="AD1147" s="0" t="s">
        <v>212</v>
      </c>
      <c r="AE1147" s="0" t="s">
        <v>2857</v>
      </c>
      <c r="AH1147" s="0" t="s">
        <v>180</v>
      </c>
      <c r="AJ1147" s="0" t="s">
        <v>437</v>
      </c>
      <c r="AK1147" s="0" t="s">
        <v>94</v>
      </c>
      <c r="AM1147" s="0" t="s">
        <v>96</v>
      </c>
      <c r="AX1147" s="0" t="s">
        <v>107</v>
      </c>
      <c r="AZ1147" s="0" t="s">
        <v>109</v>
      </c>
    </row>
    <row r="1148">
      <c r="B1148" s="0" t="s">
        <v>3116</v>
      </c>
      <c r="C1148" s="1" t="n">
        <v>352257</v>
      </c>
      <c r="E1148" s="14" t="s">
        <v>3118</v>
      </c>
      <c r="F1148" s="14" t="s">
        <v>184</v>
      </c>
      <c r="G1148" s="25" t="str">
        <f>HYPERLINK("http://vk.com/wall-33277814_729930?reply=730702")</f>
      </c>
      <c r="H1148" s="14" t="s">
        <v>170</v>
      </c>
      <c r="I1148" s="14" t="s">
        <v>231</v>
      </c>
      <c r="J1148" s="14" t="s">
        <v>2937</v>
      </c>
      <c r="K1148" s="26" t="str">
        <f>HYPERLINK("http://vk.com/id793510155")</f>
      </c>
      <c r="L1148" s="14" t="s">
        <v>173</v>
      </c>
      <c r="M1148" s="14" t="s">
        <v>1272</v>
      </c>
      <c r="N1148" s="25" t="str">
        <f>HYPERLINK("http://vk.com/club33277814")</f>
      </c>
      <c r="O1148" s="1" t="s">
        <v>186</v>
      </c>
      <c r="P1148" s="1" t="n">
        <v>32</v>
      </c>
      <c r="Q1148" s="1" t="n">
        <v>37798</v>
      </c>
      <c r="R1148" s="1" t="n">
        <v>0</v>
      </c>
      <c r="S1148" s="1"/>
      <c r="T1148" s="1" t="n">
        <v>0</v>
      </c>
      <c r="U1148" s="1" t="n">
        <v>0</v>
      </c>
      <c r="V1148" s="1" t="n">
        <v>0</v>
      </c>
      <c r="W1148" s="1"/>
      <c r="Y1148" s="1" t="n">
        <v>1</v>
      </c>
      <c r="Z1148" s="0" t="s">
        <v>319</v>
      </c>
      <c r="AA1148" s="0" t="s">
        <v>292</v>
      </c>
      <c r="AH1148" s="0" t="s">
        <v>180</v>
      </c>
      <c r="AI1148" s="0" t="s">
        <v>92</v>
      </c>
      <c r="AJ1148" s="0" t="s">
        <v>437</v>
      </c>
      <c r="AN1148" s="0" t="s">
        <v>97</v>
      </c>
      <c r="AS1148" s="0" t="s">
        <v>102</v>
      </c>
      <c r="AY1148" s="0" t="s">
        <v>108</v>
      </c>
      <c r="BS1148" s="0" t="s">
        <v>128</v>
      </c>
    </row>
    <row r="1149" ht="24.75">
      <c r="B1149" s="0" t="s">
        <v>3119</v>
      </c>
      <c r="C1149" s="1" t="n">
        <v>352858</v>
      </c>
      <c r="E1149" s="14" t="s">
        <v>1102</v>
      </c>
      <c r="F1149" s="14" t="s">
        <v>169</v>
      </c>
      <c r="G1149" s="25" t="str">
        <f>HYPERLINK("http://www.ok.ru/profile/568388124349/statuses/155267503276221")</f>
      </c>
      <c r="H1149" s="14" t="s">
        <v>170</v>
      </c>
      <c r="I1149" s="14" t="s">
        <v>171</v>
      </c>
      <c r="J1149" s="14" t="s">
        <v>3120</v>
      </c>
      <c r="K1149" s="26" t="str">
        <f>HYPERLINK("http://www.ok.ru/profile/568388124349")</f>
      </c>
      <c r="L1149" s="14" t="s">
        <v>173</v>
      </c>
      <c r="O1149" s="1" t="s">
        <v>186</v>
      </c>
      <c r="P1149" s="1" t="n">
        <v>64</v>
      </c>
      <c r="Q1149" s="1" t="n">
        <v>225</v>
      </c>
      <c r="R1149" s="1" t="n">
        <v>0</v>
      </c>
      <c r="S1149" s="1"/>
      <c r="T1149" s="1" t="n">
        <v>0</v>
      </c>
      <c r="U1149" s="1" t="n">
        <v>2</v>
      </c>
      <c r="V1149" s="1" t="n">
        <v>2</v>
      </c>
      <c r="W1149" s="1"/>
      <c r="Y1149" s="1" t="n">
        <v>93</v>
      </c>
      <c r="Z1149" s="0" t="s">
        <v>175</v>
      </c>
      <c r="AA1149" s="0" t="s">
        <v>187</v>
      </c>
      <c r="AC1149" s="0" t="s">
        <v>177</v>
      </c>
      <c r="AH1149" s="0" t="s">
        <v>180</v>
      </c>
      <c r="AJ1149" s="0" t="s">
        <v>437</v>
      </c>
      <c r="AK1149" s="0" t="s">
        <v>94</v>
      </c>
      <c r="AL1149" s="0" t="s">
        <v>95</v>
      </c>
      <c r="AM1149" s="0" t="s">
        <v>96</v>
      </c>
      <c r="AU1149" s="0" t="s">
        <v>104</v>
      </c>
      <c r="AV1149" s="0" t="s">
        <v>105</v>
      </c>
    </row>
    <row r="1150">
      <c r="B1150" s="0" t="s">
        <v>3121</v>
      </c>
      <c r="C1150" s="1" t="n">
        <v>352477</v>
      </c>
      <c r="E1150" s="14" t="s">
        <v>3122</v>
      </c>
      <c r="F1150" s="14" t="s">
        <v>184</v>
      </c>
      <c r="G1150" s="25" t="str">
        <f>HYPERLINK("http://vk.com/wall-28182343_976236?reply=976756&amp;thread=976377")</f>
      </c>
      <c r="H1150" s="14" t="s">
        <v>170</v>
      </c>
      <c r="I1150" s="14" t="s">
        <v>231</v>
      </c>
      <c r="J1150" s="14" t="s">
        <v>3123</v>
      </c>
      <c r="K1150" s="26" t="str">
        <f>HYPERLINK("http://vk.com/id267798712")</f>
      </c>
      <c r="L1150" s="14" t="s">
        <v>173</v>
      </c>
      <c r="M1150" s="14" t="s">
        <v>3124</v>
      </c>
      <c r="N1150" s="25" t="str">
        <f>HYPERLINK("http://vk.com/club28182343")</f>
      </c>
      <c r="O1150" s="1" t="s">
        <v>186</v>
      </c>
      <c r="P1150" s="1" t="n">
        <v>15</v>
      </c>
      <c r="Q1150" s="1" t="n">
        <v>272952</v>
      </c>
      <c r="R1150" s="1" t="n">
        <v>0</v>
      </c>
      <c r="S1150" s="1"/>
      <c r="T1150" s="1" t="n">
        <v>0</v>
      </c>
      <c r="U1150" s="1" t="n">
        <v>0</v>
      </c>
      <c r="V1150" s="1" t="n">
        <v>0</v>
      </c>
      <c r="W1150" s="1"/>
      <c r="Y1150" s="1" t="n">
        <v>1</v>
      </c>
      <c r="Z1150" s="0" t="s">
        <v>175</v>
      </c>
      <c r="AA1150" s="0" t="s">
        <v>187</v>
      </c>
      <c r="AH1150" s="0" t="s">
        <v>180</v>
      </c>
      <c r="AI1150" s="0" t="s">
        <v>92</v>
      </c>
      <c r="AJ1150" s="0" t="s">
        <v>437</v>
      </c>
      <c r="AK1150" s="0" t="s">
        <v>94</v>
      </c>
      <c r="AL1150" s="0" t="s">
        <v>95</v>
      </c>
      <c r="AN1150" s="0" t="s">
        <v>97</v>
      </c>
      <c r="BG1150" s="0" t="s">
        <v>116</v>
      </c>
      <c r="BN1150" s="0" t="s">
        <v>123</v>
      </c>
    </row>
    <row r="1151" ht="24.75">
      <c r="B1151" s="0" t="s">
        <v>3125</v>
      </c>
      <c r="C1151" s="1" t="n">
        <v>352773</v>
      </c>
      <c r="E1151" s="14" t="s">
        <v>554</v>
      </c>
      <c r="F1151" s="14" t="s">
        <v>169</v>
      </c>
      <c r="G1151" s="25" t="str">
        <f>HYPERLINK("http://www.ok.ru/profile/529615893258/statuses/155682194262794")</f>
      </c>
      <c r="H1151" s="14" t="s">
        <v>170</v>
      </c>
      <c r="I1151" s="14" t="s">
        <v>171</v>
      </c>
      <c r="J1151" s="14" t="s">
        <v>3126</v>
      </c>
      <c r="K1151" s="26" t="str">
        <f>HYPERLINK("http://www.ok.ru/profile/529615893258")</f>
      </c>
      <c r="L1151" s="14" t="s">
        <v>173</v>
      </c>
      <c r="O1151" s="1" t="s">
        <v>186</v>
      </c>
      <c r="P1151" s="1" t="n">
        <v>67</v>
      </c>
      <c r="Q1151" s="1" t="n">
        <v>300</v>
      </c>
      <c r="R1151" s="1" t="n">
        <v>0</v>
      </c>
      <c r="S1151" s="1"/>
      <c r="T1151" s="1" t="n">
        <v>1</v>
      </c>
      <c r="U1151" s="1" t="n">
        <v>1</v>
      </c>
      <c r="V1151" s="1" t="n">
        <v>2</v>
      </c>
      <c r="W1151" s="1"/>
      <c r="Y1151" s="1" t="n">
        <v>59</v>
      </c>
      <c r="Z1151" s="0" t="s">
        <v>175</v>
      </c>
      <c r="AA1151" s="0" t="s">
        <v>176</v>
      </c>
      <c r="AC1151" s="0" t="s">
        <v>177</v>
      </c>
      <c r="AD1151" s="0" t="s">
        <v>392</v>
      </c>
      <c r="AE1151" s="0" t="s">
        <v>459</v>
      </c>
      <c r="AH1151" s="0" t="s">
        <v>180</v>
      </c>
      <c r="AJ1151" s="0" t="s">
        <v>437</v>
      </c>
      <c r="AK1151" s="0" t="s">
        <v>94</v>
      </c>
      <c r="AL1151" s="0" t="s">
        <v>95</v>
      </c>
      <c r="AM1151" s="0" t="s">
        <v>96</v>
      </c>
      <c r="AO1151" s="0" t="s">
        <v>98</v>
      </c>
      <c r="AQ1151" s="0" t="s">
        <v>100</v>
      </c>
    </row>
    <row r="1152">
      <c r="B1152" s="0" t="s">
        <v>3127</v>
      </c>
      <c r="C1152" s="1" t="n">
        <v>353315</v>
      </c>
      <c r="E1152" s="14" t="s">
        <v>1349</v>
      </c>
      <c r="F1152" s="14" t="s">
        <v>169</v>
      </c>
      <c r="G1152" s="25" t="str">
        <f>HYPERLINK("http://www.ok.ru/profile/538601967346/statuses/156054086991346")</f>
      </c>
      <c r="H1152" s="14" t="s">
        <v>170</v>
      </c>
      <c r="I1152" s="14" t="s">
        <v>194</v>
      </c>
      <c r="J1152" s="14" t="s">
        <v>3128</v>
      </c>
      <c r="K1152" s="26" t="str">
        <f>HYPERLINK("http://www.ok.ru/profile/538601967346")</f>
      </c>
      <c r="L1152" s="14" t="s">
        <v>173</v>
      </c>
      <c r="O1152" s="1" t="s">
        <v>186</v>
      </c>
      <c r="P1152" s="1" t="n">
        <v>58</v>
      </c>
      <c r="Q1152" s="1" t="n">
        <v>408</v>
      </c>
      <c r="R1152" s="1" t="n">
        <v>0</v>
      </c>
      <c r="S1152" s="1"/>
      <c r="T1152" s="1" t="n">
        <v>0</v>
      </c>
      <c r="U1152" s="1" t="n">
        <v>13</v>
      </c>
      <c r="V1152" s="1" t="n">
        <v>13</v>
      </c>
      <c r="W1152" s="1"/>
      <c r="Y1152" s="1" t="n">
        <v>15</v>
      </c>
      <c r="Z1152" s="0" t="s">
        <v>175</v>
      </c>
      <c r="AA1152" s="0" t="s">
        <v>187</v>
      </c>
      <c r="AC1152" s="0" t="s">
        <v>177</v>
      </c>
      <c r="AD1152" s="0" t="s">
        <v>1580</v>
      </c>
      <c r="AE1152" s="0" t="s">
        <v>1581</v>
      </c>
      <c r="AH1152" s="0" t="s">
        <v>180</v>
      </c>
      <c r="AJ1152" s="0" t="s">
        <v>437</v>
      </c>
      <c r="AK1152" s="0" t="s">
        <v>94</v>
      </c>
      <c r="AL1152" s="0" t="s">
        <v>95</v>
      </c>
      <c r="AM1152" s="0" t="s">
        <v>96</v>
      </c>
      <c r="AX1152" s="0" t="s">
        <v>107</v>
      </c>
      <c r="BF1152" s="0" t="s">
        <v>115</v>
      </c>
      <c r="BR1152" s="0" t="s">
        <v>127</v>
      </c>
    </row>
    <row r="1153">
      <c r="B1153" s="0" t="s">
        <v>3127</v>
      </c>
      <c r="C1153" s="1" t="n">
        <v>352252</v>
      </c>
      <c r="E1153" s="14" t="s">
        <v>3129</v>
      </c>
      <c r="F1153" s="14" t="s">
        <v>184</v>
      </c>
      <c r="G1153" s="25" t="str">
        <f>HYPERLINK("http://vk.com/wall-135482876_645111?reply=645741&amp;thread=645168")</f>
      </c>
      <c r="H1153" s="14" t="s">
        <v>170</v>
      </c>
      <c r="I1153" s="14" t="s">
        <v>231</v>
      </c>
      <c r="J1153" s="14" t="s">
        <v>3097</v>
      </c>
      <c r="K1153" s="26" t="str">
        <f>HYPERLINK("http://vk.com/id169982201")</f>
      </c>
      <c r="L1153" s="14" t="s">
        <v>173</v>
      </c>
      <c r="M1153" s="14" t="s">
        <v>3130</v>
      </c>
      <c r="N1153" s="25" t="str">
        <f>HYPERLINK("http://vk.com/club135482876")</f>
      </c>
      <c r="O1153" s="1" t="s">
        <v>186</v>
      </c>
      <c r="P1153" s="1" t="n">
        <v>25</v>
      </c>
      <c r="Q1153" s="1" t="n">
        <v>11942</v>
      </c>
      <c r="R1153" s="1" t="n">
        <v>0</v>
      </c>
      <c r="S1153" s="1"/>
      <c r="T1153" s="1" t="n">
        <v>0</v>
      </c>
      <c r="U1153" s="1" t="n">
        <v>0</v>
      </c>
      <c r="V1153" s="1" t="n">
        <v>0</v>
      </c>
      <c r="W1153" s="1"/>
      <c r="Y1153" s="1" t="n">
        <v>1</v>
      </c>
      <c r="Z1153" s="0" t="s">
        <v>319</v>
      </c>
      <c r="AA1153" s="0" t="s">
        <v>292</v>
      </c>
      <c r="AC1153" s="0" t="s">
        <v>177</v>
      </c>
      <c r="AD1153" s="0" t="s">
        <v>341</v>
      </c>
      <c r="AE1153" s="0" t="s">
        <v>3098</v>
      </c>
      <c r="AH1153" s="0" t="s">
        <v>180</v>
      </c>
      <c r="AI1153" s="0" t="s">
        <v>92</v>
      </c>
      <c r="AJ1153" s="0" t="s">
        <v>437</v>
      </c>
      <c r="AO1153" s="0" t="s">
        <v>98</v>
      </c>
      <c r="AY1153" s="0" t="s">
        <v>108</v>
      </c>
      <c r="BT1153" s="0" t="s">
        <v>129</v>
      </c>
      <c r="CH1153" s="0" t="s">
        <v>143</v>
      </c>
    </row>
    <row r="1154">
      <c r="B1154" s="0" t="s">
        <v>3131</v>
      </c>
      <c r="C1154" s="1" t="n">
        <v>352245</v>
      </c>
      <c r="E1154" s="14" t="s">
        <v>3132</v>
      </c>
      <c r="F1154" s="14" t="s">
        <v>192</v>
      </c>
      <c r="G1154" s="25" t="str">
        <f>HYPERLINK("https://telegram.me/tortuga_vlg/257762")</f>
      </c>
      <c r="H1154" s="14" t="s">
        <v>193</v>
      </c>
      <c r="I1154" s="14" t="s">
        <v>194</v>
      </c>
      <c r="J1154" s="14" t="s">
        <v>3133</v>
      </c>
      <c r="K1154" s="26" t="str">
        <f>HYPERLINK("https://telegram.me/kostidmaho")</f>
      </c>
      <c r="L1154" s="14" t="s">
        <v>173</v>
      </c>
      <c r="M1154" s="14" t="s">
        <v>3134</v>
      </c>
      <c r="N1154" s="25" t="str">
        <f>HYPERLINK("https://telegram.me/tortuga_vlg")</f>
      </c>
      <c r="O1154" s="1" t="s">
        <v>174</v>
      </c>
      <c r="P1154" s="1"/>
      <c r="Q1154" s="1" t="n">
        <v>90</v>
      </c>
      <c r="R1154" s="1" t="n">
        <v>0</v>
      </c>
      <c r="S1154" s="1"/>
      <c r="T1154" s="1" t="n">
        <v>0</v>
      </c>
      <c r="U1154" s="1" t="n">
        <v>0</v>
      </c>
      <c r="V1154" s="1" t="n">
        <v>0</v>
      </c>
      <c r="W1154" s="1"/>
      <c r="Y1154" s="1" t="n">
        <v>1</v>
      </c>
      <c r="Z1154" s="0" t="s">
        <v>175</v>
      </c>
      <c r="AA1154" s="0" t="s">
        <v>187</v>
      </c>
      <c r="AH1154" s="0" t="s">
        <v>180</v>
      </c>
      <c r="AJ1154" s="0" t="s">
        <v>437</v>
      </c>
      <c r="AK1154" s="0" t="s">
        <v>94</v>
      </c>
      <c r="AL1154" s="0" t="s">
        <v>95</v>
      </c>
      <c r="AN1154" s="0" t="s">
        <v>97</v>
      </c>
      <c r="AS1154" s="0" t="s">
        <v>102</v>
      </c>
      <c r="AT1154" s="0" t="s">
        <v>103</v>
      </c>
      <c r="BF1154" s="0" t="s">
        <v>115</v>
      </c>
      <c r="BG1154" s="0" t="s">
        <v>116</v>
      </c>
    </row>
    <row r="1155" ht="24.75">
      <c r="B1155" s="0" t="s">
        <v>3131</v>
      </c>
      <c r="C1155" s="1" t="n">
        <v>352891</v>
      </c>
      <c r="E1155" s="14" t="s">
        <v>554</v>
      </c>
      <c r="F1155" s="14" t="s">
        <v>169</v>
      </c>
      <c r="G1155" s="25" t="str">
        <f>HYPERLINK("http://www.ok.ru/profile/547934549895/statuses/155508657981575")</f>
      </c>
      <c r="H1155" s="14" t="s">
        <v>170</v>
      </c>
      <c r="I1155" s="14" t="s">
        <v>171</v>
      </c>
      <c r="J1155" s="14" t="s">
        <v>3135</v>
      </c>
      <c r="K1155" s="26" t="str">
        <f>HYPERLINK("http://www.ok.ru/profile/547934549895")</f>
      </c>
      <c r="L1155" s="14" t="s">
        <v>173</v>
      </c>
      <c r="O1155" s="1" t="s">
        <v>186</v>
      </c>
      <c r="P1155" s="1" t="n">
        <v>45</v>
      </c>
      <c r="Q1155" s="1" t="n">
        <v>510</v>
      </c>
      <c r="R1155" s="1" t="n">
        <v>0</v>
      </c>
      <c r="S1155" s="1"/>
      <c r="T1155" s="1" t="n">
        <v>0</v>
      </c>
      <c r="U1155" s="1" t="n">
        <v>1</v>
      </c>
      <c r="V1155" s="1" t="n">
        <v>1</v>
      </c>
      <c r="W1155" s="1"/>
      <c r="Y1155" s="1" t="n">
        <v>59</v>
      </c>
      <c r="Z1155" s="0" t="s">
        <v>175</v>
      </c>
      <c r="AA1155" s="0" t="s">
        <v>176</v>
      </c>
      <c r="AC1155" s="0" t="s">
        <v>177</v>
      </c>
      <c r="AH1155" s="0" t="s">
        <v>180</v>
      </c>
      <c r="AJ1155" s="0" t="s">
        <v>437</v>
      </c>
      <c r="AK1155" s="0" t="s">
        <v>94</v>
      </c>
      <c r="AL1155" s="0" t="s">
        <v>95</v>
      </c>
      <c r="AM1155" s="0" t="s">
        <v>96</v>
      </c>
      <c r="AO1155" s="0" t="s">
        <v>98</v>
      </c>
      <c r="AQ1155" s="0" t="s">
        <v>100</v>
      </c>
    </row>
    <row r="1156" ht="36.75">
      <c r="B1156" s="0" t="s">
        <v>3131</v>
      </c>
      <c r="C1156" s="1" t="n">
        <v>352788</v>
      </c>
      <c r="E1156" s="14" t="s">
        <v>1189</v>
      </c>
      <c r="F1156" s="14" t="s">
        <v>169</v>
      </c>
      <c r="G1156" s="25" t="str">
        <f>HYPERLINK("http://www.ok.ru/profile/521445150358/statuses/155734292797590")</f>
      </c>
      <c r="H1156" s="14" t="s">
        <v>170</v>
      </c>
      <c r="I1156" s="14" t="s">
        <v>171</v>
      </c>
      <c r="J1156" s="14" t="s">
        <v>3136</v>
      </c>
      <c r="K1156" s="26" t="str">
        <f>HYPERLINK("http://www.ok.ru/profile/521445150358")</f>
      </c>
      <c r="L1156" s="14" t="s">
        <v>173</v>
      </c>
      <c r="O1156" s="1" t="s">
        <v>186</v>
      </c>
      <c r="P1156" s="1" t="n">
        <v>61</v>
      </c>
      <c r="Q1156" s="1" t="n">
        <v>276</v>
      </c>
      <c r="R1156" s="1" t="n">
        <v>0</v>
      </c>
      <c r="S1156" s="1"/>
      <c r="T1156" s="1" t="n">
        <v>0</v>
      </c>
      <c r="U1156" s="1" t="n">
        <v>2</v>
      </c>
      <c r="V1156" s="1" t="n">
        <v>2</v>
      </c>
      <c r="W1156" s="1"/>
      <c r="Y1156" s="1" t="n">
        <v>46</v>
      </c>
      <c r="Z1156" s="0" t="s">
        <v>175</v>
      </c>
      <c r="AA1156" s="0" t="s">
        <v>187</v>
      </c>
      <c r="AC1156" s="0" t="s">
        <v>177</v>
      </c>
      <c r="AD1156" s="0" t="s">
        <v>234</v>
      </c>
      <c r="AE1156" s="0" t="s">
        <v>1845</v>
      </c>
      <c r="AH1156" s="0" t="s">
        <v>180</v>
      </c>
      <c r="AJ1156" s="0" t="s">
        <v>437</v>
      </c>
      <c r="AK1156" s="0" t="s">
        <v>94</v>
      </c>
      <c r="AL1156" s="0" t="s">
        <v>95</v>
      </c>
      <c r="AM1156" s="0" t="s">
        <v>96</v>
      </c>
      <c r="AO1156" s="0" t="s">
        <v>98</v>
      </c>
      <c r="AQ1156" s="0" t="s">
        <v>100</v>
      </c>
    </row>
    <row r="1157" ht="720.75">
      <c r="B1157" s="0" t="s">
        <v>3137</v>
      </c>
      <c r="C1157" s="1" t="n">
        <v>352424</v>
      </c>
      <c r="E1157" s="14" t="s">
        <v>1811</v>
      </c>
      <c r="F1157" s="14" t="s">
        <v>169</v>
      </c>
      <c r="G1157" s="25" t="str">
        <f>HYPERLINK("http://www.ok.ru/profile/573212975054/statuses/156144838227406")</f>
      </c>
      <c r="H1157" s="14" t="s">
        <v>170</v>
      </c>
      <c r="I1157" s="14" t="s">
        <v>171</v>
      </c>
      <c r="J1157" s="14" t="s">
        <v>3138</v>
      </c>
      <c r="K1157" s="26" t="str">
        <f>HYPERLINK("http://www.ok.ru/profile/573212975054")</f>
      </c>
      <c r="L1157" s="14" t="s">
        <v>173</v>
      </c>
      <c r="O1157" s="1" t="s">
        <v>174</v>
      </c>
      <c r="P1157" s="1" t="n">
        <v>60</v>
      </c>
      <c r="Q1157" s="1" t="n">
        <v>413</v>
      </c>
      <c r="R1157" s="1" t="n">
        <v>0</v>
      </c>
      <c r="S1157" s="1"/>
      <c r="T1157" s="1" t="n">
        <v>0</v>
      </c>
      <c r="U1157" s="1" t="n">
        <v>0</v>
      </c>
      <c r="V1157" s="1" t="n">
        <v>0</v>
      </c>
      <c r="W1157" s="1"/>
      <c r="Y1157" s="1" t="n">
        <v>13</v>
      </c>
      <c r="Z1157" s="0" t="s">
        <v>175</v>
      </c>
      <c r="AA1157" s="0" t="s">
        <v>176</v>
      </c>
      <c r="AC1157" s="0" t="s">
        <v>177</v>
      </c>
      <c r="AD1157" s="0" t="s">
        <v>1169</v>
      </c>
      <c r="AE1157" s="0" t="s">
        <v>1170</v>
      </c>
      <c r="AH1157" s="0" t="s">
        <v>180</v>
      </c>
      <c r="AJ1157" s="0" t="s">
        <v>437</v>
      </c>
      <c r="AK1157" s="0" t="s">
        <v>94</v>
      </c>
      <c r="AR1157" s="0" t="s">
        <v>101</v>
      </c>
      <c r="AZ1157" s="0" t="s">
        <v>109</v>
      </c>
      <c r="BA1157" s="0" t="s">
        <v>110</v>
      </c>
      <c r="BF1157" s="0" t="s">
        <v>115</v>
      </c>
    </row>
    <row r="1158">
      <c r="B1158" s="0" t="s">
        <v>3139</v>
      </c>
      <c r="C1158" s="1" t="n">
        <v>352405</v>
      </c>
      <c r="E1158" s="14" t="s">
        <v>3140</v>
      </c>
      <c r="F1158" s="14" t="s">
        <v>375</v>
      </c>
      <c r="G1158" s="25" t="str">
        <f>HYPERLINK("https://www.babyblog.ru/community/living/post/3308287")</f>
      </c>
      <c r="H1158" s="14" t="s">
        <v>376</v>
      </c>
      <c r="I1158" s="14" t="s">
        <v>231</v>
      </c>
      <c r="J1158" s="14" t="s">
        <v>3141</v>
      </c>
      <c r="L1158" s="14"/>
      <c r="M1158" s="14" t="s">
        <v>378</v>
      </c>
      <c r="O1158" s="1"/>
      <c r="P1158" s="1"/>
      <c r="Q1158" s="1"/>
      <c r="R1158" s="1" t="n">
        <v>0</v>
      </c>
      <c r="S1158" s="1"/>
      <c r="T1158" s="1" t="n">
        <v>0</v>
      </c>
      <c r="U1158" s="1" t="n">
        <v>0</v>
      </c>
      <c r="V1158" s="1" t="n">
        <v>0</v>
      </c>
      <c r="W1158" s="1"/>
      <c r="Y1158" s="1" t="n">
        <v>1</v>
      </c>
      <c r="Z1158" s="0" t="s">
        <v>175</v>
      </c>
      <c r="AA1158" s="0" t="s">
        <v>187</v>
      </c>
      <c r="AH1158" s="0" t="s">
        <v>180</v>
      </c>
      <c r="AI1158" s="0" t="s">
        <v>92</v>
      </c>
      <c r="AJ1158" s="0" t="s">
        <v>437</v>
      </c>
      <c r="AK1158" s="0" t="s">
        <v>94</v>
      </c>
      <c r="AN1158" s="0" t="s">
        <v>97</v>
      </c>
      <c r="AS1158" s="0" t="s">
        <v>102</v>
      </c>
      <c r="AT1158" s="0" t="s">
        <v>103</v>
      </c>
      <c r="AZ1158" s="0" t="s">
        <v>109</v>
      </c>
      <c r="BJ1158" s="0" t="s">
        <v>119</v>
      </c>
      <c r="BO1158" s="0" t="s">
        <v>124</v>
      </c>
    </row>
    <row r="1159" ht="36.75">
      <c r="B1159" s="0" t="s">
        <v>3139</v>
      </c>
      <c r="C1159" s="1" t="n">
        <v>352328</v>
      </c>
      <c r="E1159" s="14" t="s">
        <v>2533</v>
      </c>
      <c r="F1159" s="14" t="s">
        <v>184</v>
      </c>
      <c r="G1159" s="25" t="str">
        <f>HYPERLINK("http://vk.com/wall-166506217_10849")</f>
      </c>
      <c r="H1159" s="14" t="s">
        <v>170</v>
      </c>
      <c r="I1159" s="14" t="s">
        <v>171</v>
      </c>
      <c r="J1159" s="14" t="s">
        <v>3142</v>
      </c>
      <c r="K1159" s="26" t="str">
        <f>HYPERLINK("http://vk.com/club166506217")</f>
      </c>
      <c r="L1159" s="14" t="s">
        <v>274</v>
      </c>
      <c r="O1159" s="1"/>
      <c r="P1159" s="1"/>
      <c r="Q1159" s="1" t="n">
        <v>9</v>
      </c>
      <c r="R1159" s="1" t="n">
        <v>0</v>
      </c>
      <c r="S1159" s="1"/>
      <c r="T1159" s="1" t="n">
        <v>0</v>
      </c>
      <c r="U1159" s="1" t="n">
        <v>0</v>
      </c>
      <c r="V1159" s="1" t="n">
        <v>0</v>
      </c>
      <c r="W1159" s="1"/>
      <c r="Y1159" s="1" t="n">
        <v>9</v>
      </c>
      <c r="Z1159" s="0" t="s">
        <v>175</v>
      </c>
      <c r="AA1159" s="0" t="s">
        <v>187</v>
      </c>
      <c r="AH1159" s="0" t="s">
        <v>180</v>
      </c>
      <c r="AJ1159" s="0" t="s">
        <v>437</v>
      </c>
      <c r="AK1159" s="0" t="s">
        <v>94</v>
      </c>
      <c r="AT1159" s="0" t="s">
        <v>103</v>
      </c>
      <c r="AZ1159" s="0" t="s">
        <v>109</v>
      </c>
      <c r="BE1159" s="0" t="s">
        <v>114</v>
      </c>
      <c r="BX1159" s="0" t="s">
        <v>133</v>
      </c>
      <c r="CD1159" s="0" t="s">
        <v>139</v>
      </c>
    </row>
    <row r="1160" ht="36.75">
      <c r="B1160" s="0" t="s">
        <v>3139</v>
      </c>
      <c r="C1160" s="1" t="n">
        <v>352903</v>
      </c>
      <c r="E1160" s="14" t="s">
        <v>1189</v>
      </c>
      <c r="F1160" s="14" t="s">
        <v>169</v>
      </c>
      <c r="G1160" s="25" t="str">
        <f>HYPERLINK("http://www.ok.ru/profile/550916827612/statuses/155434134893532")</f>
      </c>
      <c r="H1160" s="14" t="s">
        <v>170</v>
      </c>
      <c r="I1160" s="14" t="s">
        <v>171</v>
      </c>
      <c r="J1160" s="14" t="s">
        <v>3143</v>
      </c>
      <c r="K1160" s="26" t="str">
        <f>HYPERLINK("http://www.ok.ru/profile/550916827612")</f>
      </c>
      <c r="L1160" s="14" t="s">
        <v>173</v>
      </c>
      <c r="O1160" s="1" t="s">
        <v>186</v>
      </c>
      <c r="P1160" s="1" t="n">
        <v>63</v>
      </c>
      <c r="Q1160" s="1" t="n">
        <v>287</v>
      </c>
      <c r="R1160" s="1" t="n">
        <v>0</v>
      </c>
      <c r="S1160" s="1"/>
      <c r="T1160" s="1" t="n">
        <v>0</v>
      </c>
      <c r="U1160" s="1" t="n">
        <v>4</v>
      </c>
      <c r="V1160" s="1" t="n">
        <v>4</v>
      </c>
      <c r="W1160" s="1"/>
      <c r="Y1160" s="1" t="n">
        <v>46</v>
      </c>
      <c r="Z1160" s="0" t="s">
        <v>175</v>
      </c>
      <c r="AA1160" s="0" t="s">
        <v>187</v>
      </c>
      <c r="AC1160" s="0" t="s">
        <v>177</v>
      </c>
      <c r="AH1160" s="0" t="s">
        <v>180</v>
      </c>
      <c r="AJ1160" s="0" t="s">
        <v>437</v>
      </c>
      <c r="AK1160" s="0" t="s">
        <v>94</v>
      </c>
      <c r="AL1160" s="0" t="s">
        <v>95</v>
      </c>
      <c r="AM1160" s="0" t="s">
        <v>96</v>
      </c>
      <c r="AO1160" s="0" t="s">
        <v>98</v>
      </c>
      <c r="AQ1160" s="0" t="s">
        <v>100</v>
      </c>
    </row>
    <row r="1161">
      <c r="B1161" s="0" t="s">
        <v>3144</v>
      </c>
      <c r="C1161" s="1" t="n">
        <v>352247</v>
      </c>
      <c r="E1161" s="14" t="s">
        <v>3145</v>
      </c>
      <c r="F1161" s="14" t="s">
        <v>184</v>
      </c>
      <c r="G1161" s="25" t="str">
        <f>HYPERLINK("http://vk.com/wall-51700884_1805845?reply=1806933")</f>
      </c>
      <c r="H1161" s="14" t="s">
        <v>170</v>
      </c>
      <c r="I1161" s="14" t="s">
        <v>231</v>
      </c>
      <c r="J1161" s="14" t="s">
        <v>2937</v>
      </c>
      <c r="K1161" s="26" t="str">
        <f>HYPERLINK("http://vk.com/id793510155")</f>
      </c>
      <c r="L1161" s="14" t="s">
        <v>173</v>
      </c>
      <c r="M1161" s="14" t="s">
        <v>2951</v>
      </c>
      <c r="N1161" s="25" t="str">
        <f>HYPERLINK("http://vk.com/club51700884")</f>
      </c>
      <c r="O1161" s="1" t="s">
        <v>186</v>
      </c>
      <c r="P1161" s="1" t="n">
        <v>23</v>
      </c>
      <c r="Q1161" s="1" t="n">
        <v>37179</v>
      </c>
      <c r="R1161" s="1" t="n">
        <v>0</v>
      </c>
      <c r="S1161" s="1"/>
      <c r="T1161" s="1" t="n">
        <v>0</v>
      </c>
      <c r="U1161" s="1" t="n">
        <v>0</v>
      </c>
      <c r="V1161" s="1" t="n">
        <v>0</v>
      </c>
      <c r="W1161" s="1"/>
      <c r="Y1161" s="1" t="n">
        <v>1</v>
      </c>
      <c r="Z1161" s="0" t="s">
        <v>319</v>
      </c>
      <c r="AA1161" s="0" t="s">
        <v>292</v>
      </c>
      <c r="AH1161" s="0" t="s">
        <v>180</v>
      </c>
      <c r="AI1161" s="0" t="s">
        <v>92</v>
      </c>
      <c r="AJ1161" s="0" t="s">
        <v>437</v>
      </c>
      <c r="AN1161" s="0" t="s">
        <v>97</v>
      </c>
      <c r="AS1161" s="0" t="s">
        <v>102</v>
      </c>
      <c r="AY1161" s="0" t="s">
        <v>108</v>
      </c>
      <c r="BS1161" s="0" t="s">
        <v>128</v>
      </c>
    </row>
    <row r="1162">
      <c r="B1162" s="0" t="s">
        <v>3146</v>
      </c>
      <c r="C1162" s="1" t="n">
        <v>352567</v>
      </c>
      <c r="E1162" s="14" t="s">
        <v>1447</v>
      </c>
      <c r="F1162" s="14" t="s">
        <v>169</v>
      </c>
      <c r="G1162" s="25" t="str">
        <f>HYPERLINK("http://www.ok.ru/profile/419938629844/statuses/155978807459284")</f>
      </c>
      <c r="H1162" s="14" t="s">
        <v>170</v>
      </c>
      <c r="I1162" s="14" t="s">
        <v>171</v>
      </c>
      <c r="J1162" s="14" t="s">
        <v>3147</v>
      </c>
      <c r="K1162" s="26" t="str">
        <f>HYPERLINK("http://www.ok.ru/profile/419938629844")</f>
      </c>
      <c r="L1162" s="14" t="s">
        <v>173</v>
      </c>
      <c r="O1162" s="1" t="s">
        <v>186</v>
      </c>
      <c r="P1162" s="1"/>
      <c r="Q1162" s="1" t="n">
        <v>442</v>
      </c>
      <c r="R1162" s="1" t="n">
        <v>0</v>
      </c>
      <c r="S1162" s="1"/>
      <c r="T1162" s="1" t="n">
        <v>0</v>
      </c>
      <c r="U1162" s="1" t="n">
        <v>0</v>
      </c>
      <c r="V1162" s="1" t="n">
        <v>0</v>
      </c>
      <c r="W1162" s="1"/>
      <c r="Y1162" s="1" t="n">
        <v>1</v>
      </c>
      <c r="Z1162" s="0" t="s">
        <v>175</v>
      </c>
      <c r="AA1162" s="0" t="s">
        <v>187</v>
      </c>
      <c r="AC1162" s="0" t="s">
        <v>177</v>
      </c>
      <c r="AD1162" s="0" t="s">
        <v>1104</v>
      </c>
      <c r="AE1162" s="0" t="s">
        <v>3148</v>
      </c>
      <c r="AH1162" s="0" t="s">
        <v>180</v>
      </c>
      <c r="AJ1162" s="0" t="s">
        <v>437</v>
      </c>
      <c r="AK1162" s="0" t="s">
        <v>94</v>
      </c>
      <c r="AL1162" s="0" t="s">
        <v>95</v>
      </c>
      <c r="AM1162" s="0" t="s">
        <v>96</v>
      </c>
      <c r="AU1162" s="0" t="s">
        <v>104</v>
      </c>
      <c r="AV1162" s="0" t="s">
        <v>105</v>
      </c>
    </row>
    <row r="1163" ht="36.75">
      <c r="B1163" s="0" t="s">
        <v>3149</v>
      </c>
      <c r="C1163" s="1" t="n">
        <v>352311</v>
      </c>
      <c r="E1163" s="14" t="s">
        <v>1218</v>
      </c>
      <c r="F1163" s="14" t="s">
        <v>184</v>
      </c>
      <c r="G1163" s="25" t="str">
        <f>HYPERLINK("http://vk.com/wall707571042_235")</f>
      </c>
      <c r="H1163" s="14" t="s">
        <v>170</v>
      </c>
      <c r="I1163" s="14" t="s">
        <v>171</v>
      </c>
      <c r="J1163" s="14" t="s">
        <v>3150</v>
      </c>
      <c r="K1163" s="26" t="str">
        <f>HYPERLINK("http://vk.com/id707571042")</f>
      </c>
      <c r="L1163" s="14" t="s">
        <v>173</v>
      </c>
      <c r="O1163" s="1" t="s">
        <v>186</v>
      </c>
      <c r="P1163" s="1" t="n">
        <v>15</v>
      </c>
      <c r="Q1163" s="1" t="n">
        <v>46</v>
      </c>
      <c r="R1163" s="1" t="n">
        <v>0</v>
      </c>
      <c r="S1163" s="1"/>
      <c r="T1163" s="1" t="n">
        <v>0</v>
      </c>
      <c r="U1163" s="1" t="n">
        <v>0</v>
      </c>
      <c r="V1163" s="1" t="n">
        <v>0</v>
      </c>
      <c r="W1163" s="1" t="n">
        <v>2</v>
      </c>
      <c r="Y1163" s="1" t="n">
        <v>9</v>
      </c>
      <c r="Z1163" s="0" t="s">
        <v>175</v>
      </c>
      <c r="AA1163" s="0" t="s">
        <v>187</v>
      </c>
      <c r="AH1163" s="0" t="s">
        <v>180</v>
      </c>
      <c r="AJ1163" s="0" t="s">
        <v>437</v>
      </c>
      <c r="AK1163" s="0" t="s">
        <v>94</v>
      </c>
      <c r="AM1163" s="0" t="s">
        <v>96</v>
      </c>
      <c r="AZ1163" s="0" t="s">
        <v>109</v>
      </c>
      <c r="BC1163" s="0" t="s">
        <v>112</v>
      </c>
      <c r="BI1163" s="0" t="s">
        <v>118</v>
      </c>
      <c r="BN1163" s="0" t="s">
        <v>123</v>
      </c>
    </row>
    <row r="1164" ht="24.75">
      <c r="B1164" s="0" t="s">
        <v>3151</v>
      </c>
      <c r="C1164" s="1" t="n">
        <v>353527</v>
      </c>
      <c r="E1164" s="14" t="s">
        <v>3152</v>
      </c>
      <c r="F1164" s="14" t="s">
        <v>169</v>
      </c>
      <c r="G1164" s="25" t="str">
        <f>HYPERLINK("http://www.ok.ru/profile/552430104662/statuses/156124506594646")</f>
      </c>
      <c r="H1164" s="14" t="s">
        <v>170</v>
      </c>
      <c r="I1164" s="14" t="s">
        <v>171</v>
      </c>
      <c r="J1164" s="14" t="s">
        <v>3153</v>
      </c>
      <c r="K1164" s="26" t="str">
        <f>HYPERLINK("http://www.ok.ru/profile/552430104662")</f>
      </c>
      <c r="L1164" s="14" t="s">
        <v>173</v>
      </c>
      <c r="O1164" s="1" t="s">
        <v>186</v>
      </c>
      <c r="P1164" s="1" t="n">
        <v>66</v>
      </c>
      <c r="Q1164" s="1" t="n">
        <v>528</v>
      </c>
      <c r="R1164" s="1" t="n">
        <v>0</v>
      </c>
      <c r="S1164" s="1"/>
      <c r="T1164" s="1" t="n">
        <v>0</v>
      </c>
      <c r="U1164" s="1" t="n">
        <v>0</v>
      </c>
      <c r="V1164" s="1" t="n">
        <v>0</v>
      </c>
      <c r="W1164" s="1"/>
      <c r="Y1164" s="1" t="n">
        <v>1</v>
      </c>
      <c r="Z1164" s="0" t="s">
        <v>175</v>
      </c>
      <c r="AA1164" s="0" t="s">
        <v>187</v>
      </c>
      <c r="AC1164" s="0" t="s">
        <v>177</v>
      </c>
      <c r="AD1164" s="0" t="s">
        <v>1385</v>
      </c>
      <c r="AE1164" s="0" t="s">
        <v>2563</v>
      </c>
      <c r="AH1164" s="0" t="s">
        <v>180</v>
      </c>
      <c r="AJ1164" s="0" t="s">
        <v>437</v>
      </c>
      <c r="AK1164" s="0" t="s">
        <v>94</v>
      </c>
      <c r="AL1164" s="0" t="s">
        <v>95</v>
      </c>
      <c r="AN1164" s="0" t="s">
        <v>97</v>
      </c>
      <c r="AS1164" s="0" t="s">
        <v>102</v>
      </c>
      <c r="AT1164" s="0" t="s">
        <v>103</v>
      </c>
      <c r="AW1164" s="0" t="s">
        <v>106</v>
      </c>
      <c r="BE1164" s="0" t="s">
        <v>114</v>
      </c>
      <c r="BK1164" s="0" t="s">
        <v>120</v>
      </c>
      <c r="BL1164" s="0" t="s">
        <v>121</v>
      </c>
      <c r="BX1164" s="0" t="s">
        <v>133</v>
      </c>
    </row>
    <row r="1165">
      <c r="B1165" s="0" t="s">
        <v>3154</v>
      </c>
      <c r="C1165" s="1" t="n">
        <v>352225</v>
      </c>
      <c r="E1165" s="14" t="s">
        <v>3155</v>
      </c>
      <c r="F1165" s="14" t="s">
        <v>184</v>
      </c>
      <c r="G1165" s="25" t="str">
        <f>HYPERLINK("http://vk.com/wall-131081771_1568641?reply=1591226&amp;thread=1568839")</f>
      </c>
      <c r="H1165" s="14" t="s">
        <v>170</v>
      </c>
      <c r="I1165" s="14" t="s">
        <v>231</v>
      </c>
      <c r="J1165" s="14" t="s">
        <v>3156</v>
      </c>
      <c r="K1165" s="26" t="str">
        <f>HYPERLINK("http://vk.com/id793566988")</f>
      </c>
      <c r="L1165" s="14" t="s">
        <v>173</v>
      </c>
      <c r="M1165" s="14" t="s">
        <v>3157</v>
      </c>
      <c r="N1165" s="25" t="str">
        <f>HYPERLINK("http://vk.com/club131081771")</f>
      </c>
      <c r="O1165" s="1" t="s">
        <v>186</v>
      </c>
      <c r="P1165" s="1"/>
      <c r="Q1165" s="1" t="n">
        <v>30477</v>
      </c>
      <c r="R1165" s="1" t="n">
        <v>0</v>
      </c>
      <c r="S1165" s="1"/>
      <c r="T1165" s="1" t="n">
        <v>0</v>
      </c>
      <c r="U1165" s="1" t="n">
        <v>0</v>
      </c>
      <c r="V1165" s="1" t="n">
        <v>0</v>
      </c>
      <c r="W1165" s="1"/>
      <c r="Y1165" s="1" t="n">
        <v>1</v>
      </c>
      <c r="Z1165" s="0" t="s">
        <v>319</v>
      </c>
      <c r="AA1165" s="0" t="s">
        <v>292</v>
      </c>
      <c r="AH1165" s="0" t="s">
        <v>180</v>
      </c>
      <c r="AI1165" s="0" t="s">
        <v>92</v>
      </c>
      <c r="AJ1165" s="0" t="s">
        <v>437</v>
      </c>
      <c r="AO1165" s="0" t="s">
        <v>98</v>
      </c>
      <c r="AY1165" s="0" t="s">
        <v>108</v>
      </c>
      <c r="BT1165" s="0" t="s">
        <v>129</v>
      </c>
      <c r="CH1165" s="0" t="s">
        <v>143</v>
      </c>
    </row>
    <row r="1166" ht="24.75">
      <c r="B1166" s="0" t="s">
        <v>3158</v>
      </c>
      <c r="C1166" s="1" t="n">
        <v>352831</v>
      </c>
      <c r="E1166" s="14" t="s">
        <v>554</v>
      </c>
      <c r="F1166" s="14" t="s">
        <v>169</v>
      </c>
      <c r="G1166" s="25" t="str">
        <f>HYPERLINK("http://www.ok.ru/profile/580374246683/statuses/155214606442523")</f>
      </c>
      <c r="H1166" s="14" t="s">
        <v>170</v>
      </c>
      <c r="I1166" s="14" t="s">
        <v>171</v>
      </c>
      <c r="J1166" s="14" t="s">
        <v>3159</v>
      </c>
      <c r="K1166" s="26" t="str">
        <f>HYPERLINK("http://www.ok.ru/profile/580374246683")</f>
      </c>
      <c r="L1166" s="14" t="s">
        <v>173</v>
      </c>
      <c r="O1166" s="1" t="s">
        <v>186</v>
      </c>
      <c r="P1166" s="1"/>
      <c r="Q1166" s="1" t="n">
        <v>470</v>
      </c>
      <c r="R1166" s="1" t="n">
        <v>0</v>
      </c>
      <c r="S1166" s="1"/>
      <c r="T1166" s="1" t="n">
        <v>0</v>
      </c>
      <c r="U1166" s="1" t="n">
        <v>0</v>
      </c>
      <c r="V1166" s="1" t="n">
        <v>0</v>
      </c>
      <c r="W1166" s="1"/>
      <c r="Y1166" s="1" t="n">
        <v>59</v>
      </c>
      <c r="Z1166" s="0" t="s">
        <v>175</v>
      </c>
      <c r="AA1166" s="0" t="s">
        <v>176</v>
      </c>
      <c r="AC1166" s="0" t="s">
        <v>177</v>
      </c>
      <c r="AD1166" s="0" t="s">
        <v>178</v>
      </c>
      <c r="AE1166" s="0" t="s">
        <v>2061</v>
      </c>
      <c r="AH1166" s="0" t="s">
        <v>180</v>
      </c>
      <c r="AJ1166" s="0" t="s">
        <v>437</v>
      </c>
      <c r="AK1166" s="0" t="s">
        <v>94</v>
      </c>
      <c r="AL1166" s="0" t="s">
        <v>95</v>
      </c>
      <c r="AM1166" s="0" t="s">
        <v>96</v>
      </c>
      <c r="AO1166" s="0" t="s">
        <v>98</v>
      </c>
      <c r="AQ1166" s="0" t="s">
        <v>100</v>
      </c>
    </row>
    <row r="1167" ht="24.75">
      <c r="B1167" s="0" t="s">
        <v>3158</v>
      </c>
      <c r="C1167" s="1" t="n">
        <v>352234</v>
      </c>
      <c r="E1167" s="14" t="s">
        <v>3160</v>
      </c>
      <c r="F1167" s="14" t="s">
        <v>184</v>
      </c>
      <c r="G1167" s="25" t="str">
        <f>HYPERLINK("http://vk.com/wall-1678339_2239751")</f>
      </c>
      <c r="H1167" s="14" t="s">
        <v>170</v>
      </c>
      <c r="I1167" s="14" t="s">
        <v>194</v>
      </c>
      <c r="J1167" s="14" t="s">
        <v>1674</v>
      </c>
      <c r="K1167" s="26" t="str">
        <f>HYPERLINK("http://vk.com/club1678339")</f>
      </c>
      <c r="L1167" s="14" t="s">
        <v>274</v>
      </c>
      <c r="O1167" s="1"/>
      <c r="P1167" s="1"/>
      <c r="Q1167" s="1" t="n">
        <v>39553</v>
      </c>
      <c r="R1167" s="1" t="n">
        <v>13</v>
      </c>
      <c r="S1167" s="1"/>
      <c r="T1167" s="1" t="n">
        <v>2</v>
      </c>
      <c r="U1167" s="1" t="n">
        <v>0</v>
      </c>
      <c r="V1167" s="1" t="n">
        <v>15</v>
      </c>
      <c r="W1167" s="1" t="n">
        <v>2211</v>
      </c>
      <c r="Y1167" s="1" t="n">
        <v>1</v>
      </c>
      <c r="Z1167" s="0" t="s">
        <v>175</v>
      </c>
      <c r="AA1167" s="0" t="s">
        <v>187</v>
      </c>
      <c r="AC1167" s="0" t="s">
        <v>177</v>
      </c>
      <c r="AD1167" s="0" t="s">
        <v>188</v>
      </c>
      <c r="AE1167" s="0" t="s">
        <v>535</v>
      </c>
      <c r="AH1167" s="0" t="s">
        <v>180</v>
      </c>
      <c r="AJ1167" s="0" t="s">
        <v>437</v>
      </c>
      <c r="AK1167" s="0" t="s">
        <v>94</v>
      </c>
      <c r="AL1167" s="0" t="s">
        <v>95</v>
      </c>
      <c r="AS1167" s="0" t="s">
        <v>102</v>
      </c>
      <c r="BB1167" s="0" t="s">
        <v>111</v>
      </c>
      <c r="BC1167" s="0" t="s">
        <v>112</v>
      </c>
      <c r="CB1167" s="0" t="s">
        <v>137</v>
      </c>
      <c r="CX1167" s="0" t="s">
        <v>159</v>
      </c>
      <c r="CY1167" s="0" t="s">
        <v>160</v>
      </c>
    </row>
    <row r="1168">
      <c r="B1168" s="0" t="s">
        <v>3158</v>
      </c>
      <c r="C1168" s="1" t="n">
        <v>352222</v>
      </c>
      <c r="E1168" s="14" t="s">
        <v>3161</v>
      </c>
      <c r="F1168" s="14" t="s">
        <v>184</v>
      </c>
      <c r="G1168" s="25" t="str">
        <f>HYPERLINK("http://vk.com/wall-203023242_19133?reply=19241&amp;thread=19145")</f>
      </c>
      <c r="H1168" s="14" t="s">
        <v>170</v>
      </c>
      <c r="I1168" s="14" t="s">
        <v>231</v>
      </c>
      <c r="J1168" s="14" t="s">
        <v>3156</v>
      </c>
      <c r="K1168" s="26" t="str">
        <f>HYPERLINK("http://vk.com/id793566988")</f>
      </c>
      <c r="L1168" s="14" t="s">
        <v>173</v>
      </c>
      <c r="M1168" s="14" t="s">
        <v>553</v>
      </c>
      <c r="N1168" s="25" t="str">
        <f>HYPERLINK("http://vk.com/club203023242")</f>
      </c>
      <c r="O1168" s="1" t="s">
        <v>186</v>
      </c>
      <c r="P1168" s="1"/>
      <c r="Q1168" s="1" t="n">
        <v>5390</v>
      </c>
      <c r="R1168" s="1" t="n">
        <v>0</v>
      </c>
      <c r="S1168" s="1"/>
      <c r="T1168" s="1" t="n">
        <v>0</v>
      </c>
      <c r="U1168" s="1" t="n">
        <v>0</v>
      </c>
      <c r="V1168" s="1" t="n">
        <v>0</v>
      </c>
      <c r="W1168" s="1"/>
      <c r="Y1168" s="1" t="n">
        <v>1</v>
      </c>
      <c r="Z1168" s="0" t="s">
        <v>319</v>
      </c>
      <c r="AA1168" s="0" t="s">
        <v>292</v>
      </c>
      <c r="AH1168" s="0" t="s">
        <v>180</v>
      </c>
      <c r="AI1168" s="0" t="s">
        <v>92</v>
      </c>
      <c r="AJ1168" s="0" t="s">
        <v>437</v>
      </c>
      <c r="AO1168" s="0" t="s">
        <v>98</v>
      </c>
      <c r="AY1168" s="0" t="s">
        <v>108</v>
      </c>
      <c r="BT1168" s="0" t="s">
        <v>129</v>
      </c>
      <c r="CH1168" s="0" t="s">
        <v>143</v>
      </c>
    </row>
    <row r="1169" ht="36.75">
      <c r="B1169" s="0" t="s">
        <v>3162</v>
      </c>
      <c r="C1169" s="1" t="n">
        <v>352961</v>
      </c>
      <c r="E1169" s="14" t="s">
        <v>202</v>
      </c>
      <c r="F1169" s="14" t="s">
        <v>169</v>
      </c>
      <c r="G1169" s="25" t="str">
        <f>HYPERLINK("http://www.ok.ru/profile/326657424982/statuses/156124495977814")</f>
      </c>
      <c r="H1169" s="14" t="s">
        <v>170</v>
      </c>
      <c r="I1169" s="14" t="s">
        <v>171</v>
      </c>
      <c r="J1169" s="14" t="s">
        <v>3163</v>
      </c>
      <c r="K1169" s="26" t="str">
        <f>HYPERLINK("http://www.ok.ru/profile/326657424982")</f>
      </c>
      <c r="L1169" s="14" t="s">
        <v>173</v>
      </c>
      <c r="O1169" s="1" t="s">
        <v>186</v>
      </c>
      <c r="P1169" s="1"/>
      <c r="Q1169" s="1" t="n">
        <v>337</v>
      </c>
      <c r="R1169" s="1" t="n">
        <v>0</v>
      </c>
      <c r="S1169" s="1"/>
      <c r="T1169" s="1" t="n">
        <v>1</v>
      </c>
      <c r="U1169" s="1" t="n">
        <v>2</v>
      </c>
      <c r="V1169" s="1" t="n">
        <v>3</v>
      </c>
      <c r="W1169" s="1"/>
      <c r="Y1169" s="1" t="n">
        <v>4</v>
      </c>
      <c r="Z1169" s="0" t="s">
        <v>175</v>
      </c>
      <c r="AA1169" s="0" t="s">
        <v>176</v>
      </c>
      <c r="AC1169" s="0" t="s">
        <v>177</v>
      </c>
      <c r="AD1169" s="0" t="s">
        <v>1382</v>
      </c>
      <c r="AE1169" s="0" t="s">
        <v>2247</v>
      </c>
      <c r="AH1169" s="0" t="s">
        <v>180</v>
      </c>
      <c r="AJ1169" s="0" t="s">
        <v>437</v>
      </c>
      <c r="AK1169" s="0" t="s">
        <v>94</v>
      </c>
      <c r="AL1169" s="0" t="s">
        <v>95</v>
      </c>
      <c r="AM1169" s="0" t="s">
        <v>96</v>
      </c>
      <c r="AO1169" s="0" t="s">
        <v>98</v>
      </c>
      <c r="AQ1169" s="0" t="s">
        <v>100</v>
      </c>
    </row>
    <row r="1170">
      <c r="B1170" s="0" t="s">
        <v>3162</v>
      </c>
      <c r="C1170" s="1" t="n">
        <v>352803</v>
      </c>
      <c r="E1170" s="14" t="s">
        <v>1349</v>
      </c>
      <c r="F1170" s="14" t="s">
        <v>169</v>
      </c>
      <c r="G1170" s="25" t="str">
        <f>HYPERLINK("http://www.ok.ru/profile/578406659600/statuses/156017422699280")</f>
      </c>
      <c r="H1170" s="14" t="s">
        <v>170</v>
      </c>
      <c r="I1170" s="14" t="s">
        <v>194</v>
      </c>
      <c r="J1170" s="14" t="s">
        <v>3164</v>
      </c>
      <c r="K1170" s="26" t="str">
        <f>HYPERLINK("http://www.ok.ru/profile/578406659600")</f>
      </c>
      <c r="L1170" s="14" t="s">
        <v>173</v>
      </c>
      <c r="O1170" s="1" t="s">
        <v>174</v>
      </c>
      <c r="P1170" s="1" t="n">
        <v>61</v>
      </c>
      <c r="Q1170" s="1" t="n">
        <v>571</v>
      </c>
      <c r="R1170" s="1" t="n">
        <v>0</v>
      </c>
      <c r="S1170" s="1"/>
      <c r="T1170" s="1" t="n">
        <v>5</v>
      </c>
      <c r="U1170" s="1" t="n">
        <v>14</v>
      </c>
      <c r="V1170" s="1" t="n">
        <v>19</v>
      </c>
      <c r="W1170" s="1"/>
      <c r="Y1170" s="1" t="n">
        <v>15</v>
      </c>
      <c r="Z1170" s="0" t="s">
        <v>175</v>
      </c>
      <c r="AA1170" s="0" t="s">
        <v>187</v>
      </c>
      <c r="AC1170" s="0" t="s">
        <v>177</v>
      </c>
      <c r="AD1170" s="0" t="s">
        <v>178</v>
      </c>
      <c r="AE1170" s="0" t="s">
        <v>3165</v>
      </c>
      <c r="AH1170" s="0" t="s">
        <v>180</v>
      </c>
      <c r="AJ1170" s="0" t="s">
        <v>437</v>
      </c>
      <c r="AK1170" s="0" t="s">
        <v>94</v>
      </c>
      <c r="AL1170" s="0" t="s">
        <v>95</v>
      </c>
      <c r="AM1170" s="0" t="s">
        <v>96</v>
      </c>
      <c r="AX1170" s="0" t="s">
        <v>107</v>
      </c>
      <c r="BF1170" s="0" t="s">
        <v>115</v>
      </c>
      <c r="BR1170" s="0" t="s">
        <v>127</v>
      </c>
    </row>
    <row r="1171" ht="24.75">
      <c r="B1171" s="0" t="s">
        <v>3166</v>
      </c>
      <c r="C1171" s="1" t="n">
        <v>352416</v>
      </c>
      <c r="E1171" s="14" t="s">
        <v>1102</v>
      </c>
      <c r="F1171" s="14" t="s">
        <v>169</v>
      </c>
      <c r="G1171" s="25" t="str">
        <f>HYPERLINK("http://www.ok.ru/profile/572364710592/statuses/155622114052288")</f>
      </c>
      <c r="H1171" s="14" t="s">
        <v>170</v>
      </c>
      <c r="I1171" s="14" t="s">
        <v>171</v>
      </c>
      <c r="J1171" s="14" t="s">
        <v>3167</v>
      </c>
      <c r="K1171" s="26" t="str">
        <f>HYPERLINK("http://www.ok.ru/profile/572364710592")</f>
      </c>
      <c r="L1171" s="14" t="s">
        <v>173</v>
      </c>
      <c r="O1171" s="1" t="s">
        <v>186</v>
      </c>
      <c r="P1171" s="1" t="n">
        <v>63</v>
      </c>
      <c r="Q1171" s="1" t="n">
        <v>585</v>
      </c>
      <c r="R1171" s="1" t="n">
        <v>0</v>
      </c>
      <c r="S1171" s="1"/>
      <c r="T1171" s="1" t="n">
        <v>0</v>
      </c>
      <c r="U1171" s="1" t="n">
        <v>7</v>
      </c>
      <c r="V1171" s="1" t="n">
        <v>7</v>
      </c>
      <c r="W1171" s="1"/>
      <c r="Y1171" s="1" t="n">
        <v>93</v>
      </c>
      <c r="Z1171" s="0" t="s">
        <v>175</v>
      </c>
      <c r="AA1171" s="0" t="s">
        <v>187</v>
      </c>
      <c r="AC1171" s="0" t="s">
        <v>177</v>
      </c>
      <c r="AD1171" s="0" t="s">
        <v>2476</v>
      </c>
      <c r="AE1171" s="0" t="s">
        <v>3168</v>
      </c>
      <c r="AH1171" s="0" t="s">
        <v>180</v>
      </c>
      <c r="AJ1171" s="0" t="s">
        <v>437</v>
      </c>
      <c r="AK1171" s="0" t="s">
        <v>94</v>
      </c>
      <c r="AM1171" s="0" t="s">
        <v>96</v>
      </c>
      <c r="AU1171" s="0" t="s">
        <v>104</v>
      </c>
      <c r="AV1171" s="0" t="s">
        <v>105</v>
      </c>
      <c r="AZ1171" s="0" t="s">
        <v>109</v>
      </c>
    </row>
    <row r="1172" ht="36.75">
      <c r="B1172" s="0" t="s">
        <v>3166</v>
      </c>
      <c r="C1172" s="1" t="n">
        <v>352314</v>
      </c>
      <c r="E1172" s="14" t="s">
        <v>202</v>
      </c>
      <c r="F1172" s="14" t="s">
        <v>184</v>
      </c>
      <c r="G1172" s="25" t="str">
        <f>HYPERLINK("http://vk.com/wall610171666_555")</f>
      </c>
      <c r="H1172" s="14" t="s">
        <v>170</v>
      </c>
      <c r="I1172" s="14" t="s">
        <v>171</v>
      </c>
      <c r="J1172" s="14" t="s">
        <v>3169</v>
      </c>
      <c r="K1172" s="26" t="str">
        <f>HYPERLINK("http://vk.com/id610171666")</f>
      </c>
      <c r="L1172" s="14" t="s">
        <v>173</v>
      </c>
      <c r="O1172" s="1" t="s">
        <v>186</v>
      </c>
      <c r="P1172" s="1" t="n">
        <v>65</v>
      </c>
      <c r="Q1172" s="1" t="n">
        <v>75</v>
      </c>
      <c r="R1172" s="1" t="n">
        <v>0</v>
      </c>
      <c r="S1172" s="1"/>
      <c r="T1172" s="1" t="n">
        <v>0</v>
      </c>
      <c r="U1172" s="1" t="n">
        <v>0</v>
      </c>
      <c r="V1172" s="1" t="n">
        <v>0</v>
      </c>
      <c r="W1172" s="1" t="n">
        <v>1</v>
      </c>
      <c r="Y1172" s="1" t="n">
        <v>61</v>
      </c>
      <c r="Z1172" s="0" t="s">
        <v>175</v>
      </c>
      <c r="AA1172" s="0" t="s">
        <v>176</v>
      </c>
      <c r="AH1172" s="0" t="s">
        <v>180</v>
      </c>
      <c r="AJ1172" s="0" t="s">
        <v>437</v>
      </c>
      <c r="AK1172" s="0" t="s">
        <v>94</v>
      </c>
      <c r="AM1172" s="0" t="s">
        <v>96</v>
      </c>
      <c r="AO1172" s="0" t="s">
        <v>98</v>
      </c>
      <c r="AQ1172" s="0" t="s">
        <v>100</v>
      </c>
      <c r="AZ1172" s="0" t="s">
        <v>109</v>
      </c>
    </row>
    <row r="1173">
      <c r="B1173" s="0" t="s">
        <v>3166</v>
      </c>
      <c r="C1173" s="1" t="n">
        <v>352231</v>
      </c>
      <c r="E1173" s="14" t="s">
        <v>3170</v>
      </c>
      <c r="F1173" s="14" t="s">
        <v>184</v>
      </c>
      <c r="G1173" s="25" t="str">
        <f>HYPERLINK("http://vk.com/wall-136860886_525859?reply=525891")</f>
      </c>
      <c r="H1173" s="14" t="s">
        <v>170</v>
      </c>
      <c r="I1173" s="14" t="s">
        <v>231</v>
      </c>
      <c r="J1173" s="14" t="s">
        <v>3171</v>
      </c>
      <c r="K1173" s="26" t="str">
        <f>HYPERLINK("http://vk.com/id15987088")</f>
      </c>
      <c r="L1173" s="14" t="s">
        <v>173</v>
      </c>
      <c r="M1173" s="14" t="s">
        <v>583</v>
      </c>
      <c r="N1173" s="25" t="str">
        <f>HYPERLINK("http://vk.com/club136860886")</f>
      </c>
      <c r="O1173" s="1" t="s">
        <v>186</v>
      </c>
      <c r="P1173" s="1"/>
      <c r="Q1173" s="1" t="n">
        <v>52245</v>
      </c>
      <c r="R1173" s="1" t="n">
        <v>0</v>
      </c>
      <c r="S1173" s="1"/>
      <c r="T1173" s="1" t="n">
        <v>0</v>
      </c>
      <c r="U1173" s="1" t="n">
        <v>0</v>
      </c>
      <c r="V1173" s="1" t="n">
        <v>0</v>
      </c>
      <c r="W1173" s="1"/>
      <c r="Y1173" s="1" t="n">
        <v>1</v>
      </c>
      <c r="Z1173" s="0" t="s">
        <v>175</v>
      </c>
      <c r="AA1173" s="0" t="s">
        <v>187</v>
      </c>
      <c r="AC1173" s="0" t="s">
        <v>177</v>
      </c>
      <c r="AD1173" s="0" t="s">
        <v>332</v>
      </c>
      <c r="AE1173" s="0" t="s">
        <v>332</v>
      </c>
      <c r="AH1173" s="0" t="s">
        <v>180</v>
      </c>
      <c r="AI1173" s="0" t="s">
        <v>92</v>
      </c>
      <c r="AJ1173" s="0" t="s">
        <v>437</v>
      </c>
      <c r="AK1173" s="0" t="s">
        <v>94</v>
      </c>
      <c r="AL1173" s="0" t="s">
        <v>95</v>
      </c>
      <c r="AN1173" s="0" t="s">
        <v>97</v>
      </c>
      <c r="AS1173" s="0" t="s">
        <v>102</v>
      </c>
      <c r="AW1173" s="0" t="s">
        <v>106</v>
      </c>
      <c r="AX1173" s="0" t="s">
        <v>107</v>
      </c>
      <c r="BB1173" s="0" t="s">
        <v>111</v>
      </c>
      <c r="BE1173" s="0" t="s">
        <v>114</v>
      </c>
      <c r="BO1173" s="0" t="s">
        <v>124</v>
      </c>
      <c r="CE1173" s="0" t="s">
        <v>140</v>
      </c>
    </row>
    <row r="1174" ht="36.75">
      <c r="B1174" s="0" t="s">
        <v>3166</v>
      </c>
      <c r="C1174" s="1" t="n">
        <v>352310</v>
      </c>
      <c r="E1174" s="14" t="s">
        <v>2533</v>
      </c>
      <c r="F1174" s="14" t="s">
        <v>184</v>
      </c>
      <c r="G1174" s="25" t="str">
        <f>HYPERLINK("http://vk.com/wall55064849_3847")</f>
      </c>
      <c r="H1174" s="14" t="s">
        <v>170</v>
      </c>
      <c r="I1174" s="14" t="s">
        <v>171</v>
      </c>
      <c r="J1174" s="14" t="s">
        <v>3172</v>
      </c>
      <c r="K1174" s="26" t="str">
        <f>HYPERLINK("http://vk.com/id55064849")</f>
      </c>
      <c r="L1174" s="14" t="s">
        <v>173</v>
      </c>
      <c r="O1174" s="1" t="s">
        <v>186</v>
      </c>
      <c r="P1174" s="1" t="n">
        <v>31</v>
      </c>
      <c r="Q1174" s="1" t="n">
        <v>327</v>
      </c>
      <c r="R1174" s="1" t="n">
        <v>0</v>
      </c>
      <c r="S1174" s="1"/>
      <c r="T1174" s="1" t="n">
        <v>0</v>
      </c>
      <c r="U1174" s="1" t="n">
        <v>0</v>
      </c>
      <c r="V1174" s="1" t="n">
        <v>0</v>
      </c>
      <c r="W1174" s="1"/>
      <c r="Y1174" s="1" t="n">
        <v>9</v>
      </c>
      <c r="Z1174" s="0" t="s">
        <v>175</v>
      </c>
      <c r="AA1174" s="0" t="s">
        <v>187</v>
      </c>
      <c r="AC1174" s="0" t="s">
        <v>177</v>
      </c>
      <c r="AD1174" s="0" t="s">
        <v>188</v>
      </c>
      <c r="AE1174" s="0" t="s">
        <v>1505</v>
      </c>
      <c r="AH1174" s="0" t="s">
        <v>180</v>
      </c>
      <c r="AJ1174" s="0" t="s">
        <v>437</v>
      </c>
      <c r="AK1174" s="0" t="s">
        <v>94</v>
      </c>
      <c r="AN1174" s="0" t="s">
        <v>97</v>
      </c>
      <c r="AT1174" s="0" t="s">
        <v>103</v>
      </c>
      <c r="AZ1174" s="0" t="s">
        <v>109</v>
      </c>
      <c r="BE1174" s="0" t="s">
        <v>114</v>
      </c>
      <c r="BX1174" s="0" t="s">
        <v>133</v>
      </c>
      <c r="CD1174" s="0" t="s">
        <v>139</v>
      </c>
    </row>
    <row r="1175">
      <c r="B1175" s="0" t="s">
        <v>3173</v>
      </c>
      <c r="C1175" s="1" t="n">
        <v>352407</v>
      </c>
      <c r="E1175" s="14" t="s">
        <v>3174</v>
      </c>
      <c r="F1175" s="14" t="s">
        <v>375</v>
      </c>
      <c r="G1175" s="25" t="str">
        <f>HYPERLINK("https://www.babyblog.ru/community/living/post/3308551")</f>
      </c>
      <c r="H1175" s="14" t="s">
        <v>376</v>
      </c>
      <c r="I1175" s="14" t="s">
        <v>231</v>
      </c>
      <c r="J1175" s="14" t="s">
        <v>3175</v>
      </c>
      <c r="L1175" s="14"/>
      <c r="M1175" s="14" t="s">
        <v>378</v>
      </c>
      <c r="O1175" s="1"/>
      <c r="P1175" s="1"/>
      <c r="Q1175" s="1"/>
      <c r="R1175" s="1" t="n">
        <v>0</v>
      </c>
      <c r="S1175" s="1"/>
      <c r="T1175" s="1" t="n">
        <v>0</v>
      </c>
      <c r="U1175" s="1" t="n">
        <v>0</v>
      </c>
      <c r="V1175" s="1" t="n">
        <v>0</v>
      </c>
      <c r="W1175" s="1"/>
      <c r="Y1175" s="1" t="n">
        <v>1</v>
      </c>
      <c r="Z1175" s="0" t="s">
        <v>319</v>
      </c>
      <c r="AA1175" s="0" t="s">
        <v>187</v>
      </c>
      <c r="AH1175" s="0" t="s">
        <v>180</v>
      </c>
      <c r="AI1175" s="0" t="s">
        <v>92</v>
      </c>
      <c r="AJ1175" s="0" t="s">
        <v>437</v>
      </c>
      <c r="AK1175" s="0" t="s">
        <v>94</v>
      </c>
      <c r="AN1175" s="0" t="s">
        <v>97</v>
      </c>
      <c r="AW1175" s="0" t="s">
        <v>106</v>
      </c>
      <c r="AZ1175" s="0" t="s">
        <v>109</v>
      </c>
      <c r="BC1175" s="0" t="s">
        <v>112</v>
      </c>
      <c r="BM1175" s="0" t="s">
        <v>122</v>
      </c>
      <c r="BO1175" s="0" t="s">
        <v>124</v>
      </c>
      <c r="BZ1175" s="0" t="s">
        <v>135</v>
      </c>
    </row>
    <row r="1176" ht="24.75">
      <c r="B1176" s="0" t="s">
        <v>3173</v>
      </c>
      <c r="C1176" s="1" t="n">
        <v>352317</v>
      </c>
      <c r="E1176" s="14" t="s">
        <v>2756</v>
      </c>
      <c r="F1176" s="14" t="s">
        <v>184</v>
      </c>
      <c r="G1176" s="25" t="str">
        <f>HYPERLINK("http://vk.com/wall501593679_919")</f>
      </c>
      <c r="H1176" s="14" t="s">
        <v>170</v>
      </c>
      <c r="I1176" s="14" t="s">
        <v>171</v>
      </c>
      <c r="J1176" s="14" t="s">
        <v>3176</v>
      </c>
      <c r="K1176" s="26" t="str">
        <f>HYPERLINK("http://vk.com/id501593679")</f>
      </c>
      <c r="L1176" s="14" t="s">
        <v>173</v>
      </c>
      <c r="O1176" s="1" t="s">
        <v>186</v>
      </c>
      <c r="P1176" s="1" t="n">
        <v>62</v>
      </c>
      <c r="Q1176" s="1" t="n">
        <v>56</v>
      </c>
      <c r="R1176" s="1" t="n">
        <v>0</v>
      </c>
      <c r="S1176" s="1"/>
      <c r="T1176" s="1" t="n">
        <v>0</v>
      </c>
      <c r="U1176" s="1" t="n">
        <v>0</v>
      </c>
      <c r="V1176" s="1" t="n">
        <v>0</v>
      </c>
      <c r="W1176" s="1"/>
      <c r="Y1176" s="1" t="n">
        <v>4</v>
      </c>
      <c r="Z1176" s="0" t="s">
        <v>175</v>
      </c>
      <c r="AA1176" s="0" t="s">
        <v>187</v>
      </c>
      <c r="AC1176" s="0" t="s">
        <v>177</v>
      </c>
      <c r="AD1176" s="0" t="s">
        <v>852</v>
      </c>
      <c r="AE1176" s="0" t="s">
        <v>3177</v>
      </c>
      <c r="AH1176" s="0" t="s">
        <v>180</v>
      </c>
      <c r="AJ1176" s="0" t="s">
        <v>437</v>
      </c>
      <c r="AK1176" s="0" t="s">
        <v>94</v>
      </c>
      <c r="AM1176" s="0" t="s">
        <v>96</v>
      </c>
      <c r="AZ1176" s="0" t="s">
        <v>109</v>
      </c>
      <c r="BC1176" s="0" t="s">
        <v>112</v>
      </c>
      <c r="BI1176" s="0" t="s">
        <v>118</v>
      </c>
      <c r="BN1176" s="0" t="s">
        <v>123</v>
      </c>
    </row>
    <row r="1177">
      <c r="B1177" s="0" t="s">
        <v>3173</v>
      </c>
      <c r="C1177" s="1" t="n">
        <v>352226</v>
      </c>
      <c r="E1177" s="14" t="s">
        <v>3178</v>
      </c>
      <c r="F1177" s="14" t="s">
        <v>184</v>
      </c>
      <c r="G1177" s="25" t="str">
        <f>HYPERLINK("http://vk.com/wall-172880205_272485?reply=272689")</f>
      </c>
      <c r="H1177" s="14" t="s">
        <v>170</v>
      </c>
      <c r="I1177" s="14" t="s">
        <v>231</v>
      </c>
      <c r="J1177" s="14" t="s">
        <v>3179</v>
      </c>
      <c r="K1177" s="26" t="str">
        <f>HYPERLINK("http://vk.com/id520742007")</f>
      </c>
      <c r="L1177" s="14" t="s">
        <v>173</v>
      </c>
      <c r="M1177" s="14" t="s">
        <v>3013</v>
      </c>
      <c r="N1177" s="25" t="str">
        <f>HYPERLINK("http://vk.com/club172880205")</f>
      </c>
      <c r="O1177" s="1" t="s">
        <v>174</v>
      </c>
      <c r="P1177" s="1" t="n">
        <v>39</v>
      </c>
      <c r="Q1177" s="1" t="n">
        <v>29391</v>
      </c>
      <c r="R1177" s="1" t="n">
        <v>0</v>
      </c>
      <c r="S1177" s="1"/>
      <c r="T1177" s="1" t="n">
        <v>0</v>
      </c>
      <c r="U1177" s="1" t="n">
        <v>0</v>
      </c>
      <c r="V1177" s="1" t="n">
        <v>0</v>
      </c>
      <c r="W1177" s="1"/>
      <c r="Y1177" s="1" t="n">
        <v>1</v>
      </c>
      <c r="Z1177" s="0" t="s">
        <v>319</v>
      </c>
      <c r="AA1177" s="0" t="s">
        <v>187</v>
      </c>
      <c r="AC1177" s="0" t="s">
        <v>177</v>
      </c>
      <c r="AD1177" s="0" t="s">
        <v>332</v>
      </c>
      <c r="AE1177" s="0" t="s">
        <v>332</v>
      </c>
      <c r="AH1177" s="0" t="s">
        <v>180</v>
      </c>
      <c r="AI1177" s="0" t="s">
        <v>92</v>
      </c>
      <c r="AJ1177" s="0" t="s">
        <v>437</v>
      </c>
      <c r="AK1177" s="0" t="s">
        <v>94</v>
      </c>
      <c r="AL1177" s="0" t="s">
        <v>95</v>
      </c>
      <c r="AN1177" s="0" t="s">
        <v>97</v>
      </c>
      <c r="AS1177" s="0" t="s">
        <v>102</v>
      </c>
      <c r="AV1177" s="0" t="s">
        <v>105</v>
      </c>
      <c r="BG1177" s="0" t="s">
        <v>116</v>
      </c>
    </row>
    <row r="1178">
      <c r="B1178" s="0" t="s">
        <v>3173</v>
      </c>
      <c r="C1178" s="1" t="n">
        <v>352235</v>
      </c>
      <c r="E1178" s="14" t="s">
        <v>3180</v>
      </c>
      <c r="F1178" s="14" t="s">
        <v>184</v>
      </c>
      <c r="G1178" s="25" t="str">
        <f>HYPERLINK("http://vk.com/wall-88354188_348339?reply=369134&amp;thread=348529")</f>
      </c>
      <c r="H1178" s="14" t="s">
        <v>170</v>
      </c>
      <c r="I1178" s="14" t="s">
        <v>231</v>
      </c>
      <c r="J1178" s="14" t="s">
        <v>3156</v>
      </c>
      <c r="K1178" s="26" t="str">
        <f>HYPERLINK("http://vk.com/id793566988")</f>
      </c>
      <c r="L1178" s="14" t="s">
        <v>173</v>
      </c>
      <c r="M1178" s="14" t="s">
        <v>251</v>
      </c>
      <c r="N1178" s="25" t="str">
        <f>HYPERLINK("http://vk.com/club88354188")</f>
      </c>
      <c r="O1178" s="1" t="s">
        <v>186</v>
      </c>
      <c r="P1178" s="1"/>
      <c r="Q1178" s="1" t="n">
        <v>37024</v>
      </c>
      <c r="R1178" s="1" t="n">
        <v>0</v>
      </c>
      <c r="S1178" s="1"/>
      <c r="T1178" s="1" t="n">
        <v>0</v>
      </c>
      <c r="U1178" s="1" t="n">
        <v>0</v>
      </c>
      <c r="V1178" s="1" t="n">
        <v>0</v>
      </c>
      <c r="W1178" s="1"/>
      <c r="Y1178" s="1" t="n">
        <v>1</v>
      </c>
      <c r="Z1178" s="0" t="s">
        <v>319</v>
      </c>
      <c r="AA1178" s="0" t="s">
        <v>292</v>
      </c>
      <c r="AB1178" s="0" t="s">
        <v>85</v>
      </c>
      <c r="AH1178" s="0" t="s">
        <v>180</v>
      </c>
      <c r="AI1178" s="0" t="s">
        <v>92</v>
      </c>
      <c r="AJ1178" s="0" t="s">
        <v>437</v>
      </c>
      <c r="AO1178" s="0" t="s">
        <v>98</v>
      </c>
      <c r="AY1178" s="0" t="s">
        <v>108</v>
      </c>
      <c r="BT1178" s="0" t="s">
        <v>129</v>
      </c>
      <c r="CH1178" s="0" t="s">
        <v>143</v>
      </c>
    </row>
    <row r="1179">
      <c r="B1179" s="0" t="s">
        <v>3173</v>
      </c>
      <c r="C1179" s="1" t="n">
        <v>352230</v>
      </c>
      <c r="E1179" s="14" t="s">
        <v>3181</v>
      </c>
      <c r="F1179" s="14" t="s">
        <v>184</v>
      </c>
      <c r="G1179" s="25" t="str">
        <f>HYPERLINK("http://vk.com/wall-146175495_830050?reply=830066")</f>
      </c>
      <c r="H1179" s="14" t="s">
        <v>170</v>
      </c>
      <c r="I1179" s="14" t="s">
        <v>231</v>
      </c>
      <c r="J1179" s="14" t="s">
        <v>3182</v>
      </c>
      <c r="K1179" s="26" t="str">
        <f>HYPERLINK("http://vk.com/id51184594")</f>
      </c>
      <c r="L1179" s="14" t="s">
        <v>173</v>
      </c>
      <c r="M1179" s="14" t="s">
        <v>401</v>
      </c>
      <c r="N1179" s="25" t="str">
        <f>HYPERLINK("http://vk.com/club146175495")</f>
      </c>
      <c r="O1179" s="1" t="s">
        <v>186</v>
      </c>
      <c r="P1179" s="1"/>
      <c r="Q1179" s="1" t="n">
        <v>26839</v>
      </c>
      <c r="R1179" s="1" t="n">
        <v>0</v>
      </c>
      <c r="S1179" s="1"/>
      <c r="T1179" s="1" t="n">
        <v>0</v>
      </c>
      <c r="U1179" s="1" t="n">
        <v>0</v>
      </c>
      <c r="V1179" s="1" t="n">
        <v>0</v>
      </c>
      <c r="W1179" s="1"/>
      <c r="Y1179" s="1" t="n">
        <v>1</v>
      </c>
      <c r="Z1179" s="0" t="s">
        <v>175</v>
      </c>
      <c r="AA1179" s="0" t="s">
        <v>187</v>
      </c>
      <c r="AC1179" s="0" t="s">
        <v>177</v>
      </c>
      <c r="AD1179" s="0" t="s">
        <v>402</v>
      </c>
      <c r="AE1179" s="0" t="s">
        <v>2424</v>
      </c>
      <c r="AH1179" s="0" t="s">
        <v>180</v>
      </c>
      <c r="AI1179" s="0" t="s">
        <v>92</v>
      </c>
      <c r="AJ1179" s="0" t="s">
        <v>437</v>
      </c>
      <c r="AK1179" s="0" t="s">
        <v>94</v>
      </c>
      <c r="AL1179" s="0" t="s">
        <v>95</v>
      </c>
      <c r="AN1179" s="0" t="s">
        <v>97</v>
      </c>
      <c r="AR1179" s="0" t="s">
        <v>101</v>
      </c>
      <c r="AS1179" s="0" t="s">
        <v>102</v>
      </c>
      <c r="BB1179" s="0" t="s">
        <v>111</v>
      </c>
    </row>
    <row r="1180">
      <c r="B1180" s="0" t="s">
        <v>3173</v>
      </c>
      <c r="C1180" s="1" t="n">
        <v>352220</v>
      </c>
      <c r="E1180" s="14" t="s">
        <v>3183</v>
      </c>
      <c r="F1180" s="14" t="s">
        <v>184</v>
      </c>
      <c r="G1180" s="25" t="str">
        <f>HYPERLINK("http://vk.com/wall-206214408_165065?reply=165867")</f>
      </c>
      <c r="H1180" s="14" t="s">
        <v>170</v>
      </c>
      <c r="I1180" s="14" t="s">
        <v>231</v>
      </c>
      <c r="J1180" s="14" t="s">
        <v>3184</v>
      </c>
      <c r="K1180" s="26" t="str">
        <f>HYPERLINK("http://vk.com/id229144165")</f>
      </c>
      <c r="L1180" s="14" t="s">
        <v>173</v>
      </c>
      <c r="M1180" s="14" t="s">
        <v>2995</v>
      </c>
      <c r="N1180" s="25" t="str">
        <f>HYPERLINK("http://vk.com/club206214408")</f>
      </c>
      <c r="O1180" s="1" t="s">
        <v>186</v>
      </c>
      <c r="P1180" s="1"/>
      <c r="Q1180" s="1" t="n">
        <v>12207</v>
      </c>
      <c r="R1180" s="1" t="n">
        <v>0</v>
      </c>
      <c r="S1180" s="1"/>
      <c r="T1180" s="1" t="n">
        <v>0</v>
      </c>
      <c r="U1180" s="1" t="n">
        <v>0</v>
      </c>
      <c r="V1180" s="1" t="n">
        <v>0</v>
      </c>
      <c r="W1180" s="1"/>
      <c r="Y1180" s="1" t="n">
        <v>1</v>
      </c>
      <c r="Z1180" s="0" t="s">
        <v>319</v>
      </c>
      <c r="AA1180" s="0" t="s">
        <v>187</v>
      </c>
      <c r="AC1180" s="0" t="s">
        <v>177</v>
      </c>
      <c r="AH1180" s="0" t="s">
        <v>180</v>
      </c>
      <c r="AI1180" s="0" t="s">
        <v>92</v>
      </c>
      <c r="AJ1180" s="0" t="s">
        <v>437</v>
      </c>
      <c r="AK1180" s="0" t="s">
        <v>94</v>
      </c>
      <c r="AL1180" s="0" t="s">
        <v>95</v>
      </c>
      <c r="AN1180" s="0" t="s">
        <v>97</v>
      </c>
      <c r="AS1180" s="0" t="s">
        <v>102</v>
      </c>
      <c r="AV1180" s="0" t="s">
        <v>105</v>
      </c>
      <c r="BG1180" s="0" t="s">
        <v>116</v>
      </c>
      <c r="BM1180" s="0" t="s">
        <v>122</v>
      </c>
      <c r="BU1180" s="0" t="s">
        <v>130</v>
      </c>
    </row>
    <row r="1181" ht="24.75">
      <c r="B1181" s="0" t="s">
        <v>3185</v>
      </c>
      <c r="C1181" s="1" t="n">
        <v>352409</v>
      </c>
      <c r="E1181" s="14" t="s">
        <v>1102</v>
      </c>
      <c r="F1181" s="14" t="s">
        <v>169</v>
      </c>
      <c r="G1181" s="25" t="str">
        <f>HYPERLINK("http://www.ok.ru/profile/585412836368/statuses/156017415555856")</f>
      </c>
      <c r="H1181" s="14" t="s">
        <v>170</v>
      </c>
      <c r="I1181" s="14" t="s">
        <v>171</v>
      </c>
      <c r="J1181" s="14" t="s">
        <v>3186</v>
      </c>
      <c r="K1181" s="26" t="str">
        <f>HYPERLINK("http://www.ok.ru/profile/585412836368")</f>
      </c>
      <c r="L1181" s="14" t="s">
        <v>173</v>
      </c>
      <c r="O1181" s="1" t="s">
        <v>186</v>
      </c>
      <c r="P1181" s="1"/>
      <c r="Q1181" s="1" t="n">
        <v>432</v>
      </c>
      <c r="R1181" s="1" t="n">
        <v>0</v>
      </c>
      <c r="S1181" s="1"/>
      <c r="T1181" s="1" t="n">
        <v>0</v>
      </c>
      <c r="U1181" s="1" t="n">
        <v>1</v>
      </c>
      <c r="V1181" s="1" t="n">
        <v>1</v>
      </c>
      <c r="W1181" s="1"/>
      <c r="Y1181" s="1" t="n">
        <v>93</v>
      </c>
      <c r="Z1181" s="0" t="s">
        <v>175</v>
      </c>
      <c r="AA1181" s="0" t="s">
        <v>187</v>
      </c>
      <c r="AC1181" s="0" t="s">
        <v>177</v>
      </c>
      <c r="AD1181" s="0" t="s">
        <v>513</v>
      </c>
      <c r="AE1181" s="0" t="s">
        <v>778</v>
      </c>
      <c r="AH1181" s="0" t="s">
        <v>180</v>
      </c>
      <c r="AJ1181" s="0" t="s">
        <v>437</v>
      </c>
      <c r="AK1181" s="0" t="s">
        <v>94</v>
      </c>
      <c r="AM1181" s="0" t="s">
        <v>96</v>
      </c>
      <c r="AU1181" s="0" t="s">
        <v>104</v>
      </c>
      <c r="AV1181" s="0" t="s">
        <v>105</v>
      </c>
      <c r="AZ1181" s="0" t="s">
        <v>109</v>
      </c>
    </row>
    <row r="1182">
      <c r="B1182" s="0" t="s">
        <v>3185</v>
      </c>
      <c r="C1182" s="1" t="n">
        <v>352215</v>
      </c>
      <c r="E1182" s="14" t="s">
        <v>3187</v>
      </c>
      <c r="F1182" s="14" t="s">
        <v>184</v>
      </c>
      <c r="G1182" s="25" t="str">
        <f>HYPERLINK("http://vk.com/wall-153326278_404946?reply=405128&amp;thread=404955")</f>
      </c>
      <c r="H1182" s="14" t="s">
        <v>170</v>
      </c>
      <c r="I1182" s="14" t="s">
        <v>231</v>
      </c>
      <c r="J1182" s="14" t="s">
        <v>3188</v>
      </c>
      <c r="K1182" s="26" t="str">
        <f>HYPERLINK("http://vk.com/id223323851")</f>
      </c>
      <c r="L1182" s="14" t="s">
        <v>173</v>
      </c>
      <c r="M1182" s="14" t="s">
        <v>1221</v>
      </c>
      <c r="N1182" s="25" t="str">
        <f>HYPERLINK("http://vk.com/club153326278")</f>
      </c>
      <c r="O1182" s="1" t="s">
        <v>186</v>
      </c>
      <c r="P1182" s="1" t="n">
        <v>47</v>
      </c>
      <c r="Q1182" s="1" t="n">
        <v>24685</v>
      </c>
      <c r="R1182" s="1" t="n">
        <v>0</v>
      </c>
      <c r="S1182" s="1"/>
      <c r="T1182" s="1" t="n">
        <v>0</v>
      </c>
      <c r="U1182" s="1" t="n">
        <v>0</v>
      </c>
      <c r="V1182" s="1" t="n">
        <v>0</v>
      </c>
      <c r="W1182" s="1"/>
      <c r="Y1182" s="1" t="n">
        <v>1</v>
      </c>
      <c r="Z1182" s="0" t="s">
        <v>319</v>
      </c>
      <c r="AA1182" s="0" t="s">
        <v>187</v>
      </c>
      <c r="AC1182" s="0" t="s">
        <v>177</v>
      </c>
      <c r="AH1182" s="0" t="s">
        <v>180</v>
      </c>
      <c r="AI1182" s="0" t="s">
        <v>92</v>
      </c>
      <c r="AJ1182" s="0" t="s">
        <v>437</v>
      </c>
      <c r="AK1182" s="0" t="s">
        <v>94</v>
      </c>
      <c r="AL1182" s="0" t="s">
        <v>95</v>
      </c>
      <c r="AN1182" s="0" t="s">
        <v>97</v>
      </c>
      <c r="AS1182" s="0" t="s">
        <v>102</v>
      </c>
      <c r="AV1182" s="0" t="s">
        <v>105</v>
      </c>
      <c r="BB1182" s="0" t="s">
        <v>111</v>
      </c>
      <c r="BG1182" s="0" t="s">
        <v>116</v>
      </c>
    </row>
    <row r="1183" ht="24.75">
      <c r="B1183" s="0" t="s">
        <v>3189</v>
      </c>
      <c r="C1183" s="1" t="n">
        <v>352634</v>
      </c>
      <c r="E1183" s="14" t="s">
        <v>554</v>
      </c>
      <c r="F1183" s="14" t="s">
        <v>169</v>
      </c>
      <c r="G1183" s="25" t="str">
        <f>HYPERLINK("http://www.ok.ru/profile/586836984122/statuses/155478134039354")</f>
      </c>
      <c r="H1183" s="14" t="s">
        <v>170</v>
      </c>
      <c r="I1183" s="14" t="s">
        <v>171</v>
      </c>
      <c r="J1183" s="14" t="s">
        <v>3190</v>
      </c>
      <c r="K1183" s="26" t="str">
        <f>HYPERLINK("http://www.ok.ru/profile/586836984122")</f>
      </c>
      <c r="L1183" s="14" t="s">
        <v>173</v>
      </c>
      <c r="O1183" s="1" t="s">
        <v>186</v>
      </c>
      <c r="P1183" s="1" t="n">
        <v>68</v>
      </c>
      <c r="Q1183" s="1" t="n">
        <v>138</v>
      </c>
      <c r="R1183" s="1" t="n">
        <v>0</v>
      </c>
      <c r="S1183" s="1"/>
      <c r="T1183" s="1" t="n">
        <v>1</v>
      </c>
      <c r="U1183" s="1" t="n">
        <v>0</v>
      </c>
      <c r="V1183" s="1" t="n">
        <v>1</v>
      </c>
      <c r="W1183" s="1"/>
      <c r="Y1183" s="1" t="n">
        <v>59</v>
      </c>
      <c r="Z1183" s="0" t="s">
        <v>175</v>
      </c>
      <c r="AA1183" s="0" t="s">
        <v>176</v>
      </c>
      <c r="AC1183" s="0" t="s">
        <v>177</v>
      </c>
      <c r="AD1183" s="0" t="s">
        <v>760</v>
      </c>
      <c r="AE1183" s="0" t="s">
        <v>3191</v>
      </c>
      <c r="AH1183" s="0" t="s">
        <v>180</v>
      </c>
      <c r="AJ1183" s="0" t="s">
        <v>437</v>
      </c>
      <c r="AK1183" s="0" t="s">
        <v>94</v>
      </c>
      <c r="AL1183" s="0" t="s">
        <v>95</v>
      </c>
      <c r="AM1183" s="0" t="s">
        <v>96</v>
      </c>
      <c r="AO1183" s="0" t="s">
        <v>98</v>
      </c>
      <c r="AQ1183" s="0" t="s">
        <v>100</v>
      </c>
    </row>
    <row r="1184" ht="1212.75">
      <c r="B1184" s="0" t="s">
        <v>3189</v>
      </c>
      <c r="C1184" s="1" t="n">
        <v>352303</v>
      </c>
      <c r="E1184" s="14" t="s">
        <v>683</v>
      </c>
      <c r="F1184" s="14" t="s">
        <v>184</v>
      </c>
      <c r="G1184" s="25" t="str">
        <f>HYPERLINK("http://vk.com/wall512088771_380")</f>
      </c>
      <c r="H1184" s="14" t="s">
        <v>170</v>
      </c>
      <c r="I1184" s="14" t="s">
        <v>171</v>
      </c>
      <c r="J1184" s="14" t="s">
        <v>3192</v>
      </c>
      <c r="K1184" s="26" t="str">
        <f>HYPERLINK("http://vk.com/id512088771")</f>
      </c>
      <c r="L1184" s="14" t="s">
        <v>173</v>
      </c>
      <c r="O1184" s="1" t="s">
        <v>186</v>
      </c>
      <c r="P1184" s="1" t="n">
        <v>70</v>
      </c>
      <c r="Q1184" s="1" t="n">
        <v>65</v>
      </c>
      <c r="R1184" s="1" t="n">
        <v>0</v>
      </c>
      <c r="S1184" s="1"/>
      <c r="T1184" s="1" t="n">
        <v>0</v>
      </c>
      <c r="U1184" s="1" t="n">
        <v>0</v>
      </c>
      <c r="V1184" s="1" t="n">
        <v>0</v>
      </c>
      <c r="W1184" s="1" t="n">
        <v>4</v>
      </c>
      <c r="Y1184" s="1" t="n">
        <v>22</v>
      </c>
      <c r="Z1184" s="0" t="s">
        <v>175</v>
      </c>
      <c r="AA1184" s="0" t="s">
        <v>187</v>
      </c>
      <c r="AC1184" s="0" t="s">
        <v>177</v>
      </c>
      <c r="AD1184" s="0" t="s">
        <v>435</v>
      </c>
      <c r="AE1184" s="0" t="s">
        <v>1747</v>
      </c>
      <c r="AH1184" s="0" t="s">
        <v>180</v>
      </c>
      <c r="AJ1184" s="0" t="s">
        <v>437</v>
      </c>
      <c r="AK1184" s="0" t="s">
        <v>94</v>
      </c>
      <c r="AM1184" s="0" t="s">
        <v>96</v>
      </c>
      <c r="AU1184" s="0" t="s">
        <v>104</v>
      </c>
      <c r="AV1184" s="0" t="s">
        <v>105</v>
      </c>
      <c r="AX1184" s="0" t="s">
        <v>107</v>
      </c>
      <c r="AZ1184" s="0" t="s">
        <v>109</v>
      </c>
    </row>
    <row r="1185">
      <c r="B1185" s="0" t="s">
        <v>3189</v>
      </c>
      <c r="C1185" s="1" t="n">
        <v>352214</v>
      </c>
      <c r="E1185" s="14" t="s">
        <v>3193</v>
      </c>
      <c r="F1185" s="14" t="s">
        <v>184</v>
      </c>
      <c r="G1185" s="25" t="str">
        <f>HYPERLINK("http://vk.com/wall-150079080_236610?reply=241086&amp;thread=237353")</f>
      </c>
      <c r="H1185" s="14" t="s">
        <v>170</v>
      </c>
      <c r="I1185" s="14" t="s">
        <v>231</v>
      </c>
      <c r="J1185" s="14" t="s">
        <v>3156</v>
      </c>
      <c r="K1185" s="26" t="str">
        <f>HYPERLINK("http://vk.com/id793566988")</f>
      </c>
      <c r="L1185" s="14" t="s">
        <v>173</v>
      </c>
      <c r="M1185" s="14" t="s">
        <v>592</v>
      </c>
      <c r="N1185" s="25" t="str">
        <f>HYPERLINK("http://vk.com/club150079080")</f>
      </c>
      <c r="O1185" s="1" t="s">
        <v>186</v>
      </c>
      <c r="P1185" s="1"/>
      <c r="Q1185" s="1" t="n">
        <v>30754</v>
      </c>
      <c r="R1185" s="1" t="n">
        <v>0</v>
      </c>
      <c r="S1185" s="1"/>
      <c r="T1185" s="1" t="n">
        <v>0</v>
      </c>
      <c r="U1185" s="1" t="n">
        <v>0</v>
      </c>
      <c r="V1185" s="1" t="n">
        <v>0</v>
      </c>
      <c r="W1185" s="1"/>
      <c r="Y1185" s="1" t="n">
        <v>1</v>
      </c>
      <c r="Z1185" s="0" t="s">
        <v>319</v>
      </c>
      <c r="AA1185" s="0" t="s">
        <v>292</v>
      </c>
      <c r="AH1185" s="0" t="s">
        <v>180</v>
      </c>
      <c r="AI1185" s="0" t="s">
        <v>92</v>
      </c>
      <c r="AJ1185" s="0" t="s">
        <v>437</v>
      </c>
      <c r="AO1185" s="0" t="s">
        <v>98</v>
      </c>
      <c r="AY1185" s="0" t="s">
        <v>108</v>
      </c>
      <c r="BT1185" s="0" t="s">
        <v>129</v>
      </c>
      <c r="CH1185" s="0" t="s">
        <v>143</v>
      </c>
    </row>
    <row r="1186">
      <c r="B1186" s="0" t="s">
        <v>3194</v>
      </c>
      <c r="C1186" s="1" t="n">
        <v>352218</v>
      </c>
      <c r="E1186" s="14" t="s">
        <v>3195</v>
      </c>
      <c r="F1186" s="14" t="s">
        <v>184</v>
      </c>
      <c r="G1186" s="25" t="str">
        <f>HYPERLINK("http://vk.com/wall-36857673_1709524?reply=1765371&amp;thread=1709738")</f>
      </c>
      <c r="H1186" s="14" t="s">
        <v>170</v>
      </c>
      <c r="I1186" s="14" t="s">
        <v>231</v>
      </c>
      <c r="J1186" s="14" t="s">
        <v>3156</v>
      </c>
      <c r="K1186" s="26" t="str">
        <f>HYPERLINK("http://vk.com/id793566988")</f>
      </c>
      <c r="L1186" s="14" t="s">
        <v>173</v>
      </c>
      <c r="M1186" s="14" t="s">
        <v>1316</v>
      </c>
      <c r="N1186" s="25" t="str">
        <f>HYPERLINK("http://vk.com/club36857673")</f>
      </c>
      <c r="O1186" s="1" t="s">
        <v>186</v>
      </c>
      <c r="P1186" s="1"/>
      <c r="Q1186" s="1" t="n">
        <v>106312</v>
      </c>
      <c r="R1186" s="1" t="n">
        <v>0</v>
      </c>
      <c r="S1186" s="1"/>
      <c r="T1186" s="1" t="n">
        <v>0</v>
      </c>
      <c r="U1186" s="1" t="n">
        <v>0</v>
      </c>
      <c r="V1186" s="1" t="n">
        <v>0</v>
      </c>
      <c r="W1186" s="1"/>
      <c r="Y1186" s="1" t="n">
        <v>1</v>
      </c>
      <c r="Z1186" s="0" t="s">
        <v>319</v>
      </c>
      <c r="AA1186" s="0" t="s">
        <v>292</v>
      </c>
      <c r="AB1186" s="0" t="s">
        <v>85</v>
      </c>
      <c r="AH1186" s="0" t="s">
        <v>180</v>
      </c>
      <c r="AI1186" s="0" t="s">
        <v>92</v>
      </c>
      <c r="AJ1186" s="0" t="s">
        <v>437</v>
      </c>
      <c r="AO1186" s="0" t="s">
        <v>98</v>
      </c>
      <c r="AY1186" s="0" t="s">
        <v>108</v>
      </c>
      <c r="BT1186" s="0" t="s">
        <v>129</v>
      </c>
      <c r="CH1186" s="0" t="s">
        <v>143</v>
      </c>
    </row>
    <row r="1187" ht="1212.75">
      <c r="B1187" s="0" t="s">
        <v>3194</v>
      </c>
      <c r="C1187" s="1" t="n">
        <v>352304</v>
      </c>
      <c r="E1187" s="14" t="s">
        <v>683</v>
      </c>
      <c r="F1187" s="14" t="s">
        <v>184</v>
      </c>
      <c r="G1187" s="25" t="str">
        <f>HYPERLINK("http://vk.com/wall-192883301_7286")</f>
      </c>
      <c r="H1187" s="14" t="s">
        <v>170</v>
      </c>
      <c r="I1187" s="14" t="s">
        <v>171</v>
      </c>
      <c r="J1187" s="14" t="s">
        <v>3196</v>
      </c>
      <c r="K1187" s="26" t="str">
        <f>HYPERLINK("http://vk.com/club192883301")</f>
      </c>
      <c r="L1187" s="14" t="s">
        <v>274</v>
      </c>
      <c r="O1187" s="1"/>
      <c r="P1187" s="1"/>
      <c r="Q1187" s="1" t="n">
        <v>804</v>
      </c>
      <c r="R1187" s="1" t="n">
        <v>0</v>
      </c>
      <c r="S1187" s="1"/>
      <c r="T1187" s="1" t="n">
        <v>2</v>
      </c>
      <c r="U1187" s="1" t="n">
        <v>3</v>
      </c>
      <c r="V1187" s="1" t="n">
        <v>5</v>
      </c>
      <c r="W1187" s="1" t="n">
        <v>56</v>
      </c>
      <c r="Y1187" s="1" t="n">
        <v>22</v>
      </c>
      <c r="Z1187" s="0" t="s">
        <v>175</v>
      </c>
      <c r="AA1187" s="0" t="s">
        <v>187</v>
      </c>
      <c r="AC1187" s="0" t="s">
        <v>177</v>
      </c>
      <c r="AD1187" s="0" t="s">
        <v>252</v>
      </c>
      <c r="AE1187" s="0" t="s">
        <v>1490</v>
      </c>
      <c r="AH1187" s="0" t="s">
        <v>180</v>
      </c>
      <c r="AJ1187" s="0" t="s">
        <v>437</v>
      </c>
      <c r="AK1187" s="0" t="s">
        <v>94</v>
      </c>
      <c r="AM1187" s="0" t="s">
        <v>96</v>
      </c>
      <c r="AU1187" s="0" t="s">
        <v>104</v>
      </c>
      <c r="AV1187" s="0" t="s">
        <v>105</v>
      </c>
      <c r="AX1187" s="0" t="s">
        <v>107</v>
      </c>
      <c r="AZ1187" s="0" t="s">
        <v>109</v>
      </c>
    </row>
    <row r="1188">
      <c r="B1188" s="0" t="s">
        <v>3197</v>
      </c>
      <c r="C1188" s="1" t="n">
        <v>352217</v>
      </c>
      <c r="E1188" s="14" t="s">
        <v>3198</v>
      </c>
      <c r="F1188" s="14" t="s">
        <v>184</v>
      </c>
      <c r="G1188" s="25" t="str">
        <f>HYPERLINK("http://vk.com/wall-203023242_19133?reply=19239&amp;thread=19143")</f>
      </c>
      <c r="H1188" s="14" t="s">
        <v>170</v>
      </c>
      <c r="I1188" s="14" t="s">
        <v>231</v>
      </c>
      <c r="J1188" s="14" t="s">
        <v>836</v>
      </c>
      <c r="K1188" s="26" t="str">
        <f>HYPERLINK("http://vk.com/id795024010")</f>
      </c>
      <c r="L1188" s="14" t="s">
        <v>173</v>
      </c>
      <c r="M1188" s="14" t="s">
        <v>553</v>
      </c>
      <c r="N1188" s="25" t="str">
        <f>HYPERLINK("http://vk.com/club203023242")</f>
      </c>
      <c r="O1188" s="1" t="s">
        <v>186</v>
      </c>
      <c r="P1188" s="1" t="n">
        <v>33</v>
      </c>
      <c r="Q1188" s="1" t="n">
        <v>5390</v>
      </c>
      <c r="R1188" s="1" t="n">
        <v>0</v>
      </c>
      <c r="S1188" s="1"/>
      <c r="T1188" s="1" t="n">
        <v>0</v>
      </c>
      <c r="U1188" s="1" t="n">
        <v>0</v>
      </c>
      <c r="V1188" s="1" t="n">
        <v>0</v>
      </c>
      <c r="W1188" s="1"/>
      <c r="Y1188" s="1" t="n">
        <v>1</v>
      </c>
      <c r="Z1188" s="0" t="s">
        <v>319</v>
      </c>
      <c r="AA1188" s="0" t="s">
        <v>187</v>
      </c>
      <c r="AH1188" s="0" t="s">
        <v>180</v>
      </c>
      <c r="AI1188" s="0" t="s">
        <v>92</v>
      </c>
      <c r="AJ1188" s="0" t="s">
        <v>437</v>
      </c>
      <c r="AK1188" s="0" t="s">
        <v>94</v>
      </c>
      <c r="AL1188" s="0" t="s">
        <v>95</v>
      </c>
      <c r="AN1188" s="0" t="s">
        <v>97</v>
      </c>
      <c r="AS1188" s="0" t="s">
        <v>102</v>
      </c>
      <c r="AW1188" s="0" t="s">
        <v>106</v>
      </c>
      <c r="BB1188" s="0" t="s">
        <v>111</v>
      </c>
      <c r="BF1188" s="0" t="s">
        <v>115</v>
      </c>
    </row>
    <row r="1189">
      <c r="B1189" s="0" t="s">
        <v>3199</v>
      </c>
      <c r="C1189" s="1" t="n">
        <v>352200</v>
      </c>
      <c r="E1189" s="14" t="s">
        <v>3200</v>
      </c>
      <c r="F1189" s="14" t="s">
        <v>184</v>
      </c>
      <c r="G1189" s="25" t="str">
        <f>HYPERLINK("http://vk.com/wall-203023242_19133?reply=19238&amp;thread=19145")</f>
      </c>
      <c r="H1189" s="14" t="s">
        <v>170</v>
      </c>
      <c r="I1189" s="14" t="s">
        <v>231</v>
      </c>
      <c r="J1189" s="14" t="s">
        <v>3201</v>
      </c>
      <c r="K1189" s="26" t="str">
        <f>HYPERLINK("http://vk.com/id344348244")</f>
      </c>
      <c r="L1189" s="14" t="s">
        <v>173</v>
      </c>
      <c r="M1189" s="14" t="s">
        <v>553</v>
      </c>
      <c r="N1189" s="25" t="str">
        <f>HYPERLINK("http://vk.com/club203023242")</f>
      </c>
      <c r="O1189" s="1" t="s">
        <v>186</v>
      </c>
      <c r="P1189" s="1" t="n">
        <v>31</v>
      </c>
      <c r="Q1189" s="1" t="n">
        <v>5390</v>
      </c>
      <c r="R1189" s="1" t="n">
        <v>0</v>
      </c>
      <c r="S1189" s="1"/>
      <c r="T1189" s="1" t="n">
        <v>0</v>
      </c>
      <c r="U1189" s="1" t="n">
        <v>0</v>
      </c>
      <c r="V1189" s="1" t="n">
        <v>0</v>
      </c>
      <c r="W1189" s="1"/>
      <c r="Y1189" s="1" t="n">
        <v>1</v>
      </c>
      <c r="Z1189" s="0" t="s">
        <v>463</v>
      </c>
      <c r="AA1189" s="0" t="s">
        <v>292</v>
      </c>
      <c r="AC1189" s="0" t="s">
        <v>177</v>
      </c>
      <c r="AD1189" s="0" t="s">
        <v>240</v>
      </c>
      <c r="AE1189" s="0" t="s">
        <v>240</v>
      </c>
      <c r="AH1189" s="0" t="s">
        <v>180</v>
      </c>
      <c r="AI1189" s="0" t="s">
        <v>92</v>
      </c>
      <c r="AJ1189" s="0" t="s">
        <v>437</v>
      </c>
      <c r="AO1189" s="0" t="s">
        <v>98</v>
      </c>
      <c r="AY1189" s="0" t="s">
        <v>108</v>
      </c>
      <c r="AZ1189" s="0" t="s">
        <v>109</v>
      </c>
      <c r="CG1189" s="0" t="s">
        <v>142</v>
      </c>
      <c r="CK1189" s="0" t="s">
        <v>146</v>
      </c>
    </row>
    <row r="1190">
      <c r="B1190" s="0" t="s">
        <v>3199</v>
      </c>
      <c r="C1190" s="1" t="n">
        <v>352202</v>
      </c>
      <c r="E1190" s="14" t="s">
        <v>3202</v>
      </c>
      <c r="F1190" s="14" t="s">
        <v>184</v>
      </c>
      <c r="G1190" s="25" t="str">
        <f>HYPERLINK("http://vk.com/wall-87169444_12293271?reply=12293274")</f>
      </c>
      <c r="H1190" s="14" t="s">
        <v>170</v>
      </c>
      <c r="I1190" s="14" t="s">
        <v>231</v>
      </c>
      <c r="J1190" s="14" t="s">
        <v>3203</v>
      </c>
      <c r="K1190" s="26" t="str">
        <f>HYPERLINK("http://vk.com/id90704374")</f>
      </c>
      <c r="L1190" s="14" t="s">
        <v>173</v>
      </c>
      <c r="M1190" s="14" t="s">
        <v>2496</v>
      </c>
      <c r="N1190" s="25" t="str">
        <f>HYPERLINK("http://vk.com/club87169444")</f>
      </c>
      <c r="O1190" s="1" t="s">
        <v>186</v>
      </c>
      <c r="P1190" s="1"/>
      <c r="Q1190" s="1" t="n">
        <v>137753</v>
      </c>
      <c r="R1190" s="1" t="n">
        <v>0</v>
      </c>
      <c r="S1190" s="1"/>
      <c r="T1190" s="1" t="n">
        <v>0</v>
      </c>
      <c r="U1190" s="1" t="n">
        <v>0</v>
      </c>
      <c r="V1190" s="1" t="n">
        <v>0</v>
      </c>
      <c r="W1190" s="1"/>
      <c r="Y1190" s="1" t="n">
        <v>1</v>
      </c>
      <c r="Z1190" s="0" t="s">
        <v>319</v>
      </c>
      <c r="AA1190" s="0" t="s">
        <v>187</v>
      </c>
      <c r="AC1190" s="0" t="s">
        <v>177</v>
      </c>
      <c r="AD1190" s="0" t="s">
        <v>1058</v>
      </c>
      <c r="AE1190" s="0" t="s">
        <v>1059</v>
      </c>
      <c r="AH1190" s="0" t="s">
        <v>180</v>
      </c>
      <c r="AI1190" s="0" t="s">
        <v>92</v>
      </c>
      <c r="AJ1190" s="0" t="s">
        <v>437</v>
      </c>
      <c r="AK1190" s="0" t="s">
        <v>94</v>
      </c>
      <c r="AN1190" s="0" t="s">
        <v>97</v>
      </c>
      <c r="AZ1190" s="0" t="s">
        <v>109</v>
      </c>
      <c r="BB1190" s="0" t="s">
        <v>111</v>
      </c>
      <c r="BI1190" s="0" t="s">
        <v>118</v>
      </c>
      <c r="BO1190" s="0" t="s">
        <v>124</v>
      </c>
    </row>
    <row r="1191" ht="84.75">
      <c r="B1191" s="0" t="s">
        <v>3204</v>
      </c>
      <c r="C1191" s="1" t="n">
        <v>352207</v>
      </c>
      <c r="E1191" s="14" t="s">
        <v>3205</v>
      </c>
      <c r="F1191" s="14" t="s">
        <v>184</v>
      </c>
      <c r="G1191" s="25" t="str">
        <f>HYPERLINK("http://vk.com/wall-155403177_57057?reply=57209&amp;thread=57063")</f>
      </c>
      <c r="H1191" s="14" t="s">
        <v>170</v>
      </c>
      <c r="I1191" s="14" t="s">
        <v>231</v>
      </c>
      <c r="J1191" s="14" t="s">
        <v>740</v>
      </c>
      <c r="K1191" s="26" t="str">
        <f>HYPERLINK("http://vk.com/club155403177")</f>
      </c>
      <c r="L1191" s="14" t="s">
        <v>274</v>
      </c>
      <c r="O1191" s="1"/>
      <c r="P1191" s="1"/>
      <c r="Q1191" s="1" t="n">
        <v>95225</v>
      </c>
      <c r="R1191" s="1" t="n">
        <v>0</v>
      </c>
      <c r="S1191" s="1"/>
      <c r="T1191" s="1" t="n">
        <v>0</v>
      </c>
      <c r="U1191" s="1" t="n">
        <v>0</v>
      </c>
      <c r="V1191" s="1" t="n">
        <v>0</v>
      </c>
      <c r="W1191" s="1"/>
      <c r="Y1191" s="1" t="n">
        <v>1</v>
      </c>
      <c r="Z1191" s="0" t="s">
        <v>463</v>
      </c>
      <c r="AA1191" s="0" t="s">
        <v>187</v>
      </c>
      <c r="AH1191" s="0" t="s">
        <v>180</v>
      </c>
      <c r="AI1191" s="0" t="s">
        <v>92</v>
      </c>
      <c r="AJ1191" s="0" t="s">
        <v>437</v>
      </c>
      <c r="AK1191" s="0" t="s">
        <v>94</v>
      </c>
      <c r="AN1191" s="0" t="s">
        <v>97</v>
      </c>
      <c r="AR1191" s="0" t="s">
        <v>101</v>
      </c>
      <c r="AS1191" s="0" t="s">
        <v>102</v>
      </c>
      <c r="AT1191" s="0" t="s">
        <v>103</v>
      </c>
      <c r="AZ1191" s="0" t="s">
        <v>109</v>
      </c>
    </row>
    <row r="1192">
      <c r="B1192" s="0" t="s">
        <v>3204</v>
      </c>
      <c r="C1192" s="1" t="n">
        <v>352194</v>
      </c>
      <c r="E1192" s="14" t="s">
        <v>3206</v>
      </c>
      <c r="F1192" s="14" t="s">
        <v>184</v>
      </c>
      <c r="G1192" s="25" t="str">
        <f>HYPERLINK("http://vk.com/wall-91708729_937329?reply=937835&amp;thread=937366")</f>
      </c>
      <c r="H1192" s="14" t="s">
        <v>170</v>
      </c>
      <c r="I1192" s="14" t="s">
        <v>231</v>
      </c>
      <c r="J1192" s="14" t="s">
        <v>3156</v>
      </c>
      <c r="K1192" s="26" t="str">
        <f>HYPERLINK("http://vk.com/id793566988")</f>
      </c>
      <c r="L1192" s="14" t="s">
        <v>173</v>
      </c>
      <c r="M1192" s="14" t="s">
        <v>3207</v>
      </c>
      <c r="N1192" s="25" t="str">
        <f>HYPERLINK("http://vk.com/club91708729")</f>
      </c>
      <c r="O1192" s="1" t="s">
        <v>186</v>
      </c>
      <c r="P1192" s="1"/>
      <c r="Q1192" s="1" t="n">
        <v>21921</v>
      </c>
      <c r="R1192" s="1" t="n">
        <v>0</v>
      </c>
      <c r="S1192" s="1"/>
      <c r="T1192" s="1" t="n">
        <v>0</v>
      </c>
      <c r="U1192" s="1" t="n">
        <v>0</v>
      </c>
      <c r="V1192" s="1" t="n">
        <v>0</v>
      </c>
      <c r="W1192" s="1"/>
      <c r="Y1192" s="1" t="n">
        <v>1</v>
      </c>
      <c r="Z1192" s="0" t="s">
        <v>319</v>
      </c>
      <c r="AA1192" s="0" t="s">
        <v>292</v>
      </c>
      <c r="AH1192" s="0" t="s">
        <v>180</v>
      </c>
      <c r="AI1192" s="0" t="s">
        <v>92</v>
      </c>
      <c r="AJ1192" s="0" t="s">
        <v>437</v>
      </c>
      <c r="AO1192" s="0" t="s">
        <v>98</v>
      </c>
      <c r="AY1192" s="0" t="s">
        <v>108</v>
      </c>
      <c r="BT1192" s="0" t="s">
        <v>129</v>
      </c>
      <c r="CH1192" s="0" t="s">
        <v>143</v>
      </c>
    </row>
    <row r="1193">
      <c r="B1193" s="0" t="s">
        <v>3208</v>
      </c>
      <c r="C1193" s="1" t="n">
        <v>352201</v>
      </c>
      <c r="E1193" s="14" t="s">
        <v>3209</v>
      </c>
      <c r="F1193" s="14" t="s">
        <v>184</v>
      </c>
      <c r="G1193" s="25" t="str">
        <f>HYPERLINK("http://vk.com/wall-143027530_228896?reply=229318")</f>
      </c>
      <c r="H1193" s="14" t="s">
        <v>170</v>
      </c>
      <c r="I1193" s="14" t="s">
        <v>231</v>
      </c>
      <c r="J1193" s="14" t="s">
        <v>3210</v>
      </c>
      <c r="K1193" s="26" t="str">
        <f>HYPERLINK("http://vk.com/id795312301")</f>
      </c>
      <c r="L1193" s="14" t="s">
        <v>173</v>
      </c>
      <c r="M1193" s="14" t="s">
        <v>489</v>
      </c>
      <c r="N1193" s="25" t="str">
        <f>HYPERLINK("http://vk.com/club143027530")</f>
      </c>
      <c r="O1193" s="1" t="s">
        <v>186</v>
      </c>
      <c r="P1193" s="1" t="n">
        <v>43</v>
      </c>
      <c r="Q1193" s="1" t="n">
        <v>24856</v>
      </c>
      <c r="R1193" s="1" t="n">
        <v>0</v>
      </c>
      <c r="S1193" s="1"/>
      <c r="T1193" s="1" t="n">
        <v>0</v>
      </c>
      <c r="U1193" s="1" t="n">
        <v>0</v>
      </c>
      <c r="V1193" s="1" t="n">
        <v>0</v>
      </c>
      <c r="W1193" s="1"/>
      <c r="Y1193" s="1" t="n">
        <v>1</v>
      </c>
      <c r="Z1193" s="0" t="s">
        <v>319</v>
      </c>
      <c r="AA1193" s="0" t="s">
        <v>187</v>
      </c>
      <c r="AC1193" s="0" t="s">
        <v>177</v>
      </c>
      <c r="AD1193" s="0" t="s">
        <v>332</v>
      </c>
      <c r="AE1193" s="0" t="s">
        <v>332</v>
      </c>
      <c r="AH1193" s="0" t="s">
        <v>180</v>
      </c>
      <c r="AJ1193" s="0" t="s">
        <v>437</v>
      </c>
      <c r="AK1193" s="0" t="s">
        <v>94</v>
      </c>
      <c r="AN1193" s="0" t="s">
        <v>97</v>
      </c>
      <c r="AZ1193" s="0" t="s">
        <v>109</v>
      </c>
      <c r="BB1193" s="0" t="s">
        <v>111</v>
      </c>
      <c r="BC1193" s="0" t="s">
        <v>112</v>
      </c>
      <c r="BM1193" s="0" t="s">
        <v>122</v>
      </c>
    </row>
    <row r="1194" ht="24.75">
      <c r="B1194" s="0" t="s">
        <v>3211</v>
      </c>
      <c r="C1194" s="1" t="n">
        <v>352302</v>
      </c>
      <c r="E1194" s="14" t="s">
        <v>296</v>
      </c>
      <c r="F1194" s="14" t="s">
        <v>184</v>
      </c>
      <c r="G1194" s="25" t="str">
        <f>HYPERLINK("http://vk.com/wall578780955_333")</f>
      </c>
      <c r="H1194" s="14" t="s">
        <v>170</v>
      </c>
      <c r="I1194" s="14" t="s">
        <v>171</v>
      </c>
      <c r="J1194" s="14" t="s">
        <v>3212</v>
      </c>
      <c r="K1194" s="26" t="str">
        <f>HYPERLINK("http://vk.com/id578780955")</f>
      </c>
      <c r="L1194" s="14" t="s">
        <v>173</v>
      </c>
      <c r="O1194" s="1" t="s">
        <v>186</v>
      </c>
      <c r="P1194" s="1" t="n">
        <v>28</v>
      </c>
      <c r="Q1194" s="1" t="n">
        <v>249</v>
      </c>
      <c r="R1194" s="1" t="n">
        <v>0</v>
      </c>
      <c r="S1194" s="1"/>
      <c r="T1194" s="1" t="n">
        <v>0</v>
      </c>
      <c r="U1194" s="1" t="n">
        <v>0</v>
      </c>
      <c r="V1194" s="1" t="n">
        <v>0</v>
      </c>
      <c r="W1194" s="1"/>
      <c r="Y1194" s="1" t="n">
        <v>93</v>
      </c>
      <c r="Z1194" s="0" t="s">
        <v>175</v>
      </c>
      <c r="AA1194" s="0" t="s">
        <v>187</v>
      </c>
      <c r="AH1194" s="0" t="s">
        <v>180</v>
      </c>
      <c r="AJ1194" s="0" t="s">
        <v>437</v>
      </c>
      <c r="AK1194" s="0" t="s">
        <v>94</v>
      </c>
      <c r="AM1194" s="0" t="s">
        <v>96</v>
      </c>
      <c r="AU1194" s="0" t="s">
        <v>104</v>
      </c>
      <c r="AV1194" s="0" t="s">
        <v>105</v>
      </c>
      <c r="AZ1194" s="0" t="s">
        <v>109</v>
      </c>
    </row>
    <row r="1195">
      <c r="B1195" s="0" t="s">
        <v>3211</v>
      </c>
      <c r="C1195" s="1" t="n">
        <v>352616</v>
      </c>
      <c r="E1195" s="14" t="s">
        <v>3213</v>
      </c>
      <c r="F1195" s="14" t="s">
        <v>870</v>
      </c>
      <c r="G1195" s="25" t="str">
        <f>HYPERLINK("https://dzen.ru/a/ZDXTcUmnUgHIK4tP#comment_1610188562")</f>
      </c>
      <c r="H1195" s="14" t="s">
        <v>376</v>
      </c>
      <c r="I1195" s="14" t="s">
        <v>231</v>
      </c>
      <c r="J1195" s="14" t="s">
        <v>3214</v>
      </c>
      <c r="K1195" s="26" t="str">
        <f>HYPERLINK("https://dzen.ru/user/bujxvz2ug5agx9qc99yg8ryf1m")</f>
      </c>
      <c r="L1195" s="14" t="s">
        <v>173</v>
      </c>
      <c r="M1195" s="14" t="s">
        <v>3215</v>
      </c>
      <c r="N1195" s="25" t="str">
        <f>HYPERLINK("https://dzen.ru/id/5e81e335d4abfe57572f5e79")</f>
      </c>
      <c r="O1195" s="1"/>
      <c r="P1195" s="1"/>
      <c r="Q1195" s="1" t="n">
        <v>95708</v>
      </c>
      <c r="R1195" s="1" t="n">
        <v>0</v>
      </c>
      <c r="S1195" s="1"/>
      <c r="T1195" s="1" t="n">
        <v>0</v>
      </c>
      <c r="U1195" s="1" t="n">
        <v>0</v>
      </c>
      <c r="V1195" s="1" t="n">
        <v>0</v>
      </c>
      <c r="W1195" s="1"/>
      <c r="Y1195" s="1" t="n">
        <v>1</v>
      </c>
      <c r="Z1195" s="0" t="s">
        <v>463</v>
      </c>
      <c r="AA1195" s="0" t="s">
        <v>187</v>
      </c>
      <c r="AH1195" s="0" t="s">
        <v>180</v>
      </c>
      <c r="AI1195" s="0" t="s">
        <v>92</v>
      </c>
      <c r="AJ1195" s="0" t="s">
        <v>437</v>
      </c>
      <c r="AK1195" s="0" t="s">
        <v>94</v>
      </c>
      <c r="AL1195" s="0" t="s">
        <v>95</v>
      </c>
      <c r="AR1195" s="0" t="s">
        <v>101</v>
      </c>
      <c r="CK1195" s="0" t="s">
        <v>146</v>
      </c>
    </row>
    <row r="1196">
      <c r="B1196" s="0" t="s">
        <v>3216</v>
      </c>
      <c r="C1196" s="1" t="n">
        <v>352196</v>
      </c>
      <c r="E1196" s="14" t="s">
        <v>3217</v>
      </c>
      <c r="F1196" s="14" t="s">
        <v>184</v>
      </c>
      <c r="G1196" s="25" t="str">
        <f>HYPERLINK("http://vk.com/wall-153326247_488859?reply=489267&amp;thread=488892")</f>
      </c>
      <c r="H1196" s="14" t="s">
        <v>170</v>
      </c>
      <c r="I1196" s="14" t="s">
        <v>231</v>
      </c>
      <c r="J1196" s="14" t="s">
        <v>3156</v>
      </c>
      <c r="K1196" s="26" t="str">
        <f>HYPERLINK("http://vk.com/id793566988")</f>
      </c>
      <c r="L1196" s="14" t="s">
        <v>173</v>
      </c>
      <c r="M1196" s="14" t="s">
        <v>663</v>
      </c>
      <c r="N1196" s="25" t="str">
        <f>HYPERLINK("http://vk.com/club153326247")</f>
      </c>
      <c r="O1196" s="1" t="s">
        <v>186</v>
      </c>
      <c r="P1196" s="1"/>
      <c r="Q1196" s="1" t="n">
        <v>27180</v>
      </c>
      <c r="R1196" s="1" t="n">
        <v>0</v>
      </c>
      <c r="S1196" s="1"/>
      <c r="T1196" s="1" t="n">
        <v>0</v>
      </c>
      <c r="U1196" s="1" t="n">
        <v>0</v>
      </c>
      <c r="V1196" s="1" t="n">
        <v>0</v>
      </c>
      <c r="W1196" s="1"/>
      <c r="Y1196" s="1" t="n">
        <v>1</v>
      </c>
      <c r="Z1196" s="0" t="s">
        <v>319</v>
      </c>
      <c r="AA1196" s="0" t="s">
        <v>292</v>
      </c>
      <c r="AB1196" s="0" t="s">
        <v>85</v>
      </c>
      <c r="AH1196" s="0" t="s">
        <v>180</v>
      </c>
      <c r="AI1196" s="0" t="s">
        <v>92</v>
      </c>
      <c r="AJ1196" s="0" t="s">
        <v>437</v>
      </c>
      <c r="AO1196" s="0" t="s">
        <v>98</v>
      </c>
      <c r="AY1196" s="0" t="s">
        <v>108</v>
      </c>
      <c r="BT1196" s="0" t="s">
        <v>129</v>
      </c>
      <c r="CH1196" s="0" t="s">
        <v>143</v>
      </c>
    </row>
    <row r="1197" ht="24.75">
      <c r="B1197" s="0" t="s">
        <v>3216</v>
      </c>
      <c r="C1197" s="1" t="n">
        <v>352751</v>
      </c>
      <c r="E1197" s="14" t="s">
        <v>1102</v>
      </c>
      <c r="F1197" s="14" t="s">
        <v>169</v>
      </c>
      <c r="G1197" s="25" t="str">
        <f>HYPERLINK("http://www.ok.ru/profile/556849102451/statuses/155884549290867")</f>
      </c>
      <c r="H1197" s="14" t="s">
        <v>170</v>
      </c>
      <c r="I1197" s="14" t="s">
        <v>171</v>
      </c>
      <c r="J1197" s="14" t="s">
        <v>3218</v>
      </c>
      <c r="K1197" s="26" t="str">
        <f>HYPERLINK("http://www.ok.ru/profile/556849102451")</f>
      </c>
      <c r="L1197" s="14" t="s">
        <v>173</v>
      </c>
      <c r="O1197" s="1" t="s">
        <v>186</v>
      </c>
      <c r="P1197" s="1" t="n">
        <v>72</v>
      </c>
      <c r="Q1197" s="1" t="n">
        <v>117</v>
      </c>
      <c r="R1197" s="1" t="n">
        <v>0</v>
      </c>
      <c r="S1197" s="1"/>
      <c r="T1197" s="1" t="n">
        <v>0</v>
      </c>
      <c r="U1197" s="1" t="n">
        <v>1</v>
      </c>
      <c r="V1197" s="1" t="n">
        <v>1</v>
      </c>
      <c r="W1197" s="1"/>
      <c r="Y1197" s="1" t="n">
        <v>93</v>
      </c>
      <c r="Z1197" s="0" t="s">
        <v>175</v>
      </c>
      <c r="AA1197" s="0" t="s">
        <v>187</v>
      </c>
      <c r="AC1197" s="0" t="s">
        <v>177</v>
      </c>
      <c r="AD1197" s="0" t="s">
        <v>392</v>
      </c>
      <c r="AE1197" s="0" t="s">
        <v>459</v>
      </c>
      <c r="AH1197" s="0" t="s">
        <v>180</v>
      </c>
      <c r="AJ1197" s="0" t="s">
        <v>437</v>
      </c>
      <c r="AK1197" s="0" t="s">
        <v>94</v>
      </c>
      <c r="AL1197" s="0" t="s">
        <v>95</v>
      </c>
      <c r="AM1197" s="0" t="s">
        <v>96</v>
      </c>
      <c r="AU1197" s="0" t="s">
        <v>104</v>
      </c>
      <c r="AV1197" s="0" t="s">
        <v>105</v>
      </c>
    </row>
    <row r="1198">
      <c r="B1198" s="0" t="s">
        <v>3216</v>
      </c>
      <c r="C1198" s="1" t="n">
        <v>352210</v>
      </c>
      <c r="E1198" s="14" t="s">
        <v>3219</v>
      </c>
      <c r="F1198" s="14" t="s">
        <v>184</v>
      </c>
      <c r="G1198" s="25" t="str">
        <f>HYPERLINK("http://vk.com/wall-146175495_830050?reply=830061&amp;thread=830057")</f>
      </c>
      <c r="H1198" s="14" t="s">
        <v>170</v>
      </c>
      <c r="I1198" s="14" t="s">
        <v>231</v>
      </c>
      <c r="J1198" s="14" t="s">
        <v>3220</v>
      </c>
      <c r="K1198" s="26" t="str">
        <f>HYPERLINK("http://vk.com/id295416540")</f>
      </c>
      <c r="L1198" s="14" t="s">
        <v>173</v>
      </c>
      <c r="M1198" s="14" t="s">
        <v>401</v>
      </c>
      <c r="N1198" s="25" t="str">
        <f>HYPERLINK("http://vk.com/club146175495")</f>
      </c>
      <c r="O1198" s="1" t="s">
        <v>186</v>
      </c>
      <c r="P1198" s="1" t="n">
        <v>35</v>
      </c>
      <c r="Q1198" s="1" t="n">
        <v>26839</v>
      </c>
      <c r="R1198" s="1" t="n">
        <v>0</v>
      </c>
      <c r="S1198" s="1"/>
      <c r="T1198" s="1" t="n">
        <v>0</v>
      </c>
      <c r="U1198" s="1" t="n">
        <v>0</v>
      </c>
      <c r="V1198" s="1" t="n">
        <v>0</v>
      </c>
      <c r="W1198" s="1"/>
      <c r="Y1198" s="1" t="n">
        <v>1</v>
      </c>
      <c r="Z1198" s="0" t="s">
        <v>175</v>
      </c>
      <c r="AA1198" s="0" t="s">
        <v>187</v>
      </c>
      <c r="AC1198" s="0" t="s">
        <v>177</v>
      </c>
      <c r="AD1198" s="0" t="s">
        <v>402</v>
      </c>
      <c r="AE1198" s="0" t="s">
        <v>2424</v>
      </c>
      <c r="AH1198" s="0" t="s">
        <v>180</v>
      </c>
      <c r="AI1198" s="0" t="s">
        <v>92</v>
      </c>
      <c r="AJ1198" s="0" t="s">
        <v>437</v>
      </c>
      <c r="AK1198" s="0" t="s">
        <v>94</v>
      </c>
      <c r="AN1198" s="0" t="s">
        <v>97</v>
      </c>
      <c r="AS1198" s="0" t="s">
        <v>102</v>
      </c>
      <c r="AZ1198" s="0" t="s">
        <v>109</v>
      </c>
      <c r="CL1198" s="0" t="s">
        <v>147</v>
      </c>
    </row>
    <row r="1199" ht="36.75">
      <c r="B1199" s="0" t="s">
        <v>3216</v>
      </c>
      <c r="C1199" s="1" t="n">
        <v>352619</v>
      </c>
      <c r="E1199" s="14" t="s">
        <v>1189</v>
      </c>
      <c r="F1199" s="14" t="s">
        <v>169</v>
      </c>
      <c r="G1199" s="25" t="str">
        <f>HYPERLINK("http://www.ok.ru/profile/440373986869/statuses/156215933883701")</f>
      </c>
      <c r="H1199" s="14" t="s">
        <v>170</v>
      </c>
      <c r="I1199" s="14" t="s">
        <v>171</v>
      </c>
      <c r="J1199" s="14" t="s">
        <v>3221</v>
      </c>
      <c r="K1199" s="26" t="str">
        <f>HYPERLINK("http://www.ok.ru/profile/440373986869")</f>
      </c>
      <c r="L1199" s="14" t="s">
        <v>173</v>
      </c>
      <c r="O1199" s="1" t="s">
        <v>174</v>
      </c>
      <c r="P1199" s="1" t="n">
        <v>57</v>
      </c>
      <c r="Q1199" s="1" t="n">
        <v>371</v>
      </c>
      <c r="R1199" s="1" t="n">
        <v>0</v>
      </c>
      <c r="S1199" s="1"/>
      <c r="T1199" s="1" t="n">
        <v>0</v>
      </c>
      <c r="U1199" s="1" t="n">
        <v>6</v>
      </c>
      <c r="V1199" s="1" t="n">
        <v>6</v>
      </c>
      <c r="W1199" s="1"/>
      <c r="Y1199" s="1" t="n">
        <v>46</v>
      </c>
      <c r="Z1199" s="0" t="s">
        <v>175</v>
      </c>
      <c r="AA1199" s="0" t="s">
        <v>187</v>
      </c>
      <c r="AC1199" s="0" t="s">
        <v>177</v>
      </c>
      <c r="AD1199" s="0" t="s">
        <v>760</v>
      </c>
      <c r="AE1199" s="0" t="s">
        <v>3222</v>
      </c>
      <c r="AH1199" s="0" t="s">
        <v>180</v>
      </c>
      <c r="AJ1199" s="0" t="s">
        <v>437</v>
      </c>
      <c r="AK1199" s="0" t="s">
        <v>94</v>
      </c>
      <c r="AL1199" s="0" t="s">
        <v>95</v>
      </c>
      <c r="AM1199" s="0" t="s">
        <v>96</v>
      </c>
      <c r="AO1199" s="0" t="s">
        <v>98</v>
      </c>
      <c r="AQ1199" s="0" t="s">
        <v>100</v>
      </c>
    </row>
    <row r="1200">
      <c r="B1200" s="0" t="s">
        <v>3223</v>
      </c>
      <c r="C1200" s="1" t="n">
        <v>352289</v>
      </c>
      <c r="E1200" s="14" t="s">
        <v>3224</v>
      </c>
      <c r="F1200" s="14" t="s">
        <v>375</v>
      </c>
      <c r="G1200" s="25" t="str">
        <f>HYPERLINK("https://www.babyblog.ru/community/01medicina/post/3262171")</f>
      </c>
      <c r="H1200" s="14" t="s">
        <v>376</v>
      </c>
      <c r="I1200" s="14" t="s">
        <v>231</v>
      </c>
      <c r="J1200" s="14" t="s">
        <v>3175</v>
      </c>
      <c r="L1200" s="14"/>
      <c r="M1200" s="14" t="s">
        <v>378</v>
      </c>
      <c r="O1200" s="1"/>
      <c r="P1200" s="1"/>
      <c r="Q1200" s="1"/>
      <c r="R1200" s="1" t="n">
        <v>0</v>
      </c>
      <c r="S1200" s="1"/>
      <c r="T1200" s="1" t="n">
        <v>0</v>
      </c>
      <c r="U1200" s="1" t="n">
        <v>0</v>
      </c>
      <c r="V1200" s="1" t="n">
        <v>0</v>
      </c>
      <c r="W1200" s="1"/>
      <c r="Y1200" s="1" t="n">
        <v>1</v>
      </c>
      <c r="Z1200" s="0" t="s">
        <v>319</v>
      </c>
      <c r="AA1200" s="0" t="s">
        <v>187</v>
      </c>
      <c r="AH1200" s="0" t="s">
        <v>180</v>
      </c>
      <c r="AJ1200" s="0" t="s">
        <v>437</v>
      </c>
      <c r="AK1200" s="0" t="s">
        <v>94</v>
      </c>
      <c r="AN1200" s="0" t="s">
        <v>97</v>
      </c>
      <c r="AZ1200" s="0" t="s">
        <v>109</v>
      </c>
      <c r="BB1200" s="0" t="s">
        <v>111</v>
      </c>
      <c r="BC1200" s="0" t="s">
        <v>112</v>
      </c>
      <c r="BG1200" s="0" t="s">
        <v>116</v>
      </c>
      <c r="BM1200" s="0" t="s">
        <v>122</v>
      </c>
    </row>
    <row r="1201" ht="216.75">
      <c r="B1201" s="0" t="s">
        <v>3225</v>
      </c>
      <c r="C1201" s="1" t="n">
        <v>352211</v>
      </c>
      <c r="E1201" s="14" t="s">
        <v>3226</v>
      </c>
      <c r="F1201" s="14" t="s">
        <v>192</v>
      </c>
      <c r="G1201" s="25" t="str">
        <f>HYPERLINK("https://telegram.me/kitchen_chef/7472")</f>
      </c>
      <c r="H1201" s="14" t="s">
        <v>655</v>
      </c>
      <c r="I1201" s="14" t="s">
        <v>194</v>
      </c>
      <c r="J1201" s="14" t="s">
        <v>3227</v>
      </c>
      <c r="K1201" s="26" t="str">
        <f>HYPERLINK("https://telegram.me/kitchen_chef")</f>
      </c>
      <c r="L1201" s="14" t="s">
        <v>274</v>
      </c>
      <c r="O1201" s="1"/>
      <c r="P1201" s="1"/>
      <c r="Q1201" s="1" t="n">
        <v>65898</v>
      </c>
      <c r="R1201" s="1" t="n">
        <v>0</v>
      </c>
      <c r="S1201" s="1"/>
      <c r="T1201" s="1" t="n">
        <v>0</v>
      </c>
      <c r="U1201" s="1" t="n">
        <v>0</v>
      </c>
      <c r="V1201" s="1" t="n">
        <v>0</v>
      </c>
      <c r="W1201" s="1" t="n">
        <v>13900</v>
      </c>
      <c r="Y1201" s="1" t="n">
        <v>1</v>
      </c>
      <c r="Z1201" s="0" t="s">
        <v>175</v>
      </c>
      <c r="AA1201" s="0" t="s">
        <v>223</v>
      </c>
      <c r="AH1201" s="0" t="s">
        <v>180</v>
      </c>
      <c r="AJ1201" s="0" t="s">
        <v>437</v>
      </c>
      <c r="AZ1201" s="0" t="s">
        <v>109</v>
      </c>
      <c r="BK1201" s="0" t="s">
        <v>120</v>
      </c>
      <c r="BP1201" s="0" t="s">
        <v>125</v>
      </c>
      <c r="CW1201" s="0" t="s">
        <v>158</v>
      </c>
    </row>
    <row r="1202" ht="24.75">
      <c r="B1202" s="0" t="s">
        <v>3228</v>
      </c>
      <c r="C1202" s="1" t="n">
        <v>352806</v>
      </c>
      <c r="E1202" s="14" t="s">
        <v>1102</v>
      </c>
      <c r="F1202" s="14" t="s">
        <v>169</v>
      </c>
      <c r="G1202" s="25" t="str">
        <f>HYPERLINK("http://www.ok.ru/profile/560026181754/statuses/155171384894842")</f>
      </c>
      <c r="H1202" s="14" t="s">
        <v>170</v>
      </c>
      <c r="I1202" s="14" t="s">
        <v>171</v>
      </c>
      <c r="J1202" s="14" t="s">
        <v>3229</v>
      </c>
      <c r="K1202" s="26" t="str">
        <f>HYPERLINK("http://www.ok.ru/profile/560026181754")</f>
      </c>
      <c r="L1202" s="14" t="s">
        <v>173</v>
      </c>
      <c r="O1202" s="1" t="s">
        <v>186</v>
      </c>
      <c r="P1202" s="1" t="n">
        <v>70</v>
      </c>
      <c r="Q1202" s="1" t="n">
        <v>656</v>
      </c>
      <c r="R1202" s="1" t="n">
        <v>0</v>
      </c>
      <c r="S1202" s="1"/>
      <c r="T1202" s="1" t="n">
        <v>1</v>
      </c>
      <c r="U1202" s="1" t="n">
        <v>6</v>
      </c>
      <c r="V1202" s="1" t="n">
        <v>7</v>
      </c>
      <c r="W1202" s="1"/>
      <c r="Y1202" s="1" t="n">
        <v>93</v>
      </c>
      <c r="Z1202" s="0" t="s">
        <v>175</v>
      </c>
      <c r="AA1202" s="0" t="s">
        <v>187</v>
      </c>
      <c r="AC1202" s="0" t="s">
        <v>177</v>
      </c>
      <c r="AD1202" s="0" t="s">
        <v>332</v>
      </c>
      <c r="AE1202" s="0" t="s">
        <v>332</v>
      </c>
      <c r="AH1202" s="0" t="s">
        <v>180</v>
      </c>
      <c r="AJ1202" s="0" t="s">
        <v>437</v>
      </c>
      <c r="AK1202" s="0" t="s">
        <v>94</v>
      </c>
      <c r="AL1202" s="0" t="s">
        <v>95</v>
      </c>
      <c r="AM1202" s="0" t="s">
        <v>96</v>
      </c>
      <c r="AU1202" s="0" t="s">
        <v>104</v>
      </c>
      <c r="AV1202" s="0" t="s">
        <v>105</v>
      </c>
    </row>
    <row r="1203" ht="120.75">
      <c r="B1203" s="0" t="s">
        <v>3230</v>
      </c>
      <c r="C1203" s="1" t="n">
        <v>352291</v>
      </c>
      <c r="E1203" s="14" t="s">
        <v>3231</v>
      </c>
      <c r="F1203" s="14" t="s">
        <v>184</v>
      </c>
      <c r="G1203" s="25" t="str">
        <f>HYPERLINK("http://vk.com/wall162125814_4355")</f>
      </c>
      <c r="H1203" s="14" t="s">
        <v>170</v>
      </c>
      <c r="I1203" s="14" t="s">
        <v>194</v>
      </c>
      <c r="J1203" s="14" t="s">
        <v>3232</v>
      </c>
      <c r="K1203" s="26" t="str">
        <f>HYPERLINK("http://vk.com/id162125814")</f>
      </c>
      <c r="L1203" s="14" t="s">
        <v>173</v>
      </c>
      <c r="O1203" s="1" t="s">
        <v>186</v>
      </c>
      <c r="P1203" s="1" t="n">
        <v>35</v>
      </c>
      <c r="Q1203" s="1" t="n">
        <v>1689</v>
      </c>
      <c r="R1203" s="1" t="n">
        <v>0</v>
      </c>
      <c r="S1203" s="1"/>
      <c r="T1203" s="1" t="n">
        <v>3</v>
      </c>
      <c r="U1203" s="1" t="n">
        <v>5</v>
      </c>
      <c r="V1203" s="1" t="n">
        <v>8</v>
      </c>
      <c r="W1203" s="1" t="n">
        <v>262</v>
      </c>
      <c r="Y1203" s="1" t="n">
        <v>1</v>
      </c>
      <c r="Z1203" s="0" t="s">
        <v>175</v>
      </c>
      <c r="AA1203" s="0" t="s">
        <v>187</v>
      </c>
      <c r="AC1203" s="0" t="s">
        <v>177</v>
      </c>
      <c r="AD1203" s="0" t="s">
        <v>556</v>
      </c>
      <c r="AE1203" s="0" t="s">
        <v>1860</v>
      </c>
      <c r="AH1203" s="0" t="s">
        <v>180</v>
      </c>
      <c r="AJ1203" s="0" t="s">
        <v>437</v>
      </c>
      <c r="AK1203" s="0" t="s">
        <v>94</v>
      </c>
      <c r="AT1203" s="0" t="s">
        <v>103</v>
      </c>
      <c r="AZ1203" s="0" t="s">
        <v>109</v>
      </c>
      <c r="BJ1203" s="0" t="s">
        <v>119</v>
      </c>
    </row>
    <row r="1204" ht="24.75">
      <c r="B1204" s="0" t="s">
        <v>3230</v>
      </c>
      <c r="C1204" s="1" t="n">
        <v>352288</v>
      </c>
      <c r="E1204" s="14" t="s">
        <v>296</v>
      </c>
      <c r="F1204" s="14" t="s">
        <v>184</v>
      </c>
      <c r="G1204" s="25" t="str">
        <f>HYPERLINK("http://vk.com/wall220494022_734")</f>
      </c>
      <c r="H1204" s="14" t="s">
        <v>170</v>
      </c>
      <c r="I1204" s="14" t="s">
        <v>171</v>
      </c>
      <c r="J1204" s="14" t="s">
        <v>3233</v>
      </c>
      <c r="K1204" s="26" t="str">
        <f>HYPERLINK("http://vk.com/id220494022")</f>
      </c>
      <c r="L1204" s="14" t="s">
        <v>173</v>
      </c>
      <c r="O1204" s="1" t="s">
        <v>186</v>
      </c>
      <c r="P1204" s="1" t="n">
        <v>61</v>
      </c>
      <c r="Q1204" s="1" t="n">
        <v>157</v>
      </c>
      <c r="R1204" s="1" t="n">
        <v>0</v>
      </c>
      <c r="S1204" s="1"/>
      <c r="T1204" s="1" t="n">
        <v>0</v>
      </c>
      <c r="U1204" s="1" t="n">
        <v>0</v>
      </c>
      <c r="V1204" s="1" t="n">
        <v>0</v>
      </c>
      <c r="W1204" s="1" t="n">
        <v>1</v>
      </c>
      <c r="Y1204" s="1" t="n">
        <v>93</v>
      </c>
      <c r="Z1204" s="0" t="s">
        <v>175</v>
      </c>
      <c r="AA1204" s="0" t="s">
        <v>187</v>
      </c>
      <c r="AC1204" s="0" t="s">
        <v>177</v>
      </c>
      <c r="AH1204" s="0" t="s">
        <v>180</v>
      </c>
      <c r="AJ1204" s="0" t="s">
        <v>437</v>
      </c>
      <c r="AK1204" s="0" t="s">
        <v>94</v>
      </c>
      <c r="AM1204" s="0" t="s">
        <v>96</v>
      </c>
      <c r="AU1204" s="0" t="s">
        <v>104</v>
      </c>
      <c r="AV1204" s="0" t="s">
        <v>105</v>
      </c>
      <c r="AZ1204" s="0" t="s">
        <v>109</v>
      </c>
    </row>
    <row r="1205" ht="108.75">
      <c r="B1205" s="0" t="s">
        <v>3230</v>
      </c>
      <c r="C1205" s="1" t="n">
        <v>352290</v>
      </c>
      <c r="E1205" s="14" t="s">
        <v>2607</v>
      </c>
      <c r="F1205" s="14" t="s">
        <v>184</v>
      </c>
      <c r="G1205" s="25" t="str">
        <f>HYPERLINK("http://vk.com/wall619892984_285")</f>
      </c>
      <c r="H1205" s="14" t="s">
        <v>170</v>
      </c>
      <c r="I1205" s="14" t="s">
        <v>171</v>
      </c>
      <c r="J1205" s="14" t="s">
        <v>3234</v>
      </c>
      <c r="K1205" s="26" t="str">
        <f>HYPERLINK("http://vk.com/id619892984")</f>
      </c>
      <c r="L1205" s="14" t="s">
        <v>173</v>
      </c>
      <c r="O1205" s="1" t="s">
        <v>186</v>
      </c>
      <c r="P1205" s="1" t="n">
        <v>60</v>
      </c>
      <c r="Q1205" s="1" t="n">
        <v>27</v>
      </c>
      <c r="R1205" s="1" t="n">
        <v>0</v>
      </c>
      <c r="S1205" s="1"/>
      <c r="T1205" s="1" t="n">
        <v>0</v>
      </c>
      <c r="U1205" s="1" t="n">
        <v>0</v>
      </c>
      <c r="V1205" s="1" t="n">
        <v>0</v>
      </c>
      <c r="W1205" s="1" t="n">
        <v>1</v>
      </c>
      <c r="Y1205" s="1" t="n">
        <v>3</v>
      </c>
      <c r="Z1205" s="0" t="s">
        <v>175</v>
      </c>
      <c r="AA1205" s="0" t="s">
        <v>187</v>
      </c>
      <c r="AC1205" s="0" t="s">
        <v>177</v>
      </c>
      <c r="AD1205" s="0" t="s">
        <v>1004</v>
      </c>
      <c r="AE1205" s="0" t="s">
        <v>1005</v>
      </c>
      <c r="AH1205" s="0" t="s">
        <v>180</v>
      </c>
      <c r="AJ1205" s="0" t="s">
        <v>437</v>
      </c>
      <c r="AK1205" s="0" t="s">
        <v>94</v>
      </c>
      <c r="AU1205" s="0" t="s">
        <v>104</v>
      </c>
      <c r="AZ1205" s="0" t="s">
        <v>109</v>
      </c>
      <c r="BA1205" s="0" t="s">
        <v>110</v>
      </c>
      <c r="BJ1205" s="0" t="s">
        <v>119</v>
      </c>
    </row>
    <row r="1206">
      <c r="B1206" s="0" t="s">
        <v>3235</v>
      </c>
      <c r="C1206" s="1" t="n">
        <v>352190</v>
      </c>
      <c r="E1206" s="14" t="s">
        <v>3236</v>
      </c>
      <c r="F1206" s="14" t="s">
        <v>184</v>
      </c>
      <c r="G1206" s="25" t="str">
        <f>HYPERLINK("http://vk.com/wall-78602289_5653406?reply=5653455")</f>
      </c>
      <c r="H1206" s="14" t="s">
        <v>170</v>
      </c>
      <c r="I1206" s="14" t="s">
        <v>231</v>
      </c>
      <c r="J1206" s="14" t="s">
        <v>3210</v>
      </c>
      <c r="K1206" s="26" t="str">
        <f>HYPERLINK("http://vk.com/id795312301")</f>
      </c>
      <c r="L1206" s="14" t="s">
        <v>173</v>
      </c>
      <c r="M1206" s="14" t="s">
        <v>3237</v>
      </c>
      <c r="N1206" s="25" t="str">
        <f>HYPERLINK("http://vk.com/club78602289")</f>
      </c>
      <c r="O1206" s="1" t="s">
        <v>186</v>
      </c>
      <c r="P1206" s="1" t="n">
        <v>43</v>
      </c>
      <c r="Q1206" s="1" t="n">
        <v>76009</v>
      </c>
      <c r="R1206" s="1" t="n">
        <v>0</v>
      </c>
      <c r="S1206" s="1"/>
      <c r="T1206" s="1" t="n">
        <v>0</v>
      </c>
      <c r="U1206" s="1" t="n">
        <v>0</v>
      </c>
      <c r="V1206" s="1" t="n">
        <v>0</v>
      </c>
      <c r="W1206" s="1"/>
      <c r="Y1206" s="1" t="n">
        <v>1</v>
      </c>
      <c r="Z1206" s="0" t="s">
        <v>319</v>
      </c>
      <c r="AA1206" s="0" t="s">
        <v>187</v>
      </c>
      <c r="AC1206" s="0" t="s">
        <v>177</v>
      </c>
      <c r="AD1206" s="0" t="s">
        <v>332</v>
      </c>
      <c r="AE1206" s="0" t="s">
        <v>332</v>
      </c>
      <c r="AH1206" s="0" t="s">
        <v>180</v>
      </c>
      <c r="AJ1206" s="0" t="s">
        <v>437</v>
      </c>
      <c r="AK1206" s="0" t="s">
        <v>94</v>
      </c>
      <c r="AN1206" s="0" t="s">
        <v>97</v>
      </c>
      <c r="AT1206" s="0" t="s">
        <v>103</v>
      </c>
      <c r="AZ1206" s="0" t="s">
        <v>109</v>
      </c>
      <c r="BB1206" s="0" t="s">
        <v>111</v>
      </c>
      <c r="BC1206" s="0" t="s">
        <v>112</v>
      </c>
      <c r="BE1206" s="0" t="s">
        <v>114</v>
      </c>
      <c r="BH1206" s="0" t="s">
        <v>117</v>
      </c>
      <c r="BL1206" s="0" t="s">
        <v>121</v>
      </c>
    </row>
    <row r="1207" ht="24.75">
      <c r="B1207" s="0" t="s">
        <v>3235</v>
      </c>
      <c r="C1207" s="1" t="n">
        <v>352396</v>
      </c>
      <c r="E1207" s="14" t="s">
        <v>554</v>
      </c>
      <c r="F1207" s="14" t="s">
        <v>169</v>
      </c>
      <c r="G1207" s="25" t="str">
        <f>HYPERLINK("http://www.ok.ru/profile/566971554130/statuses/155912968285010")</f>
      </c>
      <c r="H1207" s="14" t="s">
        <v>170</v>
      </c>
      <c r="I1207" s="14" t="s">
        <v>171</v>
      </c>
      <c r="J1207" s="14" t="s">
        <v>3238</v>
      </c>
      <c r="K1207" s="26" t="str">
        <f>HYPERLINK("http://www.ok.ru/profile/566971554130")</f>
      </c>
      <c r="L1207" s="14" t="s">
        <v>173</v>
      </c>
      <c r="O1207" s="1" t="s">
        <v>174</v>
      </c>
      <c r="P1207" s="1" t="n">
        <v>73</v>
      </c>
      <c r="Q1207" s="1" t="n">
        <v>226</v>
      </c>
      <c r="R1207" s="1" t="n">
        <v>0</v>
      </c>
      <c r="S1207" s="1"/>
      <c r="T1207" s="1" t="n">
        <v>0</v>
      </c>
      <c r="U1207" s="1" t="n">
        <v>0</v>
      </c>
      <c r="V1207" s="1" t="n">
        <v>0</v>
      </c>
      <c r="W1207" s="1"/>
      <c r="Y1207" s="1" t="n">
        <v>59</v>
      </c>
      <c r="Z1207" s="0" t="s">
        <v>175</v>
      </c>
      <c r="AA1207" s="0" t="s">
        <v>176</v>
      </c>
      <c r="AC1207" s="0" t="s">
        <v>177</v>
      </c>
      <c r="AH1207" s="0" t="s">
        <v>180</v>
      </c>
      <c r="AJ1207" s="0" t="s">
        <v>437</v>
      </c>
      <c r="AK1207" s="0" t="s">
        <v>94</v>
      </c>
      <c r="AM1207" s="0" t="s">
        <v>96</v>
      </c>
      <c r="AO1207" s="0" t="s">
        <v>98</v>
      </c>
      <c r="AQ1207" s="0" t="s">
        <v>100</v>
      </c>
      <c r="AZ1207" s="0" t="s">
        <v>109</v>
      </c>
    </row>
    <row r="1208">
      <c r="B1208" s="0" t="s">
        <v>3239</v>
      </c>
      <c r="C1208" s="1" t="n">
        <v>352184</v>
      </c>
      <c r="E1208" s="14" t="s">
        <v>3240</v>
      </c>
      <c r="F1208" s="14" t="s">
        <v>184</v>
      </c>
      <c r="G1208" s="25" t="str">
        <f>HYPERLINK("http://vk.com/wall-76846938_2689397?reply=2689757&amp;thread=2689399")</f>
      </c>
      <c r="H1208" s="14" t="s">
        <v>170</v>
      </c>
      <c r="I1208" s="14" t="s">
        <v>231</v>
      </c>
      <c r="J1208" s="14" t="s">
        <v>3241</v>
      </c>
      <c r="K1208" s="26" t="str">
        <f>HYPERLINK("http://vk.com/id143720076")</f>
      </c>
      <c r="L1208" s="14" t="s">
        <v>173</v>
      </c>
      <c r="M1208" s="14" t="s">
        <v>2409</v>
      </c>
      <c r="N1208" s="25" t="str">
        <f>HYPERLINK("http://vk.com/club76846938")</f>
      </c>
      <c r="O1208" s="1" t="s">
        <v>174</v>
      </c>
      <c r="P1208" s="1" t="n">
        <v>29</v>
      </c>
      <c r="Q1208" s="1" t="n">
        <v>396217</v>
      </c>
      <c r="R1208" s="1" t="n">
        <v>0</v>
      </c>
      <c r="S1208" s="1"/>
      <c r="T1208" s="1" t="n">
        <v>0</v>
      </c>
      <c r="U1208" s="1" t="n">
        <v>0</v>
      </c>
      <c r="V1208" s="1" t="n">
        <v>0</v>
      </c>
      <c r="W1208" s="1"/>
      <c r="Y1208" s="1" t="n">
        <v>1</v>
      </c>
      <c r="Z1208" s="0" t="s">
        <v>463</v>
      </c>
      <c r="AA1208" s="0" t="s">
        <v>187</v>
      </c>
      <c r="AC1208" s="0" t="s">
        <v>177</v>
      </c>
      <c r="AD1208" s="0" t="s">
        <v>760</v>
      </c>
      <c r="AE1208" s="0" t="s">
        <v>761</v>
      </c>
      <c r="AH1208" s="0" t="s">
        <v>180</v>
      </c>
      <c r="AI1208" s="0" t="s">
        <v>92</v>
      </c>
      <c r="AJ1208" s="0" t="s">
        <v>437</v>
      </c>
      <c r="AK1208" s="0" t="s">
        <v>94</v>
      </c>
      <c r="AR1208" s="0" t="s">
        <v>101</v>
      </c>
      <c r="AT1208" s="0" t="s">
        <v>103</v>
      </c>
      <c r="AZ1208" s="0" t="s">
        <v>109</v>
      </c>
    </row>
    <row r="1209" ht="1104.75">
      <c r="B1209" s="0" t="s">
        <v>3242</v>
      </c>
      <c r="C1209" s="1" t="n">
        <v>352285</v>
      </c>
      <c r="E1209" s="14" t="s">
        <v>1618</v>
      </c>
      <c r="F1209" s="14" t="s">
        <v>184</v>
      </c>
      <c r="G1209" s="25" t="str">
        <f>HYPERLINK("http://vk.com/wall303772859_688")</f>
      </c>
      <c r="H1209" s="14" t="s">
        <v>170</v>
      </c>
      <c r="I1209" s="14" t="s">
        <v>171</v>
      </c>
      <c r="J1209" s="14" t="s">
        <v>3243</v>
      </c>
      <c r="K1209" s="26" t="str">
        <f>HYPERLINK("http://vk.com/id303772859")</f>
      </c>
      <c r="L1209" s="14" t="s">
        <v>173</v>
      </c>
      <c r="O1209" s="1" t="s">
        <v>186</v>
      </c>
      <c r="P1209" s="1"/>
      <c r="Q1209" s="1" t="n">
        <v>164</v>
      </c>
      <c r="R1209" s="1" t="n">
        <v>0</v>
      </c>
      <c r="S1209" s="1"/>
      <c r="T1209" s="1" t="n">
        <v>0</v>
      </c>
      <c r="U1209" s="1" t="n">
        <v>0</v>
      </c>
      <c r="V1209" s="1" t="n">
        <v>0</v>
      </c>
      <c r="W1209" s="1"/>
      <c r="Y1209" s="1" t="n">
        <v>6</v>
      </c>
      <c r="Z1209" s="0" t="s">
        <v>175</v>
      </c>
      <c r="AA1209" s="0" t="s">
        <v>187</v>
      </c>
      <c r="AC1209" s="0" t="s">
        <v>177</v>
      </c>
      <c r="AD1209" s="0" t="s">
        <v>188</v>
      </c>
      <c r="AE1209" s="0" t="s">
        <v>3244</v>
      </c>
      <c r="AH1209" s="0" t="s">
        <v>180</v>
      </c>
      <c r="AJ1209" s="0" t="s">
        <v>437</v>
      </c>
      <c r="AK1209" s="0" t="s">
        <v>94</v>
      </c>
      <c r="AM1209" s="0" t="s">
        <v>96</v>
      </c>
      <c r="AX1209" s="0" t="s">
        <v>107</v>
      </c>
      <c r="AZ1209" s="0" t="s">
        <v>109</v>
      </c>
    </row>
    <row r="1210">
      <c r="B1210" s="0" t="s">
        <v>3242</v>
      </c>
      <c r="C1210" s="1" t="n">
        <v>352186</v>
      </c>
      <c r="E1210" s="14" t="s">
        <v>3245</v>
      </c>
      <c r="F1210" s="14" t="s">
        <v>184</v>
      </c>
      <c r="G1210" s="25" t="str">
        <f>HYPERLINK("http://vk.com/wall-76846938_2689397?reply=2689755&amp;thread=2689399")</f>
      </c>
      <c r="H1210" s="14" t="s">
        <v>170</v>
      </c>
      <c r="I1210" s="14" t="s">
        <v>231</v>
      </c>
      <c r="J1210" s="14" t="s">
        <v>3241</v>
      </c>
      <c r="K1210" s="26" t="str">
        <f>HYPERLINK("http://vk.com/id143720076")</f>
      </c>
      <c r="L1210" s="14" t="s">
        <v>173</v>
      </c>
      <c r="M1210" s="14" t="s">
        <v>2409</v>
      </c>
      <c r="N1210" s="25" t="str">
        <f>HYPERLINK("http://vk.com/club76846938")</f>
      </c>
      <c r="O1210" s="1" t="s">
        <v>174</v>
      </c>
      <c r="P1210" s="1" t="n">
        <v>29</v>
      </c>
      <c r="Q1210" s="1" t="n">
        <v>396217</v>
      </c>
      <c r="R1210" s="1" t="n">
        <v>0</v>
      </c>
      <c r="S1210" s="1"/>
      <c r="T1210" s="1" t="n">
        <v>0</v>
      </c>
      <c r="U1210" s="1" t="n">
        <v>0</v>
      </c>
      <c r="V1210" s="1" t="n">
        <v>0</v>
      </c>
      <c r="W1210" s="1"/>
      <c r="Y1210" s="1" t="n">
        <v>1</v>
      </c>
      <c r="Z1210" s="0" t="s">
        <v>463</v>
      </c>
      <c r="AA1210" s="0" t="s">
        <v>187</v>
      </c>
      <c r="AB1210" s="0" t="s">
        <v>85</v>
      </c>
      <c r="AC1210" s="0" t="s">
        <v>177</v>
      </c>
      <c r="AD1210" s="0" t="s">
        <v>760</v>
      </c>
      <c r="AE1210" s="0" t="s">
        <v>761</v>
      </c>
      <c r="AH1210" s="0" t="s">
        <v>180</v>
      </c>
      <c r="AI1210" s="0" t="s">
        <v>92</v>
      </c>
      <c r="AJ1210" s="0" t="s">
        <v>437</v>
      </c>
      <c r="AK1210" s="0" t="s">
        <v>94</v>
      </c>
      <c r="AR1210" s="0" t="s">
        <v>101</v>
      </c>
      <c r="AT1210" s="0" t="s">
        <v>103</v>
      </c>
      <c r="AZ1210" s="0" t="s">
        <v>109</v>
      </c>
    </row>
    <row r="1211">
      <c r="B1211" s="0" t="s">
        <v>3246</v>
      </c>
      <c r="C1211" s="1" t="n">
        <v>353584</v>
      </c>
      <c r="E1211" s="14" t="s">
        <v>1447</v>
      </c>
      <c r="F1211" s="14" t="s">
        <v>169</v>
      </c>
      <c r="G1211" s="25" t="str">
        <f>HYPERLINK("http://www.ok.ru/profile/561363209640/statuses/156116751528104")</f>
      </c>
      <c r="H1211" s="14" t="s">
        <v>170</v>
      </c>
      <c r="I1211" s="14" t="s">
        <v>171</v>
      </c>
      <c r="J1211" s="14" t="s">
        <v>3247</v>
      </c>
      <c r="K1211" s="26" t="str">
        <f>HYPERLINK("http://www.ok.ru/profile/561363209640")</f>
      </c>
      <c r="L1211" s="14" t="s">
        <v>173</v>
      </c>
      <c r="O1211" s="1" t="s">
        <v>186</v>
      </c>
      <c r="P1211" s="1" t="n">
        <v>66</v>
      </c>
      <c r="Q1211" s="1" t="n">
        <v>210</v>
      </c>
      <c r="R1211" s="1" t="n">
        <v>0</v>
      </c>
      <c r="S1211" s="1"/>
      <c r="T1211" s="1" t="n">
        <v>0</v>
      </c>
      <c r="U1211" s="1" t="n">
        <v>1</v>
      </c>
      <c r="V1211" s="1" t="n">
        <v>1</v>
      </c>
      <c r="W1211" s="1"/>
      <c r="Y1211" s="1" t="n">
        <v>9</v>
      </c>
      <c r="Z1211" s="0" t="s">
        <v>175</v>
      </c>
      <c r="AA1211" s="0" t="s">
        <v>187</v>
      </c>
      <c r="AC1211" s="0" t="s">
        <v>177</v>
      </c>
      <c r="AD1211" s="0" t="s">
        <v>392</v>
      </c>
      <c r="AE1211" s="0" t="s">
        <v>3248</v>
      </c>
      <c r="AH1211" s="0" t="s">
        <v>180</v>
      </c>
      <c r="AJ1211" s="0" t="s">
        <v>437</v>
      </c>
      <c r="AK1211" s="0" t="s">
        <v>94</v>
      </c>
      <c r="AL1211" s="0" t="s">
        <v>95</v>
      </c>
      <c r="AM1211" s="0" t="s">
        <v>96</v>
      </c>
      <c r="AU1211" s="0" t="s">
        <v>104</v>
      </c>
      <c r="AV1211" s="0" t="s">
        <v>105</v>
      </c>
    </row>
    <row r="1212">
      <c r="B1212" s="0" t="s">
        <v>3249</v>
      </c>
      <c r="C1212" s="1" t="n">
        <v>352180</v>
      </c>
      <c r="E1212" s="14" t="s">
        <v>3250</v>
      </c>
      <c r="F1212" s="14" t="s">
        <v>184</v>
      </c>
      <c r="G1212" s="25" t="str">
        <f>HYPERLINK("http://vk.com/wall-76846938_2689397?reply=2689753&amp;thread=2689403")</f>
      </c>
      <c r="H1212" s="14" t="s">
        <v>170</v>
      </c>
      <c r="I1212" s="14" t="s">
        <v>231</v>
      </c>
      <c r="J1212" s="14" t="s">
        <v>3251</v>
      </c>
      <c r="K1212" s="26" t="str">
        <f>HYPERLINK("http://vk.com/id58618726")</f>
      </c>
      <c r="L1212" s="14" t="s">
        <v>173</v>
      </c>
      <c r="M1212" s="14" t="s">
        <v>2409</v>
      </c>
      <c r="N1212" s="25" t="str">
        <f>HYPERLINK("http://vk.com/club76846938")</f>
      </c>
      <c r="O1212" s="1" t="s">
        <v>186</v>
      </c>
      <c r="P1212" s="1"/>
      <c r="Q1212" s="1" t="n">
        <v>396217</v>
      </c>
      <c r="R1212" s="1" t="n">
        <v>0</v>
      </c>
      <c r="S1212" s="1"/>
      <c r="T1212" s="1" t="n">
        <v>0</v>
      </c>
      <c r="U1212" s="1" t="n">
        <v>0</v>
      </c>
      <c r="V1212" s="1" t="n">
        <v>0</v>
      </c>
      <c r="W1212" s="1"/>
      <c r="Y1212" s="1" t="n">
        <v>1</v>
      </c>
      <c r="Z1212" s="0" t="s">
        <v>319</v>
      </c>
      <c r="AA1212" s="0" t="s">
        <v>187</v>
      </c>
      <c r="AC1212" s="0" t="s">
        <v>177</v>
      </c>
      <c r="AD1212" s="0" t="s">
        <v>240</v>
      </c>
      <c r="AE1212" s="0" t="s">
        <v>240</v>
      </c>
      <c r="AH1212" s="0" t="s">
        <v>180</v>
      </c>
      <c r="AI1212" s="0" t="s">
        <v>92</v>
      </c>
      <c r="AJ1212" s="0" t="s">
        <v>437</v>
      </c>
      <c r="AK1212" s="0" t="s">
        <v>94</v>
      </c>
      <c r="AR1212" s="0" t="s">
        <v>101</v>
      </c>
      <c r="AT1212" s="0" t="s">
        <v>103</v>
      </c>
      <c r="AZ1212" s="0" t="s">
        <v>109</v>
      </c>
    </row>
    <row r="1213" ht="24.75">
      <c r="B1213" s="0" t="s">
        <v>3252</v>
      </c>
      <c r="C1213" s="1" t="n">
        <v>352177</v>
      </c>
      <c r="E1213" s="14" t="s">
        <v>3253</v>
      </c>
      <c r="F1213" s="14" t="s">
        <v>184</v>
      </c>
      <c r="G1213" s="25" t="str">
        <f>HYPERLINK("http://vk.com/wall-146175495_830050")</f>
      </c>
      <c r="H1213" s="14" t="s">
        <v>170</v>
      </c>
      <c r="I1213" s="14" t="s">
        <v>194</v>
      </c>
      <c r="J1213" s="14" t="s">
        <v>401</v>
      </c>
      <c r="K1213" s="26" t="str">
        <f>HYPERLINK("http://vk.com/club146175495")</f>
      </c>
      <c r="L1213" s="14" t="s">
        <v>274</v>
      </c>
      <c r="O1213" s="1"/>
      <c r="P1213" s="1"/>
      <c r="Q1213" s="1" t="n">
        <v>26839</v>
      </c>
      <c r="R1213" s="1" t="n">
        <v>10</v>
      </c>
      <c r="S1213" s="1"/>
      <c r="T1213" s="1" t="n">
        <v>0</v>
      </c>
      <c r="U1213" s="1" t="n">
        <v>1</v>
      </c>
      <c r="V1213" s="1" t="n">
        <v>11</v>
      </c>
      <c r="W1213" s="1" t="n">
        <v>926</v>
      </c>
      <c r="Y1213" s="1" t="n">
        <v>1</v>
      </c>
      <c r="Z1213" s="0" t="s">
        <v>175</v>
      </c>
      <c r="AA1213" s="0" t="s">
        <v>187</v>
      </c>
      <c r="AC1213" s="0" t="s">
        <v>177</v>
      </c>
      <c r="AD1213" s="0" t="s">
        <v>402</v>
      </c>
      <c r="AE1213" s="0" t="s">
        <v>2424</v>
      </c>
      <c r="AH1213" s="0" t="s">
        <v>180</v>
      </c>
      <c r="AJ1213" s="0" t="s">
        <v>437</v>
      </c>
      <c r="AK1213" s="0" t="s">
        <v>94</v>
      </c>
      <c r="AN1213" s="0" t="s">
        <v>97</v>
      </c>
      <c r="AS1213" s="0" t="s">
        <v>102</v>
      </c>
      <c r="AT1213" s="0" t="s">
        <v>103</v>
      </c>
      <c r="AZ1213" s="0" t="s">
        <v>109</v>
      </c>
      <c r="BB1213" s="0" t="s">
        <v>111</v>
      </c>
      <c r="CL1213" s="0" t="s">
        <v>147</v>
      </c>
      <c r="CV1213" s="0" t="s">
        <v>157</v>
      </c>
    </row>
    <row r="1214">
      <c r="B1214" s="0" t="s">
        <v>3254</v>
      </c>
      <c r="C1214" s="1" t="n">
        <v>352914</v>
      </c>
      <c r="E1214" s="14" t="s">
        <v>1447</v>
      </c>
      <c r="F1214" s="14" t="s">
        <v>169</v>
      </c>
      <c r="G1214" s="25" t="str">
        <f>HYPERLINK("http://www.ok.ru/profile/559822525608/statuses/156116738420904")</f>
      </c>
      <c r="H1214" s="14" t="s">
        <v>170</v>
      </c>
      <c r="I1214" s="14" t="s">
        <v>171</v>
      </c>
      <c r="J1214" s="14" t="s">
        <v>3255</v>
      </c>
      <c r="K1214" s="26" t="str">
        <f>HYPERLINK("http://www.ok.ru/profile/559822525608")</f>
      </c>
      <c r="L1214" s="14" t="s">
        <v>173</v>
      </c>
      <c r="O1214" s="1" t="s">
        <v>186</v>
      </c>
      <c r="P1214" s="1" t="n">
        <v>69</v>
      </c>
      <c r="Q1214" s="1" t="n">
        <v>371</v>
      </c>
      <c r="R1214" s="1" t="n">
        <v>0</v>
      </c>
      <c r="S1214" s="1"/>
      <c r="T1214" s="1" t="n">
        <v>0</v>
      </c>
      <c r="U1214" s="1" t="n">
        <v>0</v>
      </c>
      <c r="V1214" s="1" t="n">
        <v>0</v>
      </c>
      <c r="W1214" s="1"/>
      <c r="Y1214" s="1" t="n">
        <v>9</v>
      </c>
      <c r="Z1214" s="0" t="s">
        <v>175</v>
      </c>
      <c r="AA1214" s="0" t="s">
        <v>187</v>
      </c>
      <c r="AC1214" s="0" t="s">
        <v>177</v>
      </c>
      <c r="AD1214" s="0" t="s">
        <v>402</v>
      </c>
      <c r="AE1214" s="0" t="s">
        <v>3256</v>
      </c>
      <c r="AH1214" s="0" t="s">
        <v>180</v>
      </c>
      <c r="AJ1214" s="0" t="s">
        <v>437</v>
      </c>
      <c r="AK1214" s="0" t="s">
        <v>94</v>
      </c>
      <c r="AL1214" s="0" t="s">
        <v>95</v>
      </c>
      <c r="AM1214" s="0" t="s">
        <v>96</v>
      </c>
      <c r="AU1214" s="0" t="s">
        <v>104</v>
      </c>
      <c r="AV1214" s="0" t="s">
        <v>105</v>
      </c>
    </row>
    <row r="1215" ht="72.75">
      <c r="B1215" s="0" t="s">
        <v>3257</v>
      </c>
      <c r="C1215" s="1" t="n">
        <v>353944</v>
      </c>
      <c r="D1215" s="0" t="s">
        <v>3258</v>
      </c>
      <c r="E1215" s="14" t="s">
        <v>3259</v>
      </c>
      <c r="F1215" s="14" t="s">
        <v>1629</v>
      </c>
      <c r="G1215" s="25" t="str">
        <f>HYPERLINK("https://otzovik.com/review_14604464.html")</f>
      </c>
      <c r="H1215" s="14" t="s">
        <v>317</v>
      </c>
      <c r="I1215" s="14" t="s">
        <v>231</v>
      </c>
      <c r="J1215" s="14" t="s">
        <v>3260</v>
      </c>
      <c r="K1215" s="26" t="str">
        <f>HYPERLINK("https://otzovik.com/profile/Valleronna")</f>
      </c>
      <c r="L1215" s="14"/>
      <c r="M1215" s="14" t="s">
        <v>1629</v>
      </c>
      <c r="N1215" s="25" t="str">
        <f>HYPERLINK("https://otzovik.com/")</f>
      </c>
      <c r="O1215" s="1"/>
      <c r="P1215" s="1"/>
      <c r="Q1215" s="1"/>
      <c r="R1215" s="1" t="n">
        <v>0</v>
      </c>
      <c r="S1215" s="1"/>
      <c r="T1215" s="1" t="n">
        <v>0</v>
      </c>
      <c r="U1215" s="1" t="n">
        <v>0</v>
      </c>
      <c r="V1215" s="1" t="n">
        <v>0</v>
      </c>
      <c r="W1215" s="1"/>
      <c r="X1215" s="0" t="n">
        <v>5</v>
      </c>
      <c r="Y1215" s="1" t="n">
        <v>1</v>
      </c>
      <c r="Z1215" s="0" t="s">
        <v>319</v>
      </c>
      <c r="AA1215" s="0" t="s">
        <v>187</v>
      </c>
      <c r="AC1215" s="0" t="s">
        <v>177</v>
      </c>
      <c r="AH1215" s="0" t="s">
        <v>180</v>
      </c>
      <c r="AI1215" s="0" t="s">
        <v>92</v>
      </c>
      <c r="AJ1215" s="0" t="s">
        <v>437</v>
      </c>
      <c r="AK1215" s="0" t="s">
        <v>94</v>
      </c>
      <c r="AL1215" s="0" t="s">
        <v>95</v>
      </c>
      <c r="AN1215" s="0" t="s">
        <v>97</v>
      </c>
      <c r="AS1215" s="0" t="s">
        <v>102</v>
      </c>
      <c r="BF1215" s="0" t="s">
        <v>115</v>
      </c>
      <c r="BO1215" s="0" t="s">
        <v>124</v>
      </c>
      <c r="CP1215" s="0" t="s">
        <v>151</v>
      </c>
      <c r="CZ1215" s="0" t="s">
        <v>161</v>
      </c>
    </row>
    <row r="1216">
      <c r="B1216" s="0" t="s">
        <v>3261</v>
      </c>
      <c r="C1216" s="1" t="n">
        <v>352255</v>
      </c>
      <c r="E1216" s="14" t="s">
        <v>3262</v>
      </c>
      <c r="F1216" s="14" t="s">
        <v>184</v>
      </c>
      <c r="G1216" s="25" t="str">
        <f>HYPERLINK("http://vk.com/wall-47120073_3253174?reply=3253447")</f>
      </c>
      <c r="H1216" s="14" t="s">
        <v>170</v>
      </c>
      <c r="I1216" s="14" t="s">
        <v>231</v>
      </c>
      <c r="J1216" s="14" t="s">
        <v>3263</v>
      </c>
      <c r="K1216" s="26" t="str">
        <f>HYPERLINK("http://vk.com/id253465205")</f>
      </c>
      <c r="L1216" s="14" t="s">
        <v>173</v>
      </c>
      <c r="M1216" s="14" t="s">
        <v>848</v>
      </c>
      <c r="N1216" s="25" t="str">
        <f>HYPERLINK("http://vk.com/club47120073")</f>
      </c>
      <c r="O1216" s="1" t="s">
        <v>186</v>
      </c>
      <c r="P1216" s="1" t="n">
        <v>37</v>
      </c>
      <c r="Q1216" s="1" t="n">
        <v>393157</v>
      </c>
      <c r="R1216" s="1" t="n">
        <v>0</v>
      </c>
      <c r="S1216" s="1"/>
      <c r="T1216" s="1" t="n">
        <v>0</v>
      </c>
      <c r="U1216" s="1" t="n">
        <v>0</v>
      </c>
      <c r="V1216" s="1" t="n">
        <v>0</v>
      </c>
      <c r="W1216" s="1"/>
      <c r="Y1216" s="1" t="n">
        <v>1</v>
      </c>
      <c r="Z1216" s="0" t="s">
        <v>319</v>
      </c>
      <c r="AA1216" s="0" t="s">
        <v>187</v>
      </c>
      <c r="AC1216" s="0" t="s">
        <v>177</v>
      </c>
      <c r="AH1216" s="0" t="s">
        <v>180</v>
      </c>
      <c r="AI1216" s="0" t="s">
        <v>92</v>
      </c>
      <c r="AJ1216" s="0" t="s">
        <v>437</v>
      </c>
      <c r="AK1216" s="0" t="s">
        <v>94</v>
      </c>
      <c r="AL1216" s="0" t="s">
        <v>95</v>
      </c>
      <c r="AN1216" s="0" t="s">
        <v>97</v>
      </c>
      <c r="AS1216" s="0" t="s">
        <v>102</v>
      </c>
      <c r="BB1216" s="0" t="s">
        <v>111</v>
      </c>
      <c r="BC1216" s="0" t="s">
        <v>112</v>
      </c>
      <c r="BM1216" s="0" t="s">
        <v>122</v>
      </c>
    </row>
    <row r="1217" ht="1104.75">
      <c r="B1217" s="0" t="s">
        <v>3264</v>
      </c>
      <c r="C1217" s="1" t="n">
        <v>352275</v>
      </c>
      <c r="E1217" s="14" t="s">
        <v>1618</v>
      </c>
      <c r="F1217" s="14" t="s">
        <v>184</v>
      </c>
      <c r="G1217" s="25" t="str">
        <f>HYPERLINK("http://vk.com/wall444877282_819")</f>
      </c>
      <c r="H1217" s="14" t="s">
        <v>170</v>
      </c>
      <c r="I1217" s="14" t="s">
        <v>171</v>
      </c>
      <c r="J1217" s="14" t="s">
        <v>3265</v>
      </c>
      <c r="K1217" s="26" t="str">
        <f>HYPERLINK("http://vk.com/id444877282")</f>
      </c>
      <c r="L1217" s="14" t="s">
        <v>173</v>
      </c>
      <c r="O1217" s="1" t="s">
        <v>186</v>
      </c>
      <c r="P1217" s="1" t="n">
        <v>76</v>
      </c>
      <c r="Q1217" s="1" t="n">
        <v>70</v>
      </c>
      <c r="R1217" s="1" t="n">
        <v>0</v>
      </c>
      <c r="S1217" s="1"/>
      <c r="T1217" s="1" t="n">
        <v>0</v>
      </c>
      <c r="U1217" s="1" t="n">
        <v>0</v>
      </c>
      <c r="V1217" s="1" t="n">
        <v>0</v>
      </c>
      <c r="W1217" s="1"/>
      <c r="Y1217" s="1" t="n">
        <v>6</v>
      </c>
      <c r="Z1217" s="0" t="s">
        <v>175</v>
      </c>
      <c r="AA1217" s="0" t="s">
        <v>187</v>
      </c>
      <c r="AC1217" s="0" t="s">
        <v>177</v>
      </c>
      <c r="AD1217" s="0" t="s">
        <v>234</v>
      </c>
      <c r="AE1217" s="0" t="s">
        <v>3266</v>
      </c>
      <c r="AH1217" s="0" t="s">
        <v>180</v>
      </c>
      <c r="AJ1217" s="0" t="s">
        <v>437</v>
      </c>
      <c r="AK1217" s="0" t="s">
        <v>94</v>
      </c>
      <c r="AM1217" s="0" t="s">
        <v>96</v>
      </c>
      <c r="AX1217" s="0" t="s">
        <v>107</v>
      </c>
      <c r="AZ1217" s="0" t="s">
        <v>109</v>
      </c>
    </row>
    <row r="1218" ht="1632.75">
      <c r="B1218" s="0" t="s">
        <v>3267</v>
      </c>
      <c r="C1218" s="1" t="n">
        <v>352270</v>
      </c>
      <c r="E1218" s="14" t="s">
        <v>320</v>
      </c>
      <c r="F1218" s="14" t="s">
        <v>184</v>
      </c>
      <c r="G1218" s="25" t="str">
        <f>HYPERLINK("http://vk.com/wall714473222_223")</f>
      </c>
      <c r="H1218" s="14" t="s">
        <v>170</v>
      </c>
      <c r="I1218" s="14" t="s">
        <v>171</v>
      </c>
      <c r="J1218" s="14" t="s">
        <v>3268</v>
      </c>
      <c r="K1218" s="26" t="str">
        <f>HYPERLINK("http://vk.com/id714473222")</f>
      </c>
      <c r="L1218" s="14" t="s">
        <v>173</v>
      </c>
      <c r="O1218" s="1" t="s">
        <v>186</v>
      </c>
      <c r="P1218" s="1" t="n">
        <v>22</v>
      </c>
      <c r="Q1218" s="1" t="n">
        <v>34</v>
      </c>
      <c r="R1218" s="1" t="n">
        <v>0</v>
      </c>
      <c r="S1218" s="1"/>
      <c r="T1218" s="1" t="n">
        <v>0</v>
      </c>
      <c r="U1218" s="1" t="n">
        <v>0</v>
      </c>
      <c r="V1218" s="1" t="n">
        <v>0</v>
      </c>
      <c r="W1218" s="1"/>
      <c r="Y1218" s="1" t="n">
        <v>12</v>
      </c>
      <c r="Z1218" s="0" t="s">
        <v>175</v>
      </c>
      <c r="AA1218" s="0" t="s">
        <v>187</v>
      </c>
      <c r="AH1218" s="0" t="s">
        <v>180</v>
      </c>
      <c r="AJ1218" s="0" t="s">
        <v>437</v>
      </c>
      <c r="AK1218" s="0" t="s">
        <v>94</v>
      </c>
      <c r="AM1218" s="0" t="s">
        <v>96</v>
      </c>
      <c r="AX1218" s="0" t="s">
        <v>107</v>
      </c>
      <c r="AZ1218" s="0" t="s">
        <v>109</v>
      </c>
    </row>
    <row r="1219" ht="36.75">
      <c r="B1219" s="0" t="s">
        <v>3267</v>
      </c>
      <c r="C1219" s="1" t="n">
        <v>352267</v>
      </c>
      <c r="E1219" s="14" t="s">
        <v>202</v>
      </c>
      <c r="F1219" s="14" t="s">
        <v>184</v>
      </c>
      <c r="G1219" s="25" t="str">
        <f>HYPERLINK("http://vk.com/wall592957230_248")</f>
      </c>
      <c r="H1219" s="14" t="s">
        <v>170</v>
      </c>
      <c r="I1219" s="14" t="s">
        <v>171</v>
      </c>
      <c r="J1219" s="14" t="s">
        <v>3269</v>
      </c>
      <c r="K1219" s="26" t="str">
        <f>HYPERLINK("http://vk.com/id592957230")</f>
      </c>
      <c r="L1219" s="14" t="s">
        <v>173</v>
      </c>
      <c r="O1219" s="1" t="s">
        <v>186</v>
      </c>
      <c r="P1219" s="1" t="n">
        <v>69</v>
      </c>
      <c r="Q1219" s="1" t="n">
        <v>90</v>
      </c>
      <c r="R1219" s="1" t="n">
        <v>0</v>
      </c>
      <c r="S1219" s="1"/>
      <c r="T1219" s="1" t="n">
        <v>0</v>
      </c>
      <c r="U1219" s="1" t="n">
        <v>0</v>
      </c>
      <c r="V1219" s="1" t="n">
        <v>0</v>
      </c>
      <c r="W1219" s="1" t="n">
        <v>1</v>
      </c>
      <c r="Y1219" s="1" t="n">
        <v>61</v>
      </c>
      <c r="Z1219" s="0" t="s">
        <v>175</v>
      </c>
      <c r="AA1219" s="0" t="s">
        <v>176</v>
      </c>
      <c r="AC1219" s="0" t="s">
        <v>177</v>
      </c>
      <c r="AH1219" s="0" t="s">
        <v>180</v>
      </c>
      <c r="AJ1219" s="0" t="s">
        <v>437</v>
      </c>
      <c r="AK1219" s="0" t="s">
        <v>94</v>
      </c>
      <c r="AM1219" s="0" t="s">
        <v>96</v>
      </c>
      <c r="AO1219" s="0" t="s">
        <v>98</v>
      </c>
      <c r="AQ1219" s="0" t="s">
        <v>100</v>
      </c>
      <c r="AZ1219" s="0" t="s">
        <v>109</v>
      </c>
    </row>
    <row r="1220" ht="1200.75">
      <c r="B1220" s="0" t="s">
        <v>3267</v>
      </c>
      <c r="C1220" s="1" t="n">
        <v>352629</v>
      </c>
      <c r="E1220" s="14" t="s">
        <v>2323</v>
      </c>
      <c r="F1220" s="14" t="s">
        <v>169</v>
      </c>
      <c r="G1220" s="25" t="str">
        <f>HYPERLINK("http://www.ok.ru/profile/446804201659/statuses/155157028922299")</f>
      </c>
      <c r="H1220" s="14" t="s">
        <v>170</v>
      </c>
      <c r="I1220" s="14" t="s">
        <v>171</v>
      </c>
      <c r="J1220" s="14" t="s">
        <v>3270</v>
      </c>
      <c r="K1220" s="26" t="str">
        <f>HYPERLINK("http://www.ok.ru/profile/446804201659")</f>
      </c>
      <c r="L1220" s="14" t="s">
        <v>173</v>
      </c>
      <c r="O1220" s="1" t="s">
        <v>186</v>
      </c>
      <c r="P1220" s="1"/>
      <c r="Q1220" s="1" t="n">
        <v>418</v>
      </c>
      <c r="R1220" s="1" t="n">
        <v>0</v>
      </c>
      <c r="S1220" s="1"/>
      <c r="T1220" s="1" t="n">
        <v>0</v>
      </c>
      <c r="U1220" s="1" t="n">
        <v>0</v>
      </c>
      <c r="V1220" s="1" t="n">
        <v>0</v>
      </c>
      <c r="W1220" s="1"/>
      <c r="Y1220" s="1" t="n">
        <v>5</v>
      </c>
      <c r="Z1220" s="0" t="s">
        <v>175</v>
      </c>
      <c r="AA1220" s="0" t="s">
        <v>187</v>
      </c>
      <c r="AC1220" s="0" t="s">
        <v>177</v>
      </c>
      <c r="AD1220" s="0" t="s">
        <v>246</v>
      </c>
      <c r="AE1220" s="0" t="s">
        <v>247</v>
      </c>
      <c r="AH1220" s="0" t="s">
        <v>180</v>
      </c>
      <c r="AJ1220" s="0" t="s">
        <v>437</v>
      </c>
      <c r="AK1220" s="0" t="s">
        <v>94</v>
      </c>
      <c r="AL1220" s="0" t="s">
        <v>95</v>
      </c>
      <c r="AM1220" s="0" t="s">
        <v>96</v>
      </c>
      <c r="AX1220" s="0" t="s">
        <v>107</v>
      </c>
    </row>
    <row r="1221" ht="48.75">
      <c r="B1221" s="0" t="s">
        <v>3271</v>
      </c>
      <c r="C1221" s="1" t="n">
        <v>352263</v>
      </c>
      <c r="D1221" s="0" t="s">
        <v>3272</v>
      </c>
      <c r="E1221" s="14" t="s">
        <v>3273</v>
      </c>
      <c r="F1221" s="14" t="s">
        <v>316</v>
      </c>
      <c r="G1221" s="25" t="str">
        <f>HYPERLINK("http://irecommend.ru/content/virus-ne-proidet-tsitovir-ne-podvedet")</f>
      </c>
      <c r="H1221" s="14" t="s">
        <v>317</v>
      </c>
      <c r="I1221" s="14" t="s">
        <v>231</v>
      </c>
      <c r="J1221" s="14" t="s">
        <v>3274</v>
      </c>
      <c r="L1221" s="14"/>
      <c r="M1221" s="14" t="s">
        <v>316</v>
      </c>
      <c r="O1221" s="1"/>
      <c r="P1221" s="1"/>
      <c r="Q1221" s="1"/>
      <c r="R1221" s="1" t="n">
        <v>0</v>
      </c>
      <c r="S1221" s="1"/>
      <c r="T1221" s="1" t="n">
        <v>0</v>
      </c>
      <c r="U1221" s="1" t="n">
        <v>0</v>
      </c>
      <c r="V1221" s="1" t="n">
        <v>0</v>
      </c>
      <c r="W1221" s="1"/>
      <c r="X1221" s="0" t="n">
        <v>5</v>
      </c>
      <c r="Y1221" s="1" t="n">
        <v>1</v>
      </c>
      <c r="Z1221" s="0" t="s">
        <v>319</v>
      </c>
      <c r="AA1221" s="0" t="s">
        <v>187</v>
      </c>
      <c r="AH1221" s="0" t="s">
        <v>180</v>
      </c>
      <c r="AI1221" s="0" t="s">
        <v>92</v>
      </c>
      <c r="AJ1221" s="0" t="s">
        <v>437</v>
      </c>
      <c r="AK1221" s="0" t="s">
        <v>94</v>
      </c>
      <c r="AN1221" s="0" t="s">
        <v>97</v>
      </c>
      <c r="AS1221" s="0" t="s">
        <v>102</v>
      </c>
      <c r="AZ1221" s="0" t="s">
        <v>109</v>
      </c>
      <c r="BG1221" s="0" t="s">
        <v>116</v>
      </c>
      <c r="BQ1221" s="0" t="s">
        <v>126</v>
      </c>
      <c r="CO1221" s="0" t="s">
        <v>150</v>
      </c>
      <c r="CP1221" s="0" t="s">
        <v>151</v>
      </c>
    </row>
    <row r="1222" ht="720.75">
      <c r="B1222" s="0" t="s">
        <v>3275</v>
      </c>
      <c r="C1222" s="1" t="n">
        <v>352541</v>
      </c>
      <c r="E1222" s="14" t="s">
        <v>1811</v>
      </c>
      <c r="F1222" s="14" t="s">
        <v>169</v>
      </c>
      <c r="G1222" s="25" t="str">
        <f>HYPERLINK("http://www.ok.ru/profile/561780937468/statuses/154939660370172")</f>
      </c>
      <c r="H1222" s="14" t="s">
        <v>170</v>
      </c>
      <c r="I1222" s="14" t="s">
        <v>194</v>
      </c>
      <c r="J1222" s="14" t="s">
        <v>3276</v>
      </c>
      <c r="K1222" s="26" t="str">
        <f>HYPERLINK("http://www.ok.ru/profile/561780937468")</f>
      </c>
      <c r="L1222" s="14" t="s">
        <v>173</v>
      </c>
      <c r="O1222" s="1" t="s">
        <v>186</v>
      </c>
      <c r="P1222" s="1" t="n">
        <v>64</v>
      </c>
      <c r="Q1222" s="1" t="n">
        <v>262</v>
      </c>
      <c r="R1222" s="1" t="n">
        <v>0</v>
      </c>
      <c r="S1222" s="1"/>
      <c r="T1222" s="1" t="n">
        <v>0</v>
      </c>
      <c r="U1222" s="1" t="n">
        <v>2</v>
      </c>
      <c r="V1222" s="1" t="n">
        <v>2</v>
      </c>
      <c r="W1222" s="1" t="n">
        <v>147</v>
      </c>
      <c r="Y1222" s="1" t="n">
        <v>13</v>
      </c>
      <c r="Z1222" s="0" t="s">
        <v>175</v>
      </c>
      <c r="AA1222" s="0" t="s">
        <v>176</v>
      </c>
      <c r="AC1222" s="0" t="s">
        <v>177</v>
      </c>
      <c r="AD1222" s="0" t="s">
        <v>719</v>
      </c>
      <c r="AE1222" s="0" t="s">
        <v>3277</v>
      </c>
      <c r="AH1222" s="0" t="s">
        <v>180</v>
      </c>
      <c r="AJ1222" s="0" t="s">
        <v>437</v>
      </c>
      <c r="AK1222" s="0" t="s">
        <v>94</v>
      </c>
      <c r="AL1222" s="0" t="s">
        <v>95</v>
      </c>
      <c r="AR1222" s="0" t="s">
        <v>101</v>
      </c>
      <c r="BA1222" s="0" t="s">
        <v>110</v>
      </c>
      <c r="BF1222" s="0" t="s">
        <v>115</v>
      </c>
    </row>
    <row r="1223">
      <c r="B1223" s="0" t="s">
        <v>3278</v>
      </c>
      <c r="C1223" s="1" t="n">
        <v>352164</v>
      </c>
      <c r="E1223" s="14" t="s">
        <v>3279</v>
      </c>
      <c r="F1223" s="14" t="s">
        <v>184</v>
      </c>
      <c r="G1223" s="25" t="str">
        <f>HYPERLINK("http://vk.com/wall-47120073_3252674?reply=3253443")</f>
      </c>
      <c r="H1223" s="14" t="s">
        <v>170</v>
      </c>
      <c r="I1223" s="14" t="s">
        <v>231</v>
      </c>
      <c r="J1223" s="14" t="s">
        <v>3210</v>
      </c>
      <c r="K1223" s="26" t="str">
        <f>HYPERLINK("http://vk.com/id795312301")</f>
      </c>
      <c r="L1223" s="14" t="s">
        <v>173</v>
      </c>
      <c r="M1223" s="14" t="s">
        <v>848</v>
      </c>
      <c r="N1223" s="25" t="str">
        <f>HYPERLINK("http://vk.com/club47120073")</f>
      </c>
      <c r="O1223" s="1" t="s">
        <v>186</v>
      </c>
      <c r="P1223" s="1" t="n">
        <v>43</v>
      </c>
      <c r="Q1223" s="1" t="n">
        <v>393157</v>
      </c>
      <c r="R1223" s="1" t="n">
        <v>0</v>
      </c>
      <c r="S1223" s="1"/>
      <c r="T1223" s="1" t="n">
        <v>0</v>
      </c>
      <c r="U1223" s="1" t="n">
        <v>0</v>
      </c>
      <c r="V1223" s="1" t="n">
        <v>0</v>
      </c>
      <c r="W1223" s="1"/>
      <c r="Y1223" s="1" t="n">
        <v>1</v>
      </c>
      <c r="Z1223" s="0" t="s">
        <v>319</v>
      </c>
      <c r="AA1223" s="0" t="s">
        <v>187</v>
      </c>
      <c r="AC1223" s="0" t="s">
        <v>177</v>
      </c>
      <c r="AD1223" s="0" t="s">
        <v>332</v>
      </c>
      <c r="AE1223" s="0" t="s">
        <v>332</v>
      </c>
      <c r="AH1223" s="0" t="s">
        <v>180</v>
      </c>
      <c r="AI1223" s="0" t="s">
        <v>92</v>
      </c>
      <c r="AJ1223" s="0" t="s">
        <v>437</v>
      </c>
      <c r="AK1223" s="0" t="s">
        <v>94</v>
      </c>
      <c r="AN1223" s="0" t="s">
        <v>97</v>
      </c>
      <c r="AW1223" s="0" t="s">
        <v>106</v>
      </c>
      <c r="AZ1223" s="0" t="s">
        <v>109</v>
      </c>
      <c r="BB1223" s="0" t="s">
        <v>111</v>
      </c>
      <c r="BC1223" s="0" t="s">
        <v>112</v>
      </c>
      <c r="BQ1223" s="0" t="s">
        <v>126</v>
      </c>
    </row>
    <row r="1224" ht="36.75">
      <c r="B1224" s="0" t="s">
        <v>3280</v>
      </c>
      <c r="C1224" s="1" t="n">
        <v>352281</v>
      </c>
      <c r="E1224" s="14" t="s">
        <v>1189</v>
      </c>
      <c r="F1224" s="14" t="s">
        <v>169</v>
      </c>
      <c r="G1224" s="25" t="str">
        <f>HYPERLINK("http://www.ok.ru/profile/563416390467/statuses/154890200130371")</f>
      </c>
      <c r="H1224" s="14" t="s">
        <v>170</v>
      </c>
      <c r="I1224" s="14" t="s">
        <v>171</v>
      </c>
      <c r="J1224" s="14" t="s">
        <v>3281</v>
      </c>
      <c r="K1224" s="26" t="str">
        <f>HYPERLINK("http://www.ok.ru/profile/563416390467")</f>
      </c>
      <c r="L1224" s="14" t="s">
        <v>173</v>
      </c>
      <c r="O1224" s="1" t="s">
        <v>186</v>
      </c>
      <c r="P1224" s="1" t="n">
        <v>65</v>
      </c>
      <c r="Q1224" s="1" t="n">
        <v>300</v>
      </c>
      <c r="R1224" s="1" t="n">
        <v>0</v>
      </c>
      <c r="S1224" s="1"/>
      <c r="T1224" s="1" t="n">
        <v>1</v>
      </c>
      <c r="U1224" s="1" t="n">
        <v>4</v>
      </c>
      <c r="V1224" s="1" t="n">
        <v>5</v>
      </c>
      <c r="W1224" s="1"/>
      <c r="Y1224" s="1" t="n">
        <v>46</v>
      </c>
      <c r="Z1224" s="0" t="s">
        <v>175</v>
      </c>
      <c r="AA1224" s="0" t="s">
        <v>187</v>
      </c>
      <c r="AC1224" s="0" t="s">
        <v>177</v>
      </c>
      <c r="AD1224" s="0" t="s">
        <v>332</v>
      </c>
      <c r="AE1224" s="0" t="s">
        <v>332</v>
      </c>
      <c r="AH1224" s="0" t="s">
        <v>180</v>
      </c>
      <c r="AJ1224" s="0" t="s">
        <v>437</v>
      </c>
      <c r="AK1224" s="0" t="s">
        <v>94</v>
      </c>
      <c r="AM1224" s="0" t="s">
        <v>96</v>
      </c>
      <c r="AQ1224" s="0" t="s">
        <v>100</v>
      </c>
      <c r="AZ1224" s="0" t="s">
        <v>109</v>
      </c>
    </row>
    <row r="1225" ht="1212.75">
      <c r="B1225" s="0" t="s">
        <v>3282</v>
      </c>
      <c r="C1225" s="1" t="n">
        <v>352485</v>
      </c>
      <c r="E1225" s="14" t="s">
        <v>683</v>
      </c>
      <c r="F1225" s="14" t="s">
        <v>184</v>
      </c>
      <c r="G1225" s="25" t="str">
        <f>HYPERLINK("http://vk.com/wall748639065_43")</f>
      </c>
      <c r="H1225" s="14" t="s">
        <v>170</v>
      </c>
      <c r="I1225" s="14" t="s">
        <v>171</v>
      </c>
      <c r="J1225" s="14" t="s">
        <v>3283</v>
      </c>
      <c r="K1225" s="26" t="str">
        <f>HYPERLINK("http://vk.com/id748639065")</f>
      </c>
      <c r="L1225" s="14" t="s">
        <v>173</v>
      </c>
      <c r="O1225" s="1" t="s">
        <v>174</v>
      </c>
      <c r="P1225" s="1" t="n">
        <v>56</v>
      </c>
      <c r="Q1225" s="1" t="n">
        <v>34</v>
      </c>
      <c r="R1225" s="1" t="n">
        <v>0</v>
      </c>
      <c r="S1225" s="1"/>
      <c r="T1225" s="1" t="n">
        <v>1</v>
      </c>
      <c r="U1225" s="1" t="n">
        <v>0</v>
      </c>
      <c r="V1225" s="1" t="n">
        <v>1</v>
      </c>
      <c r="W1225" s="1"/>
      <c r="Y1225" s="1" t="n">
        <v>22</v>
      </c>
      <c r="Z1225" s="0" t="s">
        <v>175</v>
      </c>
      <c r="AA1225" s="0" t="s">
        <v>187</v>
      </c>
      <c r="AH1225" s="0" t="s">
        <v>180</v>
      </c>
      <c r="AJ1225" s="0" t="s">
        <v>437</v>
      </c>
      <c r="AK1225" s="0" t="s">
        <v>94</v>
      </c>
      <c r="AL1225" s="0" t="s">
        <v>95</v>
      </c>
      <c r="AM1225" s="0" t="s">
        <v>96</v>
      </c>
      <c r="AU1225" s="0" t="s">
        <v>104</v>
      </c>
      <c r="AV1225" s="0" t="s">
        <v>105</v>
      </c>
      <c r="AX1225" s="0" t="s">
        <v>107</v>
      </c>
    </row>
    <row r="1226" ht="192.75">
      <c r="B1226" s="0" t="s">
        <v>3282</v>
      </c>
      <c r="C1226" s="1" t="n">
        <v>353465</v>
      </c>
      <c r="E1226" s="14" t="s">
        <v>3284</v>
      </c>
      <c r="F1226" s="14" t="s">
        <v>169</v>
      </c>
      <c r="G1226" s="25" t="str">
        <f>HYPERLINK("http://www.ok.ru/profile/556178349231/statuses/156334448368559")</f>
      </c>
      <c r="H1226" s="14" t="s">
        <v>170</v>
      </c>
      <c r="I1226" s="14" t="s">
        <v>171</v>
      </c>
      <c r="J1226" s="14" t="s">
        <v>3285</v>
      </c>
      <c r="K1226" s="26" t="str">
        <f>HYPERLINK("http://www.ok.ru/profile/556178349231")</f>
      </c>
      <c r="L1226" s="14" t="s">
        <v>173</v>
      </c>
      <c r="O1226" s="1" t="s">
        <v>174</v>
      </c>
      <c r="P1226" s="1" t="n">
        <v>61</v>
      </c>
      <c r="Q1226" s="1" t="n">
        <v>290</v>
      </c>
      <c r="R1226" s="1" t="n">
        <v>0</v>
      </c>
      <c r="S1226" s="1"/>
      <c r="T1226" s="1" t="n">
        <v>0</v>
      </c>
      <c r="U1226" s="1" t="n">
        <v>0</v>
      </c>
      <c r="V1226" s="1" t="n">
        <v>0</v>
      </c>
      <c r="W1226" s="1"/>
      <c r="Y1226" s="1" t="n">
        <v>1</v>
      </c>
      <c r="Z1226" s="0" t="s">
        <v>175</v>
      </c>
      <c r="AA1226" s="0" t="s">
        <v>187</v>
      </c>
      <c r="AC1226" s="0" t="s">
        <v>177</v>
      </c>
      <c r="AD1226" s="0" t="s">
        <v>1382</v>
      </c>
      <c r="AE1226" s="0" t="s">
        <v>1530</v>
      </c>
      <c r="AH1226" s="0" t="s">
        <v>180</v>
      </c>
      <c r="AJ1226" s="0" t="s">
        <v>437</v>
      </c>
      <c r="AK1226" s="0" t="s">
        <v>94</v>
      </c>
      <c r="AL1226" s="0" t="s">
        <v>95</v>
      </c>
      <c r="AM1226" s="0" t="s">
        <v>96</v>
      </c>
      <c r="AU1226" s="0" t="s">
        <v>104</v>
      </c>
      <c r="AV1226" s="0" t="s">
        <v>105</v>
      </c>
    </row>
    <row r="1227" ht="36.75">
      <c r="B1227" s="0" t="s">
        <v>3286</v>
      </c>
      <c r="C1227" s="1" t="n">
        <v>352833</v>
      </c>
      <c r="E1227" s="14" t="s">
        <v>1189</v>
      </c>
      <c r="F1227" s="14" t="s">
        <v>169</v>
      </c>
      <c r="G1227" s="25" t="str">
        <f>HYPERLINK("http://www.ok.ru/profile/526176730491/statuses/155013401575547")</f>
      </c>
      <c r="H1227" s="14" t="s">
        <v>170</v>
      </c>
      <c r="I1227" s="14" t="s">
        <v>171</v>
      </c>
      <c r="J1227" s="14" t="s">
        <v>3287</v>
      </c>
      <c r="K1227" s="26" t="str">
        <f>HYPERLINK("http://www.ok.ru/profile/526176730491")</f>
      </c>
      <c r="L1227" s="14" t="s">
        <v>173</v>
      </c>
      <c r="O1227" s="1" t="s">
        <v>186</v>
      </c>
      <c r="P1227" s="1" t="n">
        <v>71</v>
      </c>
      <c r="Q1227" s="1" t="n">
        <v>743</v>
      </c>
      <c r="R1227" s="1" t="n">
        <v>0</v>
      </c>
      <c r="S1227" s="1"/>
      <c r="T1227" s="1" t="n">
        <v>1</v>
      </c>
      <c r="U1227" s="1" t="n">
        <v>6</v>
      </c>
      <c r="V1227" s="1" t="n">
        <v>7</v>
      </c>
      <c r="W1227" s="1"/>
      <c r="Y1227" s="1" t="n">
        <v>46</v>
      </c>
      <c r="Z1227" s="0" t="s">
        <v>175</v>
      </c>
      <c r="AA1227" s="0" t="s">
        <v>187</v>
      </c>
      <c r="AC1227" s="0" t="s">
        <v>177</v>
      </c>
      <c r="AD1227" s="0" t="s">
        <v>767</v>
      </c>
      <c r="AE1227" s="0" t="s">
        <v>2148</v>
      </c>
      <c r="AH1227" s="0" t="s">
        <v>180</v>
      </c>
      <c r="AJ1227" s="0" t="s">
        <v>437</v>
      </c>
      <c r="AK1227" s="0" t="s">
        <v>94</v>
      </c>
      <c r="AL1227" s="0" t="s">
        <v>95</v>
      </c>
      <c r="AM1227" s="0" t="s">
        <v>96</v>
      </c>
      <c r="AO1227" s="0" t="s">
        <v>98</v>
      </c>
      <c r="AQ1227" s="0" t="s">
        <v>100</v>
      </c>
    </row>
    <row r="1228">
      <c r="B1228" s="0" t="s">
        <v>3286</v>
      </c>
      <c r="C1228" s="1" t="n">
        <v>352163</v>
      </c>
      <c r="E1228" s="14" t="s">
        <v>3288</v>
      </c>
      <c r="F1228" s="14" t="s">
        <v>2998</v>
      </c>
      <c r="G1228" s="25" t="str">
        <f>HYPERLINK("http://www.facebook.com/100001119678747/posts/6179764995404095")</f>
      </c>
      <c r="H1228" s="14" t="s">
        <v>170</v>
      </c>
      <c r="I1228" s="14" t="s">
        <v>194</v>
      </c>
      <c r="J1228" s="14" t="s">
        <v>3289</v>
      </c>
      <c r="K1228" s="26" t="str">
        <f>HYPERLINK("http://www.facebook.com/100001119678747")</f>
      </c>
      <c r="L1228" s="14" t="s">
        <v>173</v>
      </c>
      <c r="O1228" s="1" t="s">
        <v>174</v>
      </c>
      <c r="P1228" s="1"/>
      <c r="Q1228" s="1"/>
      <c r="R1228" s="1" t="n">
        <v>2</v>
      </c>
      <c r="S1228" s="1"/>
      <c r="T1228" s="1" t="n">
        <v>0</v>
      </c>
      <c r="U1228" s="1" t="n">
        <v>10</v>
      </c>
      <c r="V1228" s="1" t="n">
        <v>12</v>
      </c>
      <c r="W1228" s="1"/>
      <c r="Y1228" s="1" t="n">
        <v>1</v>
      </c>
      <c r="Z1228" s="0" t="s">
        <v>463</v>
      </c>
      <c r="AA1228" s="0" t="s">
        <v>187</v>
      </c>
      <c r="AC1228" s="0" t="s">
        <v>177</v>
      </c>
      <c r="AD1228" s="0" t="s">
        <v>332</v>
      </c>
      <c r="AE1228" s="0" t="s">
        <v>332</v>
      </c>
      <c r="AH1228" s="0" t="s">
        <v>180</v>
      </c>
      <c r="AJ1228" s="0" t="s">
        <v>437</v>
      </c>
      <c r="AK1228" s="0" t="s">
        <v>94</v>
      </c>
      <c r="AR1228" s="0" t="s">
        <v>101</v>
      </c>
      <c r="AT1228" s="0" t="s">
        <v>103</v>
      </c>
      <c r="AZ1228" s="0" t="s">
        <v>109</v>
      </c>
      <c r="CG1228" s="0" t="s">
        <v>142</v>
      </c>
      <c r="CK1228" s="0" t="s">
        <v>146</v>
      </c>
    </row>
    <row r="1229">
      <c r="B1229" s="0" t="s">
        <v>3286</v>
      </c>
      <c r="C1229" s="1" t="n">
        <v>352156</v>
      </c>
      <c r="E1229" s="14" t="s">
        <v>3290</v>
      </c>
      <c r="F1229" s="14" t="s">
        <v>184</v>
      </c>
      <c r="G1229" s="25" t="str">
        <f>HYPERLINK("http://vk.com/wall-70396129_85733?reply=85756")</f>
      </c>
      <c r="H1229" s="14" t="s">
        <v>170</v>
      </c>
      <c r="I1229" s="14" t="s">
        <v>231</v>
      </c>
      <c r="J1229" s="14" t="s">
        <v>3291</v>
      </c>
      <c r="K1229" s="26" t="str">
        <f>HYPERLINK("http://vk.com/id87861473")</f>
      </c>
      <c r="L1229" s="14" t="s">
        <v>173</v>
      </c>
      <c r="M1229" s="14" t="s">
        <v>3292</v>
      </c>
      <c r="N1229" s="25" t="str">
        <f>HYPERLINK("http://vk.com/club70396129")</f>
      </c>
      <c r="O1229" s="1" t="s">
        <v>186</v>
      </c>
      <c r="P1229" s="1" t="n">
        <v>25</v>
      </c>
      <c r="Q1229" s="1" t="n">
        <v>15787</v>
      </c>
      <c r="R1229" s="1" t="n">
        <v>0</v>
      </c>
      <c r="S1229" s="1"/>
      <c r="T1229" s="1" t="n">
        <v>0</v>
      </c>
      <c r="U1229" s="1" t="n">
        <v>0</v>
      </c>
      <c r="V1229" s="1" t="n">
        <v>0</v>
      </c>
      <c r="W1229" s="1"/>
      <c r="Y1229" s="1" t="n">
        <v>1</v>
      </c>
      <c r="Z1229" s="0" t="s">
        <v>319</v>
      </c>
      <c r="AA1229" s="0" t="s">
        <v>187</v>
      </c>
      <c r="AC1229" s="0" t="s">
        <v>177</v>
      </c>
      <c r="AD1229" s="0" t="s">
        <v>719</v>
      </c>
      <c r="AE1229" s="0" t="s">
        <v>1515</v>
      </c>
      <c r="AH1229" s="0" t="s">
        <v>180</v>
      </c>
      <c r="AI1229" s="0" t="s">
        <v>92</v>
      </c>
      <c r="AJ1229" s="0" t="s">
        <v>437</v>
      </c>
      <c r="AK1229" s="0" t="s">
        <v>94</v>
      </c>
      <c r="AN1229" s="0" t="s">
        <v>97</v>
      </c>
      <c r="AW1229" s="0" t="s">
        <v>106</v>
      </c>
      <c r="AX1229" s="0" t="s">
        <v>107</v>
      </c>
      <c r="AZ1229" s="0" t="s">
        <v>109</v>
      </c>
      <c r="BB1229" s="0" t="s">
        <v>111</v>
      </c>
      <c r="BE1229" s="0" t="s">
        <v>114</v>
      </c>
    </row>
    <row r="1230" ht="60.75">
      <c r="B1230" s="0" t="s">
        <v>3293</v>
      </c>
      <c r="C1230" s="1" t="n">
        <v>353054</v>
      </c>
      <c r="E1230" s="14" t="s">
        <v>3294</v>
      </c>
      <c r="F1230" s="14" t="s">
        <v>1414</v>
      </c>
      <c r="G1230" s="25" t="str">
        <f>HYPERLINK("http://instagram.com/p/Cq-uVH1N8R8")</f>
      </c>
      <c r="H1230" s="14" t="s">
        <v>170</v>
      </c>
      <c r="I1230" s="14" t="s">
        <v>194</v>
      </c>
      <c r="J1230" s="14" t="s">
        <v>3295</v>
      </c>
      <c r="K1230" s="26" t="str">
        <f>HYPERLINK("http://instagram.com/55.news.55")</f>
      </c>
      <c r="L1230" s="14" t="s">
        <v>173</v>
      </c>
      <c r="O1230" s="1"/>
      <c r="P1230" s="1"/>
      <c r="Q1230" s="1" t="n">
        <v>10193</v>
      </c>
      <c r="R1230" s="1" t="n">
        <v>0</v>
      </c>
      <c r="S1230" s="1"/>
      <c r="T1230" s="1" t="n">
        <v>0</v>
      </c>
      <c r="U1230" s="1" t="n">
        <v>3</v>
      </c>
      <c r="V1230" s="1" t="n">
        <v>3</v>
      </c>
      <c r="W1230" s="1"/>
      <c r="Y1230" s="1" t="n">
        <v>1</v>
      </c>
      <c r="Z1230" s="0" t="s">
        <v>175</v>
      </c>
      <c r="AA1230" s="0" t="s">
        <v>223</v>
      </c>
      <c r="AH1230" s="0" t="s">
        <v>180</v>
      </c>
      <c r="AJ1230" s="0" t="s">
        <v>437</v>
      </c>
      <c r="AK1230" s="0" t="s">
        <v>94</v>
      </c>
      <c r="AL1230" s="0" t="s">
        <v>95</v>
      </c>
      <c r="BD1230" s="0" t="s">
        <v>113</v>
      </c>
      <c r="BJ1230" s="0" t="s">
        <v>119</v>
      </c>
      <c r="BK1230" s="0" t="s">
        <v>120</v>
      </c>
    </row>
    <row r="1231" ht="36.75">
      <c r="B1231" s="0" t="s">
        <v>3293</v>
      </c>
      <c r="C1231" s="1" t="n">
        <v>352495</v>
      </c>
      <c r="E1231" s="14" t="s">
        <v>1218</v>
      </c>
      <c r="F1231" s="14" t="s">
        <v>169</v>
      </c>
      <c r="G1231" s="25" t="str">
        <f>HYPERLINK("http://www.ok.ru/profile/573645137555/statuses/156022772701331")</f>
      </c>
      <c r="H1231" s="14" t="s">
        <v>170</v>
      </c>
      <c r="I1231" s="14" t="s">
        <v>171</v>
      </c>
      <c r="J1231" s="14" t="s">
        <v>3296</v>
      </c>
      <c r="K1231" s="26" t="str">
        <f>HYPERLINK("http://www.ok.ru/profile/573645137555")</f>
      </c>
      <c r="L1231" s="14" t="s">
        <v>173</v>
      </c>
      <c r="O1231" s="1" t="s">
        <v>186</v>
      </c>
      <c r="P1231" s="1"/>
      <c r="Q1231" s="1" t="n">
        <v>110</v>
      </c>
      <c r="R1231" s="1" t="n">
        <v>0</v>
      </c>
      <c r="S1231" s="1"/>
      <c r="T1231" s="1" t="n">
        <v>0</v>
      </c>
      <c r="U1231" s="1" t="n">
        <v>2</v>
      </c>
      <c r="V1231" s="1" t="n">
        <v>2</v>
      </c>
      <c r="W1231" s="1"/>
      <c r="Y1231" s="1" t="n">
        <v>9</v>
      </c>
      <c r="Z1231" s="0" t="s">
        <v>175</v>
      </c>
      <c r="AA1231" s="0" t="s">
        <v>187</v>
      </c>
      <c r="AC1231" s="0" t="s">
        <v>177</v>
      </c>
      <c r="AD1231" s="0" t="s">
        <v>1169</v>
      </c>
      <c r="AE1231" s="0" t="s">
        <v>1170</v>
      </c>
      <c r="AH1231" s="0" t="s">
        <v>180</v>
      </c>
      <c r="AJ1231" s="0" t="s">
        <v>437</v>
      </c>
      <c r="AK1231" s="0" t="s">
        <v>94</v>
      </c>
      <c r="AL1231" s="0" t="s">
        <v>95</v>
      </c>
      <c r="AM1231" s="0" t="s">
        <v>96</v>
      </c>
      <c r="BC1231" s="0" t="s">
        <v>112</v>
      </c>
      <c r="BI1231" s="0" t="s">
        <v>118</v>
      </c>
      <c r="BN1231" s="0" t="s">
        <v>123</v>
      </c>
    </row>
    <row r="1232" ht="84.75">
      <c r="B1232" s="0" t="s">
        <v>3297</v>
      </c>
      <c r="C1232" s="1" t="n">
        <v>352253</v>
      </c>
      <c r="E1232" s="14" t="s">
        <v>3298</v>
      </c>
      <c r="F1232" s="14" t="s">
        <v>184</v>
      </c>
      <c r="G1232" s="25" t="str">
        <f>HYPERLINK("http://vk.com/wall751015243_40")</f>
      </c>
      <c r="H1232" s="14" t="s">
        <v>170</v>
      </c>
      <c r="I1232" s="14" t="s">
        <v>171</v>
      </c>
      <c r="J1232" s="14" t="s">
        <v>3299</v>
      </c>
      <c r="K1232" s="26" t="str">
        <f>HYPERLINK("http://vk.com/id751015243")</f>
      </c>
      <c r="L1232" s="14" t="s">
        <v>173</v>
      </c>
      <c r="O1232" s="1" t="s">
        <v>186</v>
      </c>
      <c r="P1232" s="1" t="n">
        <v>37</v>
      </c>
      <c r="Q1232" s="1" t="n">
        <v>84</v>
      </c>
      <c r="R1232" s="1" t="n">
        <v>0</v>
      </c>
      <c r="S1232" s="1"/>
      <c r="T1232" s="1" t="n">
        <v>0</v>
      </c>
      <c r="U1232" s="1" t="n">
        <v>0</v>
      </c>
      <c r="V1232" s="1" t="n">
        <v>0</v>
      </c>
      <c r="W1232" s="1" t="n">
        <v>1</v>
      </c>
      <c r="Y1232" s="1" t="n">
        <v>1</v>
      </c>
      <c r="Z1232" s="0" t="s">
        <v>175</v>
      </c>
      <c r="AA1232" s="0" t="s">
        <v>187</v>
      </c>
      <c r="AC1232" s="0" t="s">
        <v>177</v>
      </c>
      <c r="AD1232" s="0" t="s">
        <v>1023</v>
      </c>
      <c r="AE1232" s="0" t="s">
        <v>1412</v>
      </c>
      <c r="AH1232" s="0" t="s">
        <v>180</v>
      </c>
      <c r="AJ1232" s="0" t="s">
        <v>437</v>
      </c>
      <c r="AK1232" s="0" t="s">
        <v>94</v>
      </c>
      <c r="AL1232" s="0" t="s">
        <v>95</v>
      </c>
      <c r="AN1232" s="0" t="s">
        <v>97</v>
      </c>
      <c r="AT1232" s="0" t="s">
        <v>103</v>
      </c>
      <c r="BB1232" s="0" t="s">
        <v>111</v>
      </c>
      <c r="BE1232" s="0" t="s">
        <v>114</v>
      </c>
      <c r="BH1232" s="0" t="s">
        <v>117</v>
      </c>
      <c r="BK1232" s="0" t="s">
        <v>120</v>
      </c>
    </row>
    <row r="1233" ht="36.75">
      <c r="B1233" s="0" t="s">
        <v>3297</v>
      </c>
      <c r="C1233" s="1" t="n">
        <v>352675</v>
      </c>
      <c r="E1233" s="14" t="s">
        <v>1189</v>
      </c>
      <c r="F1233" s="14" t="s">
        <v>169</v>
      </c>
      <c r="G1233" s="25" t="str">
        <f>HYPERLINK("http://www.ok.ru/profile/572711739423/statuses/155064576873247")</f>
      </c>
      <c r="H1233" s="14" t="s">
        <v>170</v>
      </c>
      <c r="I1233" s="14" t="s">
        <v>171</v>
      </c>
      <c r="J1233" s="14" t="s">
        <v>3300</v>
      </c>
      <c r="K1233" s="26" t="str">
        <f>HYPERLINK("http://www.ok.ru/profile/572711739423")</f>
      </c>
      <c r="L1233" s="14" t="s">
        <v>173</v>
      </c>
      <c r="O1233" s="1" t="s">
        <v>186</v>
      </c>
      <c r="P1233" s="1" t="n">
        <v>66</v>
      </c>
      <c r="Q1233" s="1" t="n">
        <v>158</v>
      </c>
      <c r="R1233" s="1" t="n">
        <v>0</v>
      </c>
      <c r="S1233" s="1"/>
      <c r="T1233" s="1" t="n">
        <v>0</v>
      </c>
      <c r="U1233" s="1" t="n">
        <v>0</v>
      </c>
      <c r="V1233" s="1" t="n">
        <v>0</v>
      </c>
      <c r="W1233" s="1"/>
      <c r="Y1233" s="1" t="n">
        <v>46</v>
      </c>
      <c r="Z1233" s="0" t="s">
        <v>175</v>
      </c>
      <c r="AA1233" s="0" t="s">
        <v>187</v>
      </c>
      <c r="AC1233" s="0" t="s">
        <v>177</v>
      </c>
      <c r="AD1233" s="0" t="s">
        <v>1714</v>
      </c>
      <c r="AE1233" s="0" t="s">
        <v>3301</v>
      </c>
      <c r="AH1233" s="0" t="s">
        <v>180</v>
      </c>
      <c r="AJ1233" s="0" t="s">
        <v>437</v>
      </c>
      <c r="AK1233" s="0" t="s">
        <v>94</v>
      </c>
      <c r="AL1233" s="0" t="s">
        <v>95</v>
      </c>
      <c r="AM1233" s="0" t="s">
        <v>96</v>
      </c>
      <c r="AO1233" s="0" t="s">
        <v>98</v>
      </c>
      <c r="AQ1233" s="0" t="s">
        <v>100</v>
      </c>
    </row>
    <row r="1234" ht="36.75">
      <c r="B1234" s="0" t="s">
        <v>3297</v>
      </c>
      <c r="C1234" s="1" t="n">
        <v>353042</v>
      </c>
      <c r="E1234" s="14" t="s">
        <v>1189</v>
      </c>
      <c r="F1234" s="14" t="s">
        <v>169</v>
      </c>
      <c r="G1234" s="25" t="str">
        <f>HYPERLINK("http://www.ok.ru/profile/487057420122/statuses/155567274942554")</f>
      </c>
      <c r="H1234" s="14" t="s">
        <v>170</v>
      </c>
      <c r="I1234" s="14" t="s">
        <v>171</v>
      </c>
      <c r="J1234" s="14" t="s">
        <v>3302</v>
      </c>
      <c r="K1234" s="26" t="str">
        <f>HYPERLINK("http://www.ok.ru/profile/487057420122")</f>
      </c>
      <c r="L1234" s="14" t="s">
        <v>173</v>
      </c>
      <c r="O1234" s="1" t="s">
        <v>186</v>
      </c>
      <c r="P1234" s="1" t="n">
        <v>66</v>
      </c>
      <c r="Q1234" s="1" t="n">
        <v>158</v>
      </c>
      <c r="R1234" s="1" t="n">
        <v>0</v>
      </c>
      <c r="S1234" s="1"/>
      <c r="T1234" s="1" t="n">
        <v>0</v>
      </c>
      <c r="U1234" s="1" t="n">
        <v>2</v>
      </c>
      <c r="V1234" s="1" t="n">
        <v>2</v>
      </c>
      <c r="W1234" s="1"/>
      <c r="Y1234" s="1" t="n">
        <v>46</v>
      </c>
      <c r="Z1234" s="0" t="s">
        <v>175</v>
      </c>
      <c r="AA1234" s="0" t="s">
        <v>187</v>
      </c>
      <c r="AC1234" s="0" t="s">
        <v>177</v>
      </c>
      <c r="AD1234" s="0" t="s">
        <v>464</v>
      </c>
      <c r="AE1234" s="0" t="s">
        <v>1975</v>
      </c>
      <c r="AH1234" s="0" t="s">
        <v>180</v>
      </c>
      <c r="AJ1234" s="0" t="s">
        <v>437</v>
      </c>
      <c r="AK1234" s="0" t="s">
        <v>94</v>
      </c>
      <c r="AL1234" s="0" t="s">
        <v>95</v>
      </c>
      <c r="AM1234" s="0" t="s">
        <v>96</v>
      </c>
      <c r="AO1234" s="0" t="s">
        <v>98</v>
      </c>
      <c r="AQ1234" s="0" t="s">
        <v>100</v>
      </c>
    </row>
    <row r="1235">
      <c r="B1235" s="0" t="s">
        <v>3297</v>
      </c>
      <c r="C1235" s="1" t="n">
        <v>352872</v>
      </c>
      <c r="E1235" s="14" t="s">
        <v>1447</v>
      </c>
      <c r="F1235" s="14" t="s">
        <v>169</v>
      </c>
      <c r="G1235" s="25" t="str">
        <f>HYPERLINK("http://www.ok.ru/profile/542128340628/statuses/156146986994580")</f>
      </c>
      <c r="H1235" s="14" t="s">
        <v>170</v>
      </c>
      <c r="I1235" s="14" t="s">
        <v>171</v>
      </c>
      <c r="J1235" s="14" t="s">
        <v>3303</v>
      </c>
      <c r="K1235" s="26" t="str">
        <f>HYPERLINK("http://www.ok.ru/profile/542128340628")</f>
      </c>
      <c r="L1235" s="14" t="s">
        <v>173</v>
      </c>
      <c r="O1235" s="1" t="s">
        <v>186</v>
      </c>
      <c r="P1235" s="1" t="n">
        <v>67</v>
      </c>
      <c r="Q1235" s="1" t="n">
        <v>138</v>
      </c>
      <c r="R1235" s="1" t="n">
        <v>0</v>
      </c>
      <c r="S1235" s="1"/>
      <c r="T1235" s="1" t="n">
        <v>0</v>
      </c>
      <c r="U1235" s="1" t="n">
        <v>0</v>
      </c>
      <c r="V1235" s="1" t="n">
        <v>0</v>
      </c>
      <c r="W1235" s="1"/>
      <c r="Y1235" s="1" t="n">
        <v>9</v>
      </c>
      <c r="Z1235" s="0" t="s">
        <v>175</v>
      </c>
      <c r="AA1235" s="0" t="s">
        <v>187</v>
      </c>
      <c r="AC1235" s="0" t="s">
        <v>177</v>
      </c>
      <c r="AD1235" s="0" t="s">
        <v>681</v>
      </c>
      <c r="AE1235" s="0" t="s">
        <v>3304</v>
      </c>
      <c r="AH1235" s="0" t="s">
        <v>180</v>
      </c>
      <c r="AJ1235" s="0" t="s">
        <v>437</v>
      </c>
      <c r="AK1235" s="0" t="s">
        <v>94</v>
      </c>
      <c r="AL1235" s="0" t="s">
        <v>95</v>
      </c>
      <c r="AM1235" s="0" t="s">
        <v>96</v>
      </c>
      <c r="AU1235" s="0" t="s">
        <v>104</v>
      </c>
      <c r="AV1235" s="0" t="s">
        <v>105</v>
      </c>
    </row>
    <row r="1236">
      <c r="B1236" s="0" t="s">
        <v>3305</v>
      </c>
      <c r="C1236" s="1" t="n">
        <v>352147</v>
      </c>
      <c r="E1236" s="14" t="s">
        <v>3306</v>
      </c>
      <c r="F1236" s="14" t="s">
        <v>184</v>
      </c>
      <c r="G1236" s="25" t="str">
        <f>HYPERLINK("http://vk.com/wall-110697191_622099?reply=622666&amp;thread=622103")</f>
      </c>
      <c r="H1236" s="14" t="s">
        <v>170</v>
      </c>
      <c r="I1236" s="14" t="s">
        <v>231</v>
      </c>
      <c r="J1236" s="14" t="s">
        <v>3307</v>
      </c>
      <c r="K1236" s="26" t="str">
        <f>HYPERLINK("http://vk.com/id43619696")</f>
      </c>
      <c r="L1236" s="14" t="s">
        <v>173</v>
      </c>
      <c r="M1236" s="14" t="s">
        <v>626</v>
      </c>
      <c r="N1236" s="25" t="str">
        <f>HYPERLINK("http://vk.com/club110697191")</f>
      </c>
      <c r="O1236" s="1" t="s">
        <v>186</v>
      </c>
      <c r="P1236" s="1"/>
      <c r="Q1236" s="1" t="n">
        <v>33083</v>
      </c>
      <c r="R1236" s="1" t="n">
        <v>0</v>
      </c>
      <c r="S1236" s="1"/>
      <c r="T1236" s="1" t="n">
        <v>0</v>
      </c>
      <c r="U1236" s="1" t="n">
        <v>0</v>
      </c>
      <c r="V1236" s="1" t="n">
        <v>0</v>
      </c>
      <c r="W1236" s="1"/>
      <c r="Y1236" s="1" t="n">
        <v>1</v>
      </c>
      <c r="Z1236" s="0" t="s">
        <v>463</v>
      </c>
      <c r="AA1236" s="0" t="s">
        <v>187</v>
      </c>
      <c r="AC1236" s="0" t="s">
        <v>177</v>
      </c>
      <c r="AD1236" s="0" t="s">
        <v>881</v>
      </c>
      <c r="AE1236" s="0" t="s">
        <v>882</v>
      </c>
      <c r="AH1236" s="0" t="s">
        <v>180</v>
      </c>
      <c r="AI1236" s="0" t="s">
        <v>92</v>
      </c>
      <c r="AJ1236" s="0" t="s">
        <v>437</v>
      </c>
      <c r="AK1236" s="0" t="s">
        <v>94</v>
      </c>
      <c r="AN1236" s="0" t="s">
        <v>97</v>
      </c>
      <c r="AT1236" s="0" t="s">
        <v>103</v>
      </c>
      <c r="AW1236" s="0" t="s">
        <v>106</v>
      </c>
      <c r="AZ1236" s="0" t="s">
        <v>109</v>
      </c>
      <c r="BF1236" s="0" t="s">
        <v>115</v>
      </c>
      <c r="CF1236" s="0" t="s">
        <v>141</v>
      </c>
      <c r="CM1236" s="0" t="s">
        <v>148</v>
      </c>
    </row>
    <row r="1237" ht="36.75">
      <c r="B1237" s="0" t="s">
        <v>3305</v>
      </c>
      <c r="C1237" s="1" t="n">
        <v>352309</v>
      </c>
      <c r="E1237" s="14" t="s">
        <v>202</v>
      </c>
      <c r="F1237" s="14" t="s">
        <v>169</v>
      </c>
      <c r="G1237" s="25" t="str">
        <f>HYPERLINK("http://www.ok.ru/group/55921101635792/topic/156198285175760")</f>
      </c>
      <c r="H1237" s="14" t="s">
        <v>170</v>
      </c>
      <c r="I1237" s="14" t="s">
        <v>194</v>
      </c>
      <c r="J1237" s="14" t="s">
        <v>1327</v>
      </c>
      <c r="K1237" s="26" t="str">
        <f>HYPERLINK("http://www.ok.ru/group/55921101635792")</f>
      </c>
      <c r="L1237" s="14" t="s">
        <v>274</v>
      </c>
      <c r="O1237" s="1"/>
      <c r="P1237" s="1"/>
      <c r="Q1237" s="1" t="n">
        <v>73153</v>
      </c>
      <c r="R1237" s="1" t="n">
        <v>0</v>
      </c>
      <c r="S1237" s="1"/>
      <c r="T1237" s="1" t="n">
        <v>0</v>
      </c>
      <c r="U1237" s="1" t="n">
        <v>12</v>
      </c>
      <c r="V1237" s="1" t="n">
        <v>12</v>
      </c>
      <c r="W1237" s="1"/>
      <c r="Y1237" s="1" t="n">
        <v>4</v>
      </c>
      <c r="Z1237" s="0" t="s">
        <v>175</v>
      </c>
      <c r="AA1237" s="0" t="s">
        <v>176</v>
      </c>
      <c r="AH1237" s="0" t="s">
        <v>180</v>
      </c>
      <c r="AJ1237" s="0" t="s">
        <v>437</v>
      </c>
      <c r="AK1237" s="0" t="s">
        <v>94</v>
      </c>
      <c r="AM1237" s="0" t="s">
        <v>96</v>
      </c>
      <c r="AO1237" s="0" t="s">
        <v>98</v>
      </c>
      <c r="AQ1237" s="0" t="s">
        <v>100</v>
      </c>
      <c r="AZ1237" s="0" t="s">
        <v>109</v>
      </c>
    </row>
    <row r="1238" ht="24.75">
      <c r="B1238" s="0" t="s">
        <v>3308</v>
      </c>
      <c r="C1238" s="1" t="n">
        <v>352296</v>
      </c>
      <c r="E1238" s="14" t="s">
        <v>3309</v>
      </c>
      <c r="F1238" s="14" t="s">
        <v>169</v>
      </c>
      <c r="G1238" s="25" t="str">
        <f>HYPERLINK("http://www.ok.ru/profile/223365176763/statuses/155156996023227")</f>
      </c>
      <c r="H1238" s="14" t="s">
        <v>170</v>
      </c>
      <c r="I1238" s="14" t="s">
        <v>171</v>
      </c>
      <c r="J1238" s="14" t="s">
        <v>3310</v>
      </c>
      <c r="K1238" s="26" t="str">
        <f>HYPERLINK("http://www.ok.ru/profile/223365176763")</f>
      </c>
      <c r="L1238" s="14" t="s">
        <v>173</v>
      </c>
      <c r="O1238" s="1" t="s">
        <v>186</v>
      </c>
      <c r="P1238" s="1" t="n">
        <v>61</v>
      </c>
      <c r="Q1238" s="1" t="n">
        <v>125</v>
      </c>
      <c r="R1238" s="1" t="n">
        <v>0</v>
      </c>
      <c r="S1238" s="1"/>
      <c r="T1238" s="1" t="n">
        <v>0</v>
      </c>
      <c r="U1238" s="1" t="n">
        <v>0</v>
      </c>
      <c r="V1238" s="1" t="n">
        <v>0</v>
      </c>
      <c r="W1238" s="1"/>
      <c r="Y1238" s="1" t="n">
        <v>4</v>
      </c>
      <c r="Z1238" s="0" t="s">
        <v>175</v>
      </c>
      <c r="AA1238" s="0" t="s">
        <v>187</v>
      </c>
      <c r="AC1238" s="0" t="s">
        <v>177</v>
      </c>
      <c r="AD1238" s="0" t="s">
        <v>767</v>
      </c>
      <c r="AE1238" s="0" t="s">
        <v>2504</v>
      </c>
      <c r="AH1238" s="0" t="s">
        <v>180</v>
      </c>
      <c r="AJ1238" s="0" t="s">
        <v>437</v>
      </c>
      <c r="AK1238" s="0" t="s">
        <v>94</v>
      </c>
      <c r="AM1238" s="0" t="s">
        <v>96</v>
      </c>
      <c r="AX1238" s="0" t="s">
        <v>107</v>
      </c>
      <c r="AZ1238" s="0" t="s">
        <v>109</v>
      </c>
    </row>
    <row r="1239">
      <c r="B1239" s="0" t="s">
        <v>3311</v>
      </c>
      <c r="C1239" s="1" t="n">
        <v>352139</v>
      </c>
      <c r="E1239" s="14" t="s">
        <v>3312</v>
      </c>
      <c r="F1239" s="14" t="s">
        <v>184</v>
      </c>
      <c r="G1239" s="25" t="str">
        <f>HYPERLINK("http://vk.com/wall-172591640_69807?reply=69869")</f>
      </c>
      <c r="H1239" s="14" t="s">
        <v>170</v>
      </c>
      <c r="I1239" s="14" t="s">
        <v>231</v>
      </c>
      <c r="J1239" s="14" t="s">
        <v>3210</v>
      </c>
      <c r="K1239" s="26" t="str">
        <f>HYPERLINK("http://vk.com/id795312301")</f>
      </c>
      <c r="L1239" s="14" t="s">
        <v>173</v>
      </c>
      <c r="M1239" s="14" t="s">
        <v>3313</v>
      </c>
      <c r="N1239" s="25" t="str">
        <f>HYPERLINK("http://vk.com/club172591640")</f>
      </c>
      <c r="O1239" s="1" t="s">
        <v>186</v>
      </c>
      <c r="P1239" s="1" t="n">
        <v>43</v>
      </c>
      <c r="Q1239" s="1" t="n">
        <v>11077</v>
      </c>
      <c r="R1239" s="1" t="n">
        <v>0</v>
      </c>
      <c r="S1239" s="1"/>
      <c r="T1239" s="1" t="n">
        <v>0</v>
      </c>
      <c r="U1239" s="1" t="n">
        <v>0</v>
      </c>
      <c r="V1239" s="1" t="n">
        <v>0</v>
      </c>
      <c r="W1239" s="1"/>
      <c r="Y1239" s="1" t="n">
        <v>1</v>
      </c>
      <c r="Z1239" s="0" t="s">
        <v>175</v>
      </c>
      <c r="AA1239" s="0" t="s">
        <v>187</v>
      </c>
      <c r="AC1239" s="0" t="s">
        <v>177</v>
      </c>
      <c r="AD1239" s="0" t="s">
        <v>332</v>
      </c>
      <c r="AE1239" s="0" t="s">
        <v>332</v>
      </c>
      <c r="AH1239" s="0" t="s">
        <v>180</v>
      </c>
      <c r="AJ1239" s="0" t="s">
        <v>437</v>
      </c>
      <c r="AK1239" s="0" t="s">
        <v>94</v>
      </c>
      <c r="AL1239" s="0" t="s">
        <v>95</v>
      </c>
      <c r="AN1239" s="0" t="s">
        <v>97</v>
      </c>
      <c r="AS1239" s="0" t="s">
        <v>102</v>
      </c>
      <c r="BB1239" s="0" t="s">
        <v>111</v>
      </c>
      <c r="BI1239" s="0" t="s">
        <v>118</v>
      </c>
      <c r="CX1239" s="0" t="s">
        <v>159</v>
      </c>
    </row>
    <row r="1240" ht="36.75">
      <c r="B1240" s="0" t="s">
        <v>3311</v>
      </c>
      <c r="C1240" s="1" t="n">
        <v>352246</v>
      </c>
      <c r="E1240" s="14" t="s">
        <v>1189</v>
      </c>
      <c r="F1240" s="14" t="s">
        <v>169</v>
      </c>
      <c r="G1240" s="25" t="str">
        <f>HYPERLINK("http://www.ok.ru/profile/564560866489/statuses/155682426680761")</f>
      </c>
      <c r="H1240" s="14" t="s">
        <v>170</v>
      </c>
      <c r="I1240" s="14" t="s">
        <v>171</v>
      </c>
      <c r="J1240" s="14" t="s">
        <v>3314</v>
      </c>
      <c r="K1240" s="26" t="str">
        <f>HYPERLINK("http://www.ok.ru/profile/564560866489")</f>
      </c>
      <c r="L1240" s="14" t="s">
        <v>173</v>
      </c>
      <c r="O1240" s="1" t="s">
        <v>186</v>
      </c>
      <c r="P1240" s="1" t="n">
        <v>69</v>
      </c>
      <c r="Q1240" s="1" t="n">
        <v>80</v>
      </c>
      <c r="R1240" s="1" t="n">
        <v>0</v>
      </c>
      <c r="S1240" s="1"/>
      <c r="T1240" s="1" t="n">
        <v>0</v>
      </c>
      <c r="U1240" s="1" t="n">
        <v>0</v>
      </c>
      <c r="V1240" s="1" t="n">
        <v>0</v>
      </c>
      <c r="W1240" s="1"/>
      <c r="Y1240" s="1" t="n">
        <v>46</v>
      </c>
      <c r="Z1240" s="0" t="s">
        <v>175</v>
      </c>
      <c r="AA1240" s="0" t="s">
        <v>187</v>
      </c>
      <c r="AC1240" s="0" t="s">
        <v>177</v>
      </c>
      <c r="AD1240" s="0" t="s">
        <v>332</v>
      </c>
      <c r="AE1240" s="0" t="s">
        <v>332</v>
      </c>
      <c r="AH1240" s="0" t="s">
        <v>180</v>
      </c>
      <c r="AJ1240" s="0" t="s">
        <v>437</v>
      </c>
      <c r="AK1240" s="0" t="s">
        <v>94</v>
      </c>
      <c r="AM1240" s="0" t="s">
        <v>96</v>
      </c>
      <c r="AQ1240" s="0" t="s">
        <v>100</v>
      </c>
      <c r="AZ1240" s="0" t="s">
        <v>109</v>
      </c>
    </row>
    <row r="1241" ht="24.75">
      <c r="B1241" s="0" t="s">
        <v>3315</v>
      </c>
      <c r="C1241" s="1" t="n">
        <v>352316</v>
      </c>
      <c r="E1241" s="14" t="s">
        <v>1102</v>
      </c>
      <c r="F1241" s="14" t="s">
        <v>169</v>
      </c>
      <c r="G1241" s="25" t="str">
        <f>HYPERLINK("http://www.ok.ru/profile/563274866812/statuses/155154211750780")</f>
      </c>
      <c r="H1241" s="14" t="s">
        <v>170</v>
      </c>
      <c r="I1241" s="14" t="s">
        <v>171</v>
      </c>
      <c r="J1241" s="14" t="s">
        <v>3316</v>
      </c>
      <c r="K1241" s="26" t="str">
        <f>HYPERLINK("http://www.ok.ru/profile/563274866812")</f>
      </c>
      <c r="L1241" s="14" t="s">
        <v>173</v>
      </c>
      <c r="O1241" s="1" t="s">
        <v>186</v>
      </c>
      <c r="P1241" s="1" t="n">
        <v>67</v>
      </c>
      <c r="Q1241" s="1" t="n">
        <v>174</v>
      </c>
      <c r="R1241" s="1" t="n">
        <v>0</v>
      </c>
      <c r="S1241" s="1"/>
      <c r="T1241" s="1" t="n">
        <v>0</v>
      </c>
      <c r="U1241" s="1" t="n">
        <v>0</v>
      </c>
      <c r="V1241" s="1" t="n">
        <v>0</v>
      </c>
      <c r="W1241" s="1"/>
      <c r="Y1241" s="1" t="n">
        <v>93</v>
      </c>
      <c r="Z1241" s="0" t="s">
        <v>175</v>
      </c>
      <c r="AA1241" s="0" t="s">
        <v>187</v>
      </c>
      <c r="AC1241" s="0" t="s">
        <v>177</v>
      </c>
      <c r="AD1241" s="0" t="s">
        <v>520</v>
      </c>
      <c r="AE1241" s="0" t="s">
        <v>3317</v>
      </c>
      <c r="AH1241" s="0" t="s">
        <v>180</v>
      </c>
      <c r="AJ1241" s="0" t="s">
        <v>437</v>
      </c>
      <c r="AK1241" s="0" t="s">
        <v>94</v>
      </c>
      <c r="AM1241" s="0" t="s">
        <v>96</v>
      </c>
      <c r="AU1241" s="0" t="s">
        <v>104</v>
      </c>
      <c r="AV1241" s="0" t="s">
        <v>105</v>
      </c>
      <c r="AZ1241" s="0" t="s">
        <v>109</v>
      </c>
    </row>
    <row r="1242">
      <c r="B1242" s="0" t="s">
        <v>3318</v>
      </c>
      <c r="C1242" s="1" t="n">
        <v>352132</v>
      </c>
      <c r="E1242" s="14" t="s">
        <v>3319</v>
      </c>
      <c r="F1242" s="14" t="s">
        <v>184</v>
      </c>
      <c r="G1242" s="25" t="str">
        <f>HYPERLINK("http://vk.com/wall-117339481_1474346?reply=1474476")</f>
      </c>
      <c r="H1242" s="14" t="s">
        <v>170</v>
      </c>
      <c r="I1242" s="14" t="s">
        <v>231</v>
      </c>
      <c r="J1242" s="14" t="s">
        <v>3320</v>
      </c>
      <c r="K1242" s="26" t="str">
        <f>HYPERLINK("http://vk.com/id136527754")</f>
      </c>
      <c r="L1242" s="14" t="s">
        <v>173</v>
      </c>
      <c r="M1242" s="14" t="s">
        <v>368</v>
      </c>
      <c r="N1242" s="25" t="str">
        <f>HYPERLINK("http://vk.com/club117339481")</f>
      </c>
      <c r="O1242" s="1" t="s">
        <v>186</v>
      </c>
      <c r="P1242" s="1" t="n">
        <v>30</v>
      </c>
      <c r="Q1242" s="1" t="n">
        <v>23609</v>
      </c>
      <c r="R1242" s="1" t="n">
        <v>0</v>
      </c>
      <c r="S1242" s="1"/>
      <c r="T1242" s="1" t="n">
        <v>0</v>
      </c>
      <c r="U1242" s="1" t="n">
        <v>0</v>
      </c>
      <c r="V1242" s="1" t="n">
        <v>0</v>
      </c>
      <c r="W1242" s="1"/>
      <c r="Y1242" s="1" t="n">
        <v>1</v>
      </c>
      <c r="Z1242" s="0" t="s">
        <v>175</v>
      </c>
      <c r="AA1242" s="0" t="s">
        <v>187</v>
      </c>
      <c r="AH1242" s="0" t="s">
        <v>180</v>
      </c>
      <c r="AI1242" s="0" t="s">
        <v>92</v>
      </c>
      <c r="AJ1242" s="0" t="s">
        <v>437</v>
      </c>
      <c r="AK1242" s="0" t="s">
        <v>94</v>
      </c>
      <c r="AL1242" s="0" t="s">
        <v>95</v>
      </c>
      <c r="AN1242" s="0" t="s">
        <v>97</v>
      </c>
      <c r="AS1242" s="0" t="s">
        <v>102</v>
      </c>
      <c r="BC1242" s="0" t="s">
        <v>112</v>
      </c>
    </row>
    <row r="1243">
      <c r="B1243" s="0" t="s">
        <v>3318</v>
      </c>
      <c r="C1243" s="1" t="n">
        <v>352134</v>
      </c>
      <c r="E1243" s="14" t="s">
        <v>3321</v>
      </c>
      <c r="F1243" s="14" t="s">
        <v>184</v>
      </c>
      <c r="G1243" s="25" t="str">
        <f>HYPERLINK("http://vk.com/wall-203023242_19203?reply=19235")</f>
      </c>
      <c r="H1243" s="14" t="s">
        <v>170</v>
      </c>
      <c r="I1243" s="14" t="s">
        <v>231</v>
      </c>
      <c r="J1243" s="14" t="s">
        <v>3210</v>
      </c>
      <c r="K1243" s="26" t="str">
        <f>HYPERLINK("http://vk.com/id795312301")</f>
      </c>
      <c r="L1243" s="14" t="s">
        <v>173</v>
      </c>
      <c r="M1243" s="14" t="s">
        <v>553</v>
      </c>
      <c r="N1243" s="25" t="str">
        <f>HYPERLINK("http://vk.com/club203023242")</f>
      </c>
      <c r="O1243" s="1" t="s">
        <v>186</v>
      </c>
      <c r="P1243" s="1" t="n">
        <v>43</v>
      </c>
      <c r="Q1243" s="1" t="n">
        <v>5390</v>
      </c>
      <c r="R1243" s="1" t="n">
        <v>0</v>
      </c>
      <c r="S1243" s="1"/>
      <c r="T1243" s="1" t="n">
        <v>0</v>
      </c>
      <c r="U1243" s="1" t="n">
        <v>0</v>
      </c>
      <c r="V1243" s="1" t="n">
        <v>0</v>
      </c>
      <c r="W1243" s="1"/>
      <c r="Y1243" s="1" t="n">
        <v>1</v>
      </c>
      <c r="Z1243" s="0" t="s">
        <v>175</v>
      </c>
      <c r="AA1243" s="0" t="s">
        <v>187</v>
      </c>
      <c r="AC1243" s="0" t="s">
        <v>177</v>
      </c>
      <c r="AD1243" s="0" t="s">
        <v>332</v>
      </c>
      <c r="AE1243" s="0" t="s">
        <v>332</v>
      </c>
      <c r="AH1243" s="0" t="s">
        <v>180</v>
      </c>
      <c r="AJ1243" s="0" t="s">
        <v>437</v>
      </c>
      <c r="AK1243" s="0" t="s">
        <v>94</v>
      </c>
      <c r="AL1243" s="0" t="s">
        <v>95</v>
      </c>
      <c r="AN1243" s="0" t="s">
        <v>97</v>
      </c>
      <c r="AS1243" s="0" t="s">
        <v>102</v>
      </c>
      <c r="BC1243" s="0" t="s">
        <v>112</v>
      </c>
      <c r="BL1243" s="0" t="s">
        <v>121</v>
      </c>
    </row>
    <row r="1244">
      <c r="B1244" s="0" t="s">
        <v>3322</v>
      </c>
      <c r="C1244" s="1" t="n">
        <v>352136</v>
      </c>
      <c r="E1244" s="14" t="s">
        <v>3323</v>
      </c>
      <c r="F1244" s="14" t="s">
        <v>184</v>
      </c>
      <c r="G1244" s="25" t="str">
        <f>HYPERLINK("http://vk.com/wall-153326247_489241?reply=489255&amp;thread=489252")</f>
      </c>
      <c r="H1244" s="14" t="s">
        <v>170</v>
      </c>
      <c r="I1244" s="14" t="s">
        <v>231</v>
      </c>
      <c r="J1244" s="14" t="s">
        <v>3324</v>
      </c>
      <c r="K1244" s="26" t="str">
        <f>HYPERLINK("http://vk.com/id8546862")</f>
      </c>
      <c r="L1244" s="14" t="s">
        <v>173</v>
      </c>
      <c r="M1244" s="14" t="s">
        <v>663</v>
      </c>
      <c r="N1244" s="25" t="str">
        <f>HYPERLINK("http://vk.com/club153326247")</f>
      </c>
      <c r="O1244" s="1" t="s">
        <v>186</v>
      </c>
      <c r="P1244" s="1" t="n">
        <v>33</v>
      </c>
      <c r="Q1244" s="1" t="n">
        <v>27180</v>
      </c>
      <c r="R1244" s="1" t="n">
        <v>0</v>
      </c>
      <c r="S1244" s="1"/>
      <c r="T1244" s="1" t="n">
        <v>0</v>
      </c>
      <c r="U1244" s="1" t="n">
        <v>0</v>
      </c>
      <c r="V1244" s="1" t="n">
        <v>0</v>
      </c>
      <c r="W1244" s="1"/>
      <c r="Y1244" s="1" t="n">
        <v>1</v>
      </c>
      <c r="Z1244" s="0" t="s">
        <v>175</v>
      </c>
      <c r="AA1244" s="0" t="s">
        <v>187</v>
      </c>
      <c r="AC1244" s="0" t="s">
        <v>177</v>
      </c>
      <c r="AD1244" s="0" t="s">
        <v>293</v>
      </c>
      <c r="AE1244" s="0" t="s">
        <v>294</v>
      </c>
      <c r="AH1244" s="0" t="s">
        <v>180</v>
      </c>
      <c r="AI1244" s="0" t="s">
        <v>92</v>
      </c>
      <c r="AJ1244" s="0" t="s">
        <v>437</v>
      </c>
      <c r="AK1244" s="0" t="s">
        <v>94</v>
      </c>
      <c r="AL1244" s="0" t="s">
        <v>95</v>
      </c>
      <c r="AN1244" s="0" t="s">
        <v>97</v>
      </c>
      <c r="AS1244" s="0" t="s">
        <v>102</v>
      </c>
      <c r="AW1244" s="0" t="s">
        <v>106</v>
      </c>
      <c r="BB1244" s="0" t="s">
        <v>111</v>
      </c>
      <c r="BC1244" s="0" t="s">
        <v>112</v>
      </c>
    </row>
    <row r="1245" ht="264.75">
      <c r="B1245" s="0" t="s">
        <v>3322</v>
      </c>
      <c r="C1245" s="1" t="n">
        <v>352320</v>
      </c>
      <c r="E1245" s="14" t="s">
        <v>3325</v>
      </c>
      <c r="F1245" s="14" t="s">
        <v>169</v>
      </c>
      <c r="G1245" s="25" t="str">
        <f>HYPERLINK("http://www.ok.ru/profile/465060141936/statuses/156100729584496")</f>
      </c>
      <c r="H1245" s="14" t="s">
        <v>170</v>
      </c>
      <c r="I1245" s="14" t="s">
        <v>171</v>
      </c>
      <c r="J1245" s="14" t="s">
        <v>3326</v>
      </c>
      <c r="K1245" s="26" t="str">
        <f>HYPERLINK("http://www.ok.ru/profile/465060141936")</f>
      </c>
      <c r="L1245" s="14" t="s">
        <v>173</v>
      </c>
      <c r="O1245" s="1" t="s">
        <v>186</v>
      </c>
      <c r="P1245" s="1" t="n">
        <v>61</v>
      </c>
      <c r="Q1245" s="1" t="n">
        <v>132</v>
      </c>
      <c r="R1245" s="1" t="n">
        <v>0</v>
      </c>
      <c r="S1245" s="1"/>
      <c r="T1245" s="1" t="n">
        <v>0</v>
      </c>
      <c r="U1245" s="1" t="n">
        <v>0</v>
      </c>
      <c r="V1245" s="1" t="n">
        <v>0</v>
      </c>
      <c r="W1245" s="1"/>
      <c r="Y1245" s="1" t="n">
        <v>1</v>
      </c>
      <c r="Z1245" s="0" t="s">
        <v>175</v>
      </c>
      <c r="AA1245" s="0" t="s">
        <v>223</v>
      </c>
      <c r="AC1245" s="0" t="s">
        <v>177</v>
      </c>
      <c r="AD1245" s="0" t="s">
        <v>178</v>
      </c>
      <c r="AE1245" s="0" t="s">
        <v>2061</v>
      </c>
      <c r="AH1245" s="0" t="s">
        <v>180</v>
      </c>
      <c r="AJ1245" s="0" t="s">
        <v>437</v>
      </c>
      <c r="AK1245" s="0" t="s">
        <v>94</v>
      </c>
      <c r="AM1245" s="0" t="s">
        <v>96</v>
      </c>
      <c r="AO1245" s="0" t="s">
        <v>98</v>
      </c>
      <c r="AZ1245" s="0" t="s">
        <v>109</v>
      </c>
      <c r="BC1245" s="0" t="s">
        <v>112</v>
      </c>
      <c r="BI1245" s="0" t="s">
        <v>118</v>
      </c>
      <c r="BN1245" s="0" t="s">
        <v>123</v>
      </c>
      <c r="CL1245" s="0" t="s">
        <v>147</v>
      </c>
    </row>
    <row r="1246">
      <c r="B1246" s="0" t="s">
        <v>3327</v>
      </c>
      <c r="C1246" s="1" t="n">
        <v>352804</v>
      </c>
      <c r="E1246" s="14" t="s">
        <v>1962</v>
      </c>
      <c r="F1246" s="14" t="s">
        <v>169</v>
      </c>
      <c r="G1246" s="25" t="str">
        <f>HYPERLINK("http://www.ok.ru/profile/529727971754/statuses/155986703834538")</f>
      </c>
      <c r="H1246" s="14" t="s">
        <v>170</v>
      </c>
      <c r="I1246" s="14" t="s">
        <v>194</v>
      </c>
      <c r="J1246" s="14" t="s">
        <v>3328</v>
      </c>
      <c r="K1246" s="26" t="str">
        <f>HYPERLINK("http://www.ok.ru/profile/529727971754")</f>
      </c>
      <c r="L1246" s="14" t="s">
        <v>173</v>
      </c>
      <c r="O1246" s="1" t="s">
        <v>186</v>
      </c>
      <c r="P1246" s="1"/>
      <c r="Q1246" s="1" t="n">
        <v>156</v>
      </c>
      <c r="R1246" s="1" t="n">
        <v>0</v>
      </c>
      <c r="S1246" s="1"/>
      <c r="T1246" s="1" t="n">
        <v>0</v>
      </c>
      <c r="U1246" s="1" t="n">
        <v>2</v>
      </c>
      <c r="V1246" s="1" t="n">
        <v>2</v>
      </c>
      <c r="W1246" s="1"/>
      <c r="Y1246" s="1" t="n">
        <v>1</v>
      </c>
      <c r="Z1246" s="0" t="s">
        <v>175</v>
      </c>
      <c r="AA1246" s="0" t="s">
        <v>187</v>
      </c>
      <c r="AC1246" s="0" t="s">
        <v>177</v>
      </c>
      <c r="AD1246" s="0" t="s">
        <v>341</v>
      </c>
      <c r="AE1246" s="0" t="s">
        <v>3329</v>
      </c>
      <c r="AH1246" s="0" t="s">
        <v>180</v>
      </c>
      <c r="AJ1246" s="0" t="s">
        <v>437</v>
      </c>
      <c r="AK1246" s="0" t="s">
        <v>94</v>
      </c>
      <c r="AL1246" s="0" t="s">
        <v>95</v>
      </c>
      <c r="AO1246" s="0" t="s">
        <v>98</v>
      </c>
      <c r="BA1246" s="0" t="s">
        <v>110</v>
      </c>
      <c r="BC1246" s="0" t="s">
        <v>112</v>
      </c>
    </row>
    <row r="1247">
      <c r="B1247" s="0" t="s">
        <v>3327</v>
      </c>
      <c r="C1247" s="1" t="n">
        <v>352452</v>
      </c>
      <c r="E1247" s="14" t="s">
        <v>3330</v>
      </c>
      <c r="F1247" s="14" t="s">
        <v>192</v>
      </c>
      <c r="G1247" s="25" t="str">
        <f>HYPERLINK("https://telegram.me/doctorbloger_life/1369?comment=42409")</f>
      </c>
      <c r="H1247" s="14" t="s">
        <v>193</v>
      </c>
      <c r="I1247" s="14" t="s">
        <v>231</v>
      </c>
      <c r="J1247" s="14" t="s">
        <v>3331</v>
      </c>
      <c r="K1247" s="26" t="str">
        <f>HYPERLINK("https://telegram.me/july_rusa")</f>
      </c>
      <c r="L1247" s="14" t="s">
        <v>173</v>
      </c>
      <c r="M1247" s="14" t="s">
        <v>3332</v>
      </c>
      <c r="N1247" s="25" t="str">
        <f>HYPERLINK("https://telegram.me/doctorbloger_life")</f>
      </c>
      <c r="O1247" s="1" t="s">
        <v>186</v>
      </c>
      <c r="P1247" s="1"/>
      <c r="Q1247" s="1" t="n">
        <v>40532</v>
      </c>
      <c r="R1247" s="1" t="n">
        <v>0</v>
      </c>
      <c r="S1247" s="1"/>
      <c r="T1247" s="1" t="n">
        <v>0</v>
      </c>
      <c r="U1247" s="1" t="n">
        <v>0</v>
      </c>
      <c r="V1247" s="1" t="n">
        <v>0</v>
      </c>
      <c r="W1247" s="1"/>
      <c r="Y1247" s="1" t="n">
        <v>1</v>
      </c>
      <c r="Z1247" s="0" t="s">
        <v>175</v>
      </c>
      <c r="AA1247" s="0" t="s">
        <v>187</v>
      </c>
      <c r="AH1247" s="0" t="s">
        <v>180</v>
      </c>
      <c r="AJ1247" s="0" t="s">
        <v>437</v>
      </c>
      <c r="AK1247" s="0" t="s">
        <v>94</v>
      </c>
      <c r="AL1247" s="0" t="s">
        <v>95</v>
      </c>
      <c r="AN1247" s="0" t="s">
        <v>97</v>
      </c>
      <c r="AS1247" s="0" t="s">
        <v>102</v>
      </c>
      <c r="AT1247" s="0" t="s">
        <v>103</v>
      </c>
      <c r="AW1247" s="0" t="s">
        <v>106</v>
      </c>
      <c r="BB1247" s="0" t="s">
        <v>111</v>
      </c>
      <c r="CN1247" s="0" t="s">
        <v>149</v>
      </c>
    </row>
    <row r="1248">
      <c r="B1248" s="0" t="s">
        <v>3333</v>
      </c>
      <c r="C1248" s="1" t="n">
        <v>352135</v>
      </c>
      <c r="E1248" s="14" t="s">
        <v>3334</v>
      </c>
      <c r="F1248" s="14" t="s">
        <v>184</v>
      </c>
      <c r="G1248" s="25" t="str">
        <f>HYPERLINK("http://vk.com/wall-87598739_813314?reply=816894&amp;thread=813355")</f>
      </c>
      <c r="H1248" s="14" t="s">
        <v>170</v>
      </c>
      <c r="I1248" s="14" t="s">
        <v>231</v>
      </c>
      <c r="J1248" s="14" t="s">
        <v>3335</v>
      </c>
      <c r="K1248" s="26" t="str">
        <f>HYPERLINK("http://vk.com/id191746976")</f>
      </c>
      <c r="L1248" s="14" t="s">
        <v>173</v>
      </c>
      <c r="M1248" s="14" t="s">
        <v>331</v>
      </c>
      <c r="N1248" s="25" t="str">
        <f>HYPERLINK("http://vk.com/club87598739")</f>
      </c>
      <c r="O1248" s="1" t="s">
        <v>186</v>
      </c>
      <c r="P1248" s="1"/>
      <c r="Q1248" s="1" t="n">
        <v>36757</v>
      </c>
      <c r="R1248" s="1" t="n">
        <v>0</v>
      </c>
      <c r="S1248" s="1"/>
      <c r="T1248" s="1" t="n">
        <v>0</v>
      </c>
      <c r="U1248" s="1" t="n">
        <v>0</v>
      </c>
      <c r="V1248" s="1" t="n">
        <v>0</v>
      </c>
      <c r="W1248" s="1"/>
      <c r="Y1248" s="1" t="n">
        <v>1</v>
      </c>
      <c r="Z1248" s="0" t="s">
        <v>175</v>
      </c>
      <c r="AA1248" s="0" t="s">
        <v>187</v>
      </c>
      <c r="AC1248" s="0" t="s">
        <v>177</v>
      </c>
      <c r="AD1248" s="0" t="s">
        <v>760</v>
      </c>
      <c r="AE1248" s="0" t="s">
        <v>761</v>
      </c>
      <c r="AH1248" s="0" t="s">
        <v>180</v>
      </c>
      <c r="AI1248" s="0" t="s">
        <v>92</v>
      </c>
      <c r="AJ1248" s="0" t="s">
        <v>437</v>
      </c>
      <c r="AK1248" s="0" t="s">
        <v>94</v>
      </c>
      <c r="AL1248" s="0" t="s">
        <v>95</v>
      </c>
      <c r="AN1248" s="0" t="s">
        <v>97</v>
      </c>
      <c r="AQ1248" s="0" t="s">
        <v>100</v>
      </c>
      <c r="AS1248" s="0" t="s">
        <v>102</v>
      </c>
      <c r="AW1248" s="0" t="s">
        <v>106</v>
      </c>
      <c r="BG1248" s="0" t="s">
        <v>116</v>
      </c>
      <c r="BW1248" s="0" t="s">
        <v>132</v>
      </c>
    </row>
    <row r="1249">
      <c r="B1249" s="0" t="s">
        <v>3333</v>
      </c>
      <c r="C1249" s="1" t="n">
        <v>352130</v>
      </c>
      <c r="E1249" s="14" t="s">
        <v>3336</v>
      </c>
      <c r="F1249" s="14" t="s">
        <v>184</v>
      </c>
      <c r="G1249" s="25" t="str">
        <f>HYPERLINK("http://vk.com/wall-203023242_19133?reply=19234&amp;thread=19145")</f>
      </c>
      <c r="H1249" s="14" t="s">
        <v>170</v>
      </c>
      <c r="I1249" s="14" t="s">
        <v>231</v>
      </c>
      <c r="J1249" s="14" t="s">
        <v>2378</v>
      </c>
      <c r="K1249" s="26" t="str">
        <f>HYPERLINK("http://vk.com/id612148529")</f>
      </c>
      <c r="L1249" s="14" t="s">
        <v>173</v>
      </c>
      <c r="M1249" s="14" t="s">
        <v>553</v>
      </c>
      <c r="N1249" s="25" t="str">
        <f>HYPERLINK("http://vk.com/club203023242")</f>
      </c>
      <c r="O1249" s="1" t="s">
        <v>186</v>
      </c>
      <c r="P1249" s="1" t="n">
        <v>44</v>
      </c>
      <c r="Q1249" s="1" t="n">
        <v>5390</v>
      </c>
      <c r="R1249" s="1" t="n">
        <v>0</v>
      </c>
      <c r="S1249" s="1"/>
      <c r="T1249" s="1" t="n">
        <v>0</v>
      </c>
      <c r="U1249" s="1" t="n">
        <v>0</v>
      </c>
      <c r="V1249" s="1" t="n">
        <v>0</v>
      </c>
      <c r="W1249" s="1"/>
      <c r="Y1249" s="1" t="n">
        <v>1</v>
      </c>
      <c r="Z1249" s="0" t="s">
        <v>463</v>
      </c>
      <c r="AA1249" s="0" t="s">
        <v>292</v>
      </c>
      <c r="AC1249" s="0" t="s">
        <v>177</v>
      </c>
      <c r="AD1249" s="0" t="s">
        <v>240</v>
      </c>
      <c r="AE1249" s="0" t="s">
        <v>240</v>
      </c>
      <c r="AH1249" s="0" t="s">
        <v>180</v>
      </c>
      <c r="AI1249" s="0" t="s">
        <v>92</v>
      </c>
      <c r="AJ1249" s="0" t="s">
        <v>437</v>
      </c>
      <c r="AL1249" s="0" t="s">
        <v>95</v>
      </c>
      <c r="AO1249" s="0" t="s">
        <v>98</v>
      </c>
      <c r="AY1249" s="0" t="s">
        <v>108</v>
      </c>
      <c r="BY1249" s="0" t="s">
        <v>134</v>
      </c>
    </row>
    <row r="1250" ht="1212.75">
      <c r="B1250" s="0" t="s">
        <v>3337</v>
      </c>
      <c r="C1250" s="1" t="n">
        <v>352521</v>
      </c>
      <c r="E1250" s="14" t="s">
        <v>1283</v>
      </c>
      <c r="F1250" s="14" t="s">
        <v>169</v>
      </c>
      <c r="G1250" s="25" t="str">
        <f>HYPERLINK("http://www.ok.ru/profile/571139847801/statuses/155506522243961")</f>
      </c>
      <c r="H1250" s="14" t="s">
        <v>170</v>
      </c>
      <c r="I1250" s="14" t="s">
        <v>171</v>
      </c>
      <c r="J1250" s="14" t="s">
        <v>3338</v>
      </c>
      <c r="K1250" s="26" t="str">
        <f>HYPERLINK("http://www.ok.ru/profile/571139847801")</f>
      </c>
      <c r="L1250" s="14" t="s">
        <v>173</v>
      </c>
      <c r="O1250" s="1" t="s">
        <v>186</v>
      </c>
      <c r="P1250" s="1" t="n">
        <v>70</v>
      </c>
      <c r="Q1250" s="1" t="n">
        <v>184</v>
      </c>
      <c r="R1250" s="1" t="n">
        <v>0</v>
      </c>
      <c r="S1250" s="1"/>
      <c r="T1250" s="1" t="n">
        <v>0</v>
      </c>
      <c r="U1250" s="1" t="n">
        <v>0</v>
      </c>
      <c r="V1250" s="1" t="n">
        <v>0</v>
      </c>
      <c r="W1250" s="1"/>
      <c r="Y1250" s="1" t="n">
        <v>3</v>
      </c>
      <c r="Z1250" s="0" t="s">
        <v>175</v>
      </c>
      <c r="AA1250" s="0" t="s">
        <v>187</v>
      </c>
      <c r="AC1250" s="0" t="s">
        <v>177</v>
      </c>
      <c r="AD1250" s="0" t="s">
        <v>212</v>
      </c>
      <c r="AE1250" s="0" t="s">
        <v>2857</v>
      </c>
      <c r="AH1250" s="0" t="s">
        <v>180</v>
      </c>
      <c r="AJ1250" s="0" t="s">
        <v>437</v>
      </c>
      <c r="AK1250" s="0" t="s">
        <v>94</v>
      </c>
      <c r="AL1250" s="0" t="s">
        <v>95</v>
      </c>
      <c r="AM1250" s="0" t="s">
        <v>96</v>
      </c>
      <c r="AX1250" s="0" t="s">
        <v>107</v>
      </c>
    </row>
    <row r="1251" ht="720.75">
      <c r="B1251" s="0" t="s">
        <v>3339</v>
      </c>
      <c r="C1251" s="1" t="n">
        <v>352589</v>
      </c>
      <c r="E1251" s="14" t="s">
        <v>1811</v>
      </c>
      <c r="F1251" s="14" t="s">
        <v>169</v>
      </c>
      <c r="G1251" s="25" t="str">
        <f>HYPERLINK("http://www.ok.ru/profile/571934611137/statuses/155213076620225")</f>
      </c>
      <c r="H1251" s="14" t="s">
        <v>170</v>
      </c>
      <c r="I1251" s="14" t="s">
        <v>194</v>
      </c>
      <c r="J1251" s="14" t="s">
        <v>3340</v>
      </c>
      <c r="K1251" s="26" t="str">
        <f>HYPERLINK("http://www.ok.ru/profile/571934611137")</f>
      </c>
      <c r="L1251" s="14" t="s">
        <v>173</v>
      </c>
      <c r="O1251" s="1" t="s">
        <v>186</v>
      </c>
      <c r="P1251" s="1"/>
      <c r="Q1251" s="1" t="n">
        <v>138</v>
      </c>
      <c r="R1251" s="1" t="n">
        <v>0</v>
      </c>
      <c r="S1251" s="1"/>
      <c r="T1251" s="1" t="n">
        <v>1</v>
      </c>
      <c r="U1251" s="1" t="n">
        <v>1</v>
      </c>
      <c r="V1251" s="1" t="n">
        <v>2</v>
      </c>
      <c r="W1251" s="1" t="n">
        <v>44</v>
      </c>
      <c r="Y1251" s="1" t="n">
        <v>13</v>
      </c>
      <c r="Z1251" s="0" t="s">
        <v>175</v>
      </c>
      <c r="AA1251" s="0" t="s">
        <v>176</v>
      </c>
      <c r="AC1251" s="0" t="s">
        <v>177</v>
      </c>
      <c r="AD1251" s="0" t="s">
        <v>410</v>
      </c>
      <c r="AE1251" s="0" t="s">
        <v>3341</v>
      </c>
      <c r="AH1251" s="0" t="s">
        <v>180</v>
      </c>
      <c r="AJ1251" s="0" t="s">
        <v>437</v>
      </c>
      <c r="AK1251" s="0" t="s">
        <v>94</v>
      </c>
      <c r="AL1251" s="0" t="s">
        <v>95</v>
      </c>
      <c r="AR1251" s="0" t="s">
        <v>101</v>
      </c>
      <c r="BA1251" s="0" t="s">
        <v>110</v>
      </c>
      <c r="BF1251" s="0" t="s">
        <v>115</v>
      </c>
    </row>
    <row r="1252">
      <c r="B1252" s="0" t="s">
        <v>3342</v>
      </c>
      <c r="C1252" s="1" t="n">
        <v>352111</v>
      </c>
      <c r="E1252" s="14" t="s">
        <v>3343</v>
      </c>
      <c r="F1252" s="14" t="s">
        <v>184</v>
      </c>
      <c r="G1252" s="25" t="str">
        <f>HYPERLINK("http://vk.com/wall-111555133_2688910?reply=2688912")</f>
      </c>
      <c r="H1252" s="14" t="s">
        <v>170</v>
      </c>
      <c r="I1252" s="14" t="s">
        <v>231</v>
      </c>
      <c r="J1252" s="14" t="s">
        <v>3344</v>
      </c>
      <c r="K1252" s="26" t="str">
        <f>HYPERLINK("http://vk.com/id151585684")</f>
      </c>
      <c r="L1252" s="14" t="s">
        <v>173</v>
      </c>
      <c r="M1252" s="14" t="s">
        <v>845</v>
      </c>
      <c r="N1252" s="25" t="str">
        <f>HYPERLINK("http://vk.com/club111555133")</f>
      </c>
      <c r="O1252" s="1" t="s">
        <v>186</v>
      </c>
      <c r="P1252" s="1"/>
      <c r="Q1252" s="1" t="n">
        <v>79493</v>
      </c>
      <c r="R1252" s="1" t="n">
        <v>0</v>
      </c>
      <c r="S1252" s="1"/>
      <c r="T1252" s="1" t="n">
        <v>0</v>
      </c>
      <c r="U1252" s="1" t="n">
        <v>0</v>
      </c>
      <c r="V1252" s="1" t="n">
        <v>0</v>
      </c>
      <c r="W1252" s="1"/>
      <c r="Y1252" s="1" t="n">
        <v>1</v>
      </c>
      <c r="Z1252" s="0" t="s">
        <v>319</v>
      </c>
      <c r="AA1252" s="0" t="s">
        <v>187</v>
      </c>
      <c r="AC1252" s="0" t="s">
        <v>177</v>
      </c>
      <c r="AH1252" s="0" t="s">
        <v>180</v>
      </c>
      <c r="AI1252" s="0" t="s">
        <v>92</v>
      </c>
      <c r="AJ1252" s="0" t="s">
        <v>437</v>
      </c>
      <c r="AK1252" s="0" t="s">
        <v>94</v>
      </c>
      <c r="AL1252" s="0" t="s">
        <v>95</v>
      </c>
      <c r="AN1252" s="0" t="s">
        <v>97</v>
      </c>
      <c r="BE1252" s="0" t="s">
        <v>114</v>
      </c>
      <c r="BG1252" s="0" t="s">
        <v>116</v>
      </c>
      <c r="BX1252" s="0" t="s">
        <v>133</v>
      </c>
    </row>
    <row r="1253">
      <c r="B1253" s="0" t="s">
        <v>3342</v>
      </c>
      <c r="C1253" s="1" t="n">
        <v>352120</v>
      </c>
      <c r="E1253" s="14" t="s">
        <v>3345</v>
      </c>
      <c r="F1253" s="14" t="s">
        <v>184</v>
      </c>
      <c r="G1253" s="25" t="str">
        <f>HYPERLINK("http://vk.com/wall-203023242_19133?reply=19233&amp;thread=19143")</f>
      </c>
      <c r="H1253" s="14" t="s">
        <v>170</v>
      </c>
      <c r="I1253" s="14" t="s">
        <v>231</v>
      </c>
      <c r="J1253" s="14" t="s">
        <v>3346</v>
      </c>
      <c r="K1253" s="26" t="str">
        <f>HYPERLINK("http://vk.com/id390931197")</f>
      </c>
      <c r="L1253" s="14" t="s">
        <v>173</v>
      </c>
      <c r="M1253" s="14" t="s">
        <v>553</v>
      </c>
      <c r="N1253" s="25" t="str">
        <f>HYPERLINK("http://vk.com/club203023242")</f>
      </c>
      <c r="O1253" s="1" t="s">
        <v>186</v>
      </c>
      <c r="P1253" s="1"/>
      <c r="Q1253" s="1" t="n">
        <v>5390</v>
      </c>
      <c r="R1253" s="1" t="n">
        <v>0</v>
      </c>
      <c r="S1253" s="1"/>
      <c r="T1253" s="1" t="n">
        <v>0</v>
      </c>
      <c r="U1253" s="1" t="n">
        <v>0</v>
      </c>
      <c r="V1253" s="1" t="n">
        <v>0</v>
      </c>
      <c r="W1253" s="1"/>
      <c r="Y1253" s="1" t="n">
        <v>1</v>
      </c>
      <c r="Z1253" s="0" t="s">
        <v>319</v>
      </c>
      <c r="AA1253" s="0" t="s">
        <v>187</v>
      </c>
      <c r="AC1253" s="0" t="s">
        <v>177</v>
      </c>
      <c r="AH1253" s="0" t="s">
        <v>180</v>
      </c>
      <c r="AI1253" s="0" t="s">
        <v>92</v>
      </c>
      <c r="AJ1253" s="0" t="s">
        <v>437</v>
      </c>
      <c r="AK1253" s="0" t="s">
        <v>94</v>
      </c>
      <c r="AL1253" s="0" t="s">
        <v>95</v>
      </c>
      <c r="AN1253" s="0" t="s">
        <v>97</v>
      </c>
      <c r="AS1253" s="0" t="s">
        <v>102</v>
      </c>
      <c r="BF1253" s="0" t="s">
        <v>115</v>
      </c>
    </row>
    <row r="1254" ht="24.75">
      <c r="B1254" s="0" t="s">
        <v>3347</v>
      </c>
      <c r="C1254" s="1" t="n">
        <v>352228</v>
      </c>
      <c r="E1254" s="14" t="s">
        <v>296</v>
      </c>
      <c r="F1254" s="14" t="s">
        <v>184</v>
      </c>
      <c r="G1254" s="25" t="str">
        <f>HYPERLINK("http://vk.com/wall187453131_12374")</f>
      </c>
      <c r="H1254" s="14" t="s">
        <v>170</v>
      </c>
      <c r="I1254" s="14" t="s">
        <v>171</v>
      </c>
      <c r="J1254" s="14" t="s">
        <v>3348</v>
      </c>
      <c r="K1254" s="26" t="str">
        <f>HYPERLINK("http://vk.com/id187453131")</f>
      </c>
      <c r="L1254" s="14" t="s">
        <v>173</v>
      </c>
      <c r="O1254" s="1" t="s">
        <v>186</v>
      </c>
      <c r="P1254" s="1"/>
      <c r="Q1254" s="1" t="n">
        <v>140</v>
      </c>
      <c r="R1254" s="1" t="n">
        <v>0</v>
      </c>
      <c r="S1254" s="1"/>
      <c r="T1254" s="1" t="n">
        <v>1</v>
      </c>
      <c r="U1254" s="1" t="n">
        <v>1</v>
      </c>
      <c r="V1254" s="1" t="n">
        <v>2</v>
      </c>
      <c r="W1254" s="1" t="n">
        <v>14</v>
      </c>
      <c r="Y1254" s="1" t="n">
        <v>93</v>
      </c>
      <c r="Z1254" s="0" t="s">
        <v>175</v>
      </c>
      <c r="AA1254" s="0" t="s">
        <v>187</v>
      </c>
      <c r="AC1254" s="0" t="s">
        <v>177</v>
      </c>
      <c r="AD1254" s="0" t="s">
        <v>240</v>
      </c>
      <c r="AE1254" s="0" t="s">
        <v>240</v>
      </c>
      <c r="AH1254" s="0" t="s">
        <v>180</v>
      </c>
      <c r="AJ1254" s="0" t="s">
        <v>437</v>
      </c>
      <c r="AK1254" s="0" t="s">
        <v>94</v>
      </c>
      <c r="AM1254" s="0" t="s">
        <v>96</v>
      </c>
      <c r="AU1254" s="0" t="s">
        <v>104</v>
      </c>
      <c r="AV1254" s="0" t="s">
        <v>105</v>
      </c>
      <c r="AZ1254" s="0" t="s">
        <v>109</v>
      </c>
    </row>
    <row r="1255">
      <c r="B1255" s="0" t="s">
        <v>3349</v>
      </c>
      <c r="C1255" s="1" t="n">
        <v>352127</v>
      </c>
      <c r="E1255" s="14" t="s">
        <v>3350</v>
      </c>
      <c r="F1255" s="14" t="s">
        <v>184</v>
      </c>
      <c r="G1255" s="25" t="str">
        <f>HYPERLINK("http://vk.com/wall-158867732_89565?reply=89764")</f>
      </c>
      <c r="H1255" s="14" t="s">
        <v>170</v>
      </c>
      <c r="I1255" s="14" t="s">
        <v>231</v>
      </c>
      <c r="J1255" s="14" t="s">
        <v>2378</v>
      </c>
      <c r="K1255" s="26" t="str">
        <f>HYPERLINK("http://vk.com/id612148529")</f>
      </c>
      <c r="L1255" s="14" t="s">
        <v>173</v>
      </c>
      <c r="M1255" s="14" t="s">
        <v>3351</v>
      </c>
      <c r="N1255" s="25" t="str">
        <f>HYPERLINK("http://vk.com/club158867732")</f>
      </c>
      <c r="O1255" s="1" t="s">
        <v>186</v>
      </c>
      <c r="P1255" s="1" t="n">
        <v>44</v>
      </c>
      <c r="Q1255" s="1" t="n">
        <v>4334</v>
      </c>
      <c r="R1255" s="1" t="n">
        <v>0</v>
      </c>
      <c r="S1255" s="1"/>
      <c r="T1255" s="1" t="n">
        <v>0</v>
      </c>
      <c r="U1255" s="1" t="n">
        <v>0</v>
      </c>
      <c r="V1255" s="1" t="n">
        <v>0</v>
      </c>
      <c r="W1255" s="1"/>
      <c r="Y1255" s="1" t="n">
        <v>1</v>
      </c>
      <c r="Z1255" s="0" t="s">
        <v>319</v>
      </c>
      <c r="AA1255" s="0" t="s">
        <v>187</v>
      </c>
      <c r="AC1255" s="0" t="s">
        <v>177</v>
      </c>
      <c r="AD1255" s="0" t="s">
        <v>240</v>
      </c>
      <c r="AE1255" s="0" t="s">
        <v>240</v>
      </c>
      <c r="AH1255" s="0" t="s">
        <v>180</v>
      </c>
      <c r="AI1255" s="0" t="s">
        <v>92</v>
      </c>
      <c r="AJ1255" s="0" t="s">
        <v>437</v>
      </c>
      <c r="AK1255" s="0" t="s">
        <v>94</v>
      </c>
      <c r="AN1255" s="0" t="s">
        <v>97</v>
      </c>
      <c r="AZ1255" s="0" t="s">
        <v>109</v>
      </c>
      <c r="BB1255" s="0" t="s">
        <v>111</v>
      </c>
      <c r="BC1255" s="0" t="s">
        <v>112</v>
      </c>
    </row>
    <row r="1256">
      <c r="B1256" s="0" t="s">
        <v>3352</v>
      </c>
      <c r="C1256" s="1" t="n">
        <v>352110</v>
      </c>
      <c r="E1256" s="14" t="s">
        <v>3353</v>
      </c>
      <c r="F1256" s="14" t="s">
        <v>184</v>
      </c>
      <c r="G1256" s="25" t="str">
        <f>HYPERLINK("http://vk.com/wall-175014530_460805?reply=461853&amp;thread=460925")</f>
      </c>
      <c r="H1256" s="14" t="s">
        <v>170</v>
      </c>
      <c r="I1256" s="14" t="s">
        <v>231</v>
      </c>
      <c r="J1256" s="14" t="s">
        <v>3354</v>
      </c>
      <c r="K1256" s="26" t="str">
        <f>HYPERLINK("http://vk.com/id774448813")</f>
      </c>
      <c r="L1256" s="14" t="s">
        <v>173</v>
      </c>
      <c r="M1256" s="14" t="s">
        <v>3355</v>
      </c>
      <c r="N1256" s="25" t="str">
        <f>HYPERLINK("http://vk.com/club175014530")</f>
      </c>
      <c r="O1256" s="1" t="s">
        <v>174</v>
      </c>
      <c r="P1256" s="1" t="n">
        <v>53</v>
      </c>
      <c r="Q1256" s="1" t="n">
        <v>238446</v>
      </c>
      <c r="R1256" s="1" t="n">
        <v>0</v>
      </c>
      <c r="S1256" s="1"/>
      <c r="T1256" s="1" t="n">
        <v>0</v>
      </c>
      <c r="U1256" s="1" t="n">
        <v>0</v>
      </c>
      <c r="V1256" s="1" t="n">
        <v>0</v>
      </c>
      <c r="W1256" s="1"/>
      <c r="Y1256" s="1" t="n">
        <v>1</v>
      </c>
      <c r="Z1256" s="0" t="s">
        <v>175</v>
      </c>
      <c r="AA1256" s="0" t="s">
        <v>187</v>
      </c>
      <c r="AC1256" s="0" t="s">
        <v>177</v>
      </c>
      <c r="AD1256" s="0" t="s">
        <v>1522</v>
      </c>
      <c r="AE1256" s="0" t="s">
        <v>2297</v>
      </c>
      <c r="AH1256" s="0" t="s">
        <v>180</v>
      </c>
      <c r="AI1256" s="0" t="s">
        <v>92</v>
      </c>
      <c r="AJ1256" s="0" t="s">
        <v>437</v>
      </c>
      <c r="AK1256" s="0" t="s">
        <v>94</v>
      </c>
      <c r="AN1256" s="0" t="s">
        <v>97</v>
      </c>
      <c r="AR1256" s="0" t="s">
        <v>101</v>
      </c>
      <c r="AS1256" s="0" t="s">
        <v>102</v>
      </c>
      <c r="AT1256" s="0" t="s">
        <v>103</v>
      </c>
      <c r="AZ1256" s="0" t="s">
        <v>109</v>
      </c>
      <c r="BU1256" s="0" t="s">
        <v>130</v>
      </c>
    </row>
    <row r="1257">
      <c r="B1257" s="0" t="s">
        <v>3352</v>
      </c>
      <c r="C1257" s="1" t="n">
        <v>352122</v>
      </c>
      <c r="E1257" s="14" t="s">
        <v>3356</v>
      </c>
      <c r="F1257" s="14" t="s">
        <v>184</v>
      </c>
      <c r="G1257" s="25" t="str">
        <f>HYPERLINK("http://vk.com/wall-197339283_111710?reply=111774")</f>
      </c>
      <c r="H1257" s="14" t="s">
        <v>170</v>
      </c>
      <c r="I1257" s="14" t="s">
        <v>231</v>
      </c>
      <c r="J1257" s="14" t="s">
        <v>3357</v>
      </c>
      <c r="K1257" s="26" t="str">
        <f>HYPERLINK("http://vk.com/id72535541")</f>
      </c>
      <c r="L1257" s="14" t="s">
        <v>173</v>
      </c>
      <c r="M1257" s="14" t="s">
        <v>3358</v>
      </c>
      <c r="N1257" s="25" t="str">
        <f>HYPERLINK("http://vk.com/club197339283")</f>
      </c>
      <c r="O1257" s="1" t="s">
        <v>186</v>
      </c>
      <c r="P1257" s="1"/>
      <c r="Q1257" s="1" t="n">
        <v>3819</v>
      </c>
      <c r="R1257" s="1" t="n">
        <v>0</v>
      </c>
      <c r="S1257" s="1"/>
      <c r="T1257" s="1" t="n">
        <v>0</v>
      </c>
      <c r="U1257" s="1" t="n">
        <v>0</v>
      </c>
      <c r="V1257" s="1" t="n">
        <v>0</v>
      </c>
      <c r="W1257" s="1"/>
      <c r="Y1257" s="1" t="n">
        <v>1</v>
      </c>
      <c r="Z1257" s="0" t="s">
        <v>319</v>
      </c>
      <c r="AA1257" s="0" t="s">
        <v>187</v>
      </c>
      <c r="AC1257" s="0" t="s">
        <v>177</v>
      </c>
      <c r="AD1257" s="0" t="s">
        <v>293</v>
      </c>
      <c r="AE1257" s="0" t="s">
        <v>294</v>
      </c>
      <c r="AH1257" s="0" t="s">
        <v>180</v>
      </c>
      <c r="AI1257" s="0" t="s">
        <v>92</v>
      </c>
      <c r="AJ1257" s="0" t="s">
        <v>437</v>
      </c>
      <c r="AK1257" s="0" t="s">
        <v>94</v>
      </c>
      <c r="AN1257" s="0" t="s">
        <v>97</v>
      </c>
      <c r="AX1257" s="0" t="s">
        <v>107</v>
      </c>
      <c r="AZ1257" s="0" t="s">
        <v>109</v>
      </c>
      <c r="BE1257" s="0" t="s">
        <v>114</v>
      </c>
    </row>
    <row r="1258">
      <c r="B1258" s="0" t="s">
        <v>3352</v>
      </c>
      <c r="C1258" s="1" t="n">
        <v>352114</v>
      </c>
      <c r="E1258" s="14" t="s">
        <v>3359</v>
      </c>
      <c r="F1258" s="14" t="s">
        <v>184</v>
      </c>
      <c r="G1258" s="25" t="str">
        <f>HYPERLINK("http://vk.com/wall-135482876_645111?reply=645714&amp;thread=645168")</f>
      </c>
      <c r="H1258" s="14" t="s">
        <v>170</v>
      </c>
      <c r="I1258" s="14" t="s">
        <v>231</v>
      </c>
      <c r="J1258" s="14" t="s">
        <v>2378</v>
      </c>
      <c r="K1258" s="26" t="str">
        <f>HYPERLINK("http://vk.com/id612148529")</f>
      </c>
      <c r="L1258" s="14" t="s">
        <v>173</v>
      </c>
      <c r="M1258" s="14" t="s">
        <v>3130</v>
      </c>
      <c r="N1258" s="25" t="str">
        <f>HYPERLINK("http://vk.com/club135482876")</f>
      </c>
      <c r="O1258" s="1" t="s">
        <v>186</v>
      </c>
      <c r="P1258" s="1" t="n">
        <v>44</v>
      </c>
      <c r="Q1258" s="1" t="n">
        <v>11942</v>
      </c>
      <c r="R1258" s="1" t="n">
        <v>0</v>
      </c>
      <c r="S1258" s="1"/>
      <c r="T1258" s="1" t="n">
        <v>0</v>
      </c>
      <c r="U1258" s="1" t="n">
        <v>0</v>
      </c>
      <c r="V1258" s="1" t="n">
        <v>0</v>
      </c>
      <c r="W1258" s="1"/>
      <c r="Y1258" s="1" t="n">
        <v>1</v>
      </c>
      <c r="Z1258" s="0" t="s">
        <v>463</v>
      </c>
      <c r="AA1258" s="0" t="s">
        <v>292</v>
      </c>
      <c r="AC1258" s="0" t="s">
        <v>177</v>
      </c>
      <c r="AD1258" s="0" t="s">
        <v>240</v>
      </c>
      <c r="AE1258" s="0" t="s">
        <v>240</v>
      </c>
      <c r="AH1258" s="0" t="s">
        <v>180</v>
      </c>
      <c r="AI1258" s="0" t="s">
        <v>92</v>
      </c>
      <c r="AJ1258" s="0" t="s">
        <v>437</v>
      </c>
      <c r="AO1258" s="0" t="s">
        <v>98</v>
      </c>
      <c r="AY1258" s="0" t="s">
        <v>108</v>
      </c>
      <c r="AZ1258" s="0" t="s">
        <v>109</v>
      </c>
      <c r="CE1258" s="0" t="s">
        <v>140</v>
      </c>
    </row>
    <row r="1259" ht="24.75">
      <c r="B1259" s="0" t="s">
        <v>3352</v>
      </c>
      <c r="C1259" s="1" t="n">
        <v>352221</v>
      </c>
      <c r="E1259" s="14" t="s">
        <v>296</v>
      </c>
      <c r="F1259" s="14" t="s">
        <v>184</v>
      </c>
      <c r="G1259" s="25" t="str">
        <f>HYPERLINK("http://vk.com/wall774794574_294")</f>
      </c>
      <c r="H1259" s="14" t="s">
        <v>170</v>
      </c>
      <c r="I1259" s="14" t="s">
        <v>171</v>
      </c>
      <c r="J1259" s="14" t="s">
        <v>3360</v>
      </c>
      <c r="K1259" s="26" t="str">
        <f>HYPERLINK("http://vk.com/id774794574")</f>
      </c>
      <c r="L1259" s="14" t="s">
        <v>173</v>
      </c>
      <c r="O1259" s="1" t="s">
        <v>186</v>
      </c>
      <c r="P1259" s="1" t="n">
        <v>68</v>
      </c>
      <c r="Q1259" s="1" t="n">
        <v>130</v>
      </c>
      <c r="R1259" s="1" t="n">
        <v>0</v>
      </c>
      <c r="S1259" s="1"/>
      <c r="T1259" s="1" t="n">
        <v>0</v>
      </c>
      <c r="U1259" s="1" t="n">
        <v>0</v>
      </c>
      <c r="V1259" s="1" t="n">
        <v>0</v>
      </c>
      <c r="W1259" s="1" t="n">
        <v>4</v>
      </c>
      <c r="Y1259" s="1" t="n">
        <v>93</v>
      </c>
      <c r="Z1259" s="0" t="s">
        <v>175</v>
      </c>
      <c r="AA1259" s="0" t="s">
        <v>187</v>
      </c>
      <c r="AH1259" s="0" t="s">
        <v>180</v>
      </c>
      <c r="AJ1259" s="0" t="s">
        <v>437</v>
      </c>
      <c r="AK1259" s="0" t="s">
        <v>94</v>
      </c>
      <c r="AM1259" s="0" t="s">
        <v>96</v>
      </c>
      <c r="AU1259" s="0" t="s">
        <v>104</v>
      </c>
      <c r="AV1259" s="0" t="s">
        <v>105</v>
      </c>
      <c r="AZ1259" s="0" t="s">
        <v>109</v>
      </c>
    </row>
    <row r="1260" ht="24.75">
      <c r="B1260" s="0" t="s">
        <v>3361</v>
      </c>
      <c r="C1260" s="1" t="n">
        <v>352352</v>
      </c>
      <c r="E1260" s="14" t="s">
        <v>1356</v>
      </c>
      <c r="F1260" s="14" t="s">
        <v>169</v>
      </c>
      <c r="G1260" s="25" t="str">
        <f>HYPERLINK("http://www.ok.ru/profile/568679431047/statuses/155508430112903")</f>
      </c>
      <c r="H1260" s="14" t="s">
        <v>170</v>
      </c>
      <c r="I1260" s="14" t="s">
        <v>171</v>
      </c>
      <c r="J1260" s="14" t="s">
        <v>3362</v>
      </c>
      <c r="K1260" s="26" t="str">
        <f>HYPERLINK("http://www.ok.ru/profile/568679431047")</f>
      </c>
      <c r="L1260" s="14" t="s">
        <v>173</v>
      </c>
      <c r="O1260" s="1" t="s">
        <v>186</v>
      </c>
      <c r="P1260" s="1" t="n">
        <v>65</v>
      </c>
      <c r="Q1260" s="1" t="n">
        <v>135</v>
      </c>
      <c r="R1260" s="1" t="n">
        <v>0</v>
      </c>
      <c r="S1260" s="1"/>
      <c r="T1260" s="1" t="n">
        <v>0</v>
      </c>
      <c r="U1260" s="1" t="n">
        <v>0</v>
      </c>
      <c r="V1260" s="1" t="n">
        <v>0</v>
      </c>
      <c r="W1260" s="1"/>
      <c r="Y1260" s="1" t="n">
        <v>93</v>
      </c>
      <c r="Z1260" s="0" t="s">
        <v>175</v>
      </c>
      <c r="AA1260" s="0" t="s">
        <v>187</v>
      </c>
      <c r="AC1260" s="0" t="s">
        <v>177</v>
      </c>
      <c r="AD1260" s="0" t="s">
        <v>1385</v>
      </c>
      <c r="AE1260" s="0" t="s">
        <v>1386</v>
      </c>
      <c r="AH1260" s="0" t="s">
        <v>180</v>
      </c>
      <c r="AJ1260" s="0" t="s">
        <v>437</v>
      </c>
      <c r="AK1260" s="0" t="s">
        <v>94</v>
      </c>
      <c r="AL1260" s="0" t="s">
        <v>95</v>
      </c>
      <c r="AM1260" s="0" t="s">
        <v>96</v>
      </c>
      <c r="AU1260" s="0" t="s">
        <v>104</v>
      </c>
      <c r="AV1260" s="0" t="s">
        <v>105</v>
      </c>
    </row>
    <row r="1261">
      <c r="B1261" s="0" t="s">
        <v>3363</v>
      </c>
      <c r="C1261" s="1" t="n">
        <v>353335</v>
      </c>
      <c r="E1261" s="14" t="s">
        <v>1957</v>
      </c>
      <c r="F1261" s="14" t="s">
        <v>169</v>
      </c>
      <c r="G1261" s="25" t="str">
        <f>HYPERLINK("http://www.ok.ru/profile/541043399246/statuses/155884238622798")</f>
      </c>
      <c r="H1261" s="14" t="s">
        <v>170</v>
      </c>
      <c r="I1261" s="14" t="s">
        <v>194</v>
      </c>
      <c r="J1261" s="14" t="s">
        <v>3364</v>
      </c>
      <c r="K1261" s="26" t="str">
        <f>HYPERLINK("http://www.ok.ru/profile/541043399246")</f>
      </c>
      <c r="L1261" s="14" t="s">
        <v>173</v>
      </c>
      <c r="O1261" s="1" t="s">
        <v>186</v>
      </c>
      <c r="P1261" s="1"/>
      <c r="Q1261" s="1" t="n">
        <v>420</v>
      </c>
      <c r="R1261" s="1" t="n">
        <v>0</v>
      </c>
      <c r="S1261" s="1"/>
      <c r="T1261" s="1" t="n">
        <v>0</v>
      </c>
      <c r="U1261" s="1" t="n">
        <v>1</v>
      </c>
      <c r="V1261" s="1" t="n">
        <v>1</v>
      </c>
      <c r="W1261" s="1"/>
      <c r="Y1261" s="1" t="n">
        <v>3</v>
      </c>
      <c r="Z1261" s="0" t="s">
        <v>175</v>
      </c>
      <c r="AA1261" s="0" t="s">
        <v>187</v>
      </c>
      <c r="AC1261" s="0" t="s">
        <v>177</v>
      </c>
      <c r="AD1261" s="0" t="s">
        <v>952</v>
      </c>
      <c r="AE1261" s="0" t="s">
        <v>3365</v>
      </c>
      <c r="AH1261" s="0" t="s">
        <v>180</v>
      </c>
      <c r="AJ1261" s="0" t="s">
        <v>437</v>
      </c>
      <c r="AK1261" s="0" t="s">
        <v>94</v>
      </c>
      <c r="AL1261" s="0" t="s">
        <v>95</v>
      </c>
      <c r="AM1261" s="0" t="s">
        <v>96</v>
      </c>
      <c r="AX1261" s="0" t="s">
        <v>107</v>
      </c>
      <c r="BR1261" s="0" t="s">
        <v>127</v>
      </c>
    </row>
    <row r="1262">
      <c r="B1262" s="0" t="s">
        <v>3366</v>
      </c>
      <c r="C1262" s="1" t="n">
        <v>352108</v>
      </c>
      <c r="E1262" s="14" t="s">
        <v>3367</v>
      </c>
      <c r="F1262" s="14" t="s">
        <v>184</v>
      </c>
      <c r="G1262" s="25" t="str">
        <f>HYPERLINK("http://vk.com/wall-143027530_228896?reply=229306&amp;thread=229224")</f>
      </c>
      <c r="H1262" s="14" t="s">
        <v>170</v>
      </c>
      <c r="I1262" s="14" t="s">
        <v>231</v>
      </c>
      <c r="J1262" s="14" t="s">
        <v>3368</v>
      </c>
      <c r="K1262" s="26" t="str">
        <f>HYPERLINK("http://vk.com/id391277875")</f>
      </c>
      <c r="L1262" s="14" t="s">
        <v>173</v>
      </c>
      <c r="M1262" s="14" t="s">
        <v>489</v>
      </c>
      <c r="N1262" s="25" t="str">
        <f>HYPERLINK("http://vk.com/club143027530")</f>
      </c>
      <c r="O1262" s="1" t="s">
        <v>186</v>
      </c>
      <c r="P1262" s="1"/>
      <c r="Q1262" s="1" t="n">
        <v>24856</v>
      </c>
      <c r="R1262" s="1" t="n">
        <v>0</v>
      </c>
      <c r="S1262" s="1"/>
      <c r="T1262" s="1" t="n">
        <v>0</v>
      </c>
      <c r="U1262" s="1" t="n">
        <v>0</v>
      </c>
      <c r="V1262" s="1" t="n">
        <v>0</v>
      </c>
      <c r="W1262" s="1"/>
      <c r="Y1262" s="1" t="n">
        <v>1</v>
      </c>
      <c r="Z1262" s="0" t="s">
        <v>319</v>
      </c>
      <c r="AA1262" s="0" t="s">
        <v>187</v>
      </c>
      <c r="AC1262" s="0" t="s">
        <v>177</v>
      </c>
      <c r="AH1262" s="0" t="s">
        <v>180</v>
      </c>
      <c r="AI1262" s="0" t="s">
        <v>92</v>
      </c>
      <c r="AJ1262" s="0" t="s">
        <v>437</v>
      </c>
      <c r="AK1262" s="0" t="s">
        <v>94</v>
      </c>
      <c r="AL1262" s="0" t="s">
        <v>95</v>
      </c>
      <c r="AN1262" s="0" t="s">
        <v>97</v>
      </c>
      <c r="AS1262" s="0" t="s">
        <v>102</v>
      </c>
      <c r="BF1262" s="0" t="s">
        <v>115</v>
      </c>
      <c r="BG1262" s="0" t="s">
        <v>116</v>
      </c>
    </row>
    <row r="1263" ht="36.75">
      <c r="B1263" s="0" t="s">
        <v>3366</v>
      </c>
      <c r="C1263" s="1" t="n">
        <v>352212</v>
      </c>
      <c r="E1263" s="14" t="s">
        <v>3369</v>
      </c>
      <c r="F1263" s="14" t="s">
        <v>184</v>
      </c>
      <c r="G1263" s="25" t="str">
        <f>HYPERLINK("http://vk.com/wall-193163431_499")</f>
      </c>
      <c r="H1263" s="14" t="s">
        <v>170</v>
      </c>
      <c r="I1263" s="14" t="s">
        <v>171</v>
      </c>
      <c r="J1263" s="14" t="s">
        <v>3370</v>
      </c>
      <c r="K1263" s="26" t="str">
        <f>HYPERLINK("http://vk.com/club193163431")</f>
      </c>
      <c r="L1263" s="14" t="s">
        <v>274</v>
      </c>
      <c r="O1263" s="1"/>
      <c r="P1263" s="1"/>
      <c r="Q1263" s="1" t="n">
        <v>50</v>
      </c>
      <c r="R1263" s="1" t="n">
        <v>0</v>
      </c>
      <c r="S1263" s="1"/>
      <c r="T1263" s="1" t="n">
        <v>0</v>
      </c>
      <c r="U1263" s="1" t="n">
        <v>1</v>
      </c>
      <c r="V1263" s="1" t="n">
        <v>1</v>
      </c>
      <c r="W1263" s="1" t="n">
        <v>10</v>
      </c>
      <c r="Y1263" s="1" t="n">
        <v>1</v>
      </c>
      <c r="Z1263" s="0" t="s">
        <v>175</v>
      </c>
      <c r="AA1263" s="0" t="s">
        <v>187</v>
      </c>
      <c r="AC1263" s="0" t="s">
        <v>177</v>
      </c>
      <c r="AD1263" s="0" t="s">
        <v>470</v>
      </c>
      <c r="AE1263" s="0" t="s">
        <v>3371</v>
      </c>
      <c r="AH1263" s="0" t="s">
        <v>180</v>
      </c>
      <c r="AJ1263" s="0" t="s">
        <v>437</v>
      </c>
      <c r="AK1263" s="0" t="s">
        <v>94</v>
      </c>
      <c r="AN1263" s="0" t="s">
        <v>97</v>
      </c>
      <c r="AS1263" s="0" t="s">
        <v>102</v>
      </c>
      <c r="AT1263" s="0" t="s">
        <v>103</v>
      </c>
      <c r="AZ1263" s="0" t="s">
        <v>109</v>
      </c>
      <c r="BC1263" s="0" t="s">
        <v>112</v>
      </c>
      <c r="BE1263" s="0" t="s">
        <v>114</v>
      </c>
      <c r="BO1263" s="0" t="s">
        <v>124</v>
      </c>
      <c r="CD1263" s="0" t="s">
        <v>139</v>
      </c>
    </row>
    <row r="1264" ht="36.75">
      <c r="B1264" s="0" t="s">
        <v>3366</v>
      </c>
      <c r="C1264" s="1" t="n">
        <v>352216</v>
      </c>
      <c r="E1264" s="14" t="s">
        <v>1640</v>
      </c>
      <c r="F1264" s="14" t="s">
        <v>184</v>
      </c>
      <c r="G1264" s="25" t="str">
        <f>HYPERLINK("http://vk.com/wall342079914_331")</f>
      </c>
      <c r="H1264" s="14" t="s">
        <v>170</v>
      </c>
      <c r="I1264" s="14" t="s">
        <v>171</v>
      </c>
      <c r="J1264" s="14" t="s">
        <v>3372</v>
      </c>
      <c r="K1264" s="26" t="str">
        <f>HYPERLINK("http://vk.com/id342079914")</f>
      </c>
      <c r="L1264" s="14" t="s">
        <v>173</v>
      </c>
      <c r="O1264" s="1" t="s">
        <v>186</v>
      </c>
      <c r="P1264" s="1"/>
      <c r="Q1264" s="1" t="n">
        <v>35</v>
      </c>
      <c r="R1264" s="1" t="n">
        <v>0</v>
      </c>
      <c r="S1264" s="1"/>
      <c r="T1264" s="1" t="n">
        <v>0</v>
      </c>
      <c r="U1264" s="1" t="n">
        <v>0</v>
      </c>
      <c r="V1264" s="1" t="n">
        <v>0</v>
      </c>
      <c r="W1264" s="1"/>
      <c r="Y1264" s="1" t="n">
        <v>6</v>
      </c>
      <c r="Z1264" s="0" t="s">
        <v>175</v>
      </c>
      <c r="AA1264" s="0" t="s">
        <v>176</v>
      </c>
      <c r="AH1264" s="0" t="s">
        <v>180</v>
      </c>
      <c r="AJ1264" s="0" t="s">
        <v>437</v>
      </c>
      <c r="AK1264" s="0" t="s">
        <v>94</v>
      </c>
      <c r="AM1264" s="0" t="s">
        <v>96</v>
      </c>
      <c r="AO1264" s="0" t="s">
        <v>98</v>
      </c>
      <c r="AQ1264" s="0" t="s">
        <v>100</v>
      </c>
      <c r="AZ1264" s="0" t="s">
        <v>109</v>
      </c>
    </row>
    <row r="1265" ht="1104.75">
      <c r="B1265" s="0" t="s">
        <v>3366</v>
      </c>
      <c r="C1265" s="1" t="n">
        <v>352229</v>
      </c>
      <c r="E1265" s="14" t="s">
        <v>1618</v>
      </c>
      <c r="F1265" s="14" t="s">
        <v>184</v>
      </c>
      <c r="G1265" s="25" t="str">
        <f>HYPERLINK("http://vk.com/wall756884510_53")</f>
      </c>
      <c r="H1265" s="14" t="s">
        <v>170</v>
      </c>
      <c r="I1265" s="14" t="s">
        <v>171</v>
      </c>
      <c r="J1265" s="14" t="s">
        <v>3373</v>
      </c>
      <c r="K1265" s="26" t="str">
        <f>HYPERLINK("http://vk.com/id756884510")</f>
      </c>
      <c r="L1265" s="14" t="s">
        <v>173</v>
      </c>
      <c r="O1265" s="1" t="s">
        <v>186</v>
      </c>
      <c r="P1265" s="1" t="n">
        <v>73</v>
      </c>
      <c r="Q1265" s="1" t="n">
        <v>12</v>
      </c>
      <c r="R1265" s="1" t="n">
        <v>0</v>
      </c>
      <c r="S1265" s="1"/>
      <c r="T1265" s="1" t="n">
        <v>0</v>
      </c>
      <c r="U1265" s="1" t="n">
        <v>0</v>
      </c>
      <c r="V1265" s="1" t="n">
        <v>0</v>
      </c>
      <c r="W1265" s="1"/>
      <c r="Y1265" s="1" t="n">
        <v>6</v>
      </c>
      <c r="Z1265" s="0" t="s">
        <v>175</v>
      </c>
      <c r="AA1265" s="0" t="s">
        <v>187</v>
      </c>
      <c r="AH1265" s="0" t="s">
        <v>180</v>
      </c>
      <c r="AJ1265" s="0" t="s">
        <v>437</v>
      </c>
      <c r="AK1265" s="0" t="s">
        <v>94</v>
      </c>
      <c r="AM1265" s="0" t="s">
        <v>96</v>
      </c>
      <c r="AX1265" s="0" t="s">
        <v>107</v>
      </c>
      <c r="AZ1265" s="0" t="s">
        <v>109</v>
      </c>
    </row>
    <row r="1266" ht="24.75">
      <c r="B1266" s="0" t="s">
        <v>3374</v>
      </c>
      <c r="C1266" s="1" t="n">
        <v>353109</v>
      </c>
      <c r="E1266" s="14" t="s">
        <v>554</v>
      </c>
      <c r="F1266" s="14" t="s">
        <v>169</v>
      </c>
      <c r="G1266" s="25" t="str">
        <f>HYPERLINK("http://www.ok.ru/profile/515580049551/statuses/156127184872847")</f>
      </c>
      <c r="H1266" s="14" t="s">
        <v>170</v>
      </c>
      <c r="I1266" s="14" t="s">
        <v>171</v>
      </c>
      <c r="J1266" s="14" t="s">
        <v>3375</v>
      </c>
      <c r="K1266" s="26" t="str">
        <f>HYPERLINK("http://www.ok.ru/profile/515580049551")</f>
      </c>
      <c r="L1266" s="14" t="s">
        <v>173</v>
      </c>
      <c r="O1266" s="1" t="s">
        <v>186</v>
      </c>
      <c r="P1266" s="1" t="n">
        <v>71</v>
      </c>
      <c r="Q1266" s="1" t="n">
        <v>175</v>
      </c>
      <c r="R1266" s="1" t="n">
        <v>0</v>
      </c>
      <c r="S1266" s="1"/>
      <c r="T1266" s="1" t="n">
        <v>1</v>
      </c>
      <c r="U1266" s="1" t="n">
        <v>0</v>
      </c>
      <c r="V1266" s="1" t="n">
        <v>1</v>
      </c>
      <c r="W1266" s="1"/>
      <c r="Y1266" s="1" t="n">
        <v>59</v>
      </c>
      <c r="Z1266" s="0" t="s">
        <v>175</v>
      </c>
      <c r="AA1266" s="0" t="s">
        <v>176</v>
      </c>
      <c r="AC1266" s="0" t="s">
        <v>177</v>
      </c>
      <c r="AD1266" s="0" t="s">
        <v>454</v>
      </c>
      <c r="AE1266" s="0" t="s">
        <v>3376</v>
      </c>
      <c r="AH1266" s="0" t="s">
        <v>180</v>
      </c>
      <c r="AJ1266" s="0" t="s">
        <v>437</v>
      </c>
      <c r="AK1266" s="0" t="s">
        <v>94</v>
      </c>
      <c r="AL1266" s="0" t="s">
        <v>95</v>
      </c>
      <c r="AM1266" s="0" t="s">
        <v>96</v>
      </c>
      <c r="AO1266" s="0" t="s">
        <v>98</v>
      </c>
      <c r="AQ1266" s="0" t="s">
        <v>100</v>
      </c>
    </row>
    <row r="1267" ht="24.75">
      <c r="B1267" s="0" t="s">
        <v>3374</v>
      </c>
      <c r="C1267" s="1" t="n">
        <v>352205</v>
      </c>
      <c r="E1267" s="14" t="s">
        <v>183</v>
      </c>
      <c r="F1267" s="14" t="s">
        <v>184</v>
      </c>
      <c r="G1267" s="25" t="str">
        <f>HYPERLINK("http://vk.com/wall574072831_6905")</f>
      </c>
      <c r="H1267" s="14" t="s">
        <v>170</v>
      </c>
      <c r="I1267" s="14" t="s">
        <v>171</v>
      </c>
      <c r="J1267" s="14" t="s">
        <v>3377</v>
      </c>
      <c r="K1267" s="26" t="str">
        <f>HYPERLINK("http://vk.com/id574072831")</f>
      </c>
      <c r="L1267" s="14" t="s">
        <v>173</v>
      </c>
      <c r="O1267" s="1" t="s">
        <v>186</v>
      </c>
      <c r="P1267" s="1" t="n">
        <v>78</v>
      </c>
      <c r="Q1267" s="1" t="n">
        <v>90</v>
      </c>
      <c r="R1267" s="1" t="n">
        <v>0</v>
      </c>
      <c r="S1267" s="1"/>
      <c r="T1267" s="1" t="n">
        <v>0</v>
      </c>
      <c r="U1267" s="1" t="n">
        <v>0</v>
      </c>
      <c r="V1267" s="1" t="n">
        <v>0</v>
      </c>
      <c r="W1267" s="1"/>
      <c r="Y1267" s="1" t="n">
        <v>62</v>
      </c>
      <c r="Z1267" s="0" t="s">
        <v>175</v>
      </c>
      <c r="AA1267" s="0" t="s">
        <v>187</v>
      </c>
      <c r="AC1267" s="0" t="s">
        <v>177</v>
      </c>
      <c r="AD1267" s="0" t="s">
        <v>1548</v>
      </c>
      <c r="AE1267" s="0" t="s">
        <v>3378</v>
      </c>
      <c r="AH1267" s="0" t="s">
        <v>180</v>
      </c>
      <c r="AJ1267" s="0" t="s">
        <v>437</v>
      </c>
      <c r="AK1267" s="0" t="s">
        <v>94</v>
      </c>
      <c r="AR1267" s="0" t="s">
        <v>101</v>
      </c>
      <c r="AZ1267" s="0" t="s">
        <v>109</v>
      </c>
      <c r="BA1267" s="0" t="s">
        <v>110</v>
      </c>
    </row>
    <row r="1268" ht="888.75">
      <c r="B1268" s="0" t="s">
        <v>3379</v>
      </c>
      <c r="C1268" s="1" t="n">
        <v>352198</v>
      </c>
      <c r="E1268" s="14" t="s">
        <v>3380</v>
      </c>
      <c r="F1268" s="14" t="s">
        <v>184</v>
      </c>
      <c r="G1268" s="25" t="str">
        <f>HYPERLINK("http://vk.com/wall1077974_15060")</f>
      </c>
      <c r="H1268" s="14" t="s">
        <v>170</v>
      </c>
      <c r="I1268" s="14" t="s">
        <v>194</v>
      </c>
      <c r="J1268" s="14" t="s">
        <v>3381</v>
      </c>
      <c r="K1268" s="26" t="str">
        <f>HYPERLINK("http://vk.com/id1077974")</f>
      </c>
      <c r="L1268" s="14" t="s">
        <v>173</v>
      </c>
      <c r="O1268" s="1" t="s">
        <v>186</v>
      </c>
      <c r="P1268" s="1"/>
      <c r="Q1268" s="1" t="n">
        <v>3693</v>
      </c>
      <c r="R1268" s="1" t="n">
        <v>15</v>
      </c>
      <c r="S1268" s="1"/>
      <c r="T1268" s="1" t="n">
        <v>0</v>
      </c>
      <c r="U1268" s="1" t="n">
        <v>85</v>
      </c>
      <c r="V1268" s="1" t="n">
        <v>100</v>
      </c>
      <c r="W1268" s="1" t="n">
        <v>903</v>
      </c>
      <c r="Y1268" s="1" t="n">
        <v>1</v>
      </c>
      <c r="Z1268" s="0" t="s">
        <v>175</v>
      </c>
      <c r="AA1268" s="0" t="s">
        <v>187</v>
      </c>
      <c r="AC1268" s="0" t="s">
        <v>177</v>
      </c>
      <c r="AD1268" s="0" t="s">
        <v>716</v>
      </c>
      <c r="AE1268" s="0" t="s">
        <v>2827</v>
      </c>
      <c r="AH1268" s="0" t="s">
        <v>180</v>
      </c>
      <c r="AJ1268" s="0" t="s">
        <v>437</v>
      </c>
      <c r="AK1268" s="0" t="s">
        <v>94</v>
      </c>
      <c r="AZ1268" s="0" t="s">
        <v>109</v>
      </c>
      <c r="BA1268" s="0" t="s">
        <v>110</v>
      </c>
      <c r="BI1268" s="0" t="s">
        <v>118</v>
      </c>
    </row>
    <row r="1269">
      <c r="B1269" s="0" t="s">
        <v>3379</v>
      </c>
      <c r="C1269" s="1" t="n">
        <v>352104</v>
      </c>
      <c r="D1269" s="0" t="s">
        <v>3382</v>
      </c>
      <c r="E1269" s="14" t="s">
        <v>3383</v>
      </c>
      <c r="F1269" s="14" t="s">
        <v>922</v>
      </c>
      <c r="G1269" s="25" t="str">
        <f>HYPERLINK("https://omsk.bezformata.com/listnews/omskih-aptekah-podorozhali-zhiznenno/116212181/")</f>
      </c>
      <c r="H1269" s="14" t="s">
        <v>208</v>
      </c>
      <c r="I1269" s="14" t="s">
        <v>194</v>
      </c>
      <c r="J1269" s="14"/>
      <c r="L1269" s="14"/>
      <c r="O1269" s="1"/>
      <c r="P1269" s="1"/>
      <c r="Q1269" s="1"/>
      <c r="R1269" s="1" t="n">
        <v>0</v>
      </c>
      <c r="S1269" s="1" t="n">
        <v>196</v>
      </c>
      <c r="T1269" s="1" t="n">
        <v>0</v>
      </c>
      <c r="U1269" s="1" t="n">
        <v>0</v>
      </c>
      <c r="V1269" s="1" t="n">
        <v>0</v>
      </c>
      <c r="W1269" s="1"/>
      <c r="Y1269" s="1" t="n">
        <v>1</v>
      </c>
      <c r="Z1269" s="0" t="s">
        <v>175</v>
      </c>
      <c r="AA1269" s="0" t="s">
        <v>176</v>
      </c>
      <c r="AH1269" s="0" t="s">
        <v>180</v>
      </c>
      <c r="AJ1269" s="0" t="s">
        <v>437</v>
      </c>
      <c r="AK1269" s="0" t="s">
        <v>94</v>
      </c>
      <c r="AL1269" s="0" t="s">
        <v>95</v>
      </c>
      <c r="BD1269" s="0" t="s">
        <v>113</v>
      </c>
      <c r="BJ1269" s="0" t="s">
        <v>119</v>
      </c>
      <c r="BK1269" s="0" t="s">
        <v>120</v>
      </c>
    </row>
    <row r="1270">
      <c r="B1270" s="0" t="s">
        <v>3384</v>
      </c>
      <c r="C1270" s="1" t="n">
        <v>352101</v>
      </c>
      <c r="E1270" s="14" t="s">
        <v>3385</v>
      </c>
      <c r="F1270" s="14" t="s">
        <v>184</v>
      </c>
      <c r="G1270" s="25" t="str">
        <f>HYPERLINK("http://vk.com/wall-143027530_228896?reply=229305")</f>
      </c>
      <c r="H1270" s="14" t="s">
        <v>170</v>
      </c>
      <c r="I1270" s="14" t="s">
        <v>231</v>
      </c>
      <c r="J1270" s="14" t="s">
        <v>2378</v>
      </c>
      <c r="K1270" s="26" t="str">
        <f>HYPERLINK("http://vk.com/id612148529")</f>
      </c>
      <c r="L1270" s="14" t="s">
        <v>173</v>
      </c>
      <c r="M1270" s="14" t="s">
        <v>489</v>
      </c>
      <c r="N1270" s="25" t="str">
        <f>HYPERLINK("http://vk.com/club143027530")</f>
      </c>
      <c r="O1270" s="1" t="s">
        <v>186</v>
      </c>
      <c r="P1270" s="1" t="n">
        <v>44</v>
      </c>
      <c r="Q1270" s="1" t="n">
        <v>24856</v>
      </c>
      <c r="R1270" s="1" t="n">
        <v>0</v>
      </c>
      <c r="S1270" s="1"/>
      <c r="T1270" s="1" t="n">
        <v>0</v>
      </c>
      <c r="U1270" s="1" t="n">
        <v>0</v>
      </c>
      <c r="V1270" s="1" t="n">
        <v>0</v>
      </c>
      <c r="W1270" s="1"/>
      <c r="Y1270" s="1" t="n">
        <v>1</v>
      </c>
      <c r="Z1270" s="0" t="s">
        <v>175</v>
      </c>
      <c r="AA1270" s="0" t="s">
        <v>187</v>
      </c>
      <c r="AC1270" s="0" t="s">
        <v>177</v>
      </c>
      <c r="AD1270" s="0" t="s">
        <v>240</v>
      </c>
      <c r="AE1270" s="0" t="s">
        <v>240</v>
      </c>
      <c r="AH1270" s="0" t="s">
        <v>180</v>
      </c>
      <c r="AI1270" s="0" t="s">
        <v>92</v>
      </c>
      <c r="AJ1270" s="0" t="s">
        <v>437</v>
      </c>
      <c r="AK1270" s="0" t="s">
        <v>94</v>
      </c>
      <c r="AL1270" s="0" t="s">
        <v>95</v>
      </c>
      <c r="AN1270" s="0" t="s">
        <v>97</v>
      </c>
      <c r="AS1270" s="0" t="s">
        <v>102</v>
      </c>
      <c r="BC1270" s="0" t="s">
        <v>112</v>
      </c>
      <c r="BG1270" s="0" t="s">
        <v>116</v>
      </c>
      <c r="BM1270" s="0" t="s">
        <v>122</v>
      </c>
    </row>
    <row r="1271" ht="24.75">
      <c r="B1271" s="0" t="s">
        <v>3384</v>
      </c>
      <c r="C1271" s="1" t="n">
        <v>352322</v>
      </c>
      <c r="E1271" s="14" t="s">
        <v>1102</v>
      </c>
      <c r="F1271" s="14" t="s">
        <v>169</v>
      </c>
      <c r="G1271" s="25" t="str">
        <f>HYPERLINK("http://www.ok.ru/profile/535493990030/statuses/156072048085902")</f>
      </c>
      <c r="H1271" s="14" t="s">
        <v>170</v>
      </c>
      <c r="I1271" s="14" t="s">
        <v>171</v>
      </c>
      <c r="J1271" s="14" t="s">
        <v>3386</v>
      </c>
      <c r="K1271" s="26" t="str">
        <f>HYPERLINK("http://www.ok.ru/profile/535493990030")</f>
      </c>
      <c r="L1271" s="14" t="s">
        <v>173</v>
      </c>
      <c r="O1271" s="1" t="s">
        <v>174</v>
      </c>
      <c r="P1271" s="1" t="n">
        <v>62</v>
      </c>
      <c r="Q1271" s="1" t="n">
        <v>1078</v>
      </c>
      <c r="R1271" s="1" t="n">
        <v>0</v>
      </c>
      <c r="S1271" s="1"/>
      <c r="T1271" s="1" t="n">
        <v>1</v>
      </c>
      <c r="U1271" s="1" t="n">
        <v>2</v>
      </c>
      <c r="V1271" s="1" t="n">
        <v>3</v>
      </c>
      <c r="W1271" s="1"/>
      <c r="Y1271" s="1" t="n">
        <v>93</v>
      </c>
      <c r="Z1271" s="0" t="s">
        <v>175</v>
      </c>
      <c r="AA1271" s="0" t="s">
        <v>187</v>
      </c>
      <c r="AC1271" s="0" t="s">
        <v>177</v>
      </c>
      <c r="AD1271" s="0" t="s">
        <v>454</v>
      </c>
      <c r="AE1271" s="0" t="s">
        <v>1138</v>
      </c>
      <c r="AH1271" s="0" t="s">
        <v>180</v>
      </c>
      <c r="AJ1271" s="0" t="s">
        <v>437</v>
      </c>
      <c r="AK1271" s="0" t="s">
        <v>94</v>
      </c>
      <c r="AM1271" s="0" t="s">
        <v>96</v>
      </c>
      <c r="AU1271" s="0" t="s">
        <v>104</v>
      </c>
      <c r="AV1271" s="0" t="s">
        <v>105</v>
      </c>
      <c r="AZ1271" s="0" t="s">
        <v>109</v>
      </c>
    </row>
    <row r="1272">
      <c r="B1272" s="0" t="s">
        <v>3384</v>
      </c>
      <c r="C1272" s="1" t="n">
        <v>352103</v>
      </c>
      <c r="E1272" s="14" t="s">
        <v>3387</v>
      </c>
      <c r="F1272" s="14" t="s">
        <v>184</v>
      </c>
      <c r="G1272" s="25" t="str">
        <f>HYPERLINK("http://vk.com/wall-110697272_513644?reply=513666")</f>
      </c>
      <c r="H1272" s="14" t="s">
        <v>170</v>
      </c>
      <c r="I1272" s="14" t="s">
        <v>231</v>
      </c>
      <c r="J1272" s="14" t="s">
        <v>3210</v>
      </c>
      <c r="K1272" s="26" t="str">
        <f>HYPERLINK("http://vk.com/id795312301")</f>
      </c>
      <c r="L1272" s="14" t="s">
        <v>173</v>
      </c>
      <c r="M1272" s="14" t="s">
        <v>1225</v>
      </c>
      <c r="N1272" s="25" t="str">
        <f>HYPERLINK("http://vk.com/club110697272")</f>
      </c>
      <c r="O1272" s="1" t="s">
        <v>186</v>
      </c>
      <c r="P1272" s="1" t="n">
        <v>43</v>
      </c>
      <c r="Q1272" s="1" t="n">
        <v>31333</v>
      </c>
      <c r="R1272" s="1" t="n">
        <v>0</v>
      </c>
      <c r="S1272" s="1"/>
      <c r="T1272" s="1" t="n">
        <v>0</v>
      </c>
      <c r="U1272" s="1" t="n">
        <v>0</v>
      </c>
      <c r="V1272" s="1" t="n">
        <v>0</v>
      </c>
      <c r="W1272" s="1"/>
      <c r="Y1272" s="1" t="n">
        <v>1</v>
      </c>
      <c r="Z1272" s="0" t="s">
        <v>175</v>
      </c>
      <c r="AA1272" s="0" t="s">
        <v>187</v>
      </c>
      <c r="AC1272" s="0" t="s">
        <v>177</v>
      </c>
      <c r="AD1272" s="0" t="s">
        <v>332</v>
      </c>
      <c r="AE1272" s="0" t="s">
        <v>332</v>
      </c>
      <c r="AH1272" s="0" t="s">
        <v>180</v>
      </c>
      <c r="AJ1272" s="0" t="s">
        <v>437</v>
      </c>
      <c r="AK1272" s="0" t="s">
        <v>94</v>
      </c>
      <c r="AL1272" s="0" t="s">
        <v>95</v>
      </c>
      <c r="AN1272" s="0" t="s">
        <v>97</v>
      </c>
      <c r="AS1272" s="0" t="s">
        <v>102</v>
      </c>
      <c r="AW1272" s="0" t="s">
        <v>106</v>
      </c>
      <c r="BC1272" s="0" t="s">
        <v>112</v>
      </c>
      <c r="BL1272" s="0" t="s">
        <v>121</v>
      </c>
      <c r="BZ1272" s="0" t="s">
        <v>135</v>
      </c>
    </row>
    <row r="1273">
      <c r="B1273" s="0" t="s">
        <v>3384</v>
      </c>
      <c r="C1273" s="1" t="n">
        <v>352105</v>
      </c>
      <c r="E1273" s="14" t="s">
        <v>3388</v>
      </c>
      <c r="F1273" s="14" t="s">
        <v>184</v>
      </c>
      <c r="G1273" s="25" t="str">
        <f>HYPERLINK("http://vk.com/wall-110697191_622099?reply=622661&amp;thread=622103")</f>
      </c>
      <c r="H1273" s="14" t="s">
        <v>170</v>
      </c>
      <c r="I1273" s="14" t="s">
        <v>231</v>
      </c>
      <c r="J1273" s="14" t="s">
        <v>625</v>
      </c>
      <c r="K1273" s="26" t="str">
        <f>HYPERLINK("http://vk.com/id390532848")</f>
      </c>
      <c r="L1273" s="14" t="s">
        <v>173</v>
      </c>
      <c r="M1273" s="14" t="s">
        <v>626</v>
      </c>
      <c r="N1273" s="25" t="str">
        <f>HYPERLINK("http://vk.com/club110697191")</f>
      </c>
      <c r="O1273" s="1" t="s">
        <v>186</v>
      </c>
      <c r="P1273" s="1" t="n">
        <v>33</v>
      </c>
      <c r="Q1273" s="1" t="n">
        <v>33083</v>
      </c>
      <c r="R1273" s="1" t="n">
        <v>0</v>
      </c>
      <c r="S1273" s="1"/>
      <c r="T1273" s="1" t="n">
        <v>0</v>
      </c>
      <c r="U1273" s="1" t="n">
        <v>0</v>
      </c>
      <c r="V1273" s="1" t="n">
        <v>0</v>
      </c>
      <c r="W1273" s="1"/>
      <c r="Y1273" s="1" t="n">
        <v>1</v>
      </c>
      <c r="Z1273" s="0" t="s">
        <v>319</v>
      </c>
      <c r="AA1273" s="0" t="s">
        <v>187</v>
      </c>
      <c r="AC1273" s="0" t="s">
        <v>177</v>
      </c>
      <c r="AH1273" s="0" t="s">
        <v>180</v>
      </c>
      <c r="AI1273" s="0" t="s">
        <v>92</v>
      </c>
      <c r="AJ1273" s="0" t="s">
        <v>437</v>
      </c>
      <c r="AK1273" s="0" t="s">
        <v>94</v>
      </c>
      <c r="AL1273" s="0" t="s">
        <v>95</v>
      </c>
      <c r="AN1273" s="0" t="s">
        <v>97</v>
      </c>
      <c r="AS1273" s="0" t="s">
        <v>102</v>
      </c>
      <c r="AW1273" s="0" t="s">
        <v>106</v>
      </c>
      <c r="BB1273" s="0" t="s">
        <v>111</v>
      </c>
      <c r="BF1273" s="0" t="s">
        <v>115</v>
      </c>
    </row>
    <row r="1274" ht="24.75">
      <c r="B1274" s="0" t="s">
        <v>3389</v>
      </c>
      <c r="C1274" s="1" t="n">
        <v>352650</v>
      </c>
      <c r="E1274" s="14" t="s">
        <v>1102</v>
      </c>
      <c r="F1274" s="14" t="s">
        <v>169</v>
      </c>
      <c r="G1274" s="25" t="str">
        <f>HYPERLINK("http://www.ok.ru/profile/478312207928/statuses/155816120358200")</f>
      </c>
      <c r="H1274" s="14" t="s">
        <v>170</v>
      </c>
      <c r="I1274" s="14" t="s">
        <v>171</v>
      </c>
      <c r="J1274" s="14" t="s">
        <v>3390</v>
      </c>
      <c r="K1274" s="26" t="str">
        <f>HYPERLINK("http://www.ok.ru/profile/478312207928")</f>
      </c>
      <c r="L1274" s="14" t="s">
        <v>173</v>
      </c>
      <c r="O1274" s="1" t="s">
        <v>186</v>
      </c>
      <c r="P1274" s="1" t="n">
        <v>66</v>
      </c>
      <c r="Q1274" s="1" t="n">
        <v>118</v>
      </c>
      <c r="R1274" s="1" t="n">
        <v>0</v>
      </c>
      <c r="S1274" s="1"/>
      <c r="T1274" s="1" t="n">
        <v>0</v>
      </c>
      <c r="U1274" s="1" t="n">
        <v>0</v>
      </c>
      <c r="V1274" s="1" t="n">
        <v>0</v>
      </c>
      <c r="W1274" s="1"/>
      <c r="Y1274" s="1" t="n">
        <v>93</v>
      </c>
      <c r="Z1274" s="0" t="s">
        <v>175</v>
      </c>
      <c r="AA1274" s="0" t="s">
        <v>187</v>
      </c>
      <c r="AC1274" s="0" t="s">
        <v>177</v>
      </c>
      <c r="AD1274" s="0" t="s">
        <v>234</v>
      </c>
      <c r="AE1274" s="0" t="s">
        <v>3266</v>
      </c>
      <c r="AH1274" s="0" t="s">
        <v>180</v>
      </c>
      <c r="AJ1274" s="0" t="s">
        <v>437</v>
      </c>
      <c r="AK1274" s="0" t="s">
        <v>94</v>
      </c>
      <c r="AL1274" s="0" t="s">
        <v>95</v>
      </c>
      <c r="AM1274" s="0" t="s">
        <v>96</v>
      </c>
      <c r="AU1274" s="0" t="s">
        <v>104</v>
      </c>
      <c r="AV1274" s="0" t="s">
        <v>105</v>
      </c>
    </row>
    <row r="1275" ht="36.75">
      <c r="B1275" s="0" t="s">
        <v>3391</v>
      </c>
      <c r="C1275" s="1" t="n">
        <v>352204</v>
      </c>
      <c r="E1275" s="14" t="s">
        <v>1640</v>
      </c>
      <c r="F1275" s="14" t="s">
        <v>184</v>
      </c>
      <c r="G1275" s="25" t="str">
        <f>HYPERLINK("http://vk.com/wall-219360701_558")</f>
      </c>
      <c r="H1275" s="14" t="s">
        <v>170</v>
      </c>
      <c r="I1275" s="14" t="s">
        <v>194</v>
      </c>
      <c r="J1275" s="14" t="s">
        <v>3392</v>
      </c>
      <c r="K1275" s="26" t="str">
        <f>HYPERLINK("http://vk.com/club219360701")</f>
      </c>
      <c r="L1275" s="14" t="s">
        <v>274</v>
      </c>
      <c r="O1275" s="1"/>
      <c r="P1275" s="1"/>
      <c r="Q1275" s="1" t="n">
        <v>7</v>
      </c>
      <c r="R1275" s="1" t="n">
        <v>0</v>
      </c>
      <c r="S1275" s="1"/>
      <c r="T1275" s="1" t="n">
        <v>0</v>
      </c>
      <c r="U1275" s="1" t="n">
        <v>0</v>
      </c>
      <c r="V1275" s="1" t="n">
        <v>0</v>
      </c>
      <c r="W1275" s="1" t="n">
        <v>2</v>
      </c>
      <c r="Y1275" s="1" t="n">
        <v>6</v>
      </c>
      <c r="Z1275" s="0" t="s">
        <v>175</v>
      </c>
      <c r="AA1275" s="0" t="s">
        <v>176</v>
      </c>
      <c r="AH1275" s="0" t="s">
        <v>180</v>
      </c>
      <c r="AJ1275" s="0" t="s">
        <v>437</v>
      </c>
      <c r="AK1275" s="0" t="s">
        <v>94</v>
      </c>
      <c r="AM1275" s="0" t="s">
        <v>96</v>
      </c>
      <c r="AO1275" s="0" t="s">
        <v>98</v>
      </c>
      <c r="AQ1275" s="0" t="s">
        <v>100</v>
      </c>
      <c r="AZ1275" s="0" t="s">
        <v>109</v>
      </c>
    </row>
    <row r="1276" ht="24.75">
      <c r="B1276" s="0" t="s">
        <v>3393</v>
      </c>
      <c r="C1276" s="1" t="n">
        <v>353021</v>
      </c>
      <c r="E1276" s="14" t="s">
        <v>1632</v>
      </c>
      <c r="F1276" s="14" t="s">
        <v>169</v>
      </c>
      <c r="G1276" s="25" t="str">
        <f>HYPERLINK("http://www.ok.ru/profile/574009000592/statuses/155897316546704")</f>
      </c>
      <c r="H1276" s="14" t="s">
        <v>170</v>
      </c>
      <c r="I1276" s="14" t="s">
        <v>171</v>
      </c>
      <c r="J1276" s="14" t="s">
        <v>3394</v>
      </c>
      <c r="K1276" s="26" t="str">
        <f>HYPERLINK("http://www.ok.ru/profile/574009000592")</f>
      </c>
      <c r="L1276" s="14" t="s">
        <v>173</v>
      </c>
      <c r="O1276" s="1" t="s">
        <v>174</v>
      </c>
      <c r="P1276" s="1" t="n">
        <v>66</v>
      </c>
      <c r="Q1276" s="1" t="n">
        <v>83</v>
      </c>
      <c r="R1276" s="1" t="n">
        <v>0</v>
      </c>
      <c r="S1276" s="1"/>
      <c r="T1276" s="1" t="n">
        <v>0</v>
      </c>
      <c r="U1276" s="1" t="n">
        <v>1</v>
      </c>
      <c r="V1276" s="1" t="n">
        <v>1</v>
      </c>
      <c r="W1276" s="1"/>
      <c r="Y1276" s="1" t="n">
        <v>10</v>
      </c>
      <c r="Z1276" s="0" t="s">
        <v>175</v>
      </c>
      <c r="AA1276" s="0" t="s">
        <v>176</v>
      </c>
      <c r="AC1276" s="0" t="s">
        <v>177</v>
      </c>
      <c r="AD1276" s="0" t="s">
        <v>1382</v>
      </c>
      <c r="AE1276" s="0" t="s">
        <v>3395</v>
      </c>
      <c r="AH1276" s="0" t="s">
        <v>180</v>
      </c>
      <c r="AJ1276" s="0" t="s">
        <v>437</v>
      </c>
      <c r="AK1276" s="0" t="s">
        <v>94</v>
      </c>
      <c r="AL1276" s="0" t="s">
        <v>95</v>
      </c>
      <c r="AM1276" s="0" t="s">
        <v>96</v>
      </c>
      <c r="AO1276" s="0" t="s">
        <v>98</v>
      </c>
      <c r="AQ1276" s="0" t="s">
        <v>100</v>
      </c>
    </row>
    <row r="1277" ht="36.75">
      <c r="B1277" s="0" t="s">
        <v>3393</v>
      </c>
      <c r="C1277" s="1" t="n">
        <v>352460</v>
      </c>
      <c r="E1277" s="14" t="s">
        <v>1189</v>
      </c>
      <c r="F1277" s="14" t="s">
        <v>169</v>
      </c>
      <c r="G1277" s="25" t="str">
        <f>HYPERLINK("http://www.ok.ru/profile/570947168621/statuses/155866664057709")</f>
      </c>
      <c r="H1277" s="14" t="s">
        <v>170</v>
      </c>
      <c r="I1277" s="14" t="s">
        <v>171</v>
      </c>
      <c r="J1277" s="14" t="s">
        <v>3396</v>
      </c>
      <c r="K1277" s="26" t="str">
        <f>HYPERLINK("http://www.ok.ru/profile/570947168621")</f>
      </c>
      <c r="L1277" s="14" t="s">
        <v>173</v>
      </c>
      <c r="O1277" s="1" t="s">
        <v>186</v>
      </c>
      <c r="P1277" s="1" t="n">
        <v>55</v>
      </c>
      <c r="Q1277" s="1" t="n">
        <v>452</v>
      </c>
      <c r="R1277" s="1" t="n">
        <v>0</v>
      </c>
      <c r="S1277" s="1"/>
      <c r="T1277" s="1" t="n">
        <v>1</v>
      </c>
      <c r="U1277" s="1" t="n">
        <v>2</v>
      </c>
      <c r="V1277" s="1" t="n">
        <v>3</v>
      </c>
      <c r="W1277" s="1"/>
      <c r="Y1277" s="1" t="n">
        <v>46</v>
      </c>
      <c r="Z1277" s="0" t="s">
        <v>175</v>
      </c>
      <c r="AA1277" s="0" t="s">
        <v>187</v>
      </c>
      <c r="AC1277" s="0" t="s">
        <v>177</v>
      </c>
      <c r="AD1277" s="0" t="s">
        <v>1778</v>
      </c>
      <c r="AE1277" s="0" t="s">
        <v>3397</v>
      </c>
      <c r="AH1277" s="0" t="s">
        <v>180</v>
      </c>
      <c r="AJ1277" s="0" t="s">
        <v>437</v>
      </c>
      <c r="AK1277" s="0" t="s">
        <v>94</v>
      </c>
      <c r="AM1277" s="0" t="s">
        <v>96</v>
      </c>
      <c r="AQ1277" s="0" t="s">
        <v>100</v>
      </c>
      <c r="AZ1277" s="0" t="s">
        <v>109</v>
      </c>
    </row>
    <row r="1278">
      <c r="B1278" s="0" t="s">
        <v>3393</v>
      </c>
      <c r="C1278" s="1" t="n">
        <v>352092</v>
      </c>
      <c r="E1278" s="14" t="s">
        <v>3398</v>
      </c>
      <c r="F1278" s="14" t="s">
        <v>184</v>
      </c>
      <c r="G1278" s="25" t="str">
        <f>HYPERLINK("http://vk.com/wall-87598739_813314?reply=816885&amp;thread=813320")</f>
      </c>
      <c r="H1278" s="14" t="s">
        <v>170</v>
      </c>
      <c r="I1278" s="14" t="s">
        <v>231</v>
      </c>
      <c r="J1278" s="14" t="s">
        <v>3399</v>
      </c>
      <c r="K1278" s="26" t="str">
        <f>HYPERLINK("http://vk.com/id794370688")</f>
      </c>
      <c r="L1278" s="14" t="s">
        <v>173</v>
      </c>
      <c r="M1278" s="14" t="s">
        <v>331</v>
      </c>
      <c r="N1278" s="25" t="str">
        <f>HYPERLINK("http://vk.com/club87598739")</f>
      </c>
      <c r="O1278" s="1" t="s">
        <v>186</v>
      </c>
      <c r="P1278" s="1" t="n">
        <v>29</v>
      </c>
      <c r="Q1278" s="1" t="n">
        <v>36757</v>
      </c>
      <c r="R1278" s="1" t="n">
        <v>0</v>
      </c>
      <c r="S1278" s="1"/>
      <c r="T1278" s="1" t="n">
        <v>0</v>
      </c>
      <c r="U1278" s="1" t="n">
        <v>0</v>
      </c>
      <c r="V1278" s="1" t="n">
        <v>0</v>
      </c>
      <c r="W1278" s="1"/>
      <c r="Y1278" s="1" t="n">
        <v>1</v>
      </c>
      <c r="Z1278" s="0" t="s">
        <v>319</v>
      </c>
      <c r="AA1278" s="0" t="s">
        <v>187</v>
      </c>
      <c r="AH1278" s="0" t="s">
        <v>180</v>
      </c>
      <c r="AI1278" s="0" t="s">
        <v>92</v>
      </c>
      <c r="AJ1278" s="0" t="s">
        <v>437</v>
      </c>
      <c r="AK1278" s="0" t="s">
        <v>94</v>
      </c>
      <c r="AL1278" s="0" t="s">
        <v>95</v>
      </c>
      <c r="AN1278" s="0" t="s">
        <v>97</v>
      </c>
      <c r="AS1278" s="0" t="s">
        <v>102</v>
      </c>
      <c r="BF1278" s="0" t="s">
        <v>115</v>
      </c>
      <c r="BG1278" s="0" t="s">
        <v>116</v>
      </c>
    </row>
    <row r="1279" ht="108.75">
      <c r="B1279" s="0" t="s">
        <v>3400</v>
      </c>
      <c r="C1279" s="1" t="n">
        <v>352197</v>
      </c>
      <c r="E1279" s="14" t="s">
        <v>3401</v>
      </c>
      <c r="F1279" s="14" t="s">
        <v>184</v>
      </c>
      <c r="G1279" s="25" t="str">
        <f>HYPERLINK("http://vk.com/wall168250689_349531")</f>
      </c>
      <c r="H1279" s="14" t="s">
        <v>170</v>
      </c>
      <c r="I1279" s="14" t="s">
        <v>171</v>
      </c>
      <c r="J1279" s="14" t="s">
        <v>3402</v>
      </c>
      <c r="K1279" s="26" t="str">
        <f>HYPERLINK("http://vk.com/id168250689")</f>
      </c>
      <c r="L1279" s="14" t="s">
        <v>173</v>
      </c>
      <c r="O1279" s="1" t="s">
        <v>186</v>
      </c>
      <c r="P1279" s="1" t="n">
        <v>22</v>
      </c>
      <c r="Q1279" s="1" t="n">
        <v>9990</v>
      </c>
      <c r="R1279" s="1" t="n">
        <v>0</v>
      </c>
      <c r="S1279" s="1"/>
      <c r="T1279" s="1" t="n">
        <v>0</v>
      </c>
      <c r="U1279" s="1" t="n">
        <v>1</v>
      </c>
      <c r="V1279" s="1" t="n">
        <v>1</v>
      </c>
      <c r="W1279" s="1" t="n">
        <v>7</v>
      </c>
      <c r="Y1279" s="1" t="n">
        <v>1</v>
      </c>
      <c r="Z1279" s="0" t="s">
        <v>175</v>
      </c>
      <c r="AA1279" s="0" t="s">
        <v>292</v>
      </c>
      <c r="AH1279" s="0" t="s">
        <v>180</v>
      </c>
      <c r="AJ1279" s="0" t="s">
        <v>437</v>
      </c>
      <c r="AK1279" s="0" t="s">
        <v>94</v>
      </c>
      <c r="AR1279" s="0" t="s">
        <v>101</v>
      </c>
      <c r="AZ1279" s="0" t="s">
        <v>109</v>
      </c>
      <c r="BA1279" s="0" t="s">
        <v>110</v>
      </c>
      <c r="BF1279" s="0" t="s">
        <v>115</v>
      </c>
    </row>
    <row r="1280" ht="36.75">
      <c r="B1280" s="0" t="s">
        <v>3400</v>
      </c>
      <c r="C1280" s="1" t="n">
        <v>352193</v>
      </c>
      <c r="E1280" s="14" t="s">
        <v>1640</v>
      </c>
      <c r="F1280" s="14" t="s">
        <v>184</v>
      </c>
      <c r="G1280" s="25" t="str">
        <f>HYPERLINK("http://vk.com/wall-178617605_453608")</f>
      </c>
      <c r="H1280" s="14" t="s">
        <v>170</v>
      </c>
      <c r="I1280" s="14" t="s">
        <v>194</v>
      </c>
      <c r="J1280" s="14" t="s">
        <v>2190</v>
      </c>
      <c r="K1280" s="26" t="str">
        <f>HYPERLINK("http://vk.com/club178617605")</f>
      </c>
      <c r="L1280" s="14" t="s">
        <v>274</v>
      </c>
      <c r="O1280" s="1"/>
      <c r="P1280" s="1"/>
      <c r="Q1280" s="1" t="n">
        <v>715004</v>
      </c>
      <c r="R1280" s="1" t="n">
        <v>0</v>
      </c>
      <c r="S1280" s="1"/>
      <c r="T1280" s="1" t="n">
        <v>24</v>
      </c>
      <c r="U1280" s="1" t="n">
        <v>15</v>
      </c>
      <c r="V1280" s="1" t="n">
        <v>39</v>
      </c>
      <c r="W1280" s="1" t="n">
        <v>5144</v>
      </c>
      <c r="Y1280" s="1" t="n">
        <v>6</v>
      </c>
      <c r="Z1280" s="0" t="s">
        <v>175</v>
      </c>
      <c r="AA1280" s="0" t="s">
        <v>176</v>
      </c>
      <c r="AH1280" s="0" t="s">
        <v>180</v>
      </c>
      <c r="AJ1280" s="0" t="s">
        <v>437</v>
      </c>
      <c r="AK1280" s="0" t="s">
        <v>94</v>
      </c>
      <c r="AM1280" s="0" t="s">
        <v>96</v>
      </c>
      <c r="AO1280" s="0" t="s">
        <v>98</v>
      </c>
      <c r="AQ1280" s="0" t="s">
        <v>100</v>
      </c>
      <c r="AZ1280" s="0" t="s">
        <v>109</v>
      </c>
    </row>
    <row r="1281" ht="24.75">
      <c r="B1281" s="0" t="s">
        <v>3403</v>
      </c>
      <c r="C1281" s="1" t="n">
        <v>352547</v>
      </c>
      <c r="E1281" s="14" t="s">
        <v>1102</v>
      </c>
      <c r="F1281" s="14" t="s">
        <v>169</v>
      </c>
      <c r="G1281" s="25" t="str">
        <f>HYPERLINK("http://www.ok.ru/profile/591511337490/statuses/156148856002578")</f>
      </c>
      <c r="H1281" s="14" t="s">
        <v>170</v>
      </c>
      <c r="I1281" s="14" t="s">
        <v>171</v>
      </c>
      <c r="J1281" s="14" t="s">
        <v>3404</v>
      </c>
      <c r="K1281" s="26" t="str">
        <f>HYPERLINK("http://www.ok.ru/profile/591511337490")</f>
      </c>
      <c r="L1281" s="14" t="s">
        <v>173</v>
      </c>
      <c r="O1281" s="1" t="s">
        <v>186</v>
      </c>
      <c r="P1281" s="1" t="n">
        <v>67</v>
      </c>
      <c r="Q1281" s="1" t="n">
        <v>135</v>
      </c>
      <c r="R1281" s="1" t="n">
        <v>0</v>
      </c>
      <c r="S1281" s="1"/>
      <c r="T1281" s="1" t="n">
        <v>0</v>
      </c>
      <c r="U1281" s="1" t="n">
        <v>0</v>
      </c>
      <c r="V1281" s="1" t="n">
        <v>0</v>
      </c>
      <c r="W1281" s="1"/>
      <c r="Y1281" s="1" t="n">
        <v>93</v>
      </c>
      <c r="Z1281" s="0" t="s">
        <v>175</v>
      </c>
      <c r="AA1281" s="0" t="s">
        <v>187</v>
      </c>
      <c r="AC1281" s="0" t="s">
        <v>177</v>
      </c>
      <c r="AD1281" s="0" t="s">
        <v>178</v>
      </c>
      <c r="AE1281" s="0" t="s">
        <v>1703</v>
      </c>
      <c r="AH1281" s="0" t="s">
        <v>180</v>
      </c>
      <c r="AJ1281" s="0" t="s">
        <v>437</v>
      </c>
      <c r="AK1281" s="0" t="s">
        <v>94</v>
      </c>
      <c r="AL1281" s="0" t="s">
        <v>95</v>
      </c>
      <c r="AM1281" s="0" t="s">
        <v>96</v>
      </c>
      <c r="AU1281" s="0" t="s">
        <v>104</v>
      </c>
      <c r="AV1281" s="0" t="s">
        <v>105</v>
      </c>
    </row>
    <row r="1282">
      <c r="B1282" s="0" t="s">
        <v>3403</v>
      </c>
      <c r="C1282" s="1" t="n">
        <v>352098</v>
      </c>
      <c r="E1282" s="14" t="s">
        <v>3405</v>
      </c>
      <c r="F1282" s="14" t="s">
        <v>184</v>
      </c>
      <c r="G1282" s="25" t="str">
        <f>HYPERLINK("http://vk.com/wall-88354188_348339?reply=369103&amp;thread=348529")</f>
      </c>
      <c r="H1282" s="14" t="s">
        <v>170</v>
      </c>
      <c r="I1282" s="14" t="s">
        <v>231</v>
      </c>
      <c r="J1282" s="14" t="s">
        <v>2378</v>
      </c>
      <c r="K1282" s="26" t="str">
        <f>HYPERLINK("http://vk.com/id612148529")</f>
      </c>
      <c r="L1282" s="14" t="s">
        <v>173</v>
      </c>
      <c r="M1282" s="14" t="s">
        <v>251</v>
      </c>
      <c r="N1282" s="25" t="str">
        <f>HYPERLINK("http://vk.com/club88354188")</f>
      </c>
      <c r="O1282" s="1" t="s">
        <v>186</v>
      </c>
      <c r="P1282" s="1" t="n">
        <v>44</v>
      </c>
      <c r="Q1282" s="1" t="n">
        <v>37024</v>
      </c>
      <c r="R1282" s="1" t="n">
        <v>0</v>
      </c>
      <c r="S1282" s="1"/>
      <c r="T1282" s="1" t="n">
        <v>0</v>
      </c>
      <c r="U1282" s="1" t="n">
        <v>0</v>
      </c>
      <c r="V1282" s="1" t="n">
        <v>0</v>
      </c>
      <c r="W1282" s="1"/>
      <c r="Y1282" s="1" t="n">
        <v>1</v>
      </c>
      <c r="Z1282" s="0" t="s">
        <v>463</v>
      </c>
      <c r="AA1282" s="0" t="s">
        <v>292</v>
      </c>
      <c r="AC1282" s="0" t="s">
        <v>177</v>
      </c>
      <c r="AD1282" s="0" t="s">
        <v>240</v>
      </c>
      <c r="AE1282" s="0" t="s">
        <v>240</v>
      </c>
      <c r="AH1282" s="0" t="s">
        <v>180</v>
      </c>
      <c r="AI1282" s="0" t="s">
        <v>92</v>
      </c>
      <c r="AJ1282" s="0" t="s">
        <v>437</v>
      </c>
      <c r="AL1282" s="0" t="s">
        <v>95</v>
      </c>
      <c r="AO1282" s="0" t="s">
        <v>98</v>
      </c>
      <c r="AY1282" s="0" t="s">
        <v>108</v>
      </c>
      <c r="BY1282" s="0" t="s">
        <v>134</v>
      </c>
    </row>
    <row r="1283">
      <c r="B1283" s="0" t="s">
        <v>3406</v>
      </c>
      <c r="C1283" s="1" t="n">
        <v>352091</v>
      </c>
      <c r="E1283" s="14" t="s">
        <v>3407</v>
      </c>
      <c r="F1283" s="14" t="s">
        <v>184</v>
      </c>
      <c r="G1283" s="25" t="str">
        <f>HYPERLINK("http://vk.com/wall-164460003_1865336?reply=1866087")</f>
      </c>
      <c r="H1283" s="14" t="s">
        <v>170</v>
      </c>
      <c r="I1283" s="14" t="s">
        <v>231</v>
      </c>
      <c r="J1283" s="14" t="s">
        <v>2378</v>
      </c>
      <c r="K1283" s="26" t="str">
        <f>HYPERLINK("http://vk.com/id612148529")</f>
      </c>
      <c r="L1283" s="14" t="s">
        <v>173</v>
      </c>
      <c r="M1283" s="14" t="s">
        <v>1032</v>
      </c>
      <c r="N1283" s="25" t="str">
        <f>HYPERLINK("http://vk.com/club164460003")</f>
      </c>
      <c r="O1283" s="1" t="s">
        <v>186</v>
      </c>
      <c r="P1283" s="1" t="n">
        <v>44</v>
      </c>
      <c r="Q1283" s="1" t="n">
        <v>126023</v>
      </c>
      <c r="R1283" s="1" t="n">
        <v>0</v>
      </c>
      <c r="S1283" s="1"/>
      <c r="T1283" s="1" t="n">
        <v>0</v>
      </c>
      <c r="U1283" s="1" t="n">
        <v>0</v>
      </c>
      <c r="V1283" s="1" t="n">
        <v>0</v>
      </c>
      <c r="W1283" s="1"/>
      <c r="Y1283" s="1" t="n">
        <v>1</v>
      </c>
      <c r="Z1283" s="0" t="s">
        <v>175</v>
      </c>
      <c r="AA1283" s="0" t="s">
        <v>187</v>
      </c>
      <c r="AC1283" s="0" t="s">
        <v>177</v>
      </c>
      <c r="AD1283" s="0" t="s">
        <v>240</v>
      </c>
      <c r="AE1283" s="0" t="s">
        <v>240</v>
      </c>
      <c r="AH1283" s="0" t="s">
        <v>180</v>
      </c>
      <c r="AJ1283" s="0" t="s">
        <v>437</v>
      </c>
      <c r="AK1283" s="0" t="s">
        <v>94</v>
      </c>
      <c r="AL1283" s="0" t="s">
        <v>95</v>
      </c>
      <c r="AN1283" s="0" t="s">
        <v>97</v>
      </c>
      <c r="AS1283" s="0" t="s">
        <v>102</v>
      </c>
      <c r="BB1283" s="0" t="s">
        <v>111</v>
      </c>
      <c r="BC1283" s="0" t="s">
        <v>112</v>
      </c>
    </row>
    <row r="1284">
      <c r="B1284" s="0" t="s">
        <v>3408</v>
      </c>
      <c r="C1284" s="1" t="n">
        <v>353781</v>
      </c>
      <c r="E1284" s="14" t="s">
        <v>3409</v>
      </c>
      <c r="F1284" s="14" t="s">
        <v>184</v>
      </c>
      <c r="G1284" s="25" t="str">
        <f>HYPERLINK("https://vk.com/wall-112011819_914128?reply=989465&amp;thread=914154")</f>
      </c>
      <c r="H1284" s="14" t="s">
        <v>170</v>
      </c>
      <c r="I1284" s="14" t="s">
        <v>194</v>
      </c>
      <c r="J1284" s="14" t="s">
        <v>2484</v>
      </c>
      <c r="K1284" s="26" t="str">
        <f>HYPERLINK("https://vk.com/wall-112011819_914128?reply=989465&amp;thread=914154")</f>
      </c>
      <c r="L1284" s="14"/>
      <c r="O1284" s="1"/>
      <c r="P1284" s="1"/>
      <c r="Q1284" s="1"/>
      <c r="R1284" s="1" t="n">
        <v>0</v>
      </c>
      <c r="S1284" s="1"/>
      <c r="T1284" s="1" t="n">
        <v>0</v>
      </c>
      <c r="U1284" s="1" t="n">
        <v>0</v>
      </c>
      <c r="V1284" s="1" t="n">
        <v>0</v>
      </c>
      <c r="W1284" s="1"/>
      <c r="Y1284" s="1" t="n">
        <v>1</v>
      </c>
      <c r="Z1284" s="0" t="s">
        <v>175</v>
      </c>
      <c r="AA1284" s="0" t="s">
        <v>292</v>
      </c>
      <c r="AC1284" s="0" t="s">
        <v>177</v>
      </c>
      <c r="AH1284" s="0" t="s">
        <v>180</v>
      </c>
      <c r="AI1284" s="0" t="s">
        <v>92</v>
      </c>
      <c r="AJ1284" s="0" t="s">
        <v>437</v>
      </c>
      <c r="AK1284" s="0" t="s">
        <v>94</v>
      </c>
      <c r="AO1284" s="0" t="s">
        <v>98</v>
      </c>
      <c r="BI1284" s="0" t="s">
        <v>118</v>
      </c>
      <c r="BT1284" s="0" t="s">
        <v>129</v>
      </c>
    </row>
    <row r="1285" ht="48.75">
      <c r="B1285" s="0" t="s">
        <v>3410</v>
      </c>
      <c r="C1285" s="1" t="n">
        <v>352086</v>
      </c>
      <c r="D1285" s="0" t="s">
        <v>3411</v>
      </c>
      <c r="E1285" s="14" t="s">
        <v>3412</v>
      </c>
      <c r="F1285" s="14" t="s">
        <v>3413</v>
      </c>
      <c r="G1285" s="25" t="str">
        <f>HYPERLINK("https://petrozavodsk.bezformata.com/listnews/kakie-produkti-podorozhali-v-karelii/116215947/")</f>
      </c>
      <c r="H1285" s="14" t="s">
        <v>208</v>
      </c>
      <c r="I1285" s="14" t="s">
        <v>194</v>
      </c>
      <c r="J1285" s="14"/>
      <c r="L1285" s="14"/>
      <c r="O1285" s="1"/>
      <c r="P1285" s="1"/>
      <c r="Q1285" s="1"/>
      <c r="R1285" s="1" t="n">
        <v>0</v>
      </c>
      <c r="S1285" s="1" t="n">
        <v>69</v>
      </c>
      <c r="T1285" s="1" t="n">
        <v>0</v>
      </c>
      <c r="U1285" s="1" t="n">
        <v>0</v>
      </c>
      <c r="V1285" s="1" t="n">
        <v>0</v>
      </c>
      <c r="W1285" s="1"/>
      <c r="Y1285" s="1" t="n">
        <v>1</v>
      </c>
      <c r="Z1285" s="0" t="s">
        <v>175</v>
      </c>
      <c r="AA1285" s="0" t="s">
        <v>176</v>
      </c>
      <c r="AH1285" s="0" t="s">
        <v>180</v>
      </c>
      <c r="AJ1285" s="0" t="s">
        <v>437</v>
      </c>
      <c r="AL1285" s="0" t="s">
        <v>95</v>
      </c>
      <c r="BD1285" s="0" t="s">
        <v>113</v>
      </c>
      <c r="BK1285" s="0" t="s">
        <v>120</v>
      </c>
    </row>
    <row r="1286">
      <c r="B1286" s="0" t="s">
        <v>3410</v>
      </c>
      <c r="C1286" s="1" t="n">
        <v>352085</v>
      </c>
      <c r="E1286" s="14" t="s">
        <v>3414</v>
      </c>
      <c r="F1286" s="14" t="s">
        <v>184</v>
      </c>
      <c r="G1286" s="25" t="str">
        <f>HYPERLINK("http://vk.com/wall-155386267_1060849?reply=1060944")</f>
      </c>
      <c r="H1286" s="14" t="s">
        <v>170</v>
      </c>
      <c r="I1286" s="14" t="s">
        <v>231</v>
      </c>
      <c r="J1286" s="14" t="s">
        <v>3415</v>
      </c>
      <c r="K1286" s="26" t="str">
        <f>HYPERLINK("http://vk.com/id202805916")</f>
      </c>
      <c r="L1286" s="14" t="s">
        <v>173</v>
      </c>
      <c r="M1286" s="14" t="s">
        <v>406</v>
      </c>
      <c r="N1286" s="25" t="str">
        <f>HYPERLINK("http://vk.com/club155386267")</f>
      </c>
      <c r="O1286" s="1" t="s">
        <v>186</v>
      </c>
      <c r="P1286" s="1"/>
      <c r="Q1286" s="1" t="n">
        <v>112977</v>
      </c>
      <c r="R1286" s="1" t="n">
        <v>0</v>
      </c>
      <c r="S1286" s="1"/>
      <c r="T1286" s="1" t="n">
        <v>0</v>
      </c>
      <c r="U1286" s="1" t="n">
        <v>0</v>
      </c>
      <c r="V1286" s="1" t="n">
        <v>0</v>
      </c>
      <c r="W1286" s="1"/>
      <c r="Y1286" s="1" t="n">
        <v>1</v>
      </c>
      <c r="Z1286" s="0" t="s">
        <v>175</v>
      </c>
      <c r="AA1286" s="0" t="s">
        <v>187</v>
      </c>
      <c r="AC1286" s="0" t="s">
        <v>177</v>
      </c>
      <c r="AD1286" s="0" t="s">
        <v>392</v>
      </c>
      <c r="AE1286" s="0" t="s">
        <v>459</v>
      </c>
      <c r="AH1286" s="0" t="s">
        <v>180</v>
      </c>
      <c r="AJ1286" s="0" t="s">
        <v>437</v>
      </c>
      <c r="AK1286" s="0" t="s">
        <v>94</v>
      </c>
      <c r="AL1286" s="0" t="s">
        <v>95</v>
      </c>
      <c r="AN1286" s="0" t="s">
        <v>97</v>
      </c>
      <c r="AW1286" s="0" t="s">
        <v>106</v>
      </c>
      <c r="BB1286" s="0" t="s">
        <v>111</v>
      </c>
      <c r="BE1286" s="0" t="s">
        <v>114</v>
      </c>
      <c r="BH1286" s="0" t="s">
        <v>117</v>
      </c>
      <c r="BO1286" s="0" t="s">
        <v>124</v>
      </c>
      <c r="BQ1286" s="0" t="s">
        <v>126</v>
      </c>
    </row>
    <row r="1287" ht="36.75">
      <c r="B1287" s="0" t="s">
        <v>3410</v>
      </c>
      <c r="C1287" s="1" t="n">
        <v>352192</v>
      </c>
      <c r="E1287" s="14" t="s">
        <v>202</v>
      </c>
      <c r="F1287" s="14" t="s">
        <v>184</v>
      </c>
      <c r="G1287" s="25" t="str">
        <f>HYPERLINK("http://vk.com/wall-47179959_140636")</f>
      </c>
      <c r="H1287" s="14" t="s">
        <v>170</v>
      </c>
      <c r="I1287" s="14" t="s">
        <v>194</v>
      </c>
      <c r="J1287" s="14" t="s">
        <v>1327</v>
      </c>
      <c r="K1287" s="26" t="str">
        <f>HYPERLINK("http://vk.com/club47179959")</f>
      </c>
      <c r="L1287" s="14" t="s">
        <v>274</v>
      </c>
      <c r="O1287" s="1"/>
      <c r="P1287" s="1"/>
      <c r="Q1287" s="1" t="n">
        <v>159180</v>
      </c>
      <c r="R1287" s="1" t="n">
        <v>0</v>
      </c>
      <c r="S1287" s="1"/>
      <c r="T1287" s="1" t="n">
        <v>29</v>
      </c>
      <c r="U1287" s="1" t="n">
        <v>35</v>
      </c>
      <c r="V1287" s="1" t="n">
        <v>64</v>
      </c>
      <c r="W1287" s="1" t="n">
        <v>3181</v>
      </c>
      <c r="Y1287" s="1" t="n">
        <v>4</v>
      </c>
      <c r="Z1287" s="0" t="s">
        <v>175</v>
      </c>
      <c r="AA1287" s="0" t="s">
        <v>176</v>
      </c>
      <c r="AH1287" s="0" t="s">
        <v>180</v>
      </c>
      <c r="AJ1287" s="0" t="s">
        <v>437</v>
      </c>
      <c r="AK1287" s="0" t="s">
        <v>94</v>
      </c>
      <c r="AM1287" s="0" t="s">
        <v>96</v>
      </c>
      <c r="AO1287" s="0" t="s">
        <v>98</v>
      </c>
      <c r="AQ1287" s="0" t="s">
        <v>100</v>
      </c>
      <c r="AZ1287" s="0" t="s">
        <v>109</v>
      </c>
    </row>
    <row r="1288" ht="24.75">
      <c r="B1288" s="0" t="s">
        <v>3416</v>
      </c>
      <c r="C1288" s="1" t="n">
        <v>352527</v>
      </c>
      <c r="E1288" s="14" t="s">
        <v>554</v>
      </c>
      <c r="F1288" s="14" t="s">
        <v>169</v>
      </c>
      <c r="G1288" s="25" t="str">
        <f>HYPERLINK("http://www.ok.ru/profile/561815644913/statuses/156565649095665")</f>
      </c>
      <c r="H1288" s="14" t="s">
        <v>170</v>
      </c>
      <c r="I1288" s="14" t="s">
        <v>171</v>
      </c>
      <c r="J1288" s="14" t="s">
        <v>3417</v>
      </c>
      <c r="K1288" s="26" t="str">
        <f>HYPERLINK("http://www.ok.ru/profile/561815644913")</f>
      </c>
      <c r="L1288" s="14" t="s">
        <v>173</v>
      </c>
      <c r="O1288" s="1" t="s">
        <v>174</v>
      </c>
      <c r="P1288" s="1" t="n">
        <v>68</v>
      </c>
      <c r="Q1288" s="1" t="n">
        <v>144</v>
      </c>
      <c r="R1288" s="1" t="n">
        <v>0</v>
      </c>
      <c r="S1288" s="1"/>
      <c r="T1288" s="1" t="n">
        <v>1</v>
      </c>
      <c r="U1288" s="1" t="n">
        <v>4</v>
      </c>
      <c r="V1288" s="1" t="n">
        <v>5</v>
      </c>
      <c r="W1288" s="1"/>
      <c r="Y1288" s="1" t="n">
        <v>59</v>
      </c>
      <c r="Z1288" s="0" t="s">
        <v>175</v>
      </c>
      <c r="AA1288" s="0" t="s">
        <v>176</v>
      </c>
      <c r="AC1288" s="0" t="s">
        <v>177</v>
      </c>
      <c r="AH1288" s="0" t="s">
        <v>180</v>
      </c>
      <c r="AJ1288" s="0" t="s">
        <v>437</v>
      </c>
      <c r="AK1288" s="0" t="s">
        <v>94</v>
      </c>
      <c r="AL1288" s="0" t="s">
        <v>95</v>
      </c>
      <c r="AM1288" s="0" t="s">
        <v>96</v>
      </c>
      <c r="AO1288" s="0" t="s">
        <v>98</v>
      </c>
      <c r="AQ1288" s="0" t="s">
        <v>100</v>
      </c>
    </row>
    <row r="1289" ht="24.75">
      <c r="B1289" s="0" t="s">
        <v>3418</v>
      </c>
      <c r="C1289" s="1" t="n">
        <v>352449</v>
      </c>
      <c r="E1289" s="14" t="s">
        <v>1102</v>
      </c>
      <c r="F1289" s="14" t="s">
        <v>169</v>
      </c>
      <c r="G1289" s="25" t="str">
        <f>HYPERLINK("http://www.ok.ru/profile/569501793617/statuses/156015063947345")</f>
      </c>
      <c r="H1289" s="14" t="s">
        <v>170</v>
      </c>
      <c r="I1289" s="14" t="s">
        <v>171</v>
      </c>
      <c r="J1289" s="14" t="s">
        <v>3419</v>
      </c>
      <c r="K1289" s="26" t="str">
        <f>HYPERLINK("http://www.ok.ru/profile/569501793617")</f>
      </c>
      <c r="L1289" s="14" t="s">
        <v>173</v>
      </c>
      <c r="O1289" s="1" t="s">
        <v>186</v>
      </c>
      <c r="P1289" s="1"/>
      <c r="Q1289" s="1" t="n">
        <v>316</v>
      </c>
      <c r="R1289" s="1" t="n">
        <v>0</v>
      </c>
      <c r="S1289" s="1"/>
      <c r="T1289" s="1" t="n">
        <v>0</v>
      </c>
      <c r="U1289" s="1" t="n">
        <v>2</v>
      </c>
      <c r="V1289" s="1" t="n">
        <v>2</v>
      </c>
      <c r="W1289" s="1"/>
      <c r="Y1289" s="1" t="n">
        <v>93</v>
      </c>
      <c r="Z1289" s="0" t="s">
        <v>175</v>
      </c>
      <c r="AA1289" s="0" t="s">
        <v>187</v>
      </c>
      <c r="AC1289" s="0" t="s">
        <v>177</v>
      </c>
      <c r="AD1289" s="0" t="s">
        <v>392</v>
      </c>
      <c r="AE1289" s="0" t="s">
        <v>459</v>
      </c>
      <c r="AH1289" s="0" t="s">
        <v>180</v>
      </c>
      <c r="AJ1289" s="0" t="s">
        <v>437</v>
      </c>
      <c r="AK1289" s="0" t="s">
        <v>94</v>
      </c>
      <c r="AM1289" s="0" t="s">
        <v>96</v>
      </c>
      <c r="AU1289" s="0" t="s">
        <v>104</v>
      </c>
      <c r="AV1289" s="0" t="s">
        <v>105</v>
      </c>
      <c r="AZ1289" s="0" t="s">
        <v>109</v>
      </c>
    </row>
    <row r="1290">
      <c r="B1290" s="0" t="s">
        <v>3418</v>
      </c>
      <c r="C1290" s="1" t="n">
        <v>352074</v>
      </c>
      <c r="E1290" s="14" t="s">
        <v>3420</v>
      </c>
      <c r="F1290" s="14" t="s">
        <v>184</v>
      </c>
      <c r="G1290" s="25" t="str">
        <f>HYPERLINK("http://vk.com/wall-17734054_18176816?reply=18180192")</f>
      </c>
      <c r="H1290" s="14" t="s">
        <v>170</v>
      </c>
      <c r="I1290" s="14" t="s">
        <v>231</v>
      </c>
      <c r="J1290" s="14" t="s">
        <v>250</v>
      </c>
      <c r="K1290" s="26" t="str">
        <f>HYPERLINK("http://vk.com/id652333442")</f>
      </c>
      <c r="L1290" s="14" t="s">
        <v>173</v>
      </c>
      <c r="M1290" s="14" t="s">
        <v>798</v>
      </c>
      <c r="N1290" s="25" t="str">
        <f>HYPERLINK("http://vk.com/club17734054")</f>
      </c>
      <c r="O1290" s="1" t="s">
        <v>186</v>
      </c>
      <c r="P1290" s="1"/>
      <c r="Q1290" s="1" t="n">
        <v>106020</v>
      </c>
      <c r="R1290" s="1" t="n">
        <v>0</v>
      </c>
      <c r="S1290" s="1"/>
      <c r="T1290" s="1" t="n">
        <v>0</v>
      </c>
      <c r="U1290" s="1" t="n">
        <v>0</v>
      </c>
      <c r="V1290" s="1" t="n">
        <v>0</v>
      </c>
      <c r="W1290" s="1"/>
      <c r="Y1290" s="1" t="n">
        <v>1</v>
      </c>
      <c r="Z1290" s="0" t="s">
        <v>175</v>
      </c>
      <c r="AA1290" s="0" t="s">
        <v>187</v>
      </c>
      <c r="AC1290" s="0" t="s">
        <v>177</v>
      </c>
      <c r="AD1290" s="0" t="s">
        <v>252</v>
      </c>
      <c r="AE1290" s="0" t="s">
        <v>253</v>
      </c>
      <c r="AH1290" s="0" t="s">
        <v>180</v>
      </c>
      <c r="AI1290" s="0" t="s">
        <v>92</v>
      </c>
      <c r="AJ1290" s="0" t="s">
        <v>437</v>
      </c>
      <c r="AK1290" s="0" t="s">
        <v>94</v>
      </c>
      <c r="AL1290" s="0" t="s">
        <v>95</v>
      </c>
      <c r="AN1290" s="0" t="s">
        <v>97</v>
      </c>
      <c r="AS1290" s="0" t="s">
        <v>102</v>
      </c>
      <c r="AW1290" s="0" t="s">
        <v>106</v>
      </c>
      <c r="BE1290" s="0" t="s">
        <v>114</v>
      </c>
      <c r="BG1290" s="0" t="s">
        <v>116</v>
      </c>
      <c r="BH1290" s="0" t="s">
        <v>117</v>
      </c>
      <c r="BL1290" s="0" t="s">
        <v>121</v>
      </c>
      <c r="BO1290" s="0" t="s">
        <v>124</v>
      </c>
      <c r="BZ1290" s="0" t="s">
        <v>135</v>
      </c>
    </row>
    <row r="1291" ht="24.75">
      <c r="B1291" s="0" t="s">
        <v>3421</v>
      </c>
      <c r="C1291" s="1" t="n">
        <v>352360</v>
      </c>
      <c r="E1291" s="14" t="s">
        <v>1356</v>
      </c>
      <c r="F1291" s="14" t="s">
        <v>169</v>
      </c>
      <c r="G1291" s="25" t="str">
        <f>HYPERLINK("http://www.ok.ru/profile/566777642308/statuses/155466158839108")</f>
      </c>
      <c r="H1291" s="14" t="s">
        <v>170</v>
      </c>
      <c r="I1291" s="14" t="s">
        <v>171</v>
      </c>
      <c r="J1291" s="14" t="s">
        <v>3422</v>
      </c>
      <c r="K1291" s="26" t="str">
        <f>HYPERLINK("http://www.ok.ru/profile/566777642308")</f>
      </c>
      <c r="L1291" s="14" t="s">
        <v>173</v>
      </c>
      <c r="O1291" s="1" t="s">
        <v>186</v>
      </c>
      <c r="P1291" s="1" t="n">
        <v>63</v>
      </c>
      <c r="Q1291" s="1" t="n">
        <v>95</v>
      </c>
      <c r="R1291" s="1" t="n">
        <v>0</v>
      </c>
      <c r="S1291" s="1"/>
      <c r="T1291" s="1" t="n">
        <v>0</v>
      </c>
      <c r="U1291" s="1" t="n">
        <v>2</v>
      </c>
      <c r="V1291" s="1" t="n">
        <v>2</v>
      </c>
      <c r="W1291" s="1"/>
      <c r="Y1291" s="1" t="n">
        <v>93</v>
      </c>
      <c r="Z1291" s="0" t="s">
        <v>175</v>
      </c>
      <c r="AA1291" s="0" t="s">
        <v>187</v>
      </c>
      <c r="AC1291" s="0" t="s">
        <v>177</v>
      </c>
      <c r="AD1291" s="0" t="s">
        <v>1385</v>
      </c>
      <c r="AE1291" s="0" t="s">
        <v>2563</v>
      </c>
      <c r="AH1291" s="0" t="s">
        <v>180</v>
      </c>
      <c r="AJ1291" s="0" t="s">
        <v>437</v>
      </c>
      <c r="AK1291" s="0" t="s">
        <v>94</v>
      </c>
      <c r="AM1291" s="0" t="s">
        <v>96</v>
      </c>
      <c r="AU1291" s="0" t="s">
        <v>104</v>
      </c>
      <c r="AV1291" s="0" t="s">
        <v>105</v>
      </c>
      <c r="AZ1291" s="0" t="s">
        <v>109</v>
      </c>
    </row>
    <row r="1292">
      <c r="B1292" s="0" t="s">
        <v>3423</v>
      </c>
      <c r="C1292" s="1" t="n">
        <v>352061</v>
      </c>
      <c r="E1292" s="14" t="s">
        <v>3424</v>
      </c>
      <c r="F1292" s="14" t="s">
        <v>184</v>
      </c>
      <c r="G1292" s="25" t="str">
        <f>HYPERLINK("http://vk.com/wall-110697191_622636?reply=622656")</f>
      </c>
      <c r="H1292" s="14" t="s">
        <v>170</v>
      </c>
      <c r="I1292" s="14" t="s">
        <v>231</v>
      </c>
      <c r="J1292" s="14" t="s">
        <v>1090</v>
      </c>
      <c r="K1292" s="26" t="str">
        <f>HYPERLINK("http://vk.com/id16453890")</f>
      </c>
      <c r="L1292" s="14" t="s">
        <v>173</v>
      </c>
      <c r="M1292" s="14" t="s">
        <v>626</v>
      </c>
      <c r="N1292" s="25" t="str">
        <f>HYPERLINK("http://vk.com/club110697191")</f>
      </c>
      <c r="O1292" s="1" t="s">
        <v>186</v>
      </c>
      <c r="P1292" s="1"/>
      <c r="Q1292" s="1" t="n">
        <v>33083</v>
      </c>
      <c r="R1292" s="1" t="n">
        <v>0</v>
      </c>
      <c r="S1292" s="1"/>
      <c r="T1292" s="1" t="n">
        <v>0</v>
      </c>
      <c r="U1292" s="1" t="n">
        <v>0</v>
      </c>
      <c r="V1292" s="1" t="n">
        <v>0</v>
      </c>
      <c r="W1292" s="1"/>
      <c r="Y1292" s="1" t="n">
        <v>1</v>
      </c>
      <c r="Z1292" s="0" t="s">
        <v>175</v>
      </c>
      <c r="AA1292" s="0" t="s">
        <v>187</v>
      </c>
      <c r="AC1292" s="0" t="s">
        <v>177</v>
      </c>
      <c r="AH1292" s="0" t="s">
        <v>180</v>
      </c>
      <c r="AJ1292" s="0" t="s">
        <v>437</v>
      </c>
      <c r="AK1292" s="0" t="s">
        <v>94</v>
      </c>
      <c r="AL1292" s="0" t="s">
        <v>95</v>
      </c>
      <c r="AN1292" s="0" t="s">
        <v>97</v>
      </c>
      <c r="AW1292" s="0" t="s">
        <v>106</v>
      </c>
      <c r="BE1292" s="0" t="s">
        <v>114</v>
      </c>
      <c r="BG1292" s="0" t="s">
        <v>116</v>
      </c>
      <c r="BH1292" s="0" t="s">
        <v>117</v>
      </c>
      <c r="BL1292" s="0" t="s">
        <v>121</v>
      </c>
      <c r="BZ1292" s="0" t="s">
        <v>135</v>
      </c>
      <c r="DD1292" s="0" t="s">
        <v>165</v>
      </c>
    </row>
    <row r="1293">
      <c r="B1293" s="0" t="s">
        <v>3423</v>
      </c>
      <c r="C1293" s="1" t="n">
        <v>352451</v>
      </c>
      <c r="E1293" s="14" t="s">
        <v>3425</v>
      </c>
      <c r="F1293" s="14" t="s">
        <v>192</v>
      </c>
      <c r="G1293" s="25" t="str">
        <f>HYPERLINK("https://telegram.me/doctorbloger_life/1369?comment=42405")</f>
      </c>
      <c r="H1293" s="14" t="s">
        <v>193</v>
      </c>
      <c r="I1293" s="14" t="s">
        <v>231</v>
      </c>
      <c r="J1293" s="14" t="s">
        <v>3426</v>
      </c>
      <c r="K1293" s="26" t="str">
        <f>HYPERLINK("https://telegram.me/")</f>
      </c>
      <c r="L1293" s="14" t="s">
        <v>173</v>
      </c>
      <c r="M1293" s="14" t="s">
        <v>3332</v>
      </c>
      <c r="N1293" s="25" t="str">
        <f>HYPERLINK("https://telegram.me/doctorbloger_life")</f>
      </c>
      <c r="O1293" s="1" t="s">
        <v>186</v>
      </c>
      <c r="P1293" s="1"/>
      <c r="Q1293" s="1" t="n">
        <v>40532</v>
      </c>
      <c r="R1293" s="1" t="n">
        <v>0</v>
      </c>
      <c r="S1293" s="1"/>
      <c r="T1293" s="1" t="n">
        <v>0</v>
      </c>
      <c r="U1293" s="1" t="n">
        <v>0</v>
      </c>
      <c r="V1293" s="1" t="n">
        <v>0</v>
      </c>
      <c r="W1293" s="1"/>
      <c r="Y1293" s="1" t="n">
        <v>1</v>
      </c>
      <c r="Z1293" s="0" t="s">
        <v>175</v>
      </c>
      <c r="AA1293" s="0" t="s">
        <v>187</v>
      </c>
      <c r="AH1293" s="0" t="s">
        <v>180</v>
      </c>
      <c r="AJ1293" s="0" t="s">
        <v>437</v>
      </c>
      <c r="AK1293" s="0" t="s">
        <v>94</v>
      </c>
      <c r="AL1293" s="0" t="s">
        <v>95</v>
      </c>
      <c r="AN1293" s="0" t="s">
        <v>97</v>
      </c>
      <c r="AS1293" s="0" t="s">
        <v>102</v>
      </c>
      <c r="AT1293" s="0" t="s">
        <v>103</v>
      </c>
      <c r="AW1293" s="0" t="s">
        <v>106</v>
      </c>
      <c r="BB1293" s="0" t="s">
        <v>111</v>
      </c>
      <c r="BC1293" s="0" t="s">
        <v>112</v>
      </c>
      <c r="BE1293" s="0" t="s">
        <v>114</v>
      </c>
      <c r="BO1293" s="0" t="s">
        <v>124</v>
      </c>
      <c r="BQ1293" s="0" t="s">
        <v>126</v>
      </c>
    </row>
    <row r="1294" ht="24.75">
      <c r="B1294" s="0" t="s">
        <v>3427</v>
      </c>
      <c r="C1294" s="1" t="n">
        <v>352401</v>
      </c>
      <c r="E1294" s="14" t="s">
        <v>554</v>
      </c>
      <c r="F1294" s="14" t="s">
        <v>169</v>
      </c>
      <c r="G1294" s="25" t="str">
        <f>HYPERLINK("http://www.ok.ru/profile/571232175280/statuses/156232468606384")</f>
      </c>
      <c r="H1294" s="14" t="s">
        <v>170</v>
      </c>
      <c r="I1294" s="14" t="s">
        <v>171</v>
      </c>
      <c r="J1294" s="14" t="s">
        <v>3428</v>
      </c>
      <c r="K1294" s="26" t="str">
        <f>HYPERLINK("http://www.ok.ru/profile/571232175280")</f>
      </c>
      <c r="L1294" s="14" t="s">
        <v>173</v>
      </c>
      <c r="O1294" s="1" t="s">
        <v>186</v>
      </c>
      <c r="P1294" s="1" t="n">
        <v>45</v>
      </c>
      <c r="Q1294" s="1" t="n">
        <v>358</v>
      </c>
      <c r="R1294" s="1" t="n">
        <v>0</v>
      </c>
      <c r="S1294" s="1"/>
      <c r="T1294" s="1" t="n">
        <v>1</v>
      </c>
      <c r="U1294" s="1" t="n">
        <v>2</v>
      </c>
      <c r="V1294" s="1" t="n">
        <v>3</v>
      </c>
      <c r="W1294" s="1"/>
      <c r="Y1294" s="1" t="n">
        <v>59</v>
      </c>
      <c r="Z1294" s="0" t="s">
        <v>175</v>
      </c>
      <c r="AA1294" s="0" t="s">
        <v>176</v>
      </c>
      <c r="AC1294" s="0" t="s">
        <v>177</v>
      </c>
      <c r="AH1294" s="0" t="s">
        <v>180</v>
      </c>
      <c r="AJ1294" s="0" t="s">
        <v>437</v>
      </c>
      <c r="AK1294" s="0" t="s">
        <v>94</v>
      </c>
      <c r="AM1294" s="0" t="s">
        <v>96</v>
      </c>
      <c r="AO1294" s="0" t="s">
        <v>98</v>
      </c>
      <c r="AQ1294" s="0" t="s">
        <v>100</v>
      </c>
      <c r="AZ1294" s="0" t="s">
        <v>109</v>
      </c>
    </row>
    <row r="1295" ht="36.75">
      <c r="B1295" s="0" t="s">
        <v>3429</v>
      </c>
      <c r="C1295" s="1" t="n">
        <v>353094</v>
      </c>
      <c r="E1295" s="14" t="s">
        <v>1189</v>
      </c>
      <c r="F1295" s="14" t="s">
        <v>169</v>
      </c>
      <c r="G1295" s="25" t="str">
        <f>HYPERLINK("http://www.ok.ru/profile/512226650434/statuses/155119500412994")</f>
      </c>
      <c r="H1295" s="14" t="s">
        <v>170</v>
      </c>
      <c r="I1295" s="14" t="s">
        <v>171</v>
      </c>
      <c r="J1295" s="14" t="s">
        <v>3430</v>
      </c>
      <c r="K1295" s="26" t="str">
        <f>HYPERLINK("http://www.ok.ru/profile/512226650434")</f>
      </c>
      <c r="L1295" s="14" t="s">
        <v>173</v>
      </c>
      <c r="O1295" s="1" t="s">
        <v>174</v>
      </c>
      <c r="P1295" s="1" t="n">
        <v>67</v>
      </c>
      <c r="Q1295" s="1" t="n">
        <v>753</v>
      </c>
      <c r="R1295" s="1" t="n">
        <v>0</v>
      </c>
      <c r="S1295" s="1"/>
      <c r="T1295" s="1" t="n">
        <v>1</v>
      </c>
      <c r="U1295" s="1" t="n">
        <v>0</v>
      </c>
      <c r="V1295" s="1" t="n">
        <v>1</v>
      </c>
      <c r="W1295" s="1"/>
      <c r="Y1295" s="1" t="n">
        <v>46</v>
      </c>
      <c r="Z1295" s="0" t="s">
        <v>175</v>
      </c>
      <c r="AA1295" s="0" t="s">
        <v>187</v>
      </c>
      <c r="AC1295" s="0" t="s">
        <v>177</v>
      </c>
      <c r="AD1295" s="0" t="s">
        <v>454</v>
      </c>
      <c r="AE1295" s="0" t="s">
        <v>687</v>
      </c>
      <c r="AH1295" s="0" t="s">
        <v>180</v>
      </c>
      <c r="AJ1295" s="0" t="s">
        <v>437</v>
      </c>
      <c r="AK1295" s="0" t="s">
        <v>94</v>
      </c>
      <c r="AL1295" s="0" t="s">
        <v>95</v>
      </c>
      <c r="AM1295" s="0" t="s">
        <v>96</v>
      </c>
      <c r="AO1295" s="0" t="s">
        <v>98</v>
      </c>
      <c r="AQ1295" s="0" t="s">
        <v>100</v>
      </c>
    </row>
    <row r="1296" ht="1104.75">
      <c r="B1296" s="0" t="s">
        <v>3431</v>
      </c>
      <c r="C1296" s="1" t="n">
        <v>352181</v>
      </c>
      <c r="E1296" s="14" t="s">
        <v>1618</v>
      </c>
      <c r="F1296" s="14" t="s">
        <v>184</v>
      </c>
      <c r="G1296" s="25" t="str">
        <f>HYPERLINK("http://vk.com/wall728391957_152")</f>
      </c>
      <c r="H1296" s="14" t="s">
        <v>170</v>
      </c>
      <c r="I1296" s="14" t="s">
        <v>171</v>
      </c>
      <c r="J1296" s="14" t="s">
        <v>3432</v>
      </c>
      <c r="K1296" s="26" t="str">
        <f>HYPERLINK("http://vk.com/id728391957")</f>
      </c>
      <c r="L1296" s="14" t="s">
        <v>173</v>
      </c>
      <c r="O1296" s="1" t="s">
        <v>186</v>
      </c>
      <c r="P1296" s="1" t="n">
        <v>59</v>
      </c>
      <c r="Q1296" s="1" t="n">
        <v>73</v>
      </c>
      <c r="R1296" s="1" t="n">
        <v>0</v>
      </c>
      <c r="S1296" s="1"/>
      <c r="T1296" s="1" t="n">
        <v>0</v>
      </c>
      <c r="U1296" s="1" t="n">
        <v>0</v>
      </c>
      <c r="V1296" s="1" t="n">
        <v>0</v>
      </c>
      <c r="W1296" s="1"/>
      <c r="Y1296" s="1" t="n">
        <v>6</v>
      </c>
      <c r="Z1296" s="0" t="s">
        <v>175</v>
      </c>
      <c r="AA1296" s="0" t="s">
        <v>187</v>
      </c>
      <c r="AH1296" s="0" t="s">
        <v>180</v>
      </c>
      <c r="AJ1296" s="0" t="s">
        <v>437</v>
      </c>
      <c r="AK1296" s="0" t="s">
        <v>94</v>
      </c>
      <c r="AM1296" s="0" t="s">
        <v>96</v>
      </c>
      <c r="AX1296" s="0" t="s">
        <v>107</v>
      </c>
      <c r="AZ1296" s="0" t="s">
        <v>109</v>
      </c>
    </row>
    <row r="1297">
      <c r="B1297" s="0" t="s">
        <v>3431</v>
      </c>
      <c r="C1297" s="1" t="n">
        <v>352066</v>
      </c>
      <c r="E1297" s="14" t="s">
        <v>3433</v>
      </c>
      <c r="F1297" s="14" t="s">
        <v>184</v>
      </c>
      <c r="G1297" s="25" t="str">
        <f>HYPERLINK("http://vk.com/wall-136860886_525859?reply=525876")</f>
      </c>
      <c r="H1297" s="14" t="s">
        <v>170</v>
      </c>
      <c r="I1297" s="14" t="s">
        <v>231</v>
      </c>
      <c r="J1297" s="14" t="s">
        <v>3415</v>
      </c>
      <c r="K1297" s="26" t="str">
        <f>HYPERLINK("http://vk.com/id202805916")</f>
      </c>
      <c r="L1297" s="14" t="s">
        <v>173</v>
      </c>
      <c r="M1297" s="14" t="s">
        <v>583</v>
      </c>
      <c r="N1297" s="25" t="str">
        <f>HYPERLINK("http://vk.com/club136860886")</f>
      </c>
      <c r="O1297" s="1" t="s">
        <v>186</v>
      </c>
      <c r="P1297" s="1"/>
      <c r="Q1297" s="1" t="n">
        <v>52245</v>
      </c>
      <c r="R1297" s="1" t="n">
        <v>0</v>
      </c>
      <c r="S1297" s="1"/>
      <c r="T1297" s="1" t="n">
        <v>0</v>
      </c>
      <c r="U1297" s="1" t="n">
        <v>0</v>
      </c>
      <c r="V1297" s="1" t="n">
        <v>0</v>
      </c>
      <c r="W1297" s="1"/>
      <c r="Y1297" s="1" t="n">
        <v>1</v>
      </c>
      <c r="Z1297" s="0" t="s">
        <v>175</v>
      </c>
      <c r="AA1297" s="0" t="s">
        <v>187</v>
      </c>
      <c r="AC1297" s="0" t="s">
        <v>177</v>
      </c>
      <c r="AD1297" s="0" t="s">
        <v>392</v>
      </c>
      <c r="AE1297" s="0" t="s">
        <v>459</v>
      </c>
      <c r="AH1297" s="0" t="s">
        <v>180</v>
      </c>
      <c r="AJ1297" s="0" t="s">
        <v>437</v>
      </c>
      <c r="AK1297" s="0" t="s">
        <v>94</v>
      </c>
      <c r="AL1297" s="0" t="s">
        <v>95</v>
      </c>
      <c r="AN1297" s="0" t="s">
        <v>97</v>
      </c>
      <c r="BE1297" s="0" t="s">
        <v>114</v>
      </c>
      <c r="BG1297" s="0" t="s">
        <v>116</v>
      </c>
      <c r="BH1297" s="0" t="s">
        <v>117</v>
      </c>
      <c r="BL1297" s="0" t="s">
        <v>121</v>
      </c>
      <c r="BO1297" s="0" t="s">
        <v>124</v>
      </c>
      <c r="BU1297" s="0" t="s">
        <v>130</v>
      </c>
      <c r="BZ1297" s="0" t="s">
        <v>135</v>
      </c>
    </row>
    <row r="1298" ht="36.75">
      <c r="B1298" s="0" t="s">
        <v>3434</v>
      </c>
      <c r="C1298" s="1" t="n">
        <v>353102</v>
      </c>
      <c r="E1298" s="14" t="s">
        <v>1189</v>
      </c>
      <c r="F1298" s="14" t="s">
        <v>169</v>
      </c>
      <c r="G1298" s="25" t="str">
        <f>HYPERLINK("http://www.ok.ru/profile/512226650434/statuses/155119497529410")</f>
      </c>
      <c r="H1298" s="14" t="s">
        <v>170</v>
      </c>
      <c r="I1298" s="14" t="s">
        <v>171</v>
      </c>
      <c r="J1298" s="14" t="s">
        <v>3430</v>
      </c>
      <c r="K1298" s="26" t="str">
        <f>HYPERLINK("http://www.ok.ru/profile/512226650434")</f>
      </c>
      <c r="L1298" s="14" t="s">
        <v>173</v>
      </c>
      <c r="O1298" s="1" t="s">
        <v>174</v>
      </c>
      <c r="P1298" s="1" t="n">
        <v>67</v>
      </c>
      <c r="Q1298" s="1" t="n">
        <v>753</v>
      </c>
      <c r="R1298" s="1" t="n">
        <v>0</v>
      </c>
      <c r="S1298" s="1"/>
      <c r="T1298" s="1" t="n">
        <v>2</v>
      </c>
      <c r="U1298" s="1" t="n">
        <v>6</v>
      </c>
      <c r="V1298" s="1" t="n">
        <v>8</v>
      </c>
      <c r="W1298" s="1"/>
      <c r="Y1298" s="1" t="n">
        <v>46</v>
      </c>
      <c r="Z1298" s="0" t="s">
        <v>175</v>
      </c>
      <c r="AA1298" s="0" t="s">
        <v>187</v>
      </c>
      <c r="AC1298" s="0" t="s">
        <v>177</v>
      </c>
      <c r="AD1298" s="0" t="s">
        <v>454</v>
      </c>
      <c r="AE1298" s="0" t="s">
        <v>687</v>
      </c>
      <c r="AH1298" s="0" t="s">
        <v>180</v>
      </c>
      <c r="AJ1298" s="0" t="s">
        <v>437</v>
      </c>
      <c r="AK1298" s="0" t="s">
        <v>94</v>
      </c>
      <c r="AL1298" s="0" t="s">
        <v>95</v>
      </c>
      <c r="AM1298" s="0" t="s">
        <v>96</v>
      </c>
      <c r="AO1298" s="0" t="s">
        <v>98</v>
      </c>
      <c r="AQ1298" s="0" t="s">
        <v>100</v>
      </c>
    </row>
    <row r="1299" ht="24.75">
      <c r="B1299" s="0" t="s">
        <v>3435</v>
      </c>
      <c r="C1299" s="1" t="n">
        <v>352845</v>
      </c>
      <c r="E1299" s="14" t="s">
        <v>1102</v>
      </c>
      <c r="F1299" s="14" t="s">
        <v>169</v>
      </c>
      <c r="G1299" s="25" t="str">
        <f>HYPERLINK("http://www.ok.ru/profile/529381131613/statuses/154907343282269")</f>
      </c>
      <c r="H1299" s="14" t="s">
        <v>170</v>
      </c>
      <c r="I1299" s="14" t="s">
        <v>171</v>
      </c>
      <c r="J1299" s="14" t="s">
        <v>3436</v>
      </c>
      <c r="K1299" s="26" t="str">
        <f>HYPERLINK("http://www.ok.ru/profile/529381131613")</f>
      </c>
      <c r="L1299" s="14" t="s">
        <v>173</v>
      </c>
      <c r="O1299" s="1" t="s">
        <v>186</v>
      </c>
      <c r="P1299" s="1" t="n">
        <v>52</v>
      </c>
      <c r="Q1299" s="1" t="n">
        <v>214</v>
      </c>
      <c r="R1299" s="1" t="n">
        <v>0</v>
      </c>
      <c r="S1299" s="1"/>
      <c r="T1299" s="1" t="n">
        <v>0</v>
      </c>
      <c r="U1299" s="1" t="n">
        <v>0</v>
      </c>
      <c r="V1299" s="1" t="n">
        <v>0</v>
      </c>
      <c r="W1299" s="1"/>
      <c r="Y1299" s="1" t="n">
        <v>93</v>
      </c>
      <c r="Z1299" s="0" t="s">
        <v>175</v>
      </c>
      <c r="AA1299" s="0" t="s">
        <v>187</v>
      </c>
      <c r="AC1299" s="0" t="s">
        <v>177</v>
      </c>
      <c r="AD1299" s="0" t="s">
        <v>852</v>
      </c>
      <c r="AE1299" s="0" t="s">
        <v>3437</v>
      </c>
      <c r="AH1299" s="0" t="s">
        <v>180</v>
      </c>
      <c r="AJ1299" s="0" t="s">
        <v>437</v>
      </c>
      <c r="AK1299" s="0" t="s">
        <v>94</v>
      </c>
      <c r="AL1299" s="0" t="s">
        <v>95</v>
      </c>
      <c r="AM1299" s="0" t="s">
        <v>96</v>
      </c>
      <c r="AU1299" s="0" t="s">
        <v>104</v>
      </c>
      <c r="AV1299" s="0" t="s">
        <v>105</v>
      </c>
    </row>
    <row r="1300" ht="36.75">
      <c r="B1300" s="0" t="s">
        <v>3438</v>
      </c>
      <c r="C1300" s="1" t="n">
        <v>352175</v>
      </c>
      <c r="E1300" s="14" t="s">
        <v>2533</v>
      </c>
      <c r="F1300" s="14" t="s">
        <v>184</v>
      </c>
      <c r="G1300" s="25" t="str">
        <f>HYPERLINK("http://vk.com/wall416463604_10166")</f>
      </c>
      <c r="H1300" s="14" t="s">
        <v>170</v>
      </c>
      <c r="I1300" s="14" t="s">
        <v>171</v>
      </c>
      <c r="J1300" s="14" t="s">
        <v>3439</v>
      </c>
      <c r="K1300" s="26" t="str">
        <f>HYPERLINK("http://vk.com/id416463604")</f>
      </c>
      <c r="L1300" s="14" t="s">
        <v>173</v>
      </c>
      <c r="O1300" s="1" t="s">
        <v>186</v>
      </c>
      <c r="P1300" s="1" t="n">
        <v>69</v>
      </c>
      <c r="Q1300" s="1" t="n">
        <v>10</v>
      </c>
      <c r="R1300" s="1" t="n">
        <v>0</v>
      </c>
      <c r="S1300" s="1"/>
      <c r="T1300" s="1" t="n">
        <v>0</v>
      </c>
      <c r="U1300" s="1" t="n">
        <v>0</v>
      </c>
      <c r="V1300" s="1" t="n">
        <v>0</v>
      </c>
      <c r="W1300" s="1"/>
      <c r="Y1300" s="1" t="n">
        <v>9</v>
      </c>
      <c r="Z1300" s="0" t="s">
        <v>175</v>
      </c>
      <c r="AA1300" s="0" t="s">
        <v>187</v>
      </c>
      <c r="AH1300" s="0" t="s">
        <v>180</v>
      </c>
      <c r="AJ1300" s="0" t="s">
        <v>437</v>
      </c>
      <c r="AK1300" s="0" t="s">
        <v>94</v>
      </c>
      <c r="AN1300" s="0" t="s">
        <v>97</v>
      </c>
      <c r="AT1300" s="0" t="s">
        <v>103</v>
      </c>
      <c r="AZ1300" s="0" t="s">
        <v>109</v>
      </c>
      <c r="BE1300" s="0" t="s">
        <v>114</v>
      </c>
      <c r="BX1300" s="0" t="s">
        <v>133</v>
      </c>
      <c r="CD1300" s="0" t="s">
        <v>139</v>
      </c>
    </row>
    <row r="1301">
      <c r="B1301" s="0" t="s">
        <v>3438</v>
      </c>
      <c r="C1301" s="1" t="n">
        <v>352050</v>
      </c>
      <c r="E1301" s="14" t="s">
        <v>3440</v>
      </c>
      <c r="F1301" s="14" t="s">
        <v>184</v>
      </c>
      <c r="G1301" s="25" t="str">
        <f>HYPERLINK("http://vk.com/wall-48067990_909943?reply=913400&amp;thread=913054")</f>
      </c>
      <c r="H1301" s="14" t="s">
        <v>170</v>
      </c>
      <c r="I1301" s="14" t="s">
        <v>231</v>
      </c>
      <c r="J1301" s="14" t="s">
        <v>2378</v>
      </c>
      <c r="K1301" s="26" t="str">
        <f>HYPERLINK("http://vk.com/id612148529")</f>
      </c>
      <c r="L1301" s="14" t="s">
        <v>173</v>
      </c>
      <c r="M1301" s="14" t="s">
        <v>759</v>
      </c>
      <c r="N1301" s="25" t="str">
        <f>HYPERLINK("http://vk.com/club48067990")</f>
      </c>
      <c r="O1301" s="1" t="s">
        <v>186</v>
      </c>
      <c r="P1301" s="1" t="n">
        <v>44</v>
      </c>
      <c r="Q1301" s="1" t="n">
        <v>59093</v>
      </c>
      <c r="R1301" s="1" t="n">
        <v>0</v>
      </c>
      <c r="S1301" s="1"/>
      <c r="T1301" s="1" t="n">
        <v>0</v>
      </c>
      <c r="U1301" s="1" t="n">
        <v>0</v>
      </c>
      <c r="V1301" s="1" t="n">
        <v>0</v>
      </c>
      <c r="W1301" s="1"/>
      <c r="Y1301" s="1" t="n">
        <v>1</v>
      </c>
      <c r="Z1301" s="0" t="s">
        <v>175</v>
      </c>
      <c r="AA1301" s="0" t="s">
        <v>187</v>
      </c>
      <c r="AC1301" s="0" t="s">
        <v>177</v>
      </c>
      <c r="AD1301" s="0" t="s">
        <v>240</v>
      </c>
      <c r="AE1301" s="0" t="s">
        <v>240</v>
      </c>
      <c r="AH1301" s="0" t="s">
        <v>180</v>
      </c>
      <c r="AI1301" s="0" t="s">
        <v>92</v>
      </c>
      <c r="AJ1301" s="0" t="s">
        <v>437</v>
      </c>
      <c r="AK1301" s="0" t="s">
        <v>94</v>
      </c>
      <c r="AL1301" s="0" t="s">
        <v>95</v>
      </c>
      <c r="AN1301" s="0" t="s">
        <v>97</v>
      </c>
      <c r="AS1301" s="0" t="s">
        <v>102</v>
      </c>
      <c r="BC1301" s="0" t="s">
        <v>112</v>
      </c>
      <c r="BG1301" s="0" t="s">
        <v>116</v>
      </c>
      <c r="BI1301" s="0" t="s">
        <v>118</v>
      </c>
      <c r="BZ1301" s="0" t="s">
        <v>135</v>
      </c>
      <c r="CM1301" s="0" t="s">
        <v>148</v>
      </c>
    </row>
    <row r="1302" ht="48.75">
      <c r="B1302" s="0" t="s">
        <v>3438</v>
      </c>
      <c r="C1302" s="1" t="n">
        <v>352758</v>
      </c>
      <c r="E1302" s="14" t="s">
        <v>3441</v>
      </c>
      <c r="F1302" s="14" t="s">
        <v>192</v>
      </c>
      <c r="G1302" s="25" t="str">
        <f>HYPERLINK("https://telegram.me/obodzinskaya/119?comment=1206")</f>
      </c>
      <c r="H1302" s="14" t="s">
        <v>193</v>
      </c>
      <c r="I1302" s="14" t="s">
        <v>231</v>
      </c>
      <c r="J1302" s="14" t="s">
        <v>3442</v>
      </c>
      <c r="K1302" s="26" t="str">
        <f>HYPERLINK("https://telegram.me/Innisolnce")</f>
      </c>
      <c r="L1302" s="14" t="s">
        <v>173</v>
      </c>
      <c r="M1302" s="14" t="s">
        <v>3443</v>
      </c>
      <c r="N1302" s="25" t="str">
        <f>HYPERLINK("https://telegram.me/obodzinskaya")</f>
      </c>
      <c r="O1302" s="1" t="s">
        <v>186</v>
      </c>
      <c r="P1302" s="1"/>
      <c r="Q1302" s="1" t="n">
        <v>4746</v>
      </c>
      <c r="R1302" s="1" t="n">
        <v>0</v>
      </c>
      <c r="S1302" s="1"/>
      <c r="T1302" s="1" t="n">
        <v>0</v>
      </c>
      <c r="U1302" s="1" t="n">
        <v>0</v>
      </c>
      <c r="V1302" s="1" t="n">
        <v>0</v>
      </c>
      <c r="W1302" s="1"/>
      <c r="Y1302" s="1" t="n">
        <v>1</v>
      </c>
      <c r="Z1302" s="0" t="s">
        <v>175</v>
      </c>
      <c r="AA1302" s="0" t="s">
        <v>292</v>
      </c>
      <c r="AH1302" s="0" t="s">
        <v>180</v>
      </c>
      <c r="AI1302" s="0" t="s">
        <v>92</v>
      </c>
      <c r="AJ1302" s="0" t="s">
        <v>437</v>
      </c>
      <c r="AL1302" s="0" t="s">
        <v>95</v>
      </c>
      <c r="AY1302" s="0" t="s">
        <v>108</v>
      </c>
      <c r="BS1302" s="0" t="s">
        <v>128</v>
      </c>
      <c r="BV1302" s="0" t="s">
        <v>131</v>
      </c>
    </row>
    <row r="1303" ht="36.75">
      <c r="B1303" s="0" t="s">
        <v>3444</v>
      </c>
      <c r="C1303" s="1" t="n">
        <v>352636</v>
      </c>
      <c r="E1303" s="14" t="s">
        <v>1189</v>
      </c>
      <c r="F1303" s="14" t="s">
        <v>169</v>
      </c>
      <c r="G1303" s="25" t="str">
        <f>HYPERLINK("http://www.ok.ru/profile/590861217808/statuses/156017083812624")</f>
      </c>
      <c r="H1303" s="14" t="s">
        <v>170</v>
      </c>
      <c r="I1303" s="14" t="s">
        <v>171</v>
      </c>
      <c r="J1303" s="14" t="s">
        <v>3445</v>
      </c>
      <c r="K1303" s="26" t="str">
        <f>HYPERLINK("http://www.ok.ru/profile/590861217808")</f>
      </c>
      <c r="L1303" s="14" t="s">
        <v>173</v>
      </c>
      <c r="O1303" s="1" t="s">
        <v>186</v>
      </c>
      <c r="P1303" s="1"/>
      <c r="Q1303" s="1" t="n">
        <v>395</v>
      </c>
      <c r="R1303" s="1" t="n">
        <v>0</v>
      </c>
      <c r="S1303" s="1"/>
      <c r="T1303" s="1" t="n">
        <v>0</v>
      </c>
      <c r="U1303" s="1" t="n">
        <v>4</v>
      </c>
      <c r="V1303" s="1" t="n">
        <v>4</v>
      </c>
      <c r="W1303" s="1"/>
      <c r="Y1303" s="1" t="n">
        <v>46</v>
      </c>
      <c r="Z1303" s="0" t="s">
        <v>175</v>
      </c>
      <c r="AA1303" s="0" t="s">
        <v>187</v>
      </c>
      <c r="AC1303" s="0" t="s">
        <v>177</v>
      </c>
      <c r="AD1303" s="0" t="s">
        <v>767</v>
      </c>
      <c r="AE1303" s="0" t="s">
        <v>3446</v>
      </c>
      <c r="AH1303" s="0" t="s">
        <v>180</v>
      </c>
      <c r="AJ1303" s="0" t="s">
        <v>437</v>
      </c>
      <c r="AK1303" s="0" t="s">
        <v>94</v>
      </c>
      <c r="AL1303" s="0" t="s">
        <v>95</v>
      </c>
      <c r="AM1303" s="0" t="s">
        <v>96</v>
      </c>
      <c r="AO1303" s="0" t="s">
        <v>98</v>
      </c>
      <c r="AQ1303" s="0" t="s">
        <v>100</v>
      </c>
    </row>
    <row r="1304" ht="24.75">
      <c r="B1304" s="0" t="s">
        <v>3444</v>
      </c>
      <c r="C1304" s="1" t="n">
        <v>353145</v>
      </c>
      <c r="E1304" s="14" t="s">
        <v>1102</v>
      </c>
      <c r="F1304" s="14" t="s">
        <v>169</v>
      </c>
      <c r="G1304" s="25" t="str">
        <f>HYPERLINK("http://www.ok.ru/profile/536130639147/statuses/156302764120875")</f>
      </c>
      <c r="H1304" s="14" t="s">
        <v>170</v>
      </c>
      <c r="I1304" s="14" t="s">
        <v>171</v>
      </c>
      <c r="J1304" s="14" t="s">
        <v>3447</v>
      </c>
      <c r="K1304" s="26" t="str">
        <f>HYPERLINK("http://www.ok.ru/profile/536130639147")</f>
      </c>
      <c r="L1304" s="14" t="s">
        <v>173</v>
      </c>
      <c r="O1304" s="1" t="s">
        <v>186</v>
      </c>
      <c r="P1304" s="1"/>
      <c r="Q1304" s="1" t="n">
        <v>297</v>
      </c>
      <c r="R1304" s="1" t="n">
        <v>0</v>
      </c>
      <c r="S1304" s="1"/>
      <c r="T1304" s="1" t="n">
        <v>0</v>
      </c>
      <c r="U1304" s="1" t="n">
        <v>1</v>
      </c>
      <c r="V1304" s="1" t="n">
        <v>1</v>
      </c>
      <c r="W1304" s="1"/>
      <c r="Y1304" s="1" t="n">
        <v>93</v>
      </c>
      <c r="Z1304" s="0" t="s">
        <v>175</v>
      </c>
      <c r="AA1304" s="0" t="s">
        <v>187</v>
      </c>
      <c r="AC1304" s="0" t="s">
        <v>177</v>
      </c>
      <c r="AD1304" s="0" t="s">
        <v>234</v>
      </c>
      <c r="AH1304" s="0" t="s">
        <v>180</v>
      </c>
      <c r="AJ1304" s="0" t="s">
        <v>437</v>
      </c>
      <c r="AK1304" s="0" t="s">
        <v>94</v>
      </c>
      <c r="AL1304" s="0" t="s">
        <v>95</v>
      </c>
      <c r="AM1304" s="0" t="s">
        <v>96</v>
      </c>
      <c r="AU1304" s="0" t="s">
        <v>104</v>
      </c>
      <c r="AV1304" s="0" t="s">
        <v>105</v>
      </c>
    </row>
    <row r="1305">
      <c r="B1305" s="0" t="s">
        <v>3448</v>
      </c>
      <c r="C1305" s="1" t="n">
        <v>352055</v>
      </c>
      <c r="E1305" s="14" t="s">
        <v>3449</v>
      </c>
      <c r="F1305" s="14" t="s">
        <v>184</v>
      </c>
      <c r="G1305" s="25" t="str">
        <f>HYPERLINK("http://vk.com/wall-131081771_1590104?reply=1591193")</f>
      </c>
      <c r="H1305" s="14" t="s">
        <v>170</v>
      </c>
      <c r="I1305" s="14" t="s">
        <v>231</v>
      </c>
      <c r="J1305" s="14" t="s">
        <v>2378</v>
      </c>
      <c r="K1305" s="26" t="str">
        <f>HYPERLINK("http://vk.com/id612148529")</f>
      </c>
      <c r="L1305" s="14" t="s">
        <v>173</v>
      </c>
      <c r="M1305" s="14" t="s">
        <v>3157</v>
      </c>
      <c r="N1305" s="25" t="str">
        <f>HYPERLINK("http://vk.com/club131081771")</f>
      </c>
      <c r="O1305" s="1" t="s">
        <v>186</v>
      </c>
      <c r="P1305" s="1" t="n">
        <v>44</v>
      </c>
      <c r="Q1305" s="1" t="n">
        <v>30477</v>
      </c>
      <c r="R1305" s="1" t="n">
        <v>0</v>
      </c>
      <c r="S1305" s="1"/>
      <c r="T1305" s="1" t="n">
        <v>0</v>
      </c>
      <c r="U1305" s="1" t="n">
        <v>0</v>
      </c>
      <c r="V1305" s="1" t="n">
        <v>0</v>
      </c>
      <c r="W1305" s="1"/>
      <c r="Y1305" s="1" t="n">
        <v>1</v>
      </c>
      <c r="Z1305" s="0" t="s">
        <v>175</v>
      </c>
      <c r="AA1305" s="0" t="s">
        <v>187</v>
      </c>
      <c r="AC1305" s="0" t="s">
        <v>177</v>
      </c>
      <c r="AD1305" s="0" t="s">
        <v>240</v>
      </c>
      <c r="AE1305" s="0" t="s">
        <v>240</v>
      </c>
      <c r="AH1305" s="0" t="s">
        <v>180</v>
      </c>
      <c r="AI1305" s="0" t="s">
        <v>92</v>
      </c>
      <c r="AJ1305" s="0" t="s">
        <v>437</v>
      </c>
      <c r="AK1305" s="0" t="s">
        <v>94</v>
      </c>
      <c r="AL1305" s="0" t="s">
        <v>95</v>
      </c>
      <c r="AN1305" s="0" t="s">
        <v>97</v>
      </c>
      <c r="AS1305" s="0" t="s">
        <v>102</v>
      </c>
      <c r="BC1305" s="0" t="s">
        <v>112</v>
      </c>
    </row>
    <row r="1306">
      <c r="B1306" s="0" t="s">
        <v>3450</v>
      </c>
      <c r="C1306" s="1" t="n">
        <v>352063</v>
      </c>
      <c r="E1306" s="14" t="s">
        <v>3451</v>
      </c>
      <c r="F1306" s="14" t="s">
        <v>192</v>
      </c>
      <c r="G1306" s="25" t="str">
        <f>HYPERLINK("https://telegram.me/children_covid/7896")</f>
      </c>
      <c r="H1306" s="14" t="s">
        <v>193</v>
      </c>
      <c r="I1306" s="14" t="s">
        <v>194</v>
      </c>
      <c r="J1306" s="14" t="s">
        <v>3452</v>
      </c>
      <c r="K1306" s="26" t="str">
        <f>HYPERLINK("https://telegram.me/")</f>
      </c>
      <c r="L1306" s="14" t="s">
        <v>173</v>
      </c>
      <c r="M1306" s="14" t="s">
        <v>3453</v>
      </c>
      <c r="N1306" s="25" t="str">
        <f>HYPERLINK("https://telegram.me/children_covid")</f>
      </c>
      <c r="O1306" s="1"/>
      <c r="P1306" s="1"/>
      <c r="Q1306" s="1" t="n">
        <v>825</v>
      </c>
      <c r="R1306" s="1" t="n">
        <v>0</v>
      </c>
      <c r="S1306" s="1"/>
      <c r="T1306" s="1" t="n">
        <v>0</v>
      </c>
      <c r="U1306" s="1" t="n">
        <v>0</v>
      </c>
      <c r="V1306" s="1" t="n">
        <v>0</v>
      </c>
      <c r="W1306" s="1"/>
      <c r="Y1306" s="1" t="n">
        <v>1</v>
      </c>
      <c r="Z1306" s="0" t="s">
        <v>175</v>
      </c>
      <c r="AA1306" s="0" t="s">
        <v>187</v>
      </c>
      <c r="AH1306" s="0" t="s">
        <v>180</v>
      </c>
      <c r="AJ1306" s="0" t="s">
        <v>437</v>
      </c>
      <c r="AK1306" s="0" t="s">
        <v>94</v>
      </c>
      <c r="AL1306" s="0" t="s">
        <v>95</v>
      </c>
      <c r="AN1306" s="0" t="s">
        <v>97</v>
      </c>
      <c r="AT1306" s="0" t="s">
        <v>103</v>
      </c>
      <c r="AW1306" s="0" t="s">
        <v>106</v>
      </c>
      <c r="BB1306" s="0" t="s">
        <v>111</v>
      </c>
      <c r="BC1306" s="0" t="s">
        <v>112</v>
      </c>
      <c r="BO1306" s="0" t="s">
        <v>124</v>
      </c>
      <c r="BU1306" s="0" t="s">
        <v>130</v>
      </c>
    </row>
    <row r="1307" ht="804.75">
      <c r="B1307" s="0" t="s">
        <v>3450</v>
      </c>
      <c r="C1307" s="1" t="n">
        <v>352131</v>
      </c>
      <c r="D1307" s="0" t="s">
        <v>3454</v>
      </c>
      <c r="E1307" s="14" t="s">
        <v>3455</v>
      </c>
      <c r="F1307" s="14" t="s">
        <v>316</v>
      </c>
      <c r="G1307" s="25" t="str">
        <f>HYPERLINK("http://irecommend.ru/content/medovaya-kladez-iz-lichinok-voskovoi-moli-spasenie-dlya-detok-kotorye-ne-mogut-otkhodit-v-sa")</f>
      </c>
      <c r="H1307" s="14" t="s">
        <v>317</v>
      </c>
      <c r="I1307" s="14" t="s">
        <v>231</v>
      </c>
      <c r="J1307" s="14" t="s">
        <v>3456</v>
      </c>
      <c r="L1307" s="14"/>
      <c r="M1307" s="14" t="s">
        <v>316</v>
      </c>
      <c r="O1307" s="1"/>
      <c r="P1307" s="1"/>
      <c r="Q1307" s="1"/>
      <c r="R1307" s="1" t="n">
        <v>0</v>
      </c>
      <c r="S1307" s="1"/>
      <c r="T1307" s="1" t="n">
        <v>0</v>
      </c>
      <c r="U1307" s="1" t="n">
        <v>0</v>
      </c>
      <c r="V1307" s="1" t="n">
        <v>0</v>
      </c>
      <c r="W1307" s="1"/>
      <c r="X1307" s="0" t="n">
        <v>5</v>
      </c>
      <c r="Y1307" s="1" t="n">
        <v>1</v>
      </c>
      <c r="Z1307" s="0" t="s">
        <v>175</v>
      </c>
      <c r="AA1307" s="0" t="s">
        <v>187</v>
      </c>
      <c r="AH1307" s="0" t="s">
        <v>180</v>
      </c>
      <c r="AI1307" s="0" t="s">
        <v>92</v>
      </c>
      <c r="AJ1307" s="0" t="s">
        <v>437</v>
      </c>
      <c r="AK1307" s="0" t="s">
        <v>94</v>
      </c>
      <c r="AN1307" s="0" t="s">
        <v>97</v>
      </c>
      <c r="AS1307" s="0" t="s">
        <v>102</v>
      </c>
      <c r="AT1307" s="0" t="s">
        <v>103</v>
      </c>
      <c r="AW1307" s="0" t="s">
        <v>106</v>
      </c>
      <c r="AZ1307" s="0" t="s">
        <v>109</v>
      </c>
      <c r="BB1307" s="0" t="s">
        <v>111</v>
      </c>
      <c r="BE1307" s="0" t="s">
        <v>114</v>
      </c>
      <c r="BL1307" s="0" t="s">
        <v>121</v>
      </c>
      <c r="BO1307" s="0" t="s">
        <v>124</v>
      </c>
      <c r="BQ1307" s="0" t="s">
        <v>126</v>
      </c>
      <c r="CA1307" s="0" t="s">
        <v>136</v>
      </c>
    </row>
    <row r="1308" ht="24.75">
      <c r="B1308" s="0" t="s">
        <v>3457</v>
      </c>
      <c r="C1308" s="1" t="n">
        <v>352174</v>
      </c>
      <c r="E1308" s="14" t="s">
        <v>1102</v>
      </c>
      <c r="F1308" s="14" t="s">
        <v>169</v>
      </c>
      <c r="G1308" s="25" t="str">
        <f>HYPERLINK("http://www.ok.ru/profile/561252405483/statuses/155826617056235")</f>
      </c>
      <c r="H1308" s="14" t="s">
        <v>170</v>
      </c>
      <c r="I1308" s="14" t="s">
        <v>171</v>
      </c>
      <c r="J1308" s="14" t="s">
        <v>3458</v>
      </c>
      <c r="K1308" s="26" t="str">
        <f>HYPERLINK("http://www.ok.ru/profile/561252405483")</f>
      </c>
      <c r="L1308" s="14" t="s">
        <v>173</v>
      </c>
      <c r="O1308" s="1" t="s">
        <v>186</v>
      </c>
      <c r="P1308" s="1" t="n">
        <v>75</v>
      </c>
      <c r="Q1308" s="1" t="n">
        <v>129</v>
      </c>
      <c r="R1308" s="1" t="n">
        <v>0</v>
      </c>
      <c r="S1308" s="1"/>
      <c r="T1308" s="1" t="n">
        <v>1</v>
      </c>
      <c r="U1308" s="1" t="n">
        <v>0</v>
      </c>
      <c r="V1308" s="1" t="n">
        <v>1</v>
      </c>
      <c r="W1308" s="1"/>
      <c r="Y1308" s="1" t="n">
        <v>93</v>
      </c>
      <c r="Z1308" s="0" t="s">
        <v>175</v>
      </c>
      <c r="AA1308" s="0" t="s">
        <v>187</v>
      </c>
      <c r="AC1308" s="0" t="s">
        <v>177</v>
      </c>
      <c r="AD1308" s="0" t="s">
        <v>1104</v>
      </c>
      <c r="AE1308" s="0" t="s">
        <v>3459</v>
      </c>
      <c r="AH1308" s="0" t="s">
        <v>180</v>
      </c>
      <c r="AJ1308" s="0" t="s">
        <v>437</v>
      </c>
      <c r="AK1308" s="0" t="s">
        <v>94</v>
      </c>
      <c r="AM1308" s="0" t="s">
        <v>96</v>
      </c>
      <c r="AU1308" s="0" t="s">
        <v>104</v>
      </c>
      <c r="AV1308" s="0" t="s">
        <v>105</v>
      </c>
      <c r="AZ1308" s="0" t="s">
        <v>109</v>
      </c>
    </row>
    <row r="1309" ht="36.75">
      <c r="B1309" s="0" t="s">
        <v>3460</v>
      </c>
      <c r="C1309" s="1" t="n">
        <v>352160</v>
      </c>
      <c r="E1309" s="14" t="s">
        <v>2533</v>
      </c>
      <c r="F1309" s="14" t="s">
        <v>184</v>
      </c>
      <c r="G1309" s="25" t="str">
        <f>HYPERLINK("http://vk.com/wall335284590_284")</f>
      </c>
      <c r="H1309" s="14" t="s">
        <v>170</v>
      </c>
      <c r="I1309" s="14" t="s">
        <v>171</v>
      </c>
      <c r="J1309" s="14" t="s">
        <v>3461</v>
      </c>
      <c r="K1309" s="26" t="str">
        <f>HYPERLINK("http://vk.com/id335284590")</f>
      </c>
      <c r="L1309" s="14" t="s">
        <v>173</v>
      </c>
      <c r="O1309" s="1" t="s">
        <v>186</v>
      </c>
      <c r="P1309" s="1" t="n">
        <v>63</v>
      </c>
      <c r="Q1309" s="1" t="n">
        <v>179</v>
      </c>
      <c r="R1309" s="1" t="n">
        <v>0</v>
      </c>
      <c r="S1309" s="1"/>
      <c r="T1309" s="1" t="n">
        <v>0</v>
      </c>
      <c r="U1309" s="1" t="n">
        <v>0</v>
      </c>
      <c r="V1309" s="1" t="n">
        <v>0</v>
      </c>
      <c r="W1309" s="1" t="n">
        <v>1</v>
      </c>
      <c r="Y1309" s="1" t="n">
        <v>9</v>
      </c>
      <c r="Z1309" s="0" t="s">
        <v>175</v>
      </c>
      <c r="AA1309" s="0" t="s">
        <v>187</v>
      </c>
      <c r="AH1309" s="0" t="s">
        <v>180</v>
      </c>
      <c r="AJ1309" s="0" t="s">
        <v>437</v>
      </c>
      <c r="AK1309" s="0" t="s">
        <v>94</v>
      </c>
      <c r="AT1309" s="0" t="s">
        <v>103</v>
      </c>
      <c r="AZ1309" s="0" t="s">
        <v>109</v>
      </c>
      <c r="BE1309" s="0" t="s">
        <v>114</v>
      </c>
      <c r="BX1309" s="0" t="s">
        <v>133</v>
      </c>
      <c r="CD1309" s="0" t="s">
        <v>139</v>
      </c>
    </row>
    <row r="1310" ht="36.75">
      <c r="B1310" s="0" t="s">
        <v>3462</v>
      </c>
      <c r="C1310" s="1" t="n">
        <v>352206</v>
      </c>
      <c r="E1310" s="14" t="s">
        <v>1189</v>
      </c>
      <c r="F1310" s="14" t="s">
        <v>169</v>
      </c>
      <c r="G1310" s="25" t="str">
        <f>HYPERLINK("http://www.ok.ru/profile/552808131998/statuses/155306191465886")</f>
      </c>
      <c r="H1310" s="14" t="s">
        <v>170</v>
      </c>
      <c r="I1310" s="14" t="s">
        <v>171</v>
      </c>
      <c r="J1310" s="14" t="s">
        <v>3463</v>
      </c>
      <c r="K1310" s="26" t="str">
        <f>HYPERLINK("http://www.ok.ru/profile/552808131998")</f>
      </c>
      <c r="L1310" s="14" t="s">
        <v>173</v>
      </c>
      <c r="O1310" s="1" t="s">
        <v>174</v>
      </c>
      <c r="P1310" s="1" t="n">
        <v>73</v>
      </c>
      <c r="Q1310" s="1" t="n">
        <v>984</v>
      </c>
      <c r="R1310" s="1" t="n">
        <v>0</v>
      </c>
      <c r="S1310" s="1"/>
      <c r="T1310" s="1" t="n">
        <v>0</v>
      </c>
      <c r="U1310" s="1" t="n">
        <v>5</v>
      </c>
      <c r="V1310" s="1" t="n">
        <v>5</v>
      </c>
      <c r="W1310" s="1"/>
      <c r="Y1310" s="1" t="n">
        <v>46</v>
      </c>
      <c r="Z1310" s="0" t="s">
        <v>175</v>
      </c>
      <c r="AA1310" s="0" t="s">
        <v>187</v>
      </c>
      <c r="AC1310" s="0" t="s">
        <v>177</v>
      </c>
      <c r="AD1310" s="0" t="s">
        <v>1382</v>
      </c>
      <c r="AE1310" s="0" t="s">
        <v>2689</v>
      </c>
      <c r="AH1310" s="0" t="s">
        <v>180</v>
      </c>
      <c r="AJ1310" s="0" t="s">
        <v>437</v>
      </c>
      <c r="AK1310" s="0" t="s">
        <v>94</v>
      </c>
      <c r="AM1310" s="0" t="s">
        <v>96</v>
      </c>
      <c r="AQ1310" s="0" t="s">
        <v>100</v>
      </c>
      <c r="AZ1310" s="0" t="s">
        <v>109</v>
      </c>
    </row>
    <row r="1311">
      <c r="B1311" s="0" t="s">
        <v>3464</v>
      </c>
      <c r="C1311" s="1" t="n">
        <v>352121</v>
      </c>
      <c r="E1311" s="14" t="s">
        <v>3465</v>
      </c>
      <c r="F1311" s="14" t="s">
        <v>375</v>
      </c>
      <c r="G1311" s="25" t="str">
        <f>HYPERLINK("https://www.babyblog.ru/community/ks/post/3200963")</f>
      </c>
      <c r="H1311" s="14" t="s">
        <v>376</v>
      </c>
      <c r="I1311" s="14" t="s">
        <v>231</v>
      </c>
      <c r="J1311" s="14" t="s">
        <v>3466</v>
      </c>
      <c r="L1311" s="14"/>
      <c r="M1311" s="14" t="s">
        <v>378</v>
      </c>
      <c r="O1311" s="1"/>
      <c r="P1311" s="1"/>
      <c r="Q1311" s="1"/>
      <c r="R1311" s="1" t="n">
        <v>0</v>
      </c>
      <c r="S1311" s="1"/>
      <c r="T1311" s="1" t="n">
        <v>0</v>
      </c>
      <c r="U1311" s="1" t="n">
        <v>0</v>
      </c>
      <c r="V1311" s="1" t="n">
        <v>0</v>
      </c>
      <c r="W1311" s="1"/>
      <c r="Y1311" s="1" t="n">
        <v>1</v>
      </c>
      <c r="Z1311" s="0" t="s">
        <v>463</v>
      </c>
      <c r="AA1311" s="0" t="s">
        <v>187</v>
      </c>
      <c r="AH1311" s="0" t="s">
        <v>180</v>
      </c>
      <c r="AJ1311" s="0" t="s">
        <v>437</v>
      </c>
      <c r="AK1311" s="0" t="s">
        <v>94</v>
      </c>
      <c r="AN1311" s="0" t="s">
        <v>97</v>
      </c>
      <c r="AT1311" s="0" t="s">
        <v>103</v>
      </c>
      <c r="AW1311" s="0" t="s">
        <v>106</v>
      </c>
      <c r="AZ1311" s="0" t="s">
        <v>109</v>
      </c>
      <c r="BC1311" s="0" t="s">
        <v>112</v>
      </c>
      <c r="CE1311" s="0" t="s">
        <v>140</v>
      </c>
    </row>
    <row r="1312" ht="36.75">
      <c r="B1312" s="0" t="s">
        <v>3464</v>
      </c>
      <c r="C1312" s="1" t="n">
        <v>352157</v>
      </c>
      <c r="E1312" s="14" t="s">
        <v>3467</v>
      </c>
      <c r="F1312" s="14" t="s">
        <v>184</v>
      </c>
      <c r="G1312" s="25" t="str">
        <f>HYPERLINK("http://vk.com/wall771714477_491")</f>
      </c>
      <c r="H1312" s="14" t="s">
        <v>170</v>
      </c>
      <c r="I1312" s="14" t="s">
        <v>194</v>
      </c>
      <c r="J1312" s="14" t="s">
        <v>3468</v>
      </c>
      <c r="K1312" s="26" t="str">
        <f>HYPERLINK("http://vk.com/id771714477")</f>
      </c>
      <c r="L1312" s="14" t="s">
        <v>173</v>
      </c>
      <c r="O1312" s="1" t="s">
        <v>186</v>
      </c>
      <c r="P1312" s="1" t="n">
        <v>30</v>
      </c>
      <c r="Q1312" s="1" t="n">
        <v>5444</v>
      </c>
      <c r="R1312" s="1" t="n">
        <v>0</v>
      </c>
      <c r="S1312" s="1"/>
      <c r="T1312" s="1" t="n">
        <v>0</v>
      </c>
      <c r="U1312" s="1" t="n">
        <v>0</v>
      </c>
      <c r="V1312" s="1" t="n">
        <v>0</v>
      </c>
      <c r="W1312" s="1" t="n">
        <v>7</v>
      </c>
      <c r="Y1312" s="1" t="n">
        <v>1</v>
      </c>
      <c r="Z1312" s="0" t="s">
        <v>175</v>
      </c>
      <c r="AA1312" s="0" t="s">
        <v>292</v>
      </c>
      <c r="AC1312" s="0" t="s">
        <v>177</v>
      </c>
      <c r="AD1312" s="0" t="s">
        <v>240</v>
      </c>
      <c r="AE1312" s="0" t="s">
        <v>240</v>
      </c>
      <c r="AH1312" s="0" t="s">
        <v>180</v>
      </c>
      <c r="AJ1312" s="0" t="s">
        <v>437</v>
      </c>
      <c r="AK1312" s="0" t="s">
        <v>94</v>
      </c>
      <c r="AN1312" s="0" t="s">
        <v>97</v>
      </c>
      <c r="AT1312" s="0" t="s">
        <v>103</v>
      </c>
      <c r="AZ1312" s="0" t="s">
        <v>109</v>
      </c>
      <c r="BB1312" s="0" t="s">
        <v>111</v>
      </c>
      <c r="BH1312" s="0" t="s">
        <v>117</v>
      </c>
      <c r="BK1312" s="0" t="s">
        <v>120</v>
      </c>
    </row>
    <row r="1313" ht="24.75">
      <c r="B1313" s="0" t="s">
        <v>3469</v>
      </c>
      <c r="C1313" s="1" t="n">
        <v>352256</v>
      </c>
      <c r="E1313" s="14" t="s">
        <v>554</v>
      </c>
      <c r="F1313" s="14" t="s">
        <v>169</v>
      </c>
      <c r="G1313" s="25" t="str">
        <f>HYPERLINK("http://www.ok.ru/profile/576339859000/statuses/155816019301688")</f>
      </c>
      <c r="H1313" s="14" t="s">
        <v>170</v>
      </c>
      <c r="I1313" s="14" t="s">
        <v>171</v>
      </c>
      <c r="J1313" s="14" t="s">
        <v>3470</v>
      </c>
      <c r="K1313" s="26" t="str">
        <f>HYPERLINK("http://www.ok.ru/profile/576339859000")</f>
      </c>
      <c r="L1313" s="14" t="s">
        <v>173</v>
      </c>
      <c r="O1313" s="1" t="s">
        <v>186</v>
      </c>
      <c r="P1313" s="1" t="n">
        <v>70</v>
      </c>
      <c r="Q1313" s="1" t="n">
        <v>170</v>
      </c>
      <c r="R1313" s="1" t="n">
        <v>0</v>
      </c>
      <c r="S1313" s="1"/>
      <c r="T1313" s="1" t="n">
        <v>0</v>
      </c>
      <c r="U1313" s="1" t="n">
        <v>2</v>
      </c>
      <c r="V1313" s="1" t="n">
        <v>2</v>
      </c>
      <c r="W1313" s="1"/>
      <c r="Y1313" s="1" t="n">
        <v>59</v>
      </c>
      <c r="Z1313" s="0" t="s">
        <v>175</v>
      </c>
      <c r="AA1313" s="0" t="s">
        <v>176</v>
      </c>
      <c r="AC1313" s="0" t="s">
        <v>177</v>
      </c>
      <c r="AD1313" s="0" t="s">
        <v>556</v>
      </c>
      <c r="AE1313" s="0" t="s">
        <v>3471</v>
      </c>
      <c r="AH1313" s="0" t="s">
        <v>180</v>
      </c>
      <c r="AJ1313" s="0" t="s">
        <v>437</v>
      </c>
      <c r="AK1313" s="0" t="s">
        <v>94</v>
      </c>
      <c r="AL1313" s="0" t="s">
        <v>95</v>
      </c>
      <c r="AM1313" s="0" t="s">
        <v>96</v>
      </c>
      <c r="AO1313" s="0" t="s">
        <v>98</v>
      </c>
      <c r="AQ1313" s="0" t="s">
        <v>100</v>
      </c>
    </row>
    <row r="1314" ht="36.75">
      <c r="B1314" s="0" t="s">
        <v>3472</v>
      </c>
      <c r="C1314" s="1" t="n">
        <v>352158</v>
      </c>
      <c r="E1314" s="14" t="s">
        <v>202</v>
      </c>
      <c r="F1314" s="14" t="s">
        <v>184</v>
      </c>
      <c r="G1314" s="25" t="str">
        <f>HYPERLINK("http://vk.com/wall555290823_2522")</f>
      </c>
      <c r="H1314" s="14" t="s">
        <v>170</v>
      </c>
      <c r="I1314" s="14" t="s">
        <v>171</v>
      </c>
      <c r="J1314" s="14" t="s">
        <v>3473</v>
      </c>
      <c r="K1314" s="26" t="str">
        <f>HYPERLINK("http://vk.com/id555290823")</f>
      </c>
      <c r="L1314" s="14" t="s">
        <v>173</v>
      </c>
      <c r="O1314" s="1" t="s">
        <v>186</v>
      </c>
      <c r="P1314" s="1"/>
      <c r="Q1314" s="1" t="n">
        <v>181</v>
      </c>
      <c r="R1314" s="1" t="n">
        <v>0</v>
      </c>
      <c r="S1314" s="1"/>
      <c r="T1314" s="1" t="n">
        <v>0</v>
      </c>
      <c r="U1314" s="1" t="n">
        <v>0</v>
      </c>
      <c r="V1314" s="1" t="n">
        <v>0</v>
      </c>
      <c r="W1314" s="1" t="n">
        <v>1</v>
      </c>
      <c r="Y1314" s="1" t="n">
        <v>61</v>
      </c>
      <c r="Z1314" s="0" t="s">
        <v>175</v>
      </c>
      <c r="AA1314" s="0" t="s">
        <v>176</v>
      </c>
      <c r="AC1314" s="0" t="s">
        <v>177</v>
      </c>
      <c r="AD1314" s="0" t="s">
        <v>767</v>
      </c>
      <c r="AE1314" s="0" t="s">
        <v>768</v>
      </c>
      <c r="AH1314" s="0" t="s">
        <v>180</v>
      </c>
      <c r="AJ1314" s="0" t="s">
        <v>437</v>
      </c>
      <c r="AK1314" s="0" t="s">
        <v>94</v>
      </c>
      <c r="AL1314" s="0" t="s">
        <v>95</v>
      </c>
      <c r="AM1314" s="0" t="s">
        <v>96</v>
      </c>
      <c r="AO1314" s="0" t="s">
        <v>98</v>
      </c>
      <c r="AQ1314" s="0" t="s">
        <v>100</v>
      </c>
    </row>
    <row r="1315" ht="84.75">
      <c r="B1315" s="0" t="s">
        <v>3472</v>
      </c>
      <c r="C1315" s="1" t="n">
        <v>352037</v>
      </c>
      <c r="E1315" s="14" t="s">
        <v>3474</v>
      </c>
      <c r="F1315" s="14" t="s">
        <v>192</v>
      </c>
      <c r="G1315" s="25" t="str">
        <f>HYPERLINK("https://telegram.me/pediatry_chat_pediatrov/66985")</f>
      </c>
      <c r="H1315" s="14" t="s">
        <v>193</v>
      </c>
      <c r="I1315" s="14" t="s">
        <v>194</v>
      </c>
      <c r="J1315" s="14" t="s">
        <v>3475</v>
      </c>
      <c r="K1315" s="26" t="str">
        <f>HYPERLINK("https://telegram.me/bob_na")</f>
      </c>
      <c r="L1315" s="14" t="s">
        <v>173</v>
      </c>
      <c r="M1315" s="14" t="s">
        <v>3476</v>
      </c>
      <c r="N1315" s="25" t="str">
        <f>HYPERLINK("https://telegram.me/pediatry_chat_pediatrov")</f>
      </c>
      <c r="O1315" s="1" t="s">
        <v>186</v>
      </c>
      <c r="P1315" s="1"/>
      <c r="Q1315" s="1" t="n">
        <v>9356</v>
      </c>
      <c r="R1315" s="1" t="n">
        <v>0</v>
      </c>
      <c r="S1315" s="1"/>
      <c r="T1315" s="1" t="n">
        <v>0</v>
      </c>
      <c r="U1315" s="1" t="n">
        <v>0</v>
      </c>
      <c r="V1315" s="1" t="n">
        <v>0</v>
      </c>
      <c r="W1315" s="1"/>
      <c r="Y1315" s="1" t="n">
        <v>1</v>
      </c>
      <c r="Z1315" s="0" t="s">
        <v>175</v>
      </c>
      <c r="AA1315" s="0" t="s">
        <v>187</v>
      </c>
      <c r="AH1315" s="0" t="s">
        <v>180</v>
      </c>
      <c r="AI1315" s="0" t="s">
        <v>92</v>
      </c>
      <c r="AJ1315" s="0" t="s">
        <v>437</v>
      </c>
      <c r="AK1315" s="0" t="s">
        <v>94</v>
      </c>
      <c r="AL1315" s="0" t="s">
        <v>95</v>
      </c>
      <c r="AN1315" s="0" t="s">
        <v>97</v>
      </c>
      <c r="AS1315" s="0" t="s">
        <v>102</v>
      </c>
      <c r="AT1315" s="0" t="s">
        <v>103</v>
      </c>
      <c r="AW1315" s="0" t="s">
        <v>106</v>
      </c>
      <c r="BB1315" s="0" t="s">
        <v>111</v>
      </c>
      <c r="BC1315" s="0" t="s">
        <v>112</v>
      </c>
      <c r="BE1315" s="0" t="s">
        <v>114</v>
      </c>
      <c r="BL1315" s="0" t="s">
        <v>121</v>
      </c>
      <c r="BO1315" s="0" t="s">
        <v>124</v>
      </c>
    </row>
    <row r="1316">
      <c r="B1316" s="0" t="s">
        <v>3472</v>
      </c>
      <c r="C1316" s="1" t="n">
        <v>352028</v>
      </c>
      <c r="E1316" s="14" t="s">
        <v>3477</v>
      </c>
      <c r="F1316" s="14" t="s">
        <v>184</v>
      </c>
      <c r="G1316" s="25" t="str">
        <f>HYPERLINK("http://vk.com/wall-81840381_3445957?reply=3451005")</f>
      </c>
      <c r="H1316" s="14" t="s">
        <v>170</v>
      </c>
      <c r="I1316" s="14" t="s">
        <v>231</v>
      </c>
      <c r="J1316" s="14" t="s">
        <v>250</v>
      </c>
      <c r="K1316" s="26" t="str">
        <f>HYPERLINK("http://vk.com/id652333442")</f>
      </c>
      <c r="L1316" s="14" t="s">
        <v>173</v>
      </c>
      <c r="M1316" s="14" t="s">
        <v>251</v>
      </c>
      <c r="N1316" s="25" t="str">
        <f>HYPERLINK("http://vk.com/club81840381")</f>
      </c>
      <c r="O1316" s="1" t="s">
        <v>186</v>
      </c>
      <c r="P1316" s="1"/>
      <c r="Q1316" s="1" t="n">
        <v>103782</v>
      </c>
      <c r="R1316" s="1" t="n">
        <v>0</v>
      </c>
      <c r="S1316" s="1"/>
      <c r="T1316" s="1" t="n">
        <v>0</v>
      </c>
      <c r="U1316" s="1" t="n">
        <v>0</v>
      </c>
      <c r="V1316" s="1" t="n">
        <v>0</v>
      </c>
      <c r="W1316" s="1"/>
      <c r="Y1316" s="1" t="n">
        <v>1</v>
      </c>
      <c r="Z1316" s="0" t="s">
        <v>175</v>
      </c>
      <c r="AA1316" s="0" t="s">
        <v>187</v>
      </c>
      <c r="AC1316" s="0" t="s">
        <v>177</v>
      </c>
      <c r="AD1316" s="0" t="s">
        <v>252</v>
      </c>
      <c r="AE1316" s="0" t="s">
        <v>253</v>
      </c>
      <c r="AH1316" s="0" t="s">
        <v>180</v>
      </c>
      <c r="AI1316" s="0" t="s">
        <v>92</v>
      </c>
      <c r="AJ1316" s="0" t="s">
        <v>437</v>
      </c>
      <c r="AK1316" s="0" t="s">
        <v>94</v>
      </c>
      <c r="AL1316" s="0" t="s">
        <v>95</v>
      </c>
      <c r="AN1316" s="0" t="s">
        <v>97</v>
      </c>
      <c r="AS1316" s="0" t="s">
        <v>102</v>
      </c>
      <c r="BE1316" s="0" t="s">
        <v>114</v>
      </c>
      <c r="BH1316" s="0" t="s">
        <v>117</v>
      </c>
      <c r="BO1316" s="0" t="s">
        <v>124</v>
      </c>
      <c r="BZ1316" s="0" t="s">
        <v>135</v>
      </c>
    </row>
    <row r="1317" ht="108.75">
      <c r="B1317" s="0" t="s">
        <v>3478</v>
      </c>
      <c r="C1317" s="1" t="n">
        <v>352152</v>
      </c>
      <c r="E1317" s="14" t="s">
        <v>529</v>
      </c>
      <c r="F1317" s="14" t="s">
        <v>184</v>
      </c>
      <c r="G1317" s="25" t="str">
        <f>HYPERLINK("http://vk.com/wall224746185_11432")</f>
      </c>
      <c r="H1317" s="14" t="s">
        <v>170</v>
      </c>
      <c r="I1317" s="14" t="s">
        <v>171</v>
      </c>
      <c r="J1317" s="14" t="s">
        <v>3479</v>
      </c>
      <c r="K1317" s="26" t="str">
        <f>HYPERLINK("http://vk.com/id224746185")</f>
      </c>
      <c r="L1317" s="14" t="s">
        <v>173</v>
      </c>
      <c r="O1317" s="1" t="s">
        <v>186</v>
      </c>
      <c r="P1317" s="1"/>
      <c r="Q1317" s="1" t="n">
        <v>411</v>
      </c>
      <c r="R1317" s="1" t="n">
        <v>0</v>
      </c>
      <c r="S1317" s="1"/>
      <c r="T1317" s="1" t="n">
        <v>0</v>
      </c>
      <c r="U1317" s="1" t="n">
        <v>1</v>
      </c>
      <c r="V1317" s="1" t="n">
        <v>1</v>
      </c>
      <c r="W1317" s="1" t="n">
        <v>6</v>
      </c>
      <c r="Y1317" s="1" t="n">
        <v>9</v>
      </c>
      <c r="Z1317" s="0" t="s">
        <v>175</v>
      </c>
      <c r="AA1317" s="0" t="s">
        <v>292</v>
      </c>
      <c r="AC1317" s="0" t="s">
        <v>177</v>
      </c>
      <c r="AD1317" s="0" t="s">
        <v>332</v>
      </c>
      <c r="AE1317" s="0" t="s">
        <v>332</v>
      </c>
      <c r="AH1317" s="0" t="s">
        <v>180</v>
      </c>
      <c r="AJ1317" s="0" t="s">
        <v>437</v>
      </c>
      <c r="AK1317" s="0" t="s">
        <v>94</v>
      </c>
      <c r="AR1317" s="0" t="s">
        <v>101</v>
      </c>
      <c r="AZ1317" s="0" t="s">
        <v>109</v>
      </c>
      <c r="BA1317" s="0" t="s">
        <v>110</v>
      </c>
      <c r="BF1317" s="0" t="s">
        <v>115</v>
      </c>
    </row>
    <row r="1318">
      <c r="B1318" s="0" t="s">
        <v>3480</v>
      </c>
      <c r="C1318" s="1" t="n">
        <v>352023</v>
      </c>
      <c r="E1318" s="14" t="s">
        <v>3481</v>
      </c>
      <c r="F1318" s="14" t="s">
        <v>184</v>
      </c>
      <c r="G1318" s="25" t="str">
        <f>HYPERLINK("http://vk.com/wall-17577887_8008027?reply=8008085")</f>
      </c>
      <c r="H1318" s="14" t="s">
        <v>170</v>
      </c>
      <c r="I1318" s="14" t="s">
        <v>231</v>
      </c>
      <c r="J1318" s="14" t="s">
        <v>3482</v>
      </c>
      <c r="K1318" s="26" t="str">
        <f>HYPERLINK("http://vk.com/id155915274")</f>
      </c>
      <c r="L1318" s="14" t="s">
        <v>173</v>
      </c>
      <c r="M1318" s="14" t="s">
        <v>603</v>
      </c>
      <c r="N1318" s="25" t="str">
        <f>HYPERLINK("http://vk.com/club17577887")</f>
      </c>
      <c r="O1318" s="1" t="s">
        <v>186</v>
      </c>
      <c r="P1318" s="1"/>
      <c r="Q1318" s="1" t="n">
        <v>66550</v>
      </c>
      <c r="R1318" s="1" t="n">
        <v>0</v>
      </c>
      <c r="S1318" s="1"/>
      <c r="T1318" s="1" t="n">
        <v>0</v>
      </c>
      <c r="U1318" s="1" t="n">
        <v>0</v>
      </c>
      <c r="V1318" s="1" t="n">
        <v>0</v>
      </c>
      <c r="W1318" s="1"/>
      <c r="Y1318" s="1" t="n">
        <v>1</v>
      </c>
      <c r="Z1318" s="0" t="s">
        <v>175</v>
      </c>
      <c r="AA1318" s="0" t="s">
        <v>187</v>
      </c>
      <c r="AC1318" s="0" t="s">
        <v>177</v>
      </c>
      <c r="AD1318" s="0" t="s">
        <v>252</v>
      </c>
      <c r="AE1318" s="0" t="s">
        <v>1490</v>
      </c>
      <c r="AH1318" s="0" t="s">
        <v>180</v>
      </c>
      <c r="AI1318" s="0" t="s">
        <v>92</v>
      </c>
      <c r="AJ1318" s="0" t="s">
        <v>437</v>
      </c>
      <c r="AK1318" s="0" t="s">
        <v>94</v>
      </c>
      <c r="AL1318" s="0" t="s">
        <v>95</v>
      </c>
      <c r="AN1318" s="0" t="s">
        <v>97</v>
      </c>
      <c r="BE1318" s="0" t="s">
        <v>114</v>
      </c>
      <c r="BG1318" s="0" t="s">
        <v>116</v>
      </c>
      <c r="BJ1318" s="0" t="s">
        <v>119</v>
      </c>
      <c r="CE1318" s="0" t="s">
        <v>140</v>
      </c>
    </row>
    <row r="1319" ht="1248.75">
      <c r="B1319" s="0" t="s">
        <v>3483</v>
      </c>
      <c r="C1319" s="1" t="n">
        <v>352797</v>
      </c>
      <c r="E1319" s="14" t="s">
        <v>1253</v>
      </c>
      <c r="F1319" s="14" t="s">
        <v>169</v>
      </c>
      <c r="G1319" s="25" t="str">
        <f>HYPERLINK("http://www.ok.ru/profile/522098105051/statuses/155112468242651")</f>
      </c>
      <c r="H1319" s="14" t="s">
        <v>170</v>
      </c>
      <c r="I1319" s="14" t="s">
        <v>171</v>
      </c>
      <c r="J1319" s="14" t="s">
        <v>3484</v>
      </c>
      <c r="K1319" s="26" t="str">
        <f>HYPERLINK("http://www.ok.ru/profile/522098105051")</f>
      </c>
      <c r="L1319" s="14" t="s">
        <v>173</v>
      </c>
      <c r="O1319" s="1" t="s">
        <v>186</v>
      </c>
      <c r="P1319" s="1" t="n">
        <v>56</v>
      </c>
      <c r="Q1319" s="1" t="n">
        <v>188</v>
      </c>
      <c r="R1319" s="1" t="n">
        <v>0</v>
      </c>
      <c r="S1319" s="1"/>
      <c r="T1319" s="1" t="n">
        <v>1</v>
      </c>
      <c r="U1319" s="1" t="n">
        <v>1</v>
      </c>
      <c r="V1319" s="1" t="n">
        <v>2</v>
      </c>
      <c r="W1319" s="1"/>
      <c r="Y1319" s="1" t="n">
        <v>5</v>
      </c>
      <c r="Z1319" s="0" t="s">
        <v>175</v>
      </c>
      <c r="AA1319" s="0" t="s">
        <v>187</v>
      </c>
      <c r="AC1319" s="0" t="s">
        <v>177</v>
      </c>
      <c r="AD1319" s="0" t="s">
        <v>349</v>
      </c>
      <c r="AE1319" s="0" t="s">
        <v>3485</v>
      </c>
      <c r="AH1319" s="0" t="s">
        <v>180</v>
      </c>
      <c r="AJ1319" s="0" t="s">
        <v>437</v>
      </c>
      <c r="AK1319" s="0" t="s">
        <v>94</v>
      </c>
      <c r="AL1319" s="0" t="s">
        <v>95</v>
      </c>
      <c r="AM1319" s="0" t="s">
        <v>96</v>
      </c>
      <c r="AX1319" s="0" t="s">
        <v>107</v>
      </c>
    </row>
    <row r="1320" ht="1164.75">
      <c r="B1320" s="0" t="s">
        <v>3486</v>
      </c>
      <c r="C1320" s="1" t="n">
        <v>352143</v>
      </c>
      <c r="E1320" s="14" t="s">
        <v>1110</v>
      </c>
      <c r="F1320" s="14" t="s">
        <v>184</v>
      </c>
      <c r="G1320" s="25" t="str">
        <f>HYPERLINK("http://vk.com/wall761951280_148")</f>
      </c>
      <c r="H1320" s="14" t="s">
        <v>170</v>
      </c>
      <c r="I1320" s="14" t="s">
        <v>171</v>
      </c>
      <c r="J1320" s="14" t="s">
        <v>3487</v>
      </c>
      <c r="K1320" s="26" t="str">
        <f>HYPERLINK("http://vk.com/id761951280")</f>
      </c>
      <c r="L1320" s="14" t="s">
        <v>173</v>
      </c>
      <c r="O1320" s="1" t="s">
        <v>186</v>
      </c>
      <c r="P1320" s="1" t="n">
        <v>69</v>
      </c>
      <c r="Q1320" s="1" t="n">
        <v>9</v>
      </c>
      <c r="R1320" s="1" t="n">
        <v>0</v>
      </c>
      <c r="S1320" s="1"/>
      <c r="T1320" s="1" t="n">
        <v>0</v>
      </c>
      <c r="U1320" s="1" t="n">
        <v>0</v>
      </c>
      <c r="V1320" s="1" t="n">
        <v>0</v>
      </c>
      <c r="W1320" s="1"/>
      <c r="Y1320" s="1" t="n">
        <v>4</v>
      </c>
      <c r="Z1320" s="0" t="s">
        <v>175</v>
      </c>
      <c r="AA1320" s="0" t="s">
        <v>187</v>
      </c>
      <c r="AH1320" s="0" t="s">
        <v>180</v>
      </c>
      <c r="AJ1320" s="0" t="s">
        <v>437</v>
      </c>
      <c r="AK1320" s="0" t="s">
        <v>94</v>
      </c>
      <c r="AM1320" s="0" t="s">
        <v>96</v>
      </c>
      <c r="AX1320" s="0" t="s">
        <v>107</v>
      </c>
      <c r="AZ1320" s="0" t="s">
        <v>109</v>
      </c>
    </row>
    <row r="1321" ht="96.75">
      <c r="B1321" s="0" t="s">
        <v>3486</v>
      </c>
      <c r="C1321" s="1" t="n">
        <v>352150</v>
      </c>
      <c r="E1321" s="14" t="s">
        <v>1049</v>
      </c>
      <c r="F1321" s="14" t="s">
        <v>169</v>
      </c>
      <c r="G1321" s="25" t="str">
        <f>HYPERLINK("http://www.ok.ru/group/64368221159654/topic/156599622680038")</f>
      </c>
      <c r="H1321" s="14" t="s">
        <v>170</v>
      </c>
      <c r="I1321" s="14" t="s">
        <v>194</v>
      </c>
      <c r="J1321" s="14" t="s">
        <v>3488</v>
      </c>
      <c r="K1321" s="26" t="str">
        <f>HYPERLINK("http://www.ok.ru/group/64368221159654")</f>
      </c>
      <c r="L1321" s="14" t="s">
        <v>274</v>
      </c>
      <c r="O1321" s="1"/>
      <c r="P1321" s="1"/>
      <c r="Q1321" s="1" t="n">
        <v>29783</v>
      </c>
      <c r="R1321" s="1" t="n">
        <v>0</v>
      </c>
      <c r="S1321" s="1"/>
      <c r="T1321" s="1" t="n">
        <v>0</v>
      </c>
      <c r="U1321" s="1" t="n">
        <v>14</v>
      </c>
      <c r="V1321" s="1" t="n">
        <v>14</v>
      </c>
      <c r="W1321" s="1"/>
      <c r="Y1321" s="1" t="n">
        <v>6</v>
      </c>
      <c r="Z1321" s="0" t="s">
        <v>175</v>
      </c>
      <c r="AA1321" s="0" t="s">
        <v>187</v>
      </c>
      <c r="AH1321" s="0" t="s">
        <v>180</v>
      </c>
      <c r="AJ1321" s="0" t="s">
        <v>437</v>
      </c>
      <c r="AK1321" s="0" t="s">
        <v>94</v>
      </c>
      <c r="AU1321" s="0" t="s">
        <v>104</v>
      </c>
      <c r="AZ1321" s="0" t="s">
        <v>109</v>
      </c>
      <c r="BA1321" s="0" t="s">
        <v>110</v>
      </c>
      <c r="BJ1321" s="0" t="s">
        <v>119</v>
      </c>
    </row>
    <row r="1322" ht="564.75">
      <c r="B1322" s="0" t="s">
        <v>3486</v>
      </c>
      <c r="C1322" s="1" t="n">
        <v>352189</v>
      </c>
      <c r="D1322" s="0" t="s">
        <v>3489</v>
      </c>
      <c r="E1322" s="14" t="s">
        <v>3490</v>
      </c>
      <c r="F1322" s="14" t="s">
        <v>1187</v>
      </c>
      <c r="G1322" s="25" t="str">
        <f>HYPERLINK("http://www.kremlinrus.ru/article/181/166157/")</f>
      </c>
      <c r="H1322" s="14" t="s">
        <v>208</v>
      </c>
      <c r="I1322" s="14" t="s">
        <v>194</v>
      </c>
      <c r="J1322" s="14"/>
      <c r="L1322" s="14"/>
      <c r="O1322" s="1"/>
      <c r="P1322" s="1"/>
      <c r="Q1322" s="1"/>
      <c r="R1322" s="1" t="n">
        <v>0</v>
      </c>
      <c r="S1322" s="1" t="n">
        <v>1668</v>
      </c>
      <c r="T1322" s="1" t="n">
        <v>0</v>
      </c>
      <c r="U1322" s="1" t="n">
        <v>0</v>
      </c>
      <c r="V1322" s="1" t="n">
        <v>0</v>
      </c>
      <c r="W1322" s="1"/>
      <c r="Y1322" s="1" t="n">
        <v>2</v>
      </c>
      <c r="Z1322" s="0" t="s">
        <v>175</v>
      </c>
      <c r="AA1322" s="0" t="s">
        <v>223</v>
      </c>
      <c r="AH1322" s="0" t="s">
        <v>180</v>
      </c>
      <c r="AJ1322" s="0" t="s">
        <v>437</v>
      </c>
      <c r="AK1322" s="0" t="s">
        <v>94</v>
      </c>
      <c r="AM1322" s="0" t="s">
        <v>96</v>
      </c>
      <c r="AO1322" s="0" t="s">
        <v>98</v>
      </c>
      <c r="AR1322" s="0" t="s">
        <v>101</v>
      </c>
      <c r="AV1322" s="0" t="s">
        <v>105</v>
      </c>
      <c r="AZ1322" s="0" t="s">
        <v>109</v>
      </c>
      <c r="BC1322" s="0" t="s">
        <v>112</v>
      </c>
      <c r="BF1322" s="0" t="s">
        <v>115</v>
      </c>
      <c r="BI1322" s="0" t="s">
        <v>118</v>
      </c>
      <c r="BJ1322" s="0" t="s">
        <v>119</v>
      </c>
      <c r="BW1322" s="0" t="s">
        <v>132</v>
      </c>
    </row>
    <row r="1323">
      <c r="B1323" s="0" t="s">
        <v>3491</v>
      </c>
      <c r="C1323" s="1" t="n">
        <v>352038</v>
      </c>
      <c r="E1323" s="14" t="s">
        <v>3492</v>
      </c>
      <c r="F1323" s="14" t="s">
        <v>375</v>
      </c>
      <c r="G1323" s="25" t="str">
        <f>HYPERLINK("https://www.babyblog.ru/community/bolshiedeti/post/3198831")</f>
      </c>
      <c r="H1323" s="14" t="s">
        <v>376</v>
      </c>
      <c r="I1323" s="14" t="s">
        <v>231</v>
      </c>
      <c r="J1323" s="14" t="s">
        <v>1022</v>
      </c>
      <c r="L1323" s="14"/>
      <c r="M1323" s="14" t="s">
        <v>378</v>
      </c>
      <c r="O1323" s="1"/>
      <c r="P1323" s="1"/>
      <c r="Q1323" s="1"/>
      <c r="R1323" s="1" t="n">
        <v>0</v>
      </c>
      <c r="S1323" s="1"/>
      <c r="T1323" s="1" t="n">
        <v>0</v>
      </c>
      <c r="U1323" s="1" t="n">
        <v>0</v>
      </c>
      <c r="V1323" s="1" t="n">
        <v>0</v>
      </c>
      <c r="W1323" s="1"/>
      <c r="Y1323" s="1" t="n">
        <v>1</v>
      </c>
      <c r="Z1323" s="0" t="s">
        <v>463</v>
      </c>
      <c r="AA1323" s="0" t="s">
        <v>187</v>
      </c>
      <c r="AH1323" s="0" t="s">
        <v>180</v>
      </c>
      <c r="AI1323" s="0" t="s">
        <v>92</v>
      </c>
      <c r="AJ1323" s="0" t="s">
        <v>437</v>
      </c>
      <c r="AK1323" s="0" t="s">
        <v>94</v>
      </c>
      <c r="AL1323" s="0" t="s">
        <v>95</v>
      </c>
      <c r="AN1323" s="0" t="s">
        <v>97</v>
      </c>
      <c r="AR1323" s="0" t="s">
        <v>101</v>
      </c>
      <c r="AS1323" s="0" t="s">
        <v>102</v>
      </c>
      <c r="AW1323" s="0" t="s">
        <v>106</v>
      </c>
      <c r="BG1323" s="0" t="s">
        <v>116</v>
      </c>
      <c r="BM1323" s="0" t="s">
        <v>122</v>
      </c>
      <c r="CV1323" s="0" t="s">
        <v>157</v>
      </c>
    </row>
    <row r="1324">
      <c r="B1324" s="0" t="s">
        <v>3493</v>
      </c>
      <c r="C1324" s="1" t="n">
        <v>352610</v>
      </c>
      <c r="E1324" s="14" t="s">
        <v>3494</v>
      </c>
      <c r="F1324" s="14" t="s">
        <v>169</v>
      </c>
      <c r="G1324" s="25" t="str">
        <f>HYPERLINK("http://www.ok.ru/profile/360746112718/statuses/156144383735246")</f>
      </c>
      <c r="H1324" s="14" t="s">
        <v>170</v>
      </c>
      <c r="I1324" s="14" t="s">
        <v>171</v>
      </c>
      <c r="J1324" s="14" t="s">
        <v>3495</v>
      </c>
      <c r="K1324" s="26" t="str">
        <f>HYPERLINK("http://www.ok.ru/profile/360746112718")</f>
      </c>
      <c r="L1324" s="14" t="s">
        <v>173</v>
      </c>
      <c r="O1324" s="1" t="s">
        <v>186</v>
      </c>
      <c r="P1324" s="1" t="n">
        <v>60</v>
      </c>
      <c r="Q1324" s="1" t="n">
        <v>129</v>
      </c>
      <c r="R1324" s="1" t="n">
        <v>0</v>
      </c>
      <c r="S1324" s="1"/>
      <c r="T1324" s="1" t="n">
        <v>0</v>
      </c>
      <c r="U1324" s="1" t="n">
        <v>0</v>
      </c>
      <c r="V1324" s="1" t="n">
        <v>0</v>
      </c>
      <c r="W1324" s="1"/>
      <c r="Y1324" s="1" t="n">
        <v>1</v>
      </c>
      <c r="Z1324" s="0" t="s">
        <v>175</v>
      </c>
      <c r="AA1324" s="0" t="s">
        <v>187</v>
      </c>
      <c r="AC1324" s="0" t="s">
        <v>177</v>
      </c>
      <c r="AD1324" s="0" t="s">
        <v>246</v>
      </c>
      <c r="AE1324" s="0" t="s">
        <v>3496</v>
      </c>
      <c r="AH1324" s="0" t="s">
        <v>180</v>
      </c>
      <c r="AJ1324" s="0" t="s">
        <v>437</v>
      </c>
      <c r="AK1324" s="0" t="s">
        <v>94</v>
      </c>
      <c r="AL1324" s="0" t="s">
        <v>95</v>
      </c>
      <c r="AM1324" s="0" t="s">
        <v>96</v>
      </c>
      <c r="AU1324" s="0" t="s">
        <v>104</v>
      </c>
      <c r="AV1324" s="0" t="s">
        <v>105</v>
      </c>
    </row>
    <row r="1325" ht="36.75">
      <c r="B1325" s="0" t="s">
        <v>3493</v>
      </c>
      <c r="C1325" s="1" t="n">
        <v>352188</v>
      </c>
      <c r="E1325" s="14" t="s">
        <v>1189</v>
      </c>
      <c r="F1325" s="14" t="s">
        <v>169</v>
      </c>
      <c r="G1325" s="25" t="str">
        <f>HYPERLINK("http://www.ok.ru/profile/548865689238/statuses/155733892896918")</f>
      </c>
      <c r="H1325" s="14" t="s">
        <v>170</v>
      </c>
      <c r="I1325" s="14" t="s">
        <v>171</v>
      </c>
      <c r="J1325" s="14" t="s">
        <v>3497</v>
      </c>
      <c r="K1325" s="26" t="str">
        <f>HYPERLINK("http://www.ok.ru/profile/548865689238")</f>
      </c>
      <c r="L1325" s="14" t="s">
        <v>173</v>
      </c>
      <c r="O1325" s="1" t="s">
        <v>186</v>
      </c>
      <c r="P1325" s="1" t="n">
        <v>51</v>
      </c>
      <c r="Q1325" s="1" t="n">
        <v>474</v>
      </c>
      <c r="R1325" s="1" t="n">
        <v>0</v>
      </c>
      <c r="S1325" s="1"/>
      <c r="T1325" s="1" t="n">
        <v>1</v>
      </c>
      <c r="U1325" s="1" t="n">
        <v>0</v>
      </c>
      <c r="V1325" s="1" t="n">
        <v>1</v>
      </c>
      <c r="W1325" s="1"/>
      <c r="Y1325" s="1" t="n">
        <v>46</v>
      </c>
      <c r="Z1325" s="0" t="s">
        <v>175</v>
      </c>
      <c r="AA1325" s="0" t="s">
        <v>187</v>
      </c>
      <c r="AC1325" s="0" t="s">
        <v>177</v>
      </c>
      <c r="AD1325" s="0" t="s">
        <v>188</v>
      </c>
      <c r="AE1325" s="0" t="s">
        <v>1505</v>
      </c>
      <c r="AH1325" s="0" t="s">
        <v>180</v>
      </c>
      <c r="AJ1325" s="0" t="s">
        <v>437</v>
      </c>
      <c r="AK1325" s="0" t="s">
        <v>94</v>
      </c>
      <c r="AM1325" s="0" t="s">
        <v>96</v>
      </c>
      <c r="AQ1325" s="0" t="s">
        <v>100</v>
      </c>
      <c r="AZ1325" s="0" t="s">
        <v>109</v>
      </c>
    </row>
    <row r="1326" ht="24.75">
      <c r="B1326" s="0" t="s">
        <v>3498</v>
      </c>
      <c r="C1326" s="1" t="n">
        <v>352778</v>
      </c>
      <c r="E1326" s="14" t="s">
        <v>1356</v>
      </c>
      <c r="F1326" s="14" t="s">
        <v>169</v>
      </c>
      <c r="G1326" s="25" t="str">
        <f>HYPERLINK("http://www.ok.ru/profile/577192192530/statuses/156148720801810")</f>
      </c>
      <c r="H1326" s="14" t="s">
        <v>170</v>
      </c>
      <c r="I1326" s="14" t="s">
        <v>171</v>
      </c>
      <c r="J1326" s="14" t="s">
        <v>3499</v>
      </c>
      <c r="K1326" s="26" t="str">
        <f>HYPERLINK("http://www.ok.ru/profile/577192192530")</f>
      </c>
      <c r="L1326" s="14" t="s">
        <v>173</v>
      </c>
      <c r="O1326" s="1" t="s">
        <v>186</v>
      </c>
      <c r="P1326" s="1"/>
      <c r="Q1326" s="1" t="n">
        <v>165</v>
      </c>
      <c r="R1326" s="1" t="n">
        <v>0</v>
      </c>
      <c r="S1326" s="1"/>
      <c r="T1326" s="1" t="n">
        <v>0</v>
      </c>
      <c r="U1326" s="1" t="n">
        <v>1</v>
      </c>
      <c r="V1326" s="1" t="n">
        <v>1</v>
      </c>
      <c r="W1326" s="1"/>
      <c r="Y1326" s="1" t="n">
        <v>93</v>
      </c>
      <c r="Z1326" s="0" t="s">
        <v>175</v>
      </c>
      <c r="AA1326" s="0" t="s">
        <v>187</v>
      </c>
      <c r="AC1326" s="0" t="s">
        <v>177</v>
      </c>
      <c r="AD1326" s="0" t="s">
        <v>910</v>
      </c>
      <c r="AE1326" s="0" t="s">
        <v>1993</v>
      </c>
      <c r="AH1326" s="0" t="s">
        <v>180</v>
      </c>
      <c r="AJ1326" s="0" t="s">
        <v>437</v>
      </c>
      <c r="AK1326" s="0" t="s">
        <v>94</v>
      </c>
      <c r="AL1326" s="0" t="s">
        <v>95</v>
      </c>
      <c r="AM1326" s="0" t="s">
        <v>96</v>
      </c>
      <c r="AU1326" s="0" t="s">
        <v>104</v>
      </c>
      <c r="AV1326" s="0" t="s">
        <v>105</v>
      </c>
    </row>
    <row r="1327" ht="1104.75">
      <c r="B1327" s="0" t="s">
        <v>3500</v>
      </c>
      <c r="C1327" s="1" t="n">
        <v>352133</v>
      </c>
      <c r="E1327" s="14" t="s">
        <v>1618</v>
      </c>
      <c r="F1327" s="14" t="s">
        <v>184</v>
      </c>
      <c r="G1327" s="25" t="str">
        <f>HYPERLINK("http://vk.com/wall746730811_439")</f>
      </c>
      <c r="H1327" s="14" t="s">
        <v>170</v>
      </c>
      <c r="I1327" s="14" t="s">
        <v>171</v>
      </c>
      <c r="J1327" s="14" t="s">
        <v>3501</v>
      </c>
      <c r="K1327" s="26" t="str">
        <f>HYPERLINK("http://vk.com/id746730811")</f>
      </c>
      <c r="L1327" s="14" t="s">
        <v>173</v>
      </c>
      <c r="O1327" s="1" t="s">
        <v>186</v>
      </c>
      <c r="P1327" s="1" t="n">
        <v>68</v>
      </c>
      <c r="Q1327" s="1" t="n">
        <v>157</v>
      </c>
      <c r="R1327" s="1" t="n">
        <v>0</v>
      </c>
      <c r="S1327" s="1"/>
      <c r="T1327" s="1" t="n">
        <v>0</v>
      </c>
      <c r="U1327" s="1" t="n">
        <v>0</v>
      </c>
      <c r="V1327" s="1" t="n">
        <v>0</v>
      </c>
      <c r="W1327" s="1" t="n">
        <v>1</v>
      </c>
      <c r="Y1327" s="1" t="n">
        <v>6</v>
      </c>
      <c r="Z1327" s="0" t="s">
        <v>175</v>
      </c>
      <c r="AA1327" s="0" t="s">
        <v>187</v>
      </c>
      <c r="AH1327" s="0" t="s">
        <v>180</v>
      </c>
      <c r="AJ1327" s="0" t="s">
        <v>437</v>
      </c>
      <c r="AK1327" s="0" t="s">
        <v>94</v>
      </c>
      <c r="AM1327" s="0" t="s">
        <v>96</v>
      </c>
      <c r="AX1327" s="0" t="s">
        <v>107</v>
      </c>
      <c r="AZ1327" s="0" t="s">
        <v>109</v>
      </c>
    </row>
    <row r="1328">
      <c r="B1328" s="0" t="s">
        <v>3500</v>
      </c>
      <c r="C1328" s="1" t="n">
        <v>352010</v>
      </c>
      <c r="E1328" s="14" t="s">
        <v>3502</v>
      </c>
      <c r="F1328" s="14" t="s">
        <v>184</v>
      </c>
      <c r="G1328" s="25" t="str">
        <f>HYPERLINK("http://vk.com/wall-31317167_5930?reply=5964&amp;thread=5955")</f>
      </c>
      <c r="H1328" s="14" t="s">
        <v>170</v>
      </c>
      <c r="I1328" s="14" t="s">
        <v>231</v>
      </c>
      <c r="J1328" s="14" t="s">
        <v>2378</v>
      </c>
      <c r="K1328" s="26" t="str">
        <f>HYPERLINK("http://vk.com/id612148529")</f>
      </c>
      <c r="L1328" s="14" t="s">
        <v>173</v>
      </c>
      <c r="M1328" s="14" t="s">
        <v>3503</v>
      </c>
      <c r="N1328" s="25" t="str">
        <f>HYPERLINK("http://vk.com/club31317167")</f>
      </c>
      <c r="O1328" s="1" t="s">
        <v>186</v>
      </c>
      <c r="P1328" s="1" t="n">
        <v>44</v>
      </c>
      <c r="Q1328" s="1" t="n">
        <v>7680</v>
      </c>
      <c r="R1328" s="1" t="n">
        <v>0</v>
      </c>
      <c r="S1328" s="1"/>
      <c r="T1328" s="1" t="n">
        <v>0</v>
      </c>
      <c r="U1328" s="1" t="n">
        <v>0</v>
      </c>
      <c r="V1328" s="1" t="n">
        <v>0</v>
      </c>
      <c r="W1328" s="1"/>
      <c r="Y1328" s="1" t="n">
        <v>1</v>
      </c>
      <c r="Z1328" s="0" t="s">
        <v>319</v>
      </c>
      <c r="AA1328" s="0" t="s">
        <v>187</v>
      </c>
      <c r="AC1328" s="0" t="s">
        <v>177</v>
      </c>
      <c r="AD1328" s="0" t="s">
        <v>240</v>
      </c>
      <c r="AE1328" s="0" t="s">
        <v>240</v>
      </c>
      <c r="AH1328" s="0" t="s">
        <v>180</v>
      </c>
      <c r="AI1328" s="0" t="s">
        <v>92</v>
      </c>
      <c r="AJ1328" s="0" t="s">
        <v>437</v>
      </c>
      <c r="AK1328" s="0" t="s">
        <v>94</v>
      </c>
      <c r="AL1328" s="0" t="s">
        <v>95</v>
      </c>
      <c r="AN1328" s="0" t="s">
        <v>97</v>
      </c>
      <c r="AS1328" s="0" t="s">
        <v>102</v>
      </c>
      <c r="AW1328" s="0" t="s">
        <v>106</v>
      </c>
      <c r="BC1328" s="0" t="s">
        <v>112</v>
      </c>
    </row>
    <row r="1329" ht="1632.75">
      <c r="B1329" s="0" t="s">
        <v>3500</v>
      </c>
      <c r="C1329" s="1" t="n">
        <v>352129</v>
      </c>
      <c r="E1329" s="14" t="s">
        <v>320</v>
      </c>
      <c r="F1329" s="14" t="s">
        <v>184</v>
      </c>
      <c r="G1329" s="25" t="str">
        <f>HYPERLINK("http://vk.com/wall-216859333_3708")</f>
      </c>
      <c r="H1329" s="14" t="s">
        <v>170</v>
      </c>
      <c r="I1329" s="14" t="s">
        <v>171</v>
      </c>
      <c r="J1329" s="14" t="s">
        <v>3504</v>
      </c>
      <c r="K1329" s="26" t="str">
        <f>HYPERLINK("http://vk.com/club216859333")</f>
      </c>
      <c r="L1329" s="14" t="s">
        <v>274</v>
      </c>
      <c r="O1329" s="1"/>
      <c r="P1329" s="1"/>
      <c r="Q1329" s="1" t="n">
        <v>2</v>
      </c>
      <c r="R1329" s="1" t="n">
        <v>0</v>
      </c>
      <c r="S1329" s="1"/>
      <c r="T1329" s="1" t="n">
        <v>0</v>
      </c>
      <c r="U1329" s="1" t="n">
        <v>0</v>
      </c>
      <c r="V1329" s="1" t="n">
        <v>0</v>
      </c>
      <c r="W1329" s="1"/>
      <c r="Y1329" s="1" t="n">
        <v>12</v>
      </c>
      <c r="Z1329" s="0" t="s">
        <v>175</v>
      </c>
      <c r="AA1329" s="0" t="s">
        <v>187</v>
      </c>
      <c r="AH1329" s="0" t="s">
        <v>180</v>
      </c>
      <c r="AJ1329" s="0" t="s">
        <v>437</v>
      </c>
      <c r="AK1329" s="0" t="s">
        <v>94</v>
      </c>
      <c r="AM1329" s="0" t="s">
        <v>96</v>
      </c>
      <c r="AX1329" s="0" t="s">
        <v>107</v>
      </c>
      <c r="AZ1329" s="0" t="s">
        <v>109</v>
      </c>
    </row>
    <row r="1330">
      <c r="B1330" s="0" t="s">
        <v>3500</v>
      </c>
      <c r="C1330" s="1" t="n">
        <v>352024</v>
      </c>
      <c r="E1330" s="14" t="s">
        <v>3505</v>
      </c>
      <c r="F1330" s="14" t="s">
        <v>192</v>
      </c>
      <c r="G1330" s="25" t="str">
        <f>HYPERLINK("https://telegram.me/srklub/454234")</f>
      </c>
      <c r="H1330" s="14" t="s">
        <v>193</v>
      </c>
      <c r="I1330" s="14" t="s">
        <v>194</v>
      </c>
      <c r="J1330" s="14" t="s">
        <v>3506</v>
      </c>
      <c r="K1330" s="26" t="str">
        <f>HYPERLINK("https://telegram.me/Laisa_Lisa")</f>
      </c>
      <c r="L1330" s="14" t="s">
        <v>173</v>
      </c>
      <c r="M1330" s="14" t="s">
        <v>3507</v>
      </c>
      <c r="N1330" s="25" t="str">
        <f>HYPERLINK("https://telegram.me/srklub")</f>
      </c>
      <c r="O1330" s="1" t="s">
        <v>186</v>
      </c>
      <c r="P1330" s="1"/>
      <c r="Q1330" s="1" t="n">
        <v>1307</v>
      </c>
      <c r="R1330" s="1" t="n">
        <v>0</v>
      </c>
      <c r="S1330" s="1"/>
      <c r="T1330" s="1" t="n">
        <v>0</v>
      </c>
      <c r="U1330" s="1" t="n">
        <v>0</v>
      </c>
      <c r="V1330" s="1" t="n">
        <v>0</v>
      </c>
      <c r="W1330" s="1"/>
      <c r="Y1330" s="1" t="n">
        <v>1</v>
      </c>
      <c r="Z1330" s="0" t="s">
        <v>175</v>
      </c>
      <c r="AA1330" s="0" t="s">
        <v>187</v>
      </c>
      <c r="AH1330" s="0" t="s">
        <v>180</v>
      </c>
      <c r="AI1330" s="0" t="s">
        <v>92</v>
      </c>
      <c r="AJ1330" s="0" t="s">
        <v>437</v>
      </c>
      <c r="AK1330" s="0" t="s">
        <v>94</v>
      </c>
      <c r="AL1330" s="0" t="s">
        <v>95</v>
      </c>
      <c r="AN1330" s="0" t="s">
        <v>97</v>
      </c>
      <c r="AQ1330" s="0" t="s">
        <v>100</v>
      </c>
      <c r="AT1330" s="0" t="s">
        <v>103</v>
      </c>
      <c r="AW1330" s="0" t="s">
        <v>106</v>
      </c>
      <c r="BG1330" s="0" t="s">
        <v>116</v>
      </c>
    </row>
    <row r="1331" ht="24.75">
      <c r="B1331" s="0" t="s">
        <v>3508</v>
      </c>
      <c r="C1331" s="1" t="n">
        <v>352305</v>
      </c>
      <c r="E1331" s="14" t="s">
        <v>390</v>
      </c>
      <c r="F1331" s="14" t="s">
        <v>169</v>
      </c>
      <c r="G1331" s="25" t="str">
        <f>HYPERLINK("http://www.ok.ru/profile/564706315074/statuses/155119442675778")</f>
      </c>
      <c r="H1331" s="14" t="s">
        <v>170</v>
      </c>
      <c r="I1331" s="14" t="s">
        <v>171</v>
      </c>
      <c r="J1331" s="14" t="s">
        <v>3509</v>
      </c>
      <c r="K1331" s="26" t="str">
        <f>HYPERLINK("http://www.ok.ru/profile/564706315074")</f>
      </c>
      <c r="L1331" s="14" t="s">
        <v>173</v>
      </c>
      <c r="O1331" s="1" t="s">
        <v>186</v>
      </c>
      <c r="P1331" s="1" t="n">
        <v>66</v>
      </c>
      <c r="Q1331" s="1" t="n">
        <v>162</v>
      </c>
      <c r="R1331" s="1" t="n">
        <v>0</v>
      </c>
      <c r="S1331" s="1"/>
      <c r="T1331" s="1" t="n">
        <v>0</v>
      </c>
      <c r="U1331" s="1" t="n">
        <v>0</v>
      </c>
      <c r="V1331" s="1" t="n">
        <v>0</v>
      </c>
      <c r="W1331" s="1"/>
      <c r="Y1331" s="1" t="n">
        <v>6</v>
      </c>
      <c r="Z1331" s="0" t="s">
        <v>175</v>
      </c>
      <c r="AA1331" s="0" t="s">
        <v>292</v>
      </c>
      <c r="AC1331" s="0" t="s">
        <v>177</v>
      </c>
      <c r="AD1331" s="0" t="s">
        <v>1382</v>
      </c>
      <c r="AE1331" s="0" t="s">
        <v>1530</v>
      </c>
      <c r="AH1331" s="0" t="s">
        <v>180</v>
      </c>
      <c r="AJ1331" s="0" t="s">
        <v>437</v>
      </c>
      <c r="AK1331" s="0" t="s">
        <v>94</v>
      </c>
      <c r="AM1331" s="0" t="s">
        <v>96</v>
      </c>
      <c r="AX1331" s="0" t="s">
        <v>107</v>
      </c>
      <c r="AZ1331" s="0" t="s">
        <v>109</v>
      </c>
      <c r="BR1331" s="0" t="s">
        <v>127</v>
      </c>
    </row>
    <row r="1332">
      <c r="B1332" s="0" t="s">
        <v>3508</v>
      </c>
      <c r="C1332" s="1" t="n">
        <v>352007</v>
      </c>
      <c r="E1332" s="14" t="s">
        <v>3510</v>
      </c>
      <c r="F1332" s="14" t="s">
        <v>184</v>
      </c>
      <c r="G1332" s="25" t="str">
        <f>HYPERLINK("http://vk.com/wall-155403177_56807?reply=57198&amp;thread=56845")</f>
      </c>
      <c r="H1332" s="14" t="s">
        <v>170</v>
      </c>
      <c r="I1332" s="14" t="s">
        <v>231</v>
      </c>
      <c r="J1332" s="14" t="s">
        <v>3511</v>
      </c>
      <c r="K1332" s="26" t="str">
        <f>HYPERLINK("http://vk.com/id222505574")</f>
      </c>
      <c r="L1332" s="14" t="s">
        <v>173</v>
      </c>
      <c r="M1332" s="14" t="s">
        <v>740</v>
      </c>
      <c r="N1332" s="25" t="str">
        <f>HYPERLINK("http://vk.com/club155403177")</f>
      </c>
      <c r="O1332" s="1" t="s">
        <v>186</v>
      </c>
      <c r="P1332" s="1"/>
      <c r="Q1332" s="1" t="n">
        <v>95225</v>
      </c>
      <c r="R1332" s="1" t="n">
        <v>0</v>
      </c>
      <c r="S1332" s="1"/>
      <c r="T1332" s="1" t="n">
        <v>0</v>
      </c>
      <c r="U1332" s="1" t="n">
        <v>0</v>
      </c>
      <c r="V1332" s="1" t="n">
        <v>0</v>
      </c>
      <c r="W1332" s="1"/>
      <c r="Y1332" s="1" t="n">
        <v>1</v>
      </c>
      <c r="Z1332" s="0" t="s">
        <v>175</v>
      </c>
      <c r="AA1332" s="0" t="s">
        <v>187</v>
      </c>
      <c r="AC1332" s="0" t="s">
        <v>177</v>
      </c>
      <c r="AD1332" s="0" t="s">
        <v>332</v>
      </c>
      <c r="AE1332" s="0" t="s">
        <v>332</v>
      </c>
      <c r="AH1332" s="0" t="s">
        <v>180</v>
      </c>
      <c r="AI1332" s="0" t="s">
        <v>92</v>
      </c>
      <c r="AJ1332" s="0" t="s">
        <v>437</v>
      </c>
      <c r="AK1332" s="0" t="s">
        <v>94</v>
      </c>
      <c r="AL1332" s="0" t="s">
        <v>95</v>
      </c>
      <c r="AN1332" s="0" t="s">
        <v>97</v>
      </c>
      <c r="AR1332" s="0" t="s">
        <v>101</v>
      </c>
      <c r="AW1332" s="0" t="s">
        <v>106</v>
      </c>
    </row>
    <row r="1333" ht="24.75">
      <c r="B1333" s="0" t="s">
        <v>3512</v>
      </c>
      <c r="C1333" s="1" t="n">
        <v>352502</v>
      </c>
      <c r="E1333" s="14" t="s">
        <v>1102</v>
      </c>
      <c r="F1333" s="14" t="s">
        <v>169</v>
      </c>
      <c r="G1333" s="25" t="str">
        <f>HYPERLINK("http://www.ok.ru/profile/575465544379/statuses/155156801512379")</f>
      </c>
      <c r="H1333" s="14" t="s">
        <v>170</v>
      </c>
      <c r="I1333" s="14" t="s">
        <v>171</v>
      </c>
      <c r="J1333" s="14" t="s">
        <v>3513</v>
      </c>
      <c r="K1333" s="26" t="str">
        <f>HYPERLINK("http://www.ok.ru/profile/575465544379")</f>
      </c>
      <c r="L1333" s="14" t="s">
        <v>173</v>
      </c>
      <c r="O1333" s="1" t="s">
        <v>186</v>
      </c>
      <c r="P1333" s="1" t="n">
        <v>22</v>
      </c>
      <c r="Q1333" s="1" t="n">
        <v>338</v>
      </c>
      <c r="R1333" s="1" t="n">
        <v>0</v>
      </c>
      <c r="S1333" s="1"/>
      <c r="T1333" s="1" t="n">
        <v>0</v>
      </c>
      <c r="U1333" s="1" t="n">
        <v>3</v>
      </c>
      <c r="V1333" s="1" t="n">
        <v>3</v>
      </c>
      <c r="W1333" s="1"/>
      <c r="Y1333" s="1" t="n">
        <v>93</v>
      </c>
      <c r="Z1333" s="0" t="s">
        <v>175</v>
      </c>
      <c r="AA1333" s="0" t="s">
        <v>187</v>
      </c>
      <c r="AC1333" s="0" t="s">
        <v>177</v>
      </c>
      <c r="AD1333" s="0" t="s">
        <v>513</v>
      </c>
      <c r="AE1333" s="0" t="s">
        <v>778</v>
      </c>
      <c r="AH1333" s="0" t="s">
        <v>180</v>
      </c>
      <c r="AJ1333" s="0" t="s">
        <v>437</v>
      </c>
      <c r="AK1333" s="0" t="s">
        <v>94</v>
      </c>
      <c r="AL1333" s="0" t="s">
        <v>95</v>
      </c>
      <c r="AM1333" s="0" t="s">
        <v>96</v>
      </c>
      <c r="AU1333" s="0" t="s">
        <v>104</v>
      </c>
      <c r="AV1333" s="0" t="s">
        <v>105</v>
      </c>
    </row>
    <row r="1334" ht="24.75">
      <c r="B1334" s="0" t="s">
        <v>3514</v>
      </c>
      <c r="C1334" s="1" t="n">
        <v>352551</v>
      </c>
      <c r="E1334" s="14" t="s">
        <v>3515</v>
      </c>
      <c r="F1334" s="14" t="s">
        <v>169</v>
      </c>
      <c r="G1334" s="25" t="str">
        <f>HYPERLINK("http://www.ok.ru/profile/591641422613/statuses/155863940405269")</f>
      </c>
      <c r="H1334" s="14" t="s">
        <v>170</v>
      </c>
      <c r="I1334" s="14" t="s">
        <v>171</v>
      </c>
      <c r="J1334" s="14" t="s">
        <v>3516</v>
      </c>
      <c r="K1334" s="26" t="str">
        <f>HYPERLINK("http://www.ok.ru/profile/591641422613")</f>
      </c>
      <c r="L1334" s="14" t="s">
        <v>173</v>
      </c>
      <c r="O1334" s="1" t="s">
        <v>186</v>
      </c>
      <c r="P1334" s="1" t="n">
        <v>62</v>
      </c>
      <c r="Q1334" s="1" t="n">
        <v>976</v>
      </c>
      <c r="R1334" s="1" t="n">
        <v>0</v>
      </c>
      <c r="S1334" s="1"/>
      <c r="T1334" s="1" t="n">
        <v>0</v>
      </c>
      <c r="U1334" s="1" t="n">
        <v>3</v>
      </c>
      <c r="V1334" s="1" t="n">
        <v>3</v>
      </c>
      <c r="W1334" s="1"/>
      <c r="Y1334" s="1" t="n">
        <v>1</v>
      </c>
      <c r="Z1334" s="0" t="s">
        <v>175</v>
      </c>
      <c r="AA1334" s="0" t="s">
        <v>187</v>
      </c>
      <c r="AC1334" s="0" t="s">
        <v>177</v>
      </c>
      <c r="AD1334" s="0" t="s">
        <v>212</v>
      </c>
      <c r="AE1334" s="0" t="s">
        <v>3517</v>
      </c>
      <c r="AH1334" s="0" t="s">
        <v>180</v>
      </c>
      <c r="AJ1334" s="0" t="s">
        <v>437</v>
      </c>
      <c r="AK1334" s="0" t="s">
        <v>94</v>
      </c>
      <c r="AL1334" s="0" t="s">
        <v>95</v>
      </c>
      <c r="AM1334" s="0" t="s">
        <v>96</v>
      </c>
      <c r="AX1334" s="0" t="s">
        <v>107</v>
      </c>
    </row>
    <row r="1335" ht="36.75">
      <c r="B1335" s="0" t="s">
        <v>3518</v>
      </c>
      <c r="C1335" s="1" t="n">
        <v>352138</v>
      </c>
      <c r="E1335" s="14" t="s">
        <v>202</v>
      </c>
      <c r="F1335" s="14" t="s">
        <v>184</v>
      </c>
      <c r="G1335" s="25" t="str">
        <f>HYPERLINK("http://vk.com/wall638595057_289")</f>
      </c>
      <c r="H1335" s="14" t="s">
        <v>170</v>
      </c>
      <c r="I1335" s="14" t="s">
        <v>171</v>
      </c>
      <c r="J1335" s="14" t="s">
        <v>3519</v>
      </c>
      <c r="K1335" s="26" t="str">
        <f>HYPERLINK("http://vk.com/id638595057")</f>
      </c>
      <c r="L1335" s="14" t="s">
        <v>173</v>
      </c>
      <c r="O1335" s="1" t="s">
        <v>186</v>
      </c>
      <c r="P1335" s="1" t="n">
        <v>39</v>
      </c>
      <c r="Q1335" s="1" t="n">
        <v>34</v>
      </c>
      <c r="R1335" s="1" t="n">
        <v>0</v>
      </c>
      <c r="S1335" s="1"/>
      <c r="T1335" s="1" t="n">
        <v>0</v>
      </c>
      <c r="U1335" s="1" t="n">
        <v>0</v>
      </c>
      <c r="V1335" s="1" t="n">
        <v>0</v>
      </c>
      <c r="W1335" s="1" t="n">
        <v>2</v>
      </c>
      <c r="Y1335" s="1" t="n">
        <v>61</v>
      </c>
      <c r="Z1335" s="0" t="s">
        <v>175</v>
      </c>
      <c r="AA1335" s="0" t="s">
        <v>176</v>
      </c>
      <c r="AH1335" s="0" t="s">
        <v>180</v>
      </c>
      <c r="AJ1335" s="0" t="s">
        <v>437</v>
      </c>
      <c r="AK1335" s="0" t="s">
        <v>94</v>
      </c>
      <c r="AL1335" s="0" t="s">
        <v>95</v>
      </c>
      <c r="AM1335" s="0" t="s">
        <v>96</v>
      </c>
      <c r="AO1335" s="0" t="s">
        <v>98</v>
      </c>
      <c r="AQ1335" s="0" t="s">
        <v>100</v>
      </c>
    </row>
    <row r="1336" ht="96.75">
      <c r="B1336" s="0" t="s">
        <v>3518</v>
      </c>
      <c r="C1336" s="1" t="n">
        <v>352195</v>
      </c>
      <c r="E1336" s="14" t="s">
        <v>1049</v>
      </c>
      <c r="F1336" s="14" t="s">
        <v>169</v>
      </c>
      <c r="G1336" s="25" t="str">
        <f>HYPERLINK("http://www.ok.ru/profile/531368500639/statuses/155029802229919")</f>
      </c>
      <c r="H1336" s="14" t="s">
        <v>170</v>
      </c>
      <c r="I1336" s="14" t="s">
        <v>171</v>
      </c>
      <c r="J1336" s="14" t="s">
        <v>3520</v>
      </c>
      <c r="K1336" s="26" t="str">
        <f>HYPERLINK("http://www.ok.ru/profile/531368500639")</f>
      </c>
      <c r="L1336" s="14" t="s">
        <v>173</v>
      </c>
      <c r="O1336" s="1" t="s">
        <v>186</v>
      </c>
      <c r="P1336" s="1" t="n">
        <v>49</v>
      </c>
      <c r="Q1336" s="1" t="n">
        <v>2978</v>
      </c>
      <c r="R1336" s="1" t="n">
        <v>0</v>
      </c>
      <c r="S1336" s="1"/>
      <c r="T1336" s="1" t="n">
        <v>0</v>
      </c>
      <c r="U1336" s="1" t="n">
        <v>6</v>
      </c>
      <c r="V1336" s="1" t="n">
        <v>6</v>
      </c>
      <c r="W1336" s="1"/>
      <c r="Y1336" s="1" t="n">
        <v>6</v>
      </c>
      <c r="Z1336" s="0" t="s">
        <v>175</v>
      </c>
      <c r="AA1336" s="0" t="s">
        <v>187</v>
      </c>
      <c r="AC1336" s="0" t="s">
        <v>177</v>
      </c>
      <c r="AD1336" s="0" t="s">
        <v>719</v>
      </c>
      <c r="AE1336" s="0" t="s">
        <v>2723</v>
      </c>
      <c r="AH1336" s="0" t="s">
        <v>180</v>
      </c>
      <c r="AJ1336" s="0" t="s">
        <v>437</v>
      </c>
      <c r="AK1336" s="0" t="s">
        <v>94</v>
      </c>
      <c r="AU1336" s="0" t="s">
        <v>104</v>
      </c>
      <c r="AZ1336" s="0" t="s">
        <v>109</v>
      </c>
      <c r="BA1336" s="0" t="s">
        <v>110</v>
      </c>
      <c r="BJ1336" s="0" t="s">
        <v>119</v>
      </c>
    </row>
    <row r="1337" ht="24.75">
      <c r="B1337" s="0" t="s">
        <v>3521</v>
      </c>
      <c r="C1337" s="1" t="n">
        <v>352350</v>
      </c>
      <c r="E1337" s="14" t="s">
        <v>3522</v>
      </c>
      <c r="F1337" s="14" t="s">
        <v>169</v>
      </c>
      <c r="G1337" s="25" t="str">
        <f>HYPERLINK("http://www.ok.ru/profile/573027605416/statuses/156116433481896")</f>
      </c>
      <c r="H1337" s="14" t="s">
        <v>170</v>
      </c>
      <c r="I1337" s="14" t="s">
        <v>171</v>
      </c>
      <c r="J1337" s="14" t="s">
        <v>3523</v>
      </c>
      <c r="K1337" s="26" t="str">
        <f>HYPERLINK("http://www.ok.ru/profile/573027605416")</f>
      </c>
      <c r="L1337" s="14" t="s">
        <v>173</v>
      </c>
      <c r="O1337" s="1" t="s">
        <v>186</v>
      </c>
      <c r="P1337" s="1" t="n">
        <v>60</v>
      </c>
      <c r="Q1337" s="1" t="n">
        <v>147</v>
      </c>
      <c r="R1337" s="1" t="n">
        <v>0</v>
      </c>
      <c r="S1337" s="1"/>
      <c r="T1337" s="1" t="n">
        <v>0</v>
      </c>
      <c r="U1337" s="1" t="n">
        <v>0</v>
      </c>
      <c r="V1337" s="1" t="n">
        <v>0</v>
      </c>
      <c r="W1337" s="1"/>
      <c r="Y1337" s="1" t="n">
        <v>93</v>
      </c>
      <c r="Z1337" s="0" t="s">
        <v>175</v>
      </c>
      <c r="AA1337" s="0" t="s">
        <v>187</v>
      </c>
      <c r="AC1337" s="0" t="s">
        <v>177</v>
      </c>
      <c r="AD1337" s="0" t="s">
        <v>1058</v>
      </c>
      <c r="AE1337" s="0" t="s">
        <v>3524</v>
      </c>
      <c r="AH1337" s="0" t="s">
        <v>180</v>
      </c>
      <c r="AJ1337" s="0" t="s">
        <v>437</v>
      </c>
      <c r="AK1337" s="0" t="s">
        <v>94</v>
      </c>
      <c r="AL1337" s="0" t="s">
        <v>95</v>
      </c>
      <c r="AM1337" s="0" t="s">
        <v>96</v>
      </c>
      <c r="AU1337" s="0" t="s">
        <v>104</v>
      </c>
      <c r="AV1337" s="0" t="s">
        <v>105</v>
      </c>
    </row>
    <row r="1338" ht="24.75">
      <c r="B1338" s="0" t="s">
        <v>3525</v>
      </c>
      <c r="C1338" s="1" t="n">
        <v>352283</v>
      </c>
      <c r="E1338" s="14" t="s">
        <v>1102</v>
      </c>
      <c r="F1338" s="14" t="s">
        <v>169</v>
      </c>
      <c r="G1338" s="25" t="str">
        <f>HYPERLINK("http://www.ok.ru/profile/562405010525/statuses/154907278532701")</f>
      </c>
      <c r="H1338" s="14" t="s">
        <v>170</v>
      </c>
      <c r="I1338" s="14" t="s">
        <v>171</v>
      </c>
      <c r="J1338" s="14" t="s">
        <v>3526</v>
      </c>
      <c r="K1338" s="26" t="str">
        <f>HYPERLINK("http://www.ok.ru/profile/562405010525")</f>
      </c>
      <c r="L1338" s="14" t="s">
        <v>173</v>
      </c>
      <c r="O1338" s="1" t="s">
        <v>174</v>
      </c>
      <c r="P1338" s="1" t="n">
        <v>61</v>
      </c>
      <c r="Q1338" s="1" t="n">
        <v>1000</v>
      </c>
      <c r="R1338" s="1" t="n">
        <v>0</v>
      </c>
      <c r="S1338" s="1"/>
      <c r="T1338" s="1" t="n">
        <v>0</v>
      </c>
      <c r="U1338" s="1" t="n">
        <v>0</v>
      </c>
      <c r="V1338" s="1" t="n">
        <v>0</v>
      </c>
      <c r="W1338" s="1"/>
      <c r="Y1338" s="1" t="n">
        <v>93</v>
      </c>
      <c r="Z1338" s="0" t="s">
        <v>175</v>
      </c>
      <c r="AA1338" s="0" t="s">
        <v>187</v>
      </c>
      <c r="AC1338" s="0" t="s">
        <v>177</v>
      </c>
      <c r="AD1338" s="0" t="s">
        <v>332</v>
      </c>
      <c r="AE1338" s="0" t="s">
        <v>332</v>
      </c>
      <c r="AH1338" s="0" t="s">
        <v>180</v>
      </c>
      <c r="AJ1338" s="0" t="s">
        <v>437</v>
      </c>
      <c r="AK1338" s="0" t="s">
        <v>94</v>
      </c>
      <c r="AM1338" s="0" t="s">
        <v>96</v>
      </c>
      <c r="AU1338" s="0" t="s">
        <v>104</v>
      </c>
      <c r="AV1338" s="0" t="s">
        <v>105</v>
      </c>
      <c r="AZ1338" s="0" t="s">
        <v>109</v>
      </c>
    </row>
    <row r="1339" ht="1092.75">
      <c r="B1339" s="0" t="s">
        <v>3525</v>
      </c>
      <c r="C1339" s="1" t="n">
        <v>352308</v>
      </c>
      <c r="E1339" s="14" t="s">
        <v>3527</v>
      </c>
      <c r="F1339" s="14" t="s">
        <v>169</v>
      </c>
      <c r="G1339" s="25" t="str">
        <f>HYPERLINK("http://www.ok.ru/profile/354048186132/statuses/155970873789716")</f>
      </c>
      <c r="H1339" s="14" t="s">
        <v>170</v>
      </c>
      <c r="I1339" s="14" t="s">
        <v>171</v>
      </c>
      <c r="J1339" s="14" t="s">
        <v>3528</v>
      </c>
      <c r="K1339" s="26" t="str">
        <f>HYPERLINK("http://www.ok.ru/profile/354048186132")</f>
      </c>
      <c r="L1339" s="14" t="s">
        <v>173</v>
      </c>
      <c r="O1339" s="1" t="s">
        <v>186</v>
      </c>
      <c r="P1339" s="1" t="n">
        <v>43</v>
      </c>
      <c r="Q1339" s="1" t="n">
        <v>844</v>
      </c>
      <c r="R1339" s="1" t="n">
        <v>0</v>
      </c>
      <c r="S1339" s="1"/>
      <c r="T1339" s="1" t="n">
        <v>0</v>
      </c>
      <c r="U1339" s="1" t="n">
        <v>0</v>
      </c>
      <c r="V1339" s="1" t="n">
        <v>0</v>
      </c>
      <c r="W1339" s="1"/>
      <c r="Y1339" s="1" t="n">
        <v>1</v>
      </c>
      <c r="Z1339" s="0" t="s">
        <v>175</v>
      </c>
      <c r="AA1339" s="0" t="s">
        <v>187</v>
      </c>
      <c r="AC1339" s="0" t="s">
        <v>177</v>
      </c>
      <c r="AD1339" s="0" t="s">
        <v>402</v>
      </c>
      <c r="AE1339" s="0" t="s">
        <v>2424</v>
      </c>
      <c r="AH1339" s="0" t="s">
        <v>180</v>
      </c>
      <c r="AJ1339" s="0" t="s">
        <v>437</v>
      </c>
      <c r="AK1339" s="0" t="s">
        <v>94</v>
      </c>
      <c r="AM1339" s="0" t="s">
        <v>96</v>
      </c>
      <c r="AX1339" s="0" t="s">
        <v>107</v>
      </c>
      <c r="AZ1339" s="0" t="s">
        <v>109</v>
      </c>
    </row>
  </sheetData>
  <hyperlinks>
    <hyperlink ref="G7" display="http://www.ok.ru/profile/571050411863/statuses/155911399364695" tooltip="http://www.ok.ru/profile/571050411863/statuses/155911399364695" r:id="rId1"/>
    <hyperlink ref="K7" display="http://www.ok.ru/profile/571050411863" tooltip="http://www.ok.ru/profile/571050411863" r:id="rId2"/>
    <hyperlink ref="G8" display="http://vk.com/wall100631263_352" tooltip="http://vk.com/wall100631263_352" r:id="rId3"/>
    <hyperlink ref="K8" display="http://vk.com/id100631263" tooltip="http://vk.com/id100631263" r:id="rId4"/>
    <hyperlink ref="G9" display="https://telegram.me/spayscccchat/932410" tooltip="https://telegram.me/spayscccchat/932410" r:id="rId5"/>
    <hyperlink ref="K9" display="https://telegram.me/rildedinsaid" tooltip="https://telegram.me/rildedinsaid" r:id="rId6"/>
    <hyperlink ref="N9" display="https://telegram.me/spayscccchat" tooltip="https://telegram.me/spayscccchat" r:id="rId7"/>
    <hyperlink ref="G10" display="https://telegram.me/spayscccchat/932405" tooltip="https://telegram.me/spayscccchat/932405" r:id="rId8"/>
    <hyperlink ref="K10" display="https://telegram.me/wuwouiii" tooltip="https://telegram.me/wuwouiii" r:id="rId9"/>
    <hyperlink ref="N10" display="https://telegram.me/spayscccchat" tooltip="https://telegram.me/spayscccchat" r:id="rId10"/>
    <hyperlink ref="G11" display="https://telegram.me/spayscccchat/932401" tooltip="https://telegram.me/spayscccchat/932401" r:id="rId11"/>
    <hyperlink ref="K11" display="https://telegram.me/rildedinsaid" tooltip="https://telegram.me/rildedinsaid" r:id="rId12"/>
    <hyperlink ref="N11" display="https://telegram.me/spayscccchat" tooltip="https://telegram.me/spayscccchat" r:id="rId13"/>
    <hyperlink ref="G12" display="http://vk.com/wall301310755_23937" tooltip="http://vk.com/wall301310755_23937" r:id="rId14"/>
    <hyperlink ref="K12" display="http://vk.com/id301310755" tooltip="http://vk.com/id301310755" r:id="rId15"/>
    <hyperlink ref="G13" display="https://omsk.media/news/ekonomika/131120-v-omskih-aptekah-podorozhal-ryad-zhiznenno-neobhodimyh-lekarstv-ekonomika-omsk.html" tooltip="https://omsk.media/news/ekonomika/131120-v-omskih-aptekah-podorozhal-ryad-zhiznenno-neobhodimyh-lekarstv-ekonomika-omsk.html" r:id="rId16"/>
    <hyperlink ref="G14" display="http://www.ok.ru/profile/585435311875/statuses/154798786611203" tooltip="http://www.ok.ru/profile/585435311875/statuses/154798786611203" r:id="rId17"/>
    <hyperlink ref="K14" display="http://www.ok.ru/profile/585435311875" tooltip="http://www.ok.ru/profile/585435311875" r:id="rId18"/>
    <hyperlink ref="G15" display="https://telegram.me/spayscccchat/932099" tooltip="https://telegram.me/spayscccchat/932099" r:id="rId19"/>
    <hyperlink ref="K15" display="https://telegram.me/rildedinsaid" tooltip="https://telegram.me/rildedinsaid" r:id="rId20"/>
    <hyperlink ref="N15" display="https://telegram.me/spayscccchat" tooltip="https://telegram.me/spayscccchat" r:id="rId21"/>
    <hyperlink ref="G16" display="https://telegram.me/spayscccchat/932077" tooltip="https://telegram.me/spayscccchat/932077" r:id="rId22"/>
    <hyperlink ref="K16" display="https://telegram.me/rildedinsaid" tooltip="https://telegram.me/rildedinsaid" r:id="rId23"/>
    <hyperlink ref="N16" display="https://telegram.me/spayscccchat" tooltip="https://telegram.me/spayscccchat" r:id="rId24"/>
    <hyperlink ref="G17" display="http://vk.com/wall95656546_66595" tooltip="http://vk.com/wall95656546_66595" r:id="rId25"/>
    <hyperlink ref="K17" display="http://vk.com/id95656546" tooltip="http://vk.com/id95656546" r:id="rId26"/>
    <hyperlink ref="G18" display="https://pskov.bezformata.com/listnews/tcen-na-potrebitelskom-rinke-pskovskoy/116253757/" tooltip="https://pskov.bezformata.com/listnews/tcen-na-potrebitelskom-rinke-pskovskoy/116253757/" r:id="rId27"/>
    <hyperlink ref="G19" display="http://vk.com/wall510443739_876" tooltip="http://vk.com/wall510443739_876" r:id="rId28"/>
    <hyperlink ref="K19" display="http://vk.com/id510443739" tooltip="http://vk.com/id510443739" r:id="rId29"/>
    <hyperlink ref="G20" display="https://telegram.me/ru2chme/1224599" tooltip="https://telegram.me/ru2chme/1224599" r:id="rId30"/>
    <hyperlink ref="K20" display="https://telegram.me/dijkstra_ru" tooltip="https://telegram.me/dijkstra_ru" r:id="rId31"/>
    <hyperlink ref="N20" display="https://telegram.me/ru2chme" tooltip="https://telegram.me/ru2chme" r:id="rId32"/>
    <hyperlink ref="G21" display="http://vk.com/wall-145141613_593206?reply=593222" tooltip="http://vk.com/wall-145141613_593206?reply=593222" r:id="rId33"/>
    <hyperlink ref="K21" display="http://vk.com/id131746492" tooltip="http://vk.com/id131746492" r:id="rId34"/>
    <hyperlink ref="N21" display="http://vk.com/club145141613" tooltip="http://vk.com/club145141613" r:id="rId35"/>
    <hyperlink ref="G22" display="http://vk.com/wall-94160949_265567?reply=265992" tooltip="http://vk.com/wall-94160949_265567?reply=265992" r:id="rId36"/>
    <hyperlink ref="K22" display="http://vk.com/id174451937" tooltip="http://vk.com/id174451937" r:id="rId37"/>
    <hyperlink ref="N22" display="http://vk.com/club94160949" tooltip="http://vk.com/club94160949" r:id="rId38"/>
    <hyperlink ref="G23" display="http://vk.com/wall762885961_377" tooltip="http://vk.com/wall762885961_377" r:id="rId39"/>
    <hyperlink ref="K23" display="http://vk.com/id762885961" tooltip="http://vk.com/id762885961" r:id="rId40"/>
    <hyperlink ref="G24" display="http://vk.com/wall-176829518_820573?reply=821151" tooltip="http://vk.com/wall-176829518_820573?reply=821151" r:id="rId41"/>
    <hyperlink ref="K24" display="http://vk.com/id384768614" tooltip="http://vk.com/id384768614" r:id="rId42"/>
    <hyperlink ref="N24" display="http://vk.com/club176829518" tooltip="http://vk.com/club176829518" r:id="rId43"/>
    <hyperlink ref="G25" display="http://vk.com/wall-81840381_3451566?reply=3451940" tooltip="http://vk.com/wall-81840381_3451566?reply=3451940" r:id="rId44"/>
    <hyperlink ref="K25" display="http://vk.com/id652333442" tooltip="http://vk.com/id652333442" r:id="rId45"/>
    <hyperlink ref="N25" display="http://vk.com/club81840381" tooltip="http://vk.com/club81840381" r:id="rId46"/>
    <hyperlink ref="G26" display="https://telegram.me/dostavista/2433239" tooltip="https://telegram.me/dostavista/2433239" r:id="rId47"/>
    <hyperlink ref="K26" display="https://telegram.me/Ainur1992" tooltip="https://telegram.me/Ainur1992" r:id="rId48"/>
    <hyperlink ref="N26" display="https://telegram.me/dostavista" tooltip="https://telegram.me/dostavista" r:id="rId49"/>
    <hyperlink ref="G27" display="https://telegram.me/dostavista/2433229" tooltip="https://telegram.me/dostavista/2433229" r:id="rId50"/>
    <hyperlink ref="K27" display="https://telegram.me/gid_instruktor" tooltip="https://telegram.me/gid_instruktor" r:id="rId51"/>
    <hyperlink ref="N27" display="https://telegram.me/dostavista" tooltip="https://telegram.me/dostavista" r:id="rId52"/>
    <hyperlink ref="G28" display="https://www.baby.ru/blogs/post/2611485771-1467600900/" tooltip="https://www.baby.ru/blogs/post/2611485771-1467600900/" r:id="rId53"/>
    <hyperlink ref="K28" display="https://www.baby.ru/u/usr2171834/" tooltip="https://www.baby.ru/u/usr2171834/" r:id="rId54"/>
    <hyperlink ref="N28" display="https://www.baby.ru/u/usr2579141/" tooltip="https://www.baby.ru/u/usr2579141/" r:id="rId55"/>
    <hyperlink ref="G29" display="http://vk.com/wall470508691_401" tooltip="http://vk.com/wall470508691_401" r:id="rId56"/>
    <hyperlink ref="K29" display="http://vk.com/id470508691" tooltip="http://vk.com/id470508691" r:id="rId57"/>
    <hyperlink ref="G30" display="http://www.ok.ru/group/53550480490576/topic/156192421844304" tooltip="http://www.ok.ru/group/53550480490576/topic/156192421844304" r:id="rId58"/>
    <hyperlink ref="K30" display="http://www.ok.ru/group/53550480490576" tooltip="http://www.ok.ru/group/53550480490576" r:id="rId59"/>
    <hyperlink ref="G31" display="http://www.ok.ru/group/54223954116783/topic/156337299708847" tooltip="http://www.ok.ru/group/54223954116783/topic/156337299708847" r:id="rId60"/>
    <hyperlink ref="K31" display="http://www.ok.ru/group/54223954116783" tooltip="http://www.ok.ru/group/54223954116783" r:id="rId61"/>
    <hyperlink ref="G32" display="http://vk.com/wall519037394_1200" tooltip="http://vk.com/wall519037394_1200" r:id="rId62"/>
    <hyperlink ref="K32" display="http://vk.com/id519037394" tooltip="http://vk.com/id519037394" r:id="rId63"/>
    <hyperlink ref="G33" display="http://twitter.com/ineffablewom/status/1646845408159879169" tooltip="http://twitter.com/ineffablewom/status/1646845408159879169" r:id="rId64"/>
    <hyperlink ref="K33" display="http://twitter.com/ineffablewom" tooltip="http://twitter.com/ineffablewom" r:id="rId65"/>
    <hyperlink ref="N33" display="http://twitter.com/VeOfHKslpNiVSEI" tooltip="http://twitter.com/VeOfHKslpNiVSEI" r:id="rId66"/>
    <hyperlink ref="G34" display="https://telegram.me/Shri_Lanka_by_sell/69546" tooltip="https://telegram.me/Shri_Lanka_by_sell/69546" r:id="rId67"/>
    <hyperlink ref="K34" display="https://telegram.me/" tooltip="https://telegram.me/" r:id="rId68"/>
    <hyperlink ref="N34" display="https://telegram.me/Shri_Lanka_by_sell" tooltip="https://telegram.me/Shri_Lanka_by_sell" r:id="rId69"/>
    <hyperlink ref="G35" display="http://vk.com/wall241492303_2396" tooltip="http://vk.com/wall241492303_2396" r:id="rId70"/>
    <hyperlink ref="K35" display="http://vk.com/id241492303" tooltip="http://vk.com/id241492303" r:id="rId71"/>
    <hyperlink ref="G36" display="http://vk.com/wall261857235_186" tooltip="http://vk.com/wall261857235_186" r:id="rId72"/>
    <hyperlink ref="K36" display="http://vk.com/id261857235" tooltip="http://vk.com/id261857235" r:id="rId73"/>
    <hyperlink ref="G37" display="http://vk.com/wall-12670685_246774?reply=247176&amp;thread=246906" tooltip="http://vk.com/wall-12670685_246774?reply=247176&amp;thread=246906" r:id="rId74"/>
    <hyperlink ref="K37" display="http://vk.com/id621930357" tooltip="http://vk.com/id621930357" r:id="rId75"/>
    <hyperlink ref="N37" display="http://vk.com/club12670685" tooltip="http://vk.com/club12670685" r:id="rId76"/>
    <hyperlink ref="G38" display="http://vk.com/wall680445524_996" tooltip="http://vk.com/wall680445524_996" r:id="rId77"/>
    <hyperlink ref="K38" display="http://vk.com/id680445524" tooltip="http://vk.com/id680445524" r:id="rId78"/>
    <hyperlink ref="G39" display="http://vk.com/wall-62596804_2704672?reply=2705860&amp;thread=2704679" tooltip="http://vk.com/wall-62596804_2704672?reply=2705860&amp;thread=2704679" r:id="rId79"/>
    <hyperlink ref="K39" display="http://vk.com/id564993124" tooltip="http://vk.com/id564993124" r:id="rId80"/>
    <hyperlink ref="N39" display="http://vk.com/club62596804" tooltip="http://vk.com/club62596804" r:id="rId81"/>
    <hyperlink ref="G40" display="https://www.u-mama.ru/forum/family/health/949323/2.html#mid_34755582" tooltip="https://www.u-mama.ru/forum/family/health/949323/2.html#mid_34755582" r:id="rId82"/>
    <hyperlink ref="G41" display="http://irecommend.ru/content/effektiven-pri-lechenii-i-dlya-profilaktiki-prostud" tooltip="http://irecommend.ru/content/effektiven-pri-lechenii-i-dlya-profilaktiki-prostud" r:id="rId83"/>
    <hyperlink ref="G42" display="http://vk.com/wall782476761_90" tooltip="http://vk.com/wall782476761_90" r:id="rId84"/>
    <hyperlink ref="K42" display="http://vk.com/id782476761" tooltip="http://vk.com/id782476761" r:id="rId85"/>
    <hyperlink ref="G43" display="http://vk.com/wall-162424850_543650?reply=543899" tooltip="http://vk.com/wall-162424850_543650?reply=543899" r:id="rId86"/>
    <hyperlink ref="K43" display="http://vk.com/id793507918" tooltip="http://vk.com/id793507918" r:id="rId87"/>
    <hyperlink ref="N43" display="http://vk.com/club162424850" tooltip="http://vk.com/club162424850" r:id="rId88"/>
    <hyperlink ref="G44" display="https://telegram.me/moskva_mam/132971" tooltip="https://telegram.me/moskva_mam/132971" r:id="rId89"/>
    <hyperlink ref="K44" display="https://telegram.me/Oksana_Ridiger" tooltip="https://telegram.me/Oksana_Ridiger" r:id="rId90"/>
    <hyperlink ref="N44" display="https://telegram.me/moskva_mam" tooltip="https://telegram.me/moskva_mam" r:id="rId91"/>
    <hyperlink ref="G45" display="http://vk.com/wall-87598739_813314?reply=818055&amp;thread=813320" tooltip="http://vk.com/wall-87598739_813314?reply=818055&amp;thread=813320" r:id="rId92"/>
    <hyperlink ref="K45" display="http://vk.com/id664517657" tooltip="http://vk.com/id664517657" r:id="rId93"/>
    <hyperlink ref="N45" display="http://vk.com/club87598739" tooltip="http://vk.com/club87598739" r:id="rId94"/>
    <hyperlink ref="G46" display="http://vk.com/wall457827327_2826" tooltip="http://vk.com/wall457827327_2826" r:id="rId95"/>
    <hyperlink ref="K46" display="http://vk.com/id457827327" tooltip="http://vk.com/id457827327" r:id="rId96"/>
    <hyperlink ref="G47" display="http://vk.com/wall-207266137_775864?reply=775947&amp;thread=775904" tooltip="http://vk.com/wall-207266137_775864?reply=775947&amp;thread=775904" r:id="rId97"/>
    <hyperlink ref="K47" display="http://vk.com/id62146060" tooltip="http://vk.com/id62146060" r:id="rId98"/>
    <hyperlink ref="N47" display="http://vk.com/club207266137" tooltip="http://vk.com/club207266137" r:id="rId99"/>
    <hyperlink ref="G48" display="https://telegram.me/moskva_mam/132968" tooltip="https://telegram.me/moskva_mam/132968" r:id="rId100"/>
    <hyperlink ref="K48" display="https://telegram.me/Oksana_Ridiger" tooltip="https://telegram.me/Oksana_Ridiger" r:id="rId101"/>
    <hyperlink ref="N48" display="https://telegram.me/moskva_mam" tooltip="https://telegram.me/moskva_mam" r:id="rId102"/>
    <hyperlink ref="G49" display="http://vk.com/wall562694182_2362" tooltip="http://vk.com/wall562694182_2362" r:id="rId103"/>
    <hyperlink ref="K49" display="http://vk.com/id562694182" tooltip="http://vk.com/id562694182" r:id="rId104"/>
    <hyperlink ref="G50" display="http://vk.com/wall-133977313_256419?reply=256436" tooltip="http://vk.com/wall-133977313_256419?reply=256436" r:id="rId105"/>
    <hyperlink ref="K50" display="http://vk.com/id2598036" tooltip="http://vk.com/id2598036" r:id="rId106"/>
    <hyperlink ref="N50" display="http://vk.com/club133977313" tooltip="http://vk.com/club133977313" r:id="rId107"/>
    <hyperlink ref="G51" display="http://www.ok.ru/profile/576350023352/statuses/156218830578616" tooltip="http://www.ok.ru/profile/576350023352/statuses/156218830578616" r:id="rId108"/>
    <hyperlink ref="K51" display="http://www.ok.ru/profile/576350023352" tooltip="http://www.ok.ru/profile/576350023352" r:id="rId109"/>
    <hyperlink ref="G52" display="http://vk.com/wall225465171_530" tooltip="http://vk.com/wall225465171_530" r:id="rId110"/>
    <hyperlink ref="K52" display="http://vk.com/id225465171" tooltip="http://vk.com/id225465171" r:id="rId111"/>
    <hyperlink ref="G53" display="https://www.baby.ru/blogs/post/2611467562-2597681634/" tooltip="https://www.baby.ru/blogs/post/2611467562-2597681634/" r:id="rId112"/>
    <hyperlink ref="K53" display="https://www.baby.ru/u/usr2171834/" tooltip="https://www.baby.ru/u/usr2171834/" r:id="rId113"/>
    <hyperlink ref="N53" display="https://www.baby.ru/u/usr2710213/" tooltip="https://www.baby.ru/u/usr2710213/" r:id="rId114"/>
    <hyperlink ref="G54" display="http://vk.com/wall-165495813_955937?reply=956089&amp;thread=956013" tooltip="http://vk.com/wall-165495813_955937?reply=956089&amp;thread=956013" r:id="rId115"/>
    <hyperlink ref="K54" display="http://vk.com/id90392475" tooltip="http://vk.com/id90392475" r:id="rId116"/>
    <hyperlink ref="N54" display="http://vk.com/club165495813" tooltip="http://vk.com/club165495813" r:id="rId117"/>
    <hyperlink ref="G55" display="http://vk.com/wall710197643_827" tooltip="http://vk.com/wall710197643_827" r:id="rId118"/>
    <hyperlink ref="K55" display="http://vk.com/id710197643" tooltip="http://vk.com/id710197643" r:id="rId119"/>
    <hyperlink ref="G56" display="https://telegram.me/vv_volodin/633?comment=4535826" tooltip="https://telegram.me/vv_volodin/633?comment=4535826" r:id="rId120"/>
    <hyperlink ref="K56" display="https://telegram.me/" tooltip="https://telegram.me/" r:id="rId121"/>
    <hyperlink ref="N56" display="https://telegram.me/vv_volodin" tooltip="https://telegram.me/vv_volodin" r:id="rId122"/>
    <hyperlink ref="G57" display="http://vk.com/wall-103925_17240?reply=17613&amp;thread=17604" tooltip="http://vk.com/wall-103925_17240?reply=17613&amp;thread=17604" r:id="rId123"/>
    <hyperlink ref="K57" display="http://vk.com/id168713492" tooltip="http://vk.com/id168713492" r:id="rId124"/>
    <hyperlink ref="N57" display="http://vk.com/club103925" tooltip="http://vk.com/club103925" r:id="rId125"/>
    <hyperlink ref="G58" display="http://vk.com/wall-117339481_1474346?reply=1474641" tooltip="http://vk.com/wall-117339481_1474346?reply=1474641" r:id="rId126"/>
    <hyperlink ref="K58" display="http://vk.com/id37940811" tooltip="http://vk.com/id37940811" r:id="rId127"/>
    <hyperlink ref="N58" display="http://vk.com/club117339481" tooltip="http://vk.com/club117339481" r:id="rId128"/>
    <hyperlink ref="G59" display="http://vk.com/wall-137658144_1433367?reply=1433879" tooltip="http://vk.com/wall-137658144_1433367?reply=1433879" r:id="rId129"/>
    <hyperlink ref="K59" display="http://vk.com/id311007287" tooltip="http://vk.com/id311007287" r:id="rId130"/>
    <hyperlink ref="N59" display="http://vk.com/club137658144" tooltip="http://vk.com/club137658144" r:id="rId131"/>
    <hyperlink ref="G60" display="https://www.babyblog.ru/community/living/post/3308465" tooltip="https://www.babyblog.ru/community/living/post/3308465" r:id="rId132"/>
    <hyperlink ref="G61" display="http://vk.com/wall-87598739_813314?reply=818050&amp;thread=813355" tooltip="http://vk.com/wall-87598739_813314?reply=818050&amp;thread=813355" r:id="rId133"/>
    <hyperlink ref="K61" display="http://vk.com/id564996259" tooltip="http://vk.com/id564996259" r:id="rId134"/>
    <hyperlink ref="N61" display="http://vk.com/club87598739" tooltip="http://vk.com/club87598739" r:id="rId135"/>
    <hyperlink ref="G62" display="http://vk.com/wall-87598739_813314?reply=818049&amp;thread=813355" tooltip="http://vk.com/wall-87598739_813314?reply=818049&amp;thread=813355" r:id="rId136"/>
    <hyperlink ref="K62" display="http://vk.com/id564996259" tooltip="http://vk.com/id564996259" r:id="rId137"/>
    <hyperlink ref="N62" display="http://vk.com/club87598739" tooltip="http://vk.com/club87598739" r:id="rId138"/>
    <hyperlink ref="G63" display="http://vk.com/wall370183479_859" tooltip="http://vk.com/wall370183479_859" r:id="rId139"/>
    <hyperlink ref="K63" display="http://vk.com/id370183479" tooltip="http://vk.com/id370183479" r:id="rId140"/>
    <hyperlink ref="G64" display="http://vk.com/wall-145141613_593206?reply=593210" tooltip="http://vk.com/wall-145141613_593206?reply=593210" r:id="rId141"/>
    <hyperlink ref="K64" display="http://vk.com/id225439665" tooltip="http://vk.com/id225439665" r:id="rId142"/>
    <hyperlink ref="N64" display="http://vk.com/club145141613" tooltip="http://vk.com/club145141613" r:id="rId143"/>
    <hyperlink ref="G65" display="http://www.ok.ru/profile/561090531317/statuses/157997424936437" tooltip="http://www.ok.ru/profile/561090531317/statuses/157997424936437" r:id="rId144"/>
    <hyperlink ref="K65" display="http://www.ok.ru/profile/561090531317" tooltip="http://www.ok.ru/profile/561090531317" r:id="rId145"/>
    <hyperlink ref="G66" display="https://www.u-mama.ru/forum/family/covid-19/949493/#mid_34755539" tooltip="https://www.u-mama.ru/forum/family/covid-19/949493/#mid_34755539" r:id="rId146"/>
    <hyperlink ref="G67" display="http://vk.com/wall-146175495_830050?reply=830269" tooltip="http://vk.com/wall-146175495_830050?reply=830269" r:id="rId147"/>
    <hyperlink ref="K67" display="http://vk.com/id458717973" tooltip="http://vk.com/id458717973" r:id="rId148"/>
    <hyperlink ref="N67" display="http://vk.com/club146175495" tooltip="http://vk.com/club146175495" r:id="rId149"/>
    <hyperlink ref="G68" display="http://vk.com/wall-155386267_1060481?reply=1061545" tooltip="http://vk.com/wall-155386267_1060481?reply=1061545" r:id="rId150"/>
    <hyperlink ref="K68" display="http://vk.com/id275048283" tooltip="http://vk.com/id275048283" r:id="rId151"/>
    <hyperlink ref="N68" display="http://vk.com/club155386267" tooltip="http://vk.com/club155386267" r:id="rId152"/>
    <hyperlink ref="G69" display="http://vk.com/wall249728264_1353" tooltip="http://vk.com/wall249728264_1353" r:id="rId153"/>
    <hyperlink ref="K69" display="http://vk.com/id249728264" tooltip="http://vk.com/id249728264" r:id="rId154"/>
    <hyperlink ref="G70" display="https://www.babyblog.ru/community/living/post/3308287" tooltip="https://www.babyblog.ru/community/living/post/3308287" r:id="rId155"/>
    <hyperlink ref="G71" display="http://vk.com/wall-146312273_12580?reply=12582" tooltip="http://vk.com/wall-146312273_12580?reply=12582" r:id="rId156"/>
    <hyperlink ref="K71" display="http://vk.com/id584974798" tooltip="http://vk.com/id584974798" r:id="rId157"/>
    <hyperlink ref="N71" display="http://vk.com/club146312273" tooltip="http://vk.com/club146312273" r:id="rId158"/>
    <hyperlink ref="G72" display="http://vk.com/wall384141370_4436" tooltip="http://vk.com/wall384141370_4436" r:id="rId159"/>
    <hyperlink ref="K72" display="http://vk.com/id384141370" tooltip="http://vk.com/id384141370" r:id="rId160"/>
    <hyperlink ref="G73" display="http://vk.com/wall-136637198_109456?reply=109914&amp;thread=109482" tooltip="http://vk.com/wall-136637198_109456?reply=109914&amp;thread=109482" r:id="rId161"/>
    <hyperlink ref="K73" display="http://vk.com/id564994008" tooltip="http://vk.com/id564994008" r:id="rId162"/>
    <hyperlink ref="N73" display="http://vk.com/club136637198" tooltip="http://vk.com/club136637198" r:id="rId163"/>
    <hyperlink ref="G74" display="http://vk.com/wall432515116_2558" tooltip="http://vk.com/wall432515116_2558" r:id="rId164"/>
    <hyperlink ref="K74" display="http://vk.com/id432515116" tooltip="http://vk.com/id432515116" r:id="rId165"/>
    <hyperlink ref="G75" display="http://vk.com/wall-207266137_775864?reply=775904" tooltip="http://vk.com/wall-207266137_775864?reply=775904" r:id="rId166"/>
    <hyperlink ref="K75" display="http://vk.com/id593784294" tooltip="http://vk.com/id593784294" r:id="rId167"/>
    <hyperlink ref="N75" display="http://vk.com/club207266137" tooltip="http://vk.com/club207266137" r:id="rId168"/>
    <hyperlink ref="G76" display="http://vk.com/wall-136637198_109456?reply=109911&amp;thread=109482" tooltip="http://vk.com/wall-136637198_109456?reply=109911&amp;thread=109482" r:id="rId169"/>
    <hyperlink ref="K76" display="http://vk.com/id564994008" tooltip="http://vk.com/id564994008" r:id="rId170"/>
    <hyperlink ref="N76" display="http://vk.com/club136637198" tooltip="http://vk.com/club136637198" r:id="rId171"/>
    <hyperlink ref="G77" display="http://vk.com/wall185400076_17483" tooltip="http://vk.com/wall185400076_17483" r:id="rId172"/>
    <hyperlink ref="K77" display="http://vk.com/id185400076" tooltip="http://vk.com/id185400076" r:id="rId173"/>
    <hyperlink ref="G78" display="http://vk.com/wall415220702_3969" tooltip="http://vk.com/wall415220702_3969" r:id="rId174"/>
    <hyperlink ref="K78" display="http://vk.com/id415220702" tooltip="http://vk.com/id415220702" r:id="rId175"/>
    <hyperlink ref="G79" display="http://www.ok.ru/profile/571549877864/statuses/155416678571368" tooltip="http://www.ok.ru/profile/571549877864/statuses/155416678571368" r:id="rId176"/>
    <hyperlink ref="K79" display="http://www.ok.ru/profile/571549877864" tooltip="http://www.ok.ru/profile/571549877864" r:id="rId177"/>
    <hyperlink ref="G80" display="http://vk.com/wall795732792_16" tooltip="http://vk.com/wall795732792_16" r:id="rId178"/>
    <hyperlink ref="K80" display="http://vk.com/id795732792" tooltip="http://vk.com/id795732792" r:id="rId179"/>
    <hyperlink ref="G81" display="http://vk.com/wall240245860_3166" tooltip="http://vk.com/wall240245860_3166" r:id="rId180"/>
    <hyperlink ref="K81" display="http://vk.com/id240245860" tooltip="http://vk.com/id240245860" r:id="rId181"/>
    <hyperlink ref="G82" display="http://vk.com/wall-86024718_2018897?reply=2018907" tooltip="http://vk.com/wall-86024718_2018897?reply=2018907" r:id="rId182"/>
    <hyperlink ref="K82" display="http://vk.com/id93954907" tooltip="http://vk.com/id93954907" r:id="rId183"/>
    <hyperlink ref="N82" display="http://vk.com/club86024718" tooltip="http://vk.com/club86024718" r:id="rId184"/>
    <hyperlink ref="G83" display="http://vk.com/wall208552464_13132" tooltip="http://vk.com/wall208552464_13132" r:id="rId185"/>
    <hyperlink ref="K83" display="http://vk.com/id208552464" tooltip="http://vk.com/id208552464" r:id="rId186"/>
    <hyperlink ref="G84" display="http://vk.com/wall-45712009_377043?reply=377048" tooltip="http://vk.com/wall-45712009_377043?reply=377048" r:id="rId187"/>
    <hyperlink ref="K84" display="http://vk.com/id204624281" tooltip="http://vk.com/id204624281" r:id="rId188"/>
    <hyperlink ref="N84" display="http://vk.com/club45712009" tooltip="http://vk.com/club45712009" r:id="rId189"/>
    <hyperlink ref="G85" display="http://twitter.com/sergofm52/status/1646836528629309440" tooltip="http://twitter.com/sergofm52/status/1646836528629309440" r:id="rId190"/>
    <hyperlink ref="K85" display="http://twitter.com/sergofm52" tooltip="http://twitter.com/sergofm52" r:id="rId191"/>
    <hyperlink ref="G86" display="http://vk.com/wall-118188716_870776?reply=871163&amp;thread=870803" tooltip="http://vk.com/wall-118188716_870776?reply=871163&amp;thread=870803" r:id="rId192"/>
    <hyperlink ref="K86" display="http://vk.com/id521988661" tooltip="http://vk.com/id521988661" r:id="rId193"/>
    <hyperlink ref="N86" display="http://vk.com/club118188716" tooltip="http://vk.com/club118188716" r:id="rId194"/>
    <hyperlink ref="G87" display="http://vk.com/wall-202512925_25957?reply=25960" tooltip="http://vk.com/wall-202512925_25957?reply=25960" r:id="rId195"/>
    <hyperlink ref="K87" display="http://vk.com/id89945845" tooltip="http://vk.com/id89945845" r:id="rId196"/>
    <hyperlink ref="N87" display="http://vk.com/club202512925" tooltip="http://vk.com/club202512925" r:id="rId197"/>
    <hyperlink ref="G88" display="http://vk.com/wall-86830443_1099901?reply=1099948&amp;thread=1099919" tooltip="http://vk.com/wall-86830443_1099901?reply=1099948&amp;thread=1099919" r:id="rId198"/>
    <hyperlink ref="K88" display="http://vk.com/id497678063" tooltip="http://vk.com/id497678063" r:id="rId199"/>
    <hyperlink ref="N88" display="http://vk.com/club86830443" tooltip="http://vk.com/club86830443" r:id="rId200"/>
    <hyperlink ref="G89" display="http://vk.com/wall235608113_4530" tooltip="http://vk.com/wall235608113_4530" r:id="rId201"/>
    <hyperlink ref="K89" display="http://vk.com/id235608113" tooltip="http://vk.com/id235608113" r:id="rId202"/>
    <hyperlink ref="G90" display="http://vk.com/wall-53577941_20183?reply=20189" tooltip="http://vk.com/wall-53577941_20183?reply=20189" r:id="rId203"/>
    <hyperlink ref="K90" display="http://vk.com/id29453429" tooltip="http://vk.com/id29453429" r:id="rId204"/>
    <hyperlink ref="N90" display="http://vk.com/club53577941" tooltip="http://vk.com/club53577941" r:id="rId205"/>
    <hyperlink ref="G91" display="http://vk.com/wall-126850514_1138289?reply=1139115&amp;thread=1138531" tooltip="http://vk.com/wall-126850514_1138289?reply=1139115&amp;thread=1138531" r:id="rId206"/>
    <hyperlink ref="K91" display="http://vk.com/id615133572" tooltip="http://vk.com/id615133572" r:id="rId207"/>
    <hyperlink ref="N91" display="http://vk.com/club126850514" tooltip="http://vk.com/club126850514" r:id="rId208"/>
    <hyperlink ref="G92" display="http://vk.com/wall195110506_3136" tooltip="http://vk.com/wall195110506_3136" r:id="rId209"/>
    <hyperlink ref="K92" display="http://vk.com/id195110506" tooltip="http://vk.com/id195110506" r:id="rId210"/>
    <hyperlink ref="G93" display="https://www.baby.ru/blogs/post/2611503308-2549624212/" tooltip="https://www.baby.ru/blogs/post/2611503308-2549624212/" r:id="rId211"/>
    <hyperlink ref="K93" display="https://www.baby.ru/u/usr2142245/" tooltip="https://www.baby.ru/u/usr2142245/" r:id="rId212"/>
    <hyperlink ref="N93" display="https://www.baby.ru/u/usr2695542/" tooltip="https://www.baby.ru/u/usr2695542/" r:id="rId213"/>
    <hyperlink ref="G94" display="http://vk.com/wall514074401_206" tooltip="http://vk.com/wall514074401_206" r:id="rId214"/>
    <hyperlink ref="K94" display="http://vk.com/id514074401" tooltip="http://vk.com/id514074401" r:id="rId215"/>
    <hyperlink ref="G95" display="http://vk.com/wall-162286056_1818943?reply=1819225&amp;thread=1818948" tooltip="http://vk.com/wall-162286056_1818943?reply=1819225&amp;thread=1818948" r:id="rId216"/>
    <hyperlink ref="K95" display="http://vk.com/id145490720" tooltip="http://vk.com/id145490720" r:id="rId217"/>
    <hyperlink ref="N95" display="http://vk.com/club162286056" tooltip="http://vk.com/club162286056" r:id="rId218"/>
    <hyperlink ref="G96" display="http://vk.com/wall-27062979_1180521?reply=1180964&amp;thread=1180786" tooltip="http://vk.com/wall-27062979_1180521?reply=1180964&amp;thread=1180786" r:id="rId219"/>
    <hyperlink ref="K96" display="http://vk.com/id647485101" tooltip="http://vk.com/id647485101" r:id="rId220"/>
    <hyperlink ref="N96" display="http://vk.com/club27062979" tooltip="http://vk.com/club27062979" r:id="rId221"/>
    <hyperlink ref="G97" display="http://vk.com/wall419142998_449" tooltip="http://vk.com/wall419142998_449" r:id="rId222"/>
    <hyperlink ref="K97" display="http://vk.com/id419142998" tooltip="http://vk.com/id419142998" r:id="rId223"/>
    <hyperlink ref="G98" display="http://vk.com/wall-118188716_870776?reply=871161&amp;thread=870803" tooltip="http://vk.com/wall-118188716_870776?reply=871161&amp;thread=870803" r:id="rId224"/>
    <hyperlink ref="K98" display="http://vk.com/id445935362" tooltip="http://vk.com/id445935362" r:id="rId225"/>
    <hyperlink ref="N98" display="http://vk.com/club118188716" tooltip="http://vk.com/club118188716" r:id="rId226"/>
    <hyperlink ref="G99" display="http://vk.com/wall696929247_238" tooltip="http://vk.com/wall696929247_238" r:id="rId227"/>
    <hyperlink ref="K99" display="http://vk.com/id696929247" tooltip="http://vk.com/id696929247" r:id="rId228"/>
    <hyperlink ref="G100" display="http://vk.com/wall169742214_3237" tooltip="http://vk.com/wall169742214_3237" r:id="rId229"/>
    <hyperlink ref="K100" display="http://vk.com/id169742214" tooltip="http://vk.com/id169742214" r:id="rId230"/>
    <hyperlink ref="G101" display="https://telegram.me/omckmama/13701" tooltip="https://telegram.me/omckmama/13701" r:id="rId231"/>
    <hyperlink ref="K101" display="https://telegram.me/XeniaKur20" tooltip="https://telegram.me/XeniaKur20" r:id="rId232"/>
    <hyperlink ref="N101" display="https://telegram.me/omckmama" tooltip="https://telegram.me/omckmama" r:id="rId233"/>
    <hyperlink ref="G102" display="http://businesspskov.ru/news/205794.html" tooltip="http://businesspskov.ru/news/205794.html" r:id="rId234"/>
    <hyperlink ref="G103" display="http://vk.com/wall384141370_4435" tooltip="http://vk.com/wall384141370_4435" r:id="rId235"/>
    <hyperlink ref="K103" display="http://vk.com/id384141370" tooltip="http://vk.com/id384141370" r:id="rId236"/>
    <hyperlink ref="G104" display="http://vk.com/wall-92006241_404960?reply=425047&amp;thread=405208" tooltip="http://vk.com/wall-92006241_404960?reply=425047&amp;thread=405208" r:id="rId237"/>
    <hyperlink ref="K104" display="http://vk.com/id564999034" tooltip="http://vk.com/id564999034" r:id="rId238"/>
    <hyperlink ref="N104" display="http://vk.com/club92006241" tooltip="http://vk.com/club92006241" r:id="rId239"/>
    <hyperlink ref="G105" display="http://vk.com/wall-193183095_78" tooltip="http://vk.com/wall-193183095_78" r:id="rId240"/>
    <hyperlink ref="K105" display="http://vk.com/club193183095" tooltip="http://vk.com/club193183095" r:id="rId241"/>
    <hyperlink ref="G106" display="http://vk.com/wall-139923997_4238168?reply=4240040&amp;thread=4238891" tooltip="http://vk.com/wall-139923997_4238168?reply=4240040&amp;thread=4238891" r:id="rId242"/>
    <hyperlink ref="K106" display="http://vk.com/id168877014" tooltip="http://vk.com/id168877014" r:id="rId243"/>
    <hyperlink ref="N106" display="http://vk.com/club139923997" tooltip="http://vk.com/club139923997" r:id="rId244"/>
    <hyperlink ref="G107" display="https://www.u-mama.ru/forum/family/health/949323/#mid_34755405" tooltip="https://www.u-mama.ru/forum/family/health/949323/#mid_34755405" r:id="rId245"/>
    <hyperlink ref="G108" display="http://vk.com/wall474351320_1161" tooltip="http://vk.com/wall474351320_1161" r:id="rId246"/>
    <hyperlink ref="K108" display="http://vk.com/id474351320" tooltip="http://vk.com/id474351320" r:id="rId247"/>
    <hyperlink ref="G109" display="http://vk.com/wall474351320_1160" tooltip="http://vk.com/wall474351320_1160" r:id="rId248"/>
    <hyperlink ref="K109" display="http://vk.com/id474351320" tooltip="http://vk.com/id474351320" r:id="rId249"/>
    <hyperlink ref="G110" display="https://metlor.net/wiki/item/66758-lechenie-orvi-cenoy-raka-mozhet-li-ingavirin-vyzyvat-strashnyy-nedug" tooltip="https://metlor.net/wiki/item/66758-lechenie-orvi-cenoy-raka-mozhet-li-ingavirin-vyzyvat-strashnyy-nedug" r:id="rId250"/>
    <hyperlink ref="G111" display="http://vk.com/wall-165495813_955937?reply=956078&amp;thread=956013" tooltip="http://vk.com/wall-165495813_955937?reply=956078&amp;thread=956013" r:id="rId251"/>
    <hyperlink ref="K111" display="http://vk.com/id134770200" tooltip="http://vk.com/id134770200" r:id="rId252"/>
    <hyperlink ref="N111" display="http://vk.com/club165495813" tooltip="http://vk.com/club165495813" r:id="rId253"/>
    <hyperlink ref="G112" display="http://vk.com/wall-203023242_19254?reply=19290" tooltip="http://vk.com/wall-203023242_19254?reply=19290" r:id="rId254"/>
    <hyperlink ref="K112" display="http://vk.com/id793507918" tooltip="http://vk.com/id793507918" r:id="rId255"/>
    <hyperlink ref="N112" display="http://vk.com/club203023242" tooltip="http://vk.com/club203023242" r:id="rId256"/>
    <hyperlink ref="G113" display="http://www.ok.ru/profile/561744626302/statuses/154973386342526" tooltip="http://www.ok.ru/profile/561744626302/statuses/154973386342526" r:id="rId257"/>
    <hyperlink ref="K113" display="http://www.ok.ru/profile/561744626302" tooltip="http://www.ok.ru/profile/561744626302" r:id="rId258"/>
    <hyperlink ref="G114" display="http://vk.com/wall-89460402_150827" tooltip="http://vk.com/wall-89460402_150827" r:id="rId259"/>
    <hyperlink ref="K114" display="http://vk.com/club89460402" tooltip="http://vk.com/club89460402" r:id="rId260"/>
    <hyperlink ref="G115" display="http://vk.com/wall-121026450_71645?reply=71680" tooltip="http://vk.com/wall-121026450_71645?reply=71680" r:id="rId261"/>
    <hyperlink ref="K115" display="http://vk.com/id793507918" tooltip="http://vk.com/id793507918" r:id="rId262"/>
    <hyperlink ref="N115" display="http://vk.com/club121026450" tooltip="http://vk.com/club121026450" r:id="rId263"/>
    <hyperlink ref="G116" display="http://vk.com/wall-141518790_2250357?reply=2252058" tooltip="http://vk.com/wall-141518790_2250357?reply=2252058" r:id="rId264"/>
    <hyperlink ref="K116" display="http://vk.com/id793507918" tooltip="http://vk.com/id793507918" r:id="rId265"/>
    <hyperlink ref="N116" display="http://vk.com/club141518790" tooltip="http://vk.com/club141518790" r:id="rId266"/>
    <hyperlink ref="G117" display="https://spravka11.ru/news/100153/" tooltip="https://spravka11.ru/news/100153/" r:id="rId267"/>
    <hyperlink ref="G118" display="http://vk.com/wall-157771437_610132?reply=610224" tooltip="http://vk.com/wall-157771437_610132?reply=610224" r:id="rId268"/>
    <hyperlink ref="K118" display="http://vk.com/id793507918" tooltip="http://vk.com/id793507918" r:id="rId269"/>
    <hyperlink ref="N118" display="http://vk.com/club157771437" tooltip="http://vk.com/club157771437" r:id="rId270"/>
    <hyperlink ref="G119" display="http://vk.com/wall100804408_3207" tooltip="http://vk.com/wall100804408_3207" r:id="rId271"/>
    <hyperlink ref="K119" display="http://vk.com/id100804408" tooltip="http://vk.com/id100804408" r:id="rId272"/>
    <hyperlink ref="G120" display="http://vk.com/wall708340693_465" tooltip="http://vk.com/wall708340693_465" r:id="rId273"/>
    <hyperlink ref="K120" display="http://vk.com/id708340693" tooltip="http://vk.com/id708340693" r:id="rId274"/>
    <hyperlink ref="G121" display="http://vk.com/wall-136860886_525859?reply=525967" tooltip="http://vk.com/wall-136860886_525859?reply=525967" r:id="rId275"/>
    <hyperlink ref="K121" display="http://vk.com/id793508038" tooltip="http://vk.com/id793508038" r:id="rId276"/>
    <hyperlink ref="N121" display="http://vk.com/club136860886" tooltip="http://vk.com/club136860886" r:id="rId277"/>
    <hyperlink ref="G122" display="http://vk.com/wall-145633574_407406?reply=411200&amp;thread=407410" tooltip="http://vk.com/wall-145633574_407406?reply=411200&amp;thread=407410" r:id="rId278"/>
    <hyperlink ref="K122" display="http://vk.com/id185073042" tooltip="http://vk.com/id185073042" r:id="rId279"/>
    <hyperlink ref="N122" display="http://vk.com/club145633574" tooltip="http://vk.com/club145633574" r:id="rId280"/>
    <hyperlink ref="G123" display="http://vk.com/wall-158393246_1356109?reply=1356402" tooltip="http://vk.com/wall-158393246_1356109?reply=1356402" r:id="rId281"/>
    <hyperlink ref="K123" display="http://vk.com/id38189065" tooltip="http://vk.com/id38189065" r:id="rId282"/>
    <hyperlink ref="N123" display="http://vk.com/club158393246" tooltip="http://vk.com/club158393246" r:id="rId283"/>
    <hyperlink ref="G124" display="http://vk.com/wall-150079080_234058?reply=241987" tooltip="http://vk.com/wall-150079080_234058?reply=241987" r:id="rId284"/>
    <hyperlink ref="K124" display="http://vk.com/id793508038" tooltip="http://vk.com/id793508038" r:id="rId285"/>
    <hyperlink ref="N124" display="http://vk.com/club150079080" tooltip="http://vk.com/club150079080" r:id="rId286"/>
    <hyperlink ref="G125" display="http://vk.com/wall171040136_3261" tooltip="http://vk.com/wall171040136_3261" r:id="rId287"/>
    <hyperlink ref="K125" display="http://vk.com/id171040136" tooltip="http://vk.com/id171040136" r:id="rId288"/>
    <hyperlink ref="G126" display="http://vk.com/wall-197412679_201645?reply=202221" tooltip="http://vk.com/wall-197412679_201645?reply=202221" r:id="rId289"/>
    <hyperlink ref="K126" display="http://vk.com/id793508038" tooltip="http://vk.com/id793508038" r:id="rId290"/>
    <hyperlink ref="N126" display="http://vk.com/club197412679" tooltip="http://vk.com/club197412679" r:id="rId291"/>
    <hyperlink ref="G127" display="http://vk.com/wall-36274616_8349893?reply=8352411" tooltip="http://vk.com/wall-36274616_8349893?reply=8352411" r:id="rId292"/>
    <hyperlink ref="K127" display="http://vk.com/id793508038" tooltip="http://vk.com/id793508038" r:id="rId293"/>
    <hyperlink ref="N127" display="http://vk.com/club36274616" tooltip="http://vk.com/club36274616" r:id="rId294"/>
    <hyperlink ref="G128" display="http://vk.com/wall-17577887_8007466?reply=8008643&amp;thread=8007515" tooltip="http://vk.com/wall-17577887_8007466?reply=8008643&amp;thread=8007515" r:id="rId295"/>
    <hyperlink ref="K128" display="http://vk.com/id611721829" tooltip="http://vk.com/id611721829" r:id="rId296"/>
    <hyperlink ref="N128" display="http://vk.com/club17577887" tooltip="http://vk.com/club17577887" r:id="rId297"/>
    <hyperlink ref="G129" display="http://vk.com/wall-5692810_6324299?reply=6325948" tooltip="http://vk.com/wall-5692810_6324299?reply=6325948" r:id="rId298"/>
    <hyperlink ref="K129" display="http://vk.com/id793508038" tooltip="http://vk.com/id793508038" r:id="rId299"/>
    <hyperlink ref="N129" display="http://vk.com/club5692810" tooltip="http://vk.com/club5692810" r:id="rId300"/>
    <hyperlink ref="G130" display="http://vk.com/wall-84748510_23343?reply=23434&amp;thread=23387" tooltip="http://vk.com/wall-84748510_23343?reply=23434&amp;thread=23387" r:id="rId301"/>
    <hyperlink ref="K130" display="http://vk.com/id793760878" tooltip="http://vk.com/id793760878" r:id="rId302"/>
    <hyperlink ref="N130" display="http://vk.com/club84748510" tooltip="http://vk.com/club84748510" r:id="rId303"/>
    <hyperlink ref="G131" display="https://telegram.me/Dorixona_Dorihona/581105" tooltip="https://telegram.me/Dorixona_Dorihona/581105" r:id="rId304"/>
    <hyperlink ref="K131" display="https://telegram.me/" tooltip="https://telegram.me/" r:id="rId305"/>
    <hyperlink ref="N131" display="https://telegram.me/Dorixona_Dorihona" tooltip="https://telegram.me/Dorixona_Dorihona" r:id="rId306"/>
    <hyperlink ref="G132" display="http://vk.com/wall-86024718_2018897?reply=2018903" tooltip="http://vk.com/wall-86024718_2018897?reply=2018903" r:id="rId307"/>
    <hyperlink ref="K132" display="http://vk.com/id29759590" tooltip="http://vk.com/id29759590" r:id="rId308"/>
    <hyperlink ref="N132" display="http://vk.com/club86024718" tooltip="http://vk.com/club86024718" r:id="rId309"/>
    <hyperlink ref="G133" display="https://telegram.me/domodedovomoms/39800" tooltip="https://telegram.me/domodedovomoms/39800" r:id="rId310"/>
    <hyperlink ref="K133" display="https://telegram.me/" tooltip="https://telegram.me/" r:id="rId311"/>
    <hyperlink ref="N133" display="https://telegram.me/domodedovomoms" tooltip="https://telegram.me/domodedovomoms" r:id="rId312"/>
    <hyperlink ref="G134" display="http://vk.com/wall-110697191_622099?reply=622809&amp;thread=622103" tooltip="http://vk.com/wall-110697191_622099?reply=622809&amp;thread=622103" r:id="rId313"/>
    <hyperlink ref="K134" display="http://vk.com/id390532848" tooltip="http://vk.com/id390532848" r:id="rId314"/>
    <hyperlink ref="N134" display="http://vk.com/club110697191" tooltip="http://vk.com/club110697191" r:id="rId315"/>
    <hyperlink ref="G135" display="http://twitter.com/Vadim777K/status/1646825210623016960" tooltip="http://twitter.com/Vadim777K/status/1646825210623016960" r:id="rId316"/>
    <hyperlink ref="K135" display="http://twitter.com/Vadim777K" tooltip="http://twitter.com/Vadim777K" r:id="rId317"/>
    <hyperlink ref="N135" display="http://twitter.com/vladlar2044" tooltip="http://twitter.com/vladlar2044" r:id="rId318"/>
    <hyperlink ref="G136" display="http://vk.com/wall657541141_1395" tooltip="http://vk.com/wall657541141_1395" r:id="rId319"/>
    <hyperlink ref="K136" display="http://vk.com/id657541141" tooltip="http://vk.com/id657541141" r:id="rId320"/>
    <hyperlink ref="G137" display="http://vk.com/wall-219938946_20" tooltip="http://vk.com/wall-219938946_20" r:id="rId321"/>
    <hyperlink ref="K137" display="http://vk.com/club219938946" tooltip="http://vk.com/club219938946" r:id="rId322"/>
    <hyperlink ref="G138" display="http://vk.com/wall-219938908_20" tooltip="http://vk.com/wall-219938908_20" r:id="rId323"/>
    <hyperlink ref="K138" display="http://vk.com/club219938908" tooltip="http://vk.com/club219938908" r:id="rId324"/>
    <hyperlink ref="G139" display="http://vk.com/wall-219938856_20" tooltip="http://vk.com/wall-219938856_20" r:id="rId325"/>
    <hyperlink ref="K139" display="http://vk.com/club219938856" tooltip="http://vk.com/club219938856" r:id="rId326"/>
    <hyperlink ref="G140" display="http://vk.com/wall-9416253_189000?reply=189002" tooltip="http://vk.com/wall-9416253_189000?reply=189002" r:id="rId327"/>
    <hyperlink ref="K140" display="http://vk.com/id17624818" tooltip="http://vk.com/id17624818" r:id="rId328"/>
    <hyperlink ref="N140" display="http://vk.com/club9416253" tooltip="http://vk.com/club9416253" r:id="rId329"/>
    <hyperlink ref="G141" display="http://vk.com/wall-187579258_47029?reply=47788" tooltip="http://vk.com/wall-187579258_47029?reply=47788" r:id="rId330"/>
    <hyperlink ref="K141" display="http://vk.com/id793508038" tooltip="http://vk.com/id793508038" r:id="rId331"/>
    <hyperlink ref="N141" display="http://vk.com/club187579258" tooltip="http://vk.com/club187579258" r:id="rId332"/>
    <hyperlink ref="G142" display="http://vk.com/wall245153990_1679" tooltip="http://vk.com/wall245153990_1679" r:id="rId333"/>
    <hyperlink ref="K142" display="http://vk.com/id245153990" tooltip="http://vk.com/id245153990" r:id="rId334"/>
    <hyperlink ref="G143" display="http://vk.com/wall215096516_9297" tooltip="http://vk.com/wall215096516_9297" r:id="rId335"/>
    <hyperlink ref="K143" display="http://vk.com/id215096516" tooltip="http://vk.com/id215096516" r:id="rId336"/>
    <hyperlink ref="G144" display="https://www.babyblog.ru/community/living/post/3308287" tooltip="https://www.babyblog.ru/community/living/post/3308287" r:id="rId337"/>
    <hyperlink ref="G145" display="http://vk.com/wall466537657_189629" tooltip="http://vk.com/wall466537657_189629" r:id="rId338"/>
    <hyperlink ref="K145" display="http://vk.com/id466537657" tooltip="http://vk.com/id466537657" r:id="rId339"/>
    <hyperlink ref="G146" display="http://www.ok.ru/group/62530505015502/topic/156147489027534" tooltip="http://www.ok.ru/group/62530505015502/topic/156147489027534" r:id="rId340"/>
    <hyperlink ref="K146" display="http://www.ok.ru/group/62530505015502" tooltip="http://www.ok.ru/group/62530505015502" r:id="rId341"/>
    <hyperlink ref="G147" display="https://telegram.me/beling_krot/13335" tooltip="https://telegram.me/beling_krot/13335" r:id="rId342"/>
    <hyperlink ref="K147" display="https://telegram.me/beling_krot" tooltip="https://telegram.me/beling_krot" r:id="rId343"/>
    <hyperlink ref="G148" display="https://telegram.me/taynay_slugba/13417" tooltip="https://telegram.me/taynay_slugba/13417" r:id="rId344"/>
    <hyperlink ref="K148" display="https://telegram.me/taynay_slugba" tooltip="https://telegram.me/taynay_slugba" r:id="rId345"/>
    <hyperlink ref="G149" display="https://telegram.me/agentura_ru/13380" tooltip="https://telegram.me/agentura_ru/13380" r:id="rId346"/>
    <hyperlink ref="K149" display="https://telegram.me/agentura_ru" tooltip="https://telegram.me/agentura_ru" r:id="rId347"/>
    <hyperlink ref="G150" display="https://telegram.me/compra_ru/13356" tooltip="https://telegram.me/compra_ru/13356" r:id="rId348"/>
    <hyperlink ref="K150" display="https://telegram.me/compra_ru" tooltip="https://telegram.me/compra_ru" r:id="rId349"/>
    <hyperlink ref="G151" display="https://telegram.me/fbi_russia/13343" tooltip="https://telegram.me/fbi_russia/13343" r:id="rId350"/>
    <hyperlink ref="K151" display="https://telegram.me/fbi_russia" tooltip="https://telegram.me/fbi_russia" r:id="rId351"/>
    <hyperlink ref="G152" display="http://vk.com/wall-153326247_488816?reply=489443&amp;thread=488903" tooltip="http://vk.com/wall-153326247_488816?reply=489443&amp;thread=488903" r:id="rId352"/>
    <hyperlink ref="K152" display="http://vk.com/id8871966" tooltip="http://vk.com/id8871966" r:id="rId353"/>
    <hyperlink ref="N152" display="http://vk.com/club153326247" tooltip="http://vk.com/club153326247" r:id="rId354"/>
    <hyperlink ref="G153" display="https://telegram.me/dossier_ru/13409" tooltip="https://telegram.me/dossier_ru/13409" r:id="rId355"/>
    <hyperlink ref="K153" display="https://telegram.me/dossier_ru" tooltip="https://telegram.me/dossier_ru" r:id="rId356"/>
    <hyperlink ref="G154" display="http://vk.com/wall-197879931_278664?reply=278715" tooltip="http://vk.com/wall-197879931_278664?reply=278715" r:id="rId357"/>
    <hyperlink ref="K154" display="http://vk.com/id786240330" tooltip="http://vk.com/id786240330" r:id="rId358"/>
    <hyperlink ref="N154" display="http://vk.com/club197879931" tooltip="http://vk.com/club197879931" r:id="rId359"/>
    <hyperlink ref="G155" display="https://telegram.me/Dorixona_Dorihona/581099" tooltip="https://telegram.me/Dorixona_Dorihona/581099" r:id="rId360"/>
    <hyperlink ref="K155" display="https://telegram.me/" tooltip="https://telegram.me/" r:id="rId361"/>
    <hyperlink ref="N155" display="https://telegram.me/Dorixona_Dorihona" tooltip="https://telegram.me/Dorixona_Dorihona" r:id="rId362"/>
    <hyperlink ref="G156" display="http://vk.com/wall-203023242_19133?reply=19288&amp;thread=19143" tooltip="http://vk.com/wall-203023242_19133?reply=19288&amp;thread=19143" r:id="rId363"/>
    <hyperlink ref="K156" display="http://vk.com/id439472" tooltip="http://vk.com/id439472" r:id="rId364"/>
    <hyperlink ref="N156" display="http://vk.com/club203023242" tooltip="http://vk.com/club203023242" r:id="rId365"/>
    <hyperlink ref="G157" display="http://vk.com/wall471703650_36914" tooltip="http://vk.com/wall471703650_36914" r:id="rId366"/>
    <hyperlink ref="K157" display="http://vk.com/id471703650" tooltip="http://vk.com/id471703650" r:id="rId367"/>
    <hyperlink ref="G158" display="https://www.baby.ru/community/view/126276/forum/post/2611470450/" tooltip="https://www.baby.ru/community/view/126276/forum/post/2611470450/" r:id="rId368"/>
    <hyperlink ref="K158" display="https://www.baby.ru/u/usr2171834/" tooltip="https://www.baby.ru/u/usr2171834/" r:id="rId369"/>
    <hyperlink ref="N158" display="https://www.baby.ru/u/usr2803480/" tooltip="https://www.baby.ru/u/usr2803480/" r:id="rId370"/>
    <hyperlink ref="G159" display="http://www.ok.ru/profile/581059836932/statuses/155184954540804" tooltip="http://www.ok.ru/profile/581059836932/statuses/155184954540804" r:id="rId371"/>
    <hyperlink ref="K159" display="http://www.ok.ru/profile/581059836932" tooltip="http://www.ok.ru/profile/581059836932" r:id="rId372"/>
    <hyperlink ref="G160" display="http://vk.com/wall617952123_13883" tooltip="http://vk.com/wall617952123_13883" r:id="rId373"/>
    <hyperlink ref="K160" display="http://vk.com/id617952123" tooltip="http://vk.com/id617952123" r:id="rId374"/>
    <hyperlink ref="G161" display="http://vk.com/wall236857967_229" tooltip="http://vk.com/wall236857967_229" r:id="rId375"/>
    <hyperlink ref="K161" display="http://vk.com/id236857967" tooltip="http://vk.com/id236857967" r:id="rId376"/>
    <hyperlink ref="G162" display="http://vk.com/wall-68518743_3738224?reply=3738655&amp;thread=3738235" tooltip="http://vk.com/wall-68518743_3738224?reply=3738655&amp;thread=3738235" r:id="rId377"/>
    <hyperlink ref="K162" display="http://vk.com/id793760878" tooltip="http://vk.com/id793760878" r:id="rId378"/>
    <hyperlink ref="N162" display="http://vk.com/club68518743" tooltip="http://vk.com/club68518743" r:id="rId379"/>
    <hyperlink ref="G163" display="http://vk.com/wall583017369_3401" tooltip="http://vk.com/wall583017369_3401" r:id="rId380"/>
    <hyperlink ref="K163" display="http://vk.com/id583017369" tooltip="http://vk.com/id583017369" r:id="rId381"/>
    <hyperlink ref="G164" display="http://vk.com/wall721988169_10667" tooltip="http://vk.com/wall721988169_10667" r:id="rId382"/>
    <hyperlink ref="K164" display="http://vk.com/id721988169" tooltip="http://vk.com/id721988169" r:id="rId383"/>
    <hyperlink ref="G165" display="http://vk.com/wall-153326247_488816?reply=489442&amp;thread=488903" tooltip="http://vk.com/wall-153326247_488816?reply=489442&amp;thread=488903" r:id="rId384"/>
    <hyperlink ref="K165" display="http://vk.com/id611721829" tooltip="http://vk.com/id611721829" r:id="rId385"/>
    <hyperlink ref="N165" display="http://vk.com/club153326247" tooltip="http://vk.com/club153326247" r:id="rId386"/>
    <hyperlink ref="G166" display="https://telegram.me/Dorixona_Dorihona/581094" tooltip="https://telegram.me/Dorixona_Dorihona/581094" r:id="rId387"/>
    <hyperlink ref="K166" display="https://telegram.me/dori_darman" tooltip="https://telegram.me/dori_darman" r:id="rId388"/>
    <hyperlink ref="N166" display="https://telegram.me/Dorixona_Dorihona" tooltip="https://telegram.me/Dorixona_Dorihona" r:id="rId389"/>
    <hyperlink ref="G167" display="http://vk.com/wall-86024718_2018897?reply=2018900" tooltip="http://vk.com/wall-86024718_2018897?reply=2018900" r:id="rId390"/>
    <hyperlink ref="K167" display="http://vk.com/id28896188" tooltip="http://vk.com/id28896188" r:id="rId391"/>
    <hyperlink ref="N167" display="http://vk.com/club86024718" tooltip="http://vk.com/club86024718" r:id="rId392"/>
    <hyperlink ref="G168" display="http://vk.com/wall650143240_620" tooltip="http://vk.com/wall650143240_620" r:id="rId393"/>
    <hyperlink ref="K168" display="http://vk.com/id650143240" tooltip="http://vk.com/id650143240" r:id="rId394"/>
    <hyperlink ref="G169" display="http://vk.com/wall-77301947_4381762?reply=4383978&amp;thread=4383099" tooltip="http://vk.com/wall-77301947_4381762?reply=4383978&amp;thread=4383099" r:id="rId395"/>
    <hyperlink ref="K169" display="http://vk.com/id793760878" tooltip="http://vk.com/id793760878" r:id="rId396"/>
    <hyperlink ref="N169" display="http://vk.com/club77301947" tooltip="http://vk.com/club77301947" r:id="rId397"/>
    <hyperlink ref="G170" display="http://vk.com/wall-5692810_6324299?reply=6325938&amp;thread=6324334" tooltip="http://vk.com/wall-5692810_6324299?reply=6325938&amp;thread=6324334" r:id="rId398"/>
    <hyperlink ref="K170" display="http://vk.com/id611721829" tooltip="http://vk.com/id611721829" r:id="rId399"/>
    <hyperlink ref="N170" display="http://vk.com/club5692810" tooltip="http://vk.com/club5692810" r:id="rId400"/>
    <hyperlink ref="G171" display="http://vk.com/wall231154518_6591" tooltip="http://vk.com/wall231154518_6591" r:id="rId401"/>
    <hyperlink ref="K171" display="http://vk.com/id231154518" tooltip="http://vk.com/id231154518" r:id="rId402"/>
    <hyperlink ref="G172" display="http://vk.com/wall592102761_1448" tooltip="http://vk.com/wall592102761_1448" r:id="rId403"/>
    <hyperlink ref="K172" display="http://vk.com/id592102761" tooltip="http://vk.com/id592102761" r:id="rId404"/>
    <hyperlink ref="G173" display="http://vk.com/wall-215315078_92" tooltip="http://vk.com/wall-215315078_92" r:id="rId405"/>
    <hyperlink ref="K173" display="http://vk.com/club215315078" tooltip="http://vk.com/club215315078" r:id="rId406"/>
    <hyperlink ref="G174" display="http://vk.com/wall730523579_186" tooltip="http://vk.com/wall730523579_186" r:id="rId407"/>
    <hyperlink ref="K174" display="http://vk.com/id730523579" tooltip="http://vk.com/id730523579" r:id="rId408"/>
    <hyperlink ref="G175" display="http://vk.com/wall291913936_504" tooltip="http://vk.com/wall291913936_504" r:id="rId409"/>
    <hyperlink ref="K175" display="http://vk.com/id291913936" tooltip="http://vk.com/id291913936" r:id="rId410"/>
    <hyperlink ref="G176" display="http://vk.com/wall629883562_11513" tooltip="http://vk.com/wall629883562_11513" r:id="rId411"/>
    <hyperlink ref="K176" display="http://vk.com/id629883562" tooltip="http://vk.com/id629883562" r:id="rId412"/>
    <hyperlink ref="G177" display="http://vk.com/wall-131908471_506717?reply=511824&amp;thread=506732" tooltip="http://vk.com/wall-131908471_506717?reply=511824&amp;thread=506732" r:id="rId413"/>
    <hyperlink ref="K177" display="http://vk.com/id793760878" tooltip="http://vk.com/id793760878" r:id="rId414"/>
    <hyperlink ref="N177" display="http://vk.com/club131908471" tooltip="http://vk.com/club131908471" r:id="rId415"/>
    <hyperlink ref="G178" display="http://vk.com/wall658333044_233" tooltip="http://vk.com/wall658333044_233" r:id="rId416"/>
    <hyperlink ref="K178" display="http://vk.com/id658333044" tooltip="http://vk.com/id658333044" r:id="rId417"/>
    <hyperlink ref="G179" display="http://vk.com/wall-49066148_1530613?reply=1540573&amp;thread=1530641" tooltip="http://vk.com/wall-49066148_1530613?reply=1540573&amp;thread=1530641" r:id="rId418"/>
    <hyperlink ref="K179" display="http://vk.com/id793760878" tooltip="http://vk.com/id793760878" r:id="rId419"/>
    <hyperlink ref="N179" display="http://vk.com/club49066148" tooltip="http://vk.com/club49066148" r:id="rId420"/>
    <hyperlink ref="G180" display="http://vk.com/wall-86024718_2018897?reply=2018898" tooltip="http://vk.com/wall-86024718_2018897?reply=2018898" r:id="rId421"/>
    <hyperlink ref="K180" display="http://vk.com/id14438253" tooltip="http://vk.com/id14438253" r:id="rId422"/>
    <hyperlink ref="N180" display="http://vk.com/club86024718" tooltip="http://vk.com/club86024718" r:id="rId423"/>
    <hyperlink ref="G181" display="https://www.baby.ru/blogs/post/2611406742-1969574877/" tooltip="https://www.baby.ru/blogs/post/2611406742-1969574877/" r:id="rId424"/>
    <hyperlink ref="K181" display="https://www.baby.ru/u/usr2171834/" tooltip="https://www.baby.ru/u/usr2171834/" r:id="rId425"/>
    <hyperlink ref="N181" display="https://www.baby.ru/u/usr2516130/" tooltip="https://www.baby.ru/u/usr2516130/" r:id="rId426"/>
    <hyperlink ref="G182" display="http://vk.com/wall-155403177_56807?reply=57247&amp;thread=56809" tooltip="http://vk.com/wall-155403177_56807?reply=57247&amp;thread=56809" r:id="rId427"/>
    <hyperlink ref="K182" display="http://vk.com/club155403177" tooltip="http://vk.com/club155403177" r:id="rId428"/>
    <hyperlink ref="G183" display="http://vk.com/wall-36274616_8349893?reply=8352377&amp;thread=8350576" tooltip="http://vk.com/wall-36274616_8349893?reply=8352377&amp;thread=8350576" r:id="rId429"/>
    <hyperlink ref="K183" display="http://vk.com/id611721829" tooltip="http://vk.com/id611721829" r:id="rId430"/>
    <hyperlink ref="N183" display="http://vk.com/club36274616" tooltip="http://vk.com/club36274616" r:id="rId431"/>
    <hyperlink ref="G184" display="http://vk.com/wall-61061413_6639898?reply=6671115&amp;thread=6639927" tooltip="http://vk.com/wall-61061413_6639898?reply=6671115&amp;thread=6639927" r:id="rId432"/>
    <hyperlink ref="K184" display="http://vk.com/id793760878" tooltip="http://vk.com/id793760878" r:id="rId433"/>
    <hyperlink ref="N184" display="http://vk.com/club61061413" tooltip="http://vk.com/club61061413" r:id="rId434"/>
    <hyperlink ref="G185" display="http://vk.com/wall-155341135_178485?reply=178506" tooltip="http://vk.com/wall-155341135_178485?reply=178506" r:id="rId435"/>
    <hyperlink ref="K185" display="http://vk.com/id757012434" tooltip="http://vk.com/id757012434" r:id="rId436"/>
    <hyperlink ref="N185" display="http://vk.com/club155341135" tooltip="http://vk.com/club155341135" r:id="rId437"/>
    <hyperlink ref="G186" display="http://www.ok.ru/profile/573961104430/statuses/156364836641582" tooltip="http://www.ok.ru/profile/573961104430/statuses/156364836641582" r:id="rId438"/>
    <hyperlink ref="K186" display="http://www.ok.ru/profile/573961104430" tooltip="http://www.ok.ru/profile/573961104430" r:id="rId439"/>
    <hyperlink ref="G187" display="http://vk.com/wall-96748875_1398264?reply=1412454&amp;thread=1398294" tooltip="http://vk.com/wall-96748875_1398264?reply=1412454&amp;thread=1398294" r:id="rId440"/>
    <hyperlink ref="K187" display="http://vk.com/id793760878" tooltip="http://vk.com/id793760878" r:id="rId441"/>
    <hyperlink ref="N187" display="http://vk.com/club96748875" tooltip="http://vk.com/club96748875" r:id="rId442"/>
    <hyperlink ref="G188" display="http://vk.com/wall-153326247_489378?reply=489435" tooltip="http://vk.com/wall-153326247_489378?reply=489435" r:id="rId443"/>
    <hyperlink ref="K188" display="http://vk.com/id33653527" tooltip="http://vk.com/id33653527" r:id="rId444"/>
    <hyperlink ref="N188" display="http://vk.com/club153326247" tooltip="http://vk.com/club153326247" r:id="rId445"/>
    <hyperlink ref="G189" display="http://vk.com/wall-48067990_914514?reply=914586" tooltip="http://vk.com/wall-48067990_914514?reply=914586" r:id="rId446"/>
    <hyperlink ref="K189" display="http://vk.com/id14884915" tooltip="http://vk.com/id14884915" r:id="rId447"/>
    <hyperlink ref="N189" display="http://vk.com/club48067990" tooltip="http://vk.com/club48067990" r:id="rId448"/>
    <hyperlink ref="G190" display="http://vk.com/wall-86024718_2018897" tooltip="http://vk.com/wall-86024718_2018897" r:id="rId449"/>
    <hyperlink ref="K190" display="http://vk.com/club86024718" tooltip="http://vk.com/club86024718" r:id="rId450"/>
    <hyperlink ref="G191" display="http://vk.com/wall-143721349_522695?reply=535166&amp;thread=522727" tooltip="http://vk.com/wall-143721349_522695?reply=535166&amp;thread=522727" r:id="rId451"/>
    <hyperlink ref="K191" display="http://vk.com/id793760878" tooltip="http://vk.com/id793760878" r:id="rId452"/>
    <hyperlink ref="N191" display="http://vk.com/club143721349" tooltip="http://vk.com/club143721349" r:id="rId453"/>
    <hyperlink ref="G192" display="http://vk.com/wall507985472_3789" tooltip="http://vk.com/wall507985472_3789" r:id="rId454"/>
    <hyperlink ref="K192" display="http://vk.com/id507985472" tooltip="http://vk.com/id507985472" r:id="rId455"/>
    <hyperlink ref="G193" display="http://vk.com/wall-149519487_117676?reply=117950&amp;thread=117705" tooltip="http://vk.com/wall-149519487_117676?reply=117950&amp;thread=117705" r:id="rId456"/>
    <hyperlink ref="K193" display="http://vk.com/id445935362" tooltip="http://vk.com/id445935362" r:id="rId457"/>
    <hyperlink ref="N193" display="http://vk.com/club149519487" tooltip="http://vk.com/club149519487" r:id="rId458"/>
    <hyperlink ref="G194" display="http://vk.com/wall-86830443_1099901?reply=1099919" tooltip="http://vk.com/wall-86830443_1099901?reply=1099919" r:id="rId459"/>
    <hyperlink ref="K194" display="http://vk.com/id182563775" tooltip="http://vk.com/id182563775" r:id="rId460"/>
    <hyperlink ref="N194" display="http://vk.com/club86830443" tooltip="http://vk.com/club86830443" r:id="rId461"/>
    <hyperlink ref="G195" display="http://vk.com/wall14412407_2673" tooltip="http://vk.com/wall14412407_2673" r:id="rId462"/>
    <hyperlink ref="K195" display="http://vk.com/id14412407" tooltip="http://vk.com/id14412407" r:id="rId463"/>
    <hyperlink ref="G196" display="http://vk.com/wall266281193_5561" tooltip="http://vk.com/wall266281193_5561" r:id="rId464"/>
    <hyperlink ref="K196" display="http://vk.com/id266281193" tooltip="http://vk.com/id266281193" r:id="rId465"/>
    <hyperlink ref="G197" display="https://telegram.me/doctorafanasev/1480" tooltip="https://telegram.me/doctorafanasev/1480" r:id="rId466"/>
    <hyperlink ref="K197" display="https://telegram.me/doctorafanasev" tooltip="https://telegram.me/doctorafanasev" r:id="rId467"/>
    <hyperlink ref="G198" display="http://vk.com/wall-80589388_315375?reply=315463&amp;thread=315382" tooltip="http://vk.com/wall-80589388_315375?reply=315463&amp;thread=315382" r:id="rId468"/>
    <hyperlink ref="K198" display="http://vk.com/id793760878" tooltip="http://vk.com/id793760878" r:id="rId469"/>
    <hyperlink ref="N198" display="http://vk.com/club80589388" tooltip="http://vk.com/club80589388" r:id="rId470"/>
    <hyperlink ref="G199" display="http://vk.com/wall-155386267_985789?reply=1061491&amp;thread=990783" tooltip="http://vk.com/wall-155386267_985789?reply=1061491&amp;thread=990783" r:id="rId471"/>
    <hyperlink ref="K199" display="http://vk.com/id656608653" tooltip="http://vk.com/id656608653" r:id="rId472"/>
    <hyperlink ref="N199" display="http://vk.com/club155386267" tooltip="http://vk.com/club155386267" r:id="rId473"/>
    <hyperlink ref="G200" display="http://vk.com/wall257339701_7530" tooltip="http://vk.com/wall257339701_7530" r:id="rId474"/>
    <hyperlink ref="K200" display="http://vk.com/id257339701" tooltip="http://vk.com/id257339701" r:id="rId475"/>
    <hyperlink ref="G201" display="http://vk.com/wall790617992_11" tooltip="http://vk.com/wall790617992_11" r:id="rId476"/>
    <hyperlink ref="K201" display="http://vk.com/id790617992" tooltip="http://vk.com/id790617992" r:id="rId477"/>
    <hyperlink ref="G202" display="http://vk.com/wall-17734054_18182436?reply=18182609" tooltip="http://vk.com/wall-17734054_18182436?reply=18182609" r:id="rId478"/>
    <hyperlink ref="K202" display="http://vk.com/id167041620" tooltip="http://vk.com/id167041620" r:id="rId479"/>
    <hyperlink ref="N202" display="http://vk.com/club17734054" tooltip="http://vk.com/club17734054" r:id="rId480"/>
    <hyperlink ref="G203" display="http://vk.com/wall-81840381_3446714?reply=3451839&amp;thread=3446724" tooltip="http://vk.com/wall-81840381_3446714?reply=3451839&amp;thread=3446724" r:id="rId481"/>
    <hyperlink ref="K203" display="http://vk.com/id445935362" tooltip="http://vk.com/id445935362" r:id="rId482"/>
    <hyperlink ref="N203" display="http://vk.com/club81840381" tooltip="http://vk.com/club81840381" r:id="rId483"/>
    <hyperlink ref="G204" display="http://vk.com/wall-92006241_404960?reply=424941&amp;thread=405208" tooltip="http://vk.com/wall-92006241_404960?reply=424941&amp;thread=405208" r:id="rId484"/>
    <hyperlink ref="K204" display="http://vk.com/id793516016" tooltip="http://vk.com/id793516016" r:id="rId485"/>
    <hyperlink ref="N204" display="http://vk.com/club92006241" tooltip="http://vk.com/club92006241" r:id="rId486"/>
    <hyperlink ref="G205" display="http://vk.com/wall-112011819_882893?reply=990407" tooltip="http://vk.com/wall-112011819_882893?reply=990407" r:id="rId487"/>
    <hyperlink ref="K205" display="http://vk.com/id656608653" tooltip="http://vk.com/id656608653" r:id="rId488"/>
    <hyperlink ref="N205" display="http://vk.com/club112011819" tooltip="http://vk.com/club112011819" r:id="rId489"/>
    <hyperlink ref="G206" display="https://protabletky.ru/ingavirin/" tooltip="https://protabletky.ru/ingavirin/" r:id="rId490"/>
    <hyperlink ref="G207" display="http://vk.com/wall-219920516_6" tooltip="http://vk.com/wall-219920516_6" r:id="rId491"/>
    <hyperlink ref="K207" display="http://vk.com/club219920516" tooltip="http://vk.com/club219920516" r:id="rId492"/>
    <hyperlink ref="G208" display="http://vk.com/wall-136637198_109456?reply=109902&amp;thread=109482" tooltip="http://vk.com/wall-136637198_109456?reply=109902&amp;thread=109482" r:id="rId493"/>
    <hyperlink ref="K208" display="http://vk.com/id793516016" tooltip="http://vk.com/id793516016" r:id="rId494"/>
    <hyperlink ref="N208" display="http://vk.com/club136637198" tooltip="http://vk.com/club136637198" r:id="rId495"/>
    <hyperlink ref="G209" display="http://vk.com/wall-153326247_489378?reply=489429&amp;thread=489408" tooltip="http://vk.com/wall-153326247_489378?reply=489429&amp;thread=489408" r:id="rId496"/>
    <hyperlink ref="K209" display="http://vk.com/id28856903" tooltip="http://vk.com/id28856903" r:id="rId497"/>
    <hyperlink ref="N209" display="http://vk.com/club153326247" tooltip="http://vk.com/club153326247" r:id="rId498"/>
    <hyperlink ref="G210" display="http://vk.com/wall-48067990_914514" tooltip="http://vk.com/wall-48067990_914514" r:id="rId499"/>
    <hyperlink ref="K210" display="http://vk.com/club48067990" tooltip="http://vk.com/club48067990" r:id="rId500"/>
    <hyperlink ref="G211" display="http://vk.com/wall-48067990_757711?reply=914507" tooltip="http://vk.com/wall-48067990_757711?reply=914507" r:id="rId501"/>
    <hyperlink ref="K211" display="http://vk.com/id656608653" tooltip="http://vk.com/id656608653" r:id="rId502"/>
    <hyperlink ref="N211" display="http://vk.com/club48067990" tooltip="http://vk.com/club48067990" r:id="rId503"/>
    <hyperlink ref="G212" display="http://vk.com/wall-62596804_2704672?reply=2705807&amp;thread=2704679" tooltip="http://vk.com/wall-62596804_2704672?reply=2705807&amp;thread=2704679" r:id="rId504"/>
    <hyperlink ref="K212" display="http://vk.com/id793516016" tooltip="http://vk.com/id793516016" r:id="rId505"/>
    <hyperlink ref="N212" display="http://vk.com/club62596804" tooltip="http://vk.com/club62596804" r:id="rId506"/>
    <hyperlink ref="G213" display="http://vk.com/wall281865194_1821" tooltip="http://vk.com/wall281865194_1821" r:id="rId507"/>
    <hyperlink ref="K213" display="http://vk.com/id281865194" tooltip="http://vk.com/id281865194" r:id="rId508"/>
    <hyperlink ref="G214" display="http://vk.com/wall401016901_1329" tooltip="http://vk.com/wall401016901_1329" r:id="rId509"/>
    <hyperlink ref="K214" display="http://vk.com/id401016901" tooltip="http://vk.com/id401016901" r:id="rId510"/>
    <hyperlink ref="G215" display="http://vk.com/wall-192599495_202759?reply=203716&amp;thread=202853" tooltip="http://vk.com/wall-192599495_202759?reply=203716&amp;thread=202853" r:id="rId511"/>
    <hyperlink ref="K215" display="http://vk.com/id793516016" tooltip="http://vk.com/id793516016" r:id="rId512"/>
    <hyperlink ref="N215" display="http://vk.com/club192599495" tooltip="http://vk.com/club192599495" r:id="rId513"/>
    <hyperlink ref="G216" display="http://www.ok.ru/profile/570209216593/statuses/156017644689489" tooltip="http://www.ok.ru/profile/570209216593/statuses/156017644689489" r:id="rId514"/>
    <hyperlink ref="K216" display="http://www.ok.ru/profile/570209216593" tooltip="http://www.ok.ru/profile/570209216593" r:id="rId515"/>
    <hyperlink ref="G217" display="http://vk.com/wall-203023242_19133?reply=19285&amp;thread=19143" tooltip="http://vk.com/wall-203023242_19133?reply=19285&amp;thread=19143" r:id="rId516"/>
    <hyperlink ref="K217" display="http://vk.com/id795024010" tooltip="http://vk.com/id795024010" r:id="rId517"/>
    <hyperlink ref="N217" display="http://vk.com/club203023242" tooltip="http://vk.com/club203023242" r:id="rId518"/>
    <hyperlink ref="G218" display="http://vk.com/wall-120040122_179359?reply=179786&amp;thread=179366" tooltip="http://vk.com/wall-120040122_179359?reply=179786&amp;thread=179366" r:id="rId519"/>
    <hyperlink ref="K218" display="http://vk.com/id793516016" tooltip="http://vk.com/id793516016" r:id="rId520"/>
    <hyperlink ref="N218" display="http://vk.com/club120040122" tooltip="http://vk.com/club120040122" r:id="rId521"/>
    <hyperlink ref="G219" display="http://vk.com/wall49328161_3227" tooltip="http://vk.com/wall49328161_3227" r:id="rId522"/>
    <hyperlink ref="K219" display="http://vk.com/id49328161" tooltip="http://vk.com/id49328161" r:id="rId523"/>
    <hyperlink ref="G220" display="http://vk.com/wall-111555133_2685956?reply=2689612&amp;thread=2687658" tooltip="http://vk.com/wall-111555133_2685956?reply=2689612&amp;thread=2687658" r:id="rId524"/>
    <hyperlink ref="K220" display="http://vk.com/id793516016" tooltip="http://vk.com/id793516016" r:id="rId525"/>
    <hyperlink ref="N220" display="http://vk.com/club111555133" tooltip="http://vk.com/club111555133" r:id="rId526"/>
    <hyperlink ref="G221" display="http://vk.com/wall-47120073_3193668?reply=3253891&amp;thread=3253620" tooltip="http://vk.com/wall-47120073_3193668?reply=3253891&amp;thread=3253620" r:id="rId527"/>
    <hyperlink ref="K221" display="http://vk.com/id656608653" tooltip="http://vk.com/id656608653" r:id="rId528"/>
    <hyperlink ref="N221" display="http://vk.com/club47120073" tooltip="http://vk.com/club47120073" r:id="rId529"/>
    <hyperlink ref="G222" display="http://vk.com/wall304092230_5449" tooltip="http://vk.com/wall304092230_5449" r:id="rId530"/>
    <hyperlink ref="K222" display="http://vk.com/id304092230" tooltip="http://vk.com/id304092230" r:id="rId531"/>
    <hyperlink ref="G223" display="http://vk.com/wall604299732_445" tooltip="http://vk.com/wall604299732_445" r:id="rId532"/>
    <hyperlink ref="K223" display="http://vk.com/id604299732" tooltip="http://vk.com/id604299732" r:id="rId533"/>
    <hyperlink ref="G224" display="http://vk.com/wall756395807_30" tooltip="http://vk.com/wall756395807_30" r:id="rId534"/>
    <hyperlink ref="K224" display="http://vk.com/id756395807" tooltip="http://vk.com/id756395807" r:id="rId535"/>
    <hyperlink ref="G225" display="http://vk.com/wall-156317052_564218?reply=565510&amp;thread=564309" tooltip="http://vk.com/wall-156317052_564218?reply=565510&amp;thread=564309" r:id="rId536"/>
    <hyperlink ref="K225" display="http://vk.com/id793516016" tooltip="http://vk.com/id793516016" r:id="rId537"/>
    <hyperlink ref="N225" display="http://vk.com/club156317052" tooltip="http://vk.com/club156317052" r:id="rId538"/>
    <hyperlink ref="G226" display="http://vk.com/wall-158393246_1356109?reply=1356364" tooltip="http://vk.com/wall-158393246_1356109?reply=1356364" r:id="rId539"/>
    <hyperlink ref="K226" display="http://vk.com/id91634514" tooltip="http://vk.com/id91634514" r:id="rId540"/>
    <hyperlink ref="N226" display="http://vk.com/club158393246" tooltip="http://vk.com/club158393246" r:id="rId541"/>
    <hyperlink ref="G227" display="http://vk.com/wall639669938_12" tooltip="http://vk.com/wall639669938_12" r:id="rId542"/>
    <hyperlink ref="K227" display="http://vk.com/id639669938" tooltip="http://vk.com/id639669938" r:id="rId543"/>
    <hyperlink ref="G228" display="https://dzen.ru/news/story/Ceny_nalekarstva_vOmske_vyrosli_na04--147e74bf3c4bb24c360bc680a9f24fa5" tooltip="https://dzen.ru/news/story/Ceny_nalekarstva_vOmske_vyrosli_na04--147e74bf3c4bb24c360bc680a9f24fa5" r:id="rId544"/>
    <hyperlink ref="G229" display="https://telegram.me/vzenite_chat/367944" tooltip="https://telegram.me/vzenite_chat/367944" r:id="rId545"/>
    <hyperlink ref="K229" display="https://telegram.me/MikhailAlexeyevich" tooltip="https://telegram.me/MikhailAlexeyevich" r:id="rId546"/>
    <hyperlink ref="N229" display="https://telegram.me/vzenite_chat" tooltip="https://telegram.me/vzenite_chat" r:id="rId547"/>
    <hyperlink ref="G230" display="https://telegram.me/kanzlerdaddy/6336?comment=245892" tooltip="https://telegram.me/kanzlerdaddy/6336?comment=245892" r:id="rId548"/>
    <hyperlink ref="K230" display="https://telegram.me/" tooltip="https://telegram.me/" r:id="rId549"/>
    <hyperlink ref="N230" display="https://telegram.me/kanzlerdaddy" tooltip="https://telegram.me/kanzlerdaddy" r:id="rId550"/>
    <hyperlink ref="G231" display="http://vk.com/wall-36456996_616209?reply=616321&amp;thread=616247" tooltip="http://vk.com/wall-36456996_616209?reply=616321&amp;thread=616247" r:id="rId551"/>
    <hyperlink ref="K231" display="http://vk.com/id439912924" tooltip="http://vk.com/id439912924" r:id="rId552"/>
    <hyperlink ref="N231" display="http://vk.com/club36456996" tooltip="http://vk.com/club36456996" r:id="rId553"/>
    <hyperlink ref="G232" display="http://vk.com/wall756955843_335" tooltip="http://vk.com/wall756955843_335" r:id="rId554"/>
    <hyperlink ref="K232" display="http://vk.com/id756955843" tooltip="http://vk.com/id756955843" r:id="rId555"/>
    <hyperlink ref="G233" display="http://vk.com/wall-42296923_568358?reply=569351&amp;thread=568368" tooltip="http://vk.com/wall-42296923_568358?reply=569351&amp;thread=568368" r:id="rId556"/>
    <hyperlink ref="K233" display="http://vk.com/id793516016" tooltip="http://vk.com/id793516016" r:id="rId557"/>
    <hyperlink ref="N233" display="http://vk.com/club42296923" tooltip="http://vk.com/club42296923" r:id="rId558"/>
    <hyperlink ref="G234" display="http://vk.com/wall-89460402_150821" tooltip="http://vk.com/wall-89460402_150821" r:id="rId559"/>
    <hyperlink ref="K234" display="http://vk.com/club89460402" tooltip="http://vk.com/club89460402" r:id="rId560"/>
    <hyperlink ref="G235" display="http://vk.com/wall304564038_1939" tooltip="http://vk.com/wall304564038_1939" r:id="rId561"/>
    <hyperlink ref="K235" display="http://vk.com/id304564038" tooltip="http://vk.com/id304564038" r:id="rId562"/>
    <hyperlink ref="G236" display="http://vk.com/wall-75679763_5158284?reply=5179211&amp;thread=5158331" tooltip="http://vk.com/wall-75679763_5158284?reply=5179211&amp;thread=5158331" r:id="rId563"/>
    <hyperlink ref="K236" display="http://vk.com/id793516016" tooltip="http://vk.com/id793516016" r:id="rId564"/>
    <hyperlink ref="N236" display="http://vk.com/club75679763" tooltip="http://vk.com/club75679763" r:id="rId565"/>
    <hyperlink ref="G237" display="http://vk.com/wall-142016348_752245?reply=752920&amp;thread=752368" tooltip="http://vk.com/wall-142016348_752245?reply=752920&amp;thread=752368" r:id="rId566"/>
    <hyperlink ref="K237" display="http://vk.com/id445935362" tooltip="http://vk.com/id445935362" r:id="rId567"/>
    <hyperlink ref="N237" display="http://vk.com/club142016348" tooltip="http://vk.com/club142016348" r:id="rId568"/>
    <hyperlink ref="G238" display="https://telegram.me/vv_volodin/632?comment=4535334" tooltip="https://telegram.me/vv_volodin/632?comment=4535334" r:id="rId569"/>
    <hyperlink ref="K238" display="https://telegram.me/ksenia_vasileyva" tooltip="https://telegram.me/ksenia_vasileyva" r:id="rId570"/>
    <hyperlink ref="N238" display="https://telegram.me/vv_volodin" tooltip="https://telegram.me/vv_volodin" r:id="rId571"/>
    <hyperlink ref="G239" display="https://barnaul.bezformata.com/listnews/potrebitelskie-tceni-v-respublike-altay/116243311/" tooltip="https://barnaul.bezformata.com/listnews/potrebitelskie-tceni-v-respublike-altay/116243311/" r:id="rId572"/>
    <hyperlink ref="G240" display="http://vk.com/wall-64735800_1253775?reply=1253957" tooltip="http://vk.com/wall-64735800_1253775?reply=1253957" r:id="rId573"/>
    <hyperlink ref="K240" display="http://vk.com/id682650334" tooltip="http://vk.com/id682650334" r:id="rId574"/>
    <hyperlink ref="N240" display="http://vk.com/club64735800" tooltip="http://vk.com/club64735800" r:id="rId575"/>
    <hyperlink ref="G241" display="http://vk.com/wall-193197436_6093?reply=6178&amp;thread=6097" tooltip="http://vk.com/wall-193197436_6093?reply=6178&amp;thread=6097" r:id="rId576"/>
    <hyperlink ref="K241" display="http://vk.com/id237932195" tooltip="http://vk.com/id237932195" r:id="rId577"/>
    <hyperlink ref="N241" display="http://vk.com/club193197436" tooltip="http://vk.com/club193197436" r:id="rId578"/>
    <hyperlink ref="G242" display="http://vk.com/wall410780097_1934" tooltip="http://vk.com/wall410780097_1934" r:id="rId579"/>
    <hyperlink ref="K242" display="http://vk.com/id410780097" tooltip="http://vk.com/id410780097" r:id="rId580"/>
    <hyperlink ref="G243" display="http://vk.com/wall-110697191_622099?reply=622798&amp;thread=622772" tooltip="http://vk.com/wall-110697191_622099?reply=622798&amp;thread=622772" r:id="rId581"/>
    <hyperlink ref="K243" display="http://vk.com/id793516016" tooltip="http://vk.com/id793516016" r:id="rId582"/>
    <hyperlink ref="N243" display="http://vk.com/club110697191" tooltip="http://vk.com/club110697191" r:id="rId583"/>
    <hyperlink ref="G244" display="http://vk.com/wall-207192602_17988?reply=18012" tooltip="http://vk.com/wall-207192602_17988?reply=18012" r:id="rId584"/>
    <hyperlink ref="K244" display="http://vk.com/id2568547" tooltip="http://vk.com/id2568547" r:id="rId585"/>
    <hyperlink ref="N244" display="http://vk.com/club207192602" tooltip="http://vk.com/club207192602" r:id="rId586"/>
    <hyperlink ref="G245" display="https://omsk.bezformata.com/listnews/potrebitelskoy-inflyatcii-na-medikamenti/116240803/" tooltip="https://omsk.bezformata.com/listnews/potrebitelskoy-inflyatcii-na-medikamenti/116240803/" r:id="rId587"/>
    <hyperlink ref="G246" display="http://vk.com/wall155612931_1584" tooltip="http://vk.com/wall155612931_1584" r:id="rId588"/>
    <hyperlink ref="K246" display="http://vk.com/id155612931" tooltip="http://vk.com/id155612931" r:id="rId589"/>
    <hyperlink ref="G247" display="http://vk.com/wall-142016348_752245?reply=752918&amp;thread=752250" tooltip="http://vk.com/wall-142016348_752245?reply=752918&amp;thread=752250" r:id="rId590"/>
    <hyperlink ref="K247" display="http://vk.com/id793700960" tooltip="http://vk.com/id793700960" r:id="rId591"/>
    <hyperlink ref="N247" display="http://vk.com/club142016348" tooltip="http://vk.com/club142016348" r:id="rId592"/>
    <hyperlink ref="G248" display="http://vk.com/wall-1945598_6458939?reply=6460890&amp;thread=6459069" tooltip="http://vk.com/wall-1945598_6458939?reply=6460890&amp;thread=6459069" r:id="rId593"/>
    <hyperlink ref="K248" display="http://vk.com/id173758241" tooltip="http://vk.com/id173758241" r:id="rId594"/>
    <hyperlink ref="N248" display="http://vk.com/club1945598" tooltip="http://vk.com/club1945598" r:id="rId595"/>
    <hyperlink ref="G249" display="http://vk.com/wall-150079080_238166?reply=241914" tooltip="http://vk.com/wall-150079080_238166?reply=241914" r:id="rId596"/>
    <hyperlink ref="K249" display="http://vk.com/id470335665" tooltip="http://vk.com/id470335665" r:id="rId597"/>
    <hyperlink ref="N249" display="http://vk.com/club150079080" tooltip="http://vk.com/club150079080" r:id="rId598"/>
    <hyperlink ref="G250" display="http://vk.com/wall-187886497_61077?reply=64775" tooltip="http://vk.com/wall-187886497_61077?reply=64775" r:id="rId599"/>
    <hyperlink ref="K250" display="http://vk.com/id470335665" tooltip="http://vk.com/id470335665" r:id="rId600"/>
    <hyperlink ref="N250" display="http://vk.com/club187886497" tooltip="http://vk.com/club187886497" r:id="rId601"/>
    <hyperlink ref="G251" display="http://vk.com/wall-36274616_8349893?reply=8352342&amp;thread=8349914" tooltip="http://vk.com/wall-36274616_8349893?reply=8352342&amp;thread=8349914" r:id="rId602"/>
    <hyperlink ref="K251" display="http://vk.com/id793700960" tooltip="http://vk.com/id793700960" r:id="rId603"/>
    <hyperlink ref="N251" display="http://vk.com/club36274616" tooltip="http://vk.com/club36274616" r:id="rId604"/>
    <hyperlink ref="G252" display="http://vk.com/wall-187886497_62311?reply=64774" tooltip="http://vk.com/wall-187886497_62311?reply=64774" r:id="rId605"/>
    <hyperlink ref="K252" display="http://vk.com/id470335665" tooltip="http://vk.com/id470335665" r:id="rId606"/>
    <hyperlink ref="N252" display="http://vk.com/club187886497" tooltip="http://vk.com/club187886497" r:id="rId607"/>
    <hyperlink ref="G253" display="http://vk.com/wall450739719_440" tooltip="http://vk.com/wall450739719_440" r:id="rId608"/>
    <hyperlink ref="K253" display="http://vk.com/id450739719" tooltip="http://vk.com/id450739719" r:id="rId609"/>
    <hyperlink ref="G254" display="http://vk.com/wall-136860886_525463?reply=525964&amp;thread=525493" tooltip="http://vk.com/wall-136860886_525463?reply=525964&amp;thread=525493" r:id="rId610"/>
    <hyperlink ref="K254" display="http://vk.com/id793700960" tooltip="http://vk.com/id793700960" r:id="rId611"/>
    <hyperlink ref="N254" display="http://vk.com/club136860886" tooltip="http://vk.com/club136860886" r:id="rId612"/>
    <hyperlink ref="G255" display="http://vk.com/wall-161957723_25668?reply=48201&amp;thread=25788" tooltip="http://vk.com/wall-161957723_25668?reply=48201&amp;thread=25788" r:id="rId613"/>
    <hyperlink ref="K255" display="http://vk.com/id656608653" tooltip="http://vk.com/id656608653" r:id="rId614"/>
    <hyperlink ref="N255" display="http://vk.com/club161957723" tooltip="http://vk.com/club161957723" r:id="rId615"/>
    <hyperlink ref="G256" display="http://vk.com/wall-150791024_1119734?reply=1119803" tooltip="http://vk.com/wall-150791024_1119734?reply=1119803" r:id="rId616"/>
    <hyperlink ref="K256" display="http://vk.com/id521177943" tooltip="http://vk.com/id521177943" r:id="rId617"/>
    <hyperlink ref="N256" display="http://vk.com/club150791024" tooltip="http://vk.com/club150791024" r:id="rId618"/>
    <hyperlink ref="G257" display="http://vk.com/wall285587958_1451" tooltip="http://vk.com/wall285587958_1451" r:id="rId619"/>
    <hyperlink ref="K257" display="http://vk.com/id285587958" tooltip="http://vk.com/id285587958" r:id="rId620"/>
    <hyperlink ref="G258" display="http://vk.com/wall-158505477_1120049?reply=1120419&amp;thread=1120061" tooltip="http://vk.com/wall-158505477_1120049?reply=1120419&amp;thread=1120061" r:id="rId621"/>
    <hyperlink ref="K258" display="http://vk.com/id793700960" tooltip="http://vk.com/id793700960" r:id="rId622"/>
    <hyperlink ref="N258" display="http://vk.com/club158505477" tooltip="http://vk.com/club158505477" r:id="rId623"/>
    <hyperlink ref="G259" display="https://pskov.bezformata.com/listnews/potrebitelskih-tcen-na-osnovnie/116243796/" tooltip="https://pskov.bezformata.com/listnews/potrebitelskih-tcen-na-osnovnie/116243796/" r:id="rId624"/>
    <hyperlink ref="G260" display="http://vk.com/wall-212866196_185543?reply=186890&amp;thread=186118" tooltip="http://vk.com/wall-212866196_185543?reply=186890&amp;thread=186118" r:id="rId625"/>
    <hyperlink ref="K260" display="http://vk.com/id173758241" tooltip="http://vk.com/id173758241" r:id="rId626"/>
    <hyperlink ref="N260" display="http://vk.com/club212866196" tooltip="http://vk.com/club212866196" r:id="rId627"/>
    <hyperlink ref="G261" display="http://vk.com/wall-193197436_6093?reply=6177&amp;thread=6097" tooltip="http://vk.com/wall-193197436_6093?reply=6177&amp;thread=6097" r:id="rId628"/>
    <hyperlink ref="K261" display="http://vk.com/id793700960" tooltip="http://vk.com/id793700960" r:id="rId629"/>
    <hyperlink ref="N261" display="http://vk.com/club193197436" tooltip="http://vk.com/club193197436" r:id="rId630"/>
    <hyperlink ref="G262" display="http://nsday.ru/news/140423122454" tooltip="http://nsday.ru/news/140423122454" r:id="rId631"/>
    <hyperlink ref="G263" display="http://vk.com/wall522631866_12" tooltip="http://vk.com/wall522631866_12" r:id="rId632"/>
    <hyperlink ref="K263" display="http://vk.com/id522631866" tooltip="http://vk.com/id522631866" r:id="rId633"/>
    <hyperlink ref="G264" display="https://sorochinskday.ru/news/140423130354" tooltip="https://sorochinskday.ru/news/140423130354" r:id="rId634"/>
    <hyperlink ref="G265" display="http://vk.com/wall-98506288_2854359?reply=2907666&amp;thread=2854389" tooltip="http://vk.com/wall-98506288_2854359?reply=2907666&amp;thread=2854389" r:id="rId635"/>
    <hyperlink ref="K265" display="http://vk.com/id656608653" tooltip="http://vk.com/id656608653" r:id="rId636"/>
    <hyperlink ref="N265" display="http://vk.com/club98506288" tooltip="http://vk.com/club98506288" r:id="rId637"/>
    <hyperlink ref="G266" display="http://vk.com/wall-197412679_201645?reply=202200&amp;thread=201648" tooltip="http://vk.com/wall-197412679_201645?reply=202200&amp;thread=201648" r:id="rId638"/>
    <hyperlink ref="K266" display="http://vk.com/id173758241" tooltip="http://vk.com/id173758241" r:id="rId639"/>
    <hyperlink ref="N266" display="http://vk.com/club197412679" tooltip="http://vk.com/club197412679" r:id="rId640"/>
    <hyperlink ref="G267" display="http://vk.com/wall-139923997_4238168?reply=4240020&amp;thread=4238891" tooltip="http://vk.com/wall-139923997_4238168?reply=4240020&amp;thread=4238891" r:id="rId641"/>
    <hyperlink ref="K267" display="http://vk.com/id793700960" tooltip="http://vk.com/id793700960" r:id="rId642"/>
    <hyperlink ref="N267" display="http://vk.com/club139923997" tooltip="http://vk.com/club139923997" r:id="rId643"/>
    <hyperlink ref="G268" display="https://progoroduhta.ru/news/42450" tooltip="https://progoroduhta.ru/news/42450" r:id="rId644"/>
    <hyperlink ref="G269" display="https://12-kanal.ru/news/167053/" tooltip="https://12-kanal.ru/news/167053/" r:id="rId645"/>
    <hyperlink ref="G270" display="http://vk.com/wall384996496_66" tooltip="http://vk.com/wall384996496_66" r:id="rId646"/>
    <hyperlink ref="K270" display="http://vk.com/id384996496" tooltip="http://vk.com/id384996496" r:id="rId647"/>
    <hyperlink ref="G271" display="http://vk.com/wall-150079080_234058?reply=241902&amp;thread=238648" tooltip="http://vk.com/wall-150079080_234058?reply=241902&amp;thread=238648" r:id="rId648"/>
    <hyperlink ref="K271" display="http://vk.com/id173758241" tooltip="http://vk.com/id173758241" r:id="rId649"/>
    <hyperlink ref="N271" display="http://vk.com/club150079080" tooltip="http://vk.com/club150079080" r:id="rId650"/>
    <hyperlink ref="G272" display="http://vk.com/wall-196716269_1248233?reply=1465426" tooltip="http://vk.com/wall-196716269_1248233?reply=1465426" r:id="rId651"/>
    <hyperlink ref="K272" display="http://vk.com/id656608653" tooltip="http://vk.com/id656608653" r:id="rId652"/>
    <hyperlink ref="N272" display="http://vk.com/club196716269" tooltip="http://vk.com/club196716269" r:id="rId653"/>
    <hyperlink ref="G273" display="http://vk.com/wall-93123137_11095?reply=11108&amp;thread=11105" tooltip="http://vk.com/wall-93123137_11095?reply=11108&amp;thread=11105" r:id="rId654"/>
    <hyperlink ref="K273" display="http://vk.com/id40820627" tooltip="http://vk.com/id40820627" r:id="rId655"/>
    <hyperlink ref="N273" display="http://vk.com/club93123137" tooltip="http://vk.com/club93123137" r:id="rId656"/>
    <hyperlink ref="G274" display="https://telegram.me/kanzlerdaddy/6336?comment=245881" tooltip="https://telegram.me/kanzlerdaddy/6336?comment=245881" r:id="rId657"/>
    <hyperlink ref="K274" display="https://telegram.me/" tooltip="https://telegram.me/" r:id="rId658"/>
    <hyperlink ref="N274" display="https://telegram.me/kanzlerdaddy" tooltip="https://telegram.me/kanzlerdaddy" r:id="rId659"/>
    <hyperlink ref="G275" display="http://vk.com/wall784424178_1390" tooltip="http://vk.com/wall784424178_1390" r:id="rId660"/>
    <hyperlink ref="K275" display="http://vk.com/id784424178" tooltip="http://vk.com/id784424178" r:id="rId661"/>
    <hyperlink ref="G276" display="http://vk.com/wall-36456996_616209?reply=616304&amp;thread=616247" tooltip="http://vk.com/wall-36456996_616209?reply=616304&amp;thread=616247" r:id="rId662"/>
    <hyperlink ref="K276" display="http://vk.com/id23854704" tooltip="http://vk.com/id23854704" r:id="rId663"/>
    <hyperlink ref="N276" display="http://vk.com/club36456996" tooltip="http://vk.com/club36456996" r:id="rId664"/>
    <hyperlink ref="G277" display="http://vk.com/wall111061547_8203" tooltip="http://vk.com/wall111061547_8203" r:id="rId665"/>
    <hyperlink ref="K277" display="http://vk.com/id111061547" tooltip="http://vk.com/id111061547" r:id="rId666"/>
    <hyperlink ref="G278" display="http://vk.com/wall-87598739_813314?reply=817750&amp;thread=813355" tooltip="http://vk.com/wall-87598739_813314?reply=817750&amp;thread=813355" r:id="rId667"/>
    <hyperlink ref="K278" display="http://vk.com/id793700960" tooltip="http://vk.com/id793700960" r:id="rId668"/>
    <hyperlink ref="N278" display="http://vk.com/club87598739" tooltip="http://vk.com/club87598739" r:id="rId669"/>
    <hyperlink ref="G279" display="https://telegram.me/piter_rogay/223831" tooltip="https://telegram.me/piter_rogay/223831" r:id="rId670"/>
    <hyperlink ref="K279" display="https://telegram.me/bubunya_spb" tooltip="https://telegram.me/bubunya_spb" r:id="rId671"/>
    <hyperlink ref="N279" display="https://telegram.me/piter_rogay" tooltip="https://telegram.me/piter_rogay" r:id="rId672"/>
    <hyperlink ref="G280" display="http://www.ok.ru/profile/570266989430/statuses/156533708637046" tooltip="http://www.ok.ru/profile/570266989430/statuses/156533708637046" r:id="rId673"/>
    <hyperlink ref="K280" display="http://www.ok.ru/profile/570266989430" tooltip="http://www.ok.ru/profile/570266989430" r:id="rId674"/>
    <hyperlink ref="G281" display="http://vk.com/wall-218081747_676" tooltip="http://vk.com/wall-218081747_676" r:id="rId675"/>
    <hyperlink ref="K281" display="http://vk.com/club218081747" tooltip="http://vk.com/club218081747" r:id="rId676"/>
    <hyperlink ref="G282" display="http://vk.com/wall-150337440_368111?reply=375097" tooltip="http://vk.com/wall-150337440_368111?reply=375097" r:id="rId677"/>
    <hyperlink ref="K282" display="http://vk.com/id656608653" tooltip="http://vk.com/id656608653" r:id="rId678"/>
    <hyperlink ref="N282" display="http://vk.com/club150337440" tooltip="http://vk.com/club150337440" r:id="rId679"/>
    <hyperlink ref="G283" display="http://vk.com/wall-155403177_56807?reply=57242&amp;thread=56809" tooltip="http://vk.com/wall-155403177_56807?reply=57242&amp;thread=56809" r:id="rId680"/>
    <hyperlink ref="K283" display="http://vk.com/id793700960" tooltip="http://vk.com/id793700960" r:id="rId681"/>
    <hyperlink ref="N283" display="http://vk.com/club155403177" tooltip="http://vk.com/club155403177" r:id="rId682"/>
    <hyperlink ref="G284" display="https://www.baby.ru/blogs/post/2611546837-484832450/" tooltip="https://www.baby.ru/blogs/post/2611546837-484832450/" r:id="rId683"/>
    <hyperlink ref="K284" display="https://www.baby.ru/u/usr1598110/" tooltip="https://www.baby.ru/u/usr1598110/" r:id="rId684"/>
    <hyperlink ref="G285" display="http://vk.com/wall-36456996_616209?reply=616301&amp;thread=616247" tooltip="http://vk.com/wall-36456996_616209?reply=616301&amp;thread=616247" r:id="rId685"/>
    <hyperlink ref="K285" display="http://vk.com/id439912924" tooltip="http://vk.com/id439912924" r:id="rId686"/>
    <hyperlink ref="N285" display="http://vk.com/club36456996" tooltip="http://vk.com/club36456996" r:id="rId687"/>
    <hyperlink ref="G286" display="https://telegram.me/kanzlerdaddy/6336?comment=245875" tooltip="https://telegram.me/kanzlerdaddy/6336?comment=245875" r:id="rId688"/>
    <hyperlink ref="K286" display="https://telegram.me/" tooltip="https://telegram.me/" r:id="rId689"/>
    <hyperlink ref="N286" display="https://telegram.me/kanzlerdaddy" tooltip="https://telegram.me/kanzlerdaddy" r:id="rId690"/>
    <hyperlink ref="G287" display="http://vk.com/wall224498134_8884" tooltip="http://vk.com/wall224498134_8884" r:id="rId691"/>
    <hyperlink ref="K287" display="http://vk.com/id224498134" tooltip="http://vk.com/id224498134" r:id="rId692"/>
    <hyperlink ref="G288" display="http://vk.com/wall-164460003_1863466?reply=1866447&amp;thread=1864239" tooltip="http://vk.com/wall-164460003_1863466?reply=1866447&amp;thread=1864239" r:id="rId693"/>
    <hyperlink ref="K288" display="http://vk.com/id656608653" tooltip="http://vk.com/id656608653" r:id="rId694"/>
    <hyperlink ref="N288" display="http://vk.com/club164460003" tooltip="http://vk.com/club164460003" r:id="rId695"/>
    <hyperlink ref="G289" display="https://www.baby.ru/blogs/post/2611463403-520375476/" tooltip="https://www.baby.ru/blogs/post/2611463403-520375476/" r:id="rId696"/>
    <hyperlink ref="K289" display="https://www.baby.ru/u/usr2510420/" tooltip="https://www.baby.ru/u/usr2510420/" r:id="rId697"/>
    <hyperlink ref="N289" display="https://www.baby.ru/u/usr1132236/" tooltip="https://www.baby.ru/u/usr1132236/" r:id="rId698"/>
    <hyperlink ref="G290" display="http://vk.com/wall-136860886_525859?reply=525962" tooltip="http://vk.com/wall-136860886_525859?reply=525962" r:id="rId699"/>
    <hyperlink ref="K290" display="http://vk.com/id5843691" tooltip="http://vk.com/id5843691" r:id="rId700"/>
    <hyperlink ref="N290" display="http://vk.com/club136860886" tooltip="http://vk.com/club136860886" r:id="rId701"/>
    <hyperlink ref="G291" display="http://vk.com/wall318168610_57494" tooltip="http://vk.com/wall318168610_57494" r:id="rId702"/>
    <hyperlink ref="K291" display="http://vk.com/id318168610" tooltip="http://vk.com/id318168610" r:id="rId703"/>
    <hyperlink ref="G292" display="http://vk.com/wall301245570_2225" tooltip="http://vk.com/wall301245570_2225" r:id="rId704"/>
    <hyperlink ref="K292" display="http://vk.com/id301245570" tooltip="http://vk.com/id301245570" r:id="rId705"/>
    <hyperlink ref="G293" display="http://vk.com/wall456851554_86349" tooltip="http://vk.com/wall456851554_86349" r:id="rId706"/>
    <hyperlink ref="K293" display="http://vk.com/id456851554" tooltip="http://vk.com/id456851554" r:id="rId707"/>
    <hyperlink ref="G294" display="http://vk.com/wall573382094_1156" tooltip="http://vk.com/wall573382094_1156" r:id="rId708"/>
    <hyperlink ref="K294" display="http://vk.com/id573382094" tooltip="http://vk.com/id573382094" r:id="rId709"/>
    <hyperlink ref="G295" display="http://www.ok.ru/profile/574032874654/statuses/155309092810142" tooltip="http://www.ok.ru/profile/574032874654/statuses/155309092810142" r:id="rId710"/>
    <hyperlink ref="K295" display="http://www.ok.ru/profile/574032874654" tooltip="http://www.ok.ru/profile/574032874654" r:id="rId711"/>
    <hyperlink ref="G296" display="http://www.ok.ru/group/61119749750937/topic/155618952061081" tooltip="http://www.ok.ru/group/61119749750937/topic/155618952061081" r:id="rId712"/>
    <hyperlink ref="K296" display="http://www.ok.ru/group/61119749750937" tooltip="http://www.ok.ru/group/61119749750937" r:id="rId713"/>
    <hyperlink ref="G297" display="http://vk.com/wall230177339_2932" tooltip="http://vk.com/wall230177339_2932" r:id="rId714"/>
    <hyperlink ref="K297" display="http://vk.com/id230177339" tooltip="http://vk.com/id230177339" r:id="rId715"/>
    <hyperlink ref="G298" display="http://medicmap.ru/news/1704-v-omske-podskochili-ceny-na-lekarstva-iz-spiska-zhiznenno-neobhodimyh.html" tooltip="http://medicmap.ru/news/1704-v-omske-podskochili-ceny-na-lekarstva-iz-spiska-zhiznenno-neobhodimyh.html" r:id="rId716"/>
    <hyperlink ref="G299" display="http://vk.com/wall-214445085_1314" tooltip="http://vk.com/wall-214445085_1314" r:id="rId717"/>
    <hyperlink ref="K299" display="http://vk.com/club214445085" tooltip="http://vk.com/club214445085" r:id="rId718"/>
    <hyperlink ref="G300" display="https://omsk.top24.news/obshestvo/omskstat-rasskazal-kakie-medikamenty-podorozhali-v-regione-s-nachala-goda-bolshe-vsego/" tooltip="https://omsk.top24.news/obshestvo/omskstat-rasskazal-kakie-medikamenty-podorozhali-v-regione-s-nachala-goda-bolshe-vsego/" r:id="rId719"/>
    <hyperlink ref="G301" display="http://vk.com/wall141877634_1442" tooltip="http://vk.com/wall141877634_1442" r:id="rId720"/>
    <hyperlink ref="K301" display="http://vk.com/id141877634" tooltip="http://vk.com/id141877634" r:id="rId721"/>
    <hyperlink ref="G302" display="http://vk.com/wall-212506983_454" tooltip="http://vk.com/wall-212506983_454" r:id="rId722"/>
    <hyperlink ref="K302" display="http://vk.com/club212506983" tooltip="http://vk.com/club212506983" r:id="rId723"/>
    <hyperlink ref="G303" display="http://vk.com/wall558237491_392" tooltip="http://vk.com/wall558237491_392" r:id="rId724"/>
    <hyperlink ref="K303" display="http://vk.com/id558237491" tooltip="http://vk.com/id558237491" r:id="rId725"/>
    <hyperlink ref="G304" display="http://vk.com/wall-214450246_108353?reply=108382" tooltip="http://vk.com/wall-214450246_108353?reply=108382" r:id="rId726"/>
    <hyperlink ref="K304" display="http://vk.com/id353556531" tooltip="http://vk.com/id353556531" r:id="rId727"/>
    <hyperlink ref="N304" display="http://vk.com/club214450246" tooltip="http://vk.com/club214450246" r:id="rId728"/>
    <hyperlink ref="G305" display="http://vk.com/wall-119249179_1024603?reply=1024899&amp;thread=1024813" tooltip="http://vk.com/wall-119249179_1024603?reply=1024899&amp;thread=1024813" r:id="rId729"/>
    <hyperlink ref="K305" display="http://vk.com/id161336569" tooltip="http://vk.com/id161336569" r:id="rId730"/>
    <hyperlink ref="N305" display="http://vk.com/club119249179" tooltip="http://vk.com/club119249179" r:id="rId731"/>
    <hyperlink ref="G306" display="http://vk.com/wall-74822124_898853?reply=898933&amp;thread=898860" tooltip="http://vk.com/wall-74822124_898853?reply=898933&amp;thread=898860" r:id="rId732"/>
    <hyperlink ref="K306" display="http://vk.com/id673760" tooltip="http://vk.com/id673760" r:id="rId733"/>
    <hyperlink ref="N306" display="http://vk.com/club74822124" tooltip="http://vk.com/club74822124" r:id="rId734"/>
    <hyperlink ref="G307" display="http://vk.com/wall-150791024_1119734?reply=1119782" tooltip="http://vk.com/wall-150791024_1119734?reply=1119782" r:id="rId735"/>
    <hyperlink ref="K307" display="http://vk.com/id16453890" tooltip="http://vk.com/id16453890" r:id="rId736"/>
    <hyperlink ref="N307" display="http://vk.com/club150791024" tooltip="http://vk.com/club150791024" r:id="rId737"/>
    <hyperlink ref="G308" display="http://vk.com/wall500717328_26893" tooltip="http://vk.com/wall500717328_26893" r:id="rId738"/>
    <hyperlink ref="K308" display="http://vk.com/id500717328" tooltip="http://vk.com/id500717328" r:id="rId739"/>
    <hyperlink ref="G309" display="https://news.myseldon.com/ru/news/index/282050860" tooltip="https://news.myseldon.com/ru/news/index/282050860" r:id="rId740"/>
    <hyperlink ref="G310" display="http://vk.com/wall509488394_1568" tooltip="http://vk.com/wall509488394_1568" r:id="rId741"/>
    <hyperlink ref="K310" display="http://vk.com/id509488394" tooltip="http://vk.com/id509488394" r:id="rId742"/>
    <hyperlink ref="G311" display="http://vk.com/wall545734236_572" tooltip="http://vk.com/wall545734236_572" r:id="rId743"/>
    <hyperlink ref="K311" display="http://vk.com/id545734236" tooltip="http://vk.com/id545734236" r:id="rId744"/>
    <hyperlink ref="G312" display="http://vk.com/wall-153326247_489378?reply=489409" tooltip="http://vk.com/wall-153326247_489378?reply=489409" r:id="rId745"/>
    <hyperlink ref="K312" display="http://vk.com/id650938385" tooltip="http://vk.com/id650938385" r:id="rId746"/>
    <hyperlink ref="N312" display="http://vk.com/club153326247" tooltip="http://vk.com/club153326247" r:id="rId747"/>
    <hyperlink ref="G313" display="http://www.ok.ru/profile/583721478458/statuses/155480129151802" tooltip="http://www.ok.ru/profile/583721478458/statuses/155480129151802" r:id="rId748"/>
    <hyperlink ref="K313" display="http://www.ok.ru/profile/583721478458" tooltip="http://www.ok.ru/profile/583721478458" r:id="rId749"/>
    <hyperlink ref="G314" display="http://vk.com/wall-153326247_489378?reply=489408" tooltip="http://vk.com/wall-153326247_489378?reply=489408" r:id="rId750"/>
    <hyperlink ref="K314" display="http://vk.com/id1488984" tooltip="http://vk.com/id1488984" r:id="rId751"/>
    <hyperlink ref="N314" display="http://vk.com/club153326247" tooltip="http://vk.com/club153326247" r:id="rId752"/>
    <hyperlink ref="G315" display="http://vk.com/wall440879026_2633" tooltip="http://vk.com/wall440879026_2633" r:id="rId753"/>
    <hyperlink ref="K315" display="http://vk.com/id440879026" tooltip="http://vk.com/id440879026" r:id="rId754"/>
    <hyperlink ref="G316" display="http://vk.com/wall-183323551_2302" tooltip="http://vk.com/wall-183323551_2302" r:id="rId755"/>
    <hyperlink ref="K316" display="http://vk.com/club183323551" tooltip="http://vk.com/club183323551" r:id="rId756"/>
    <hyperlink ref="G317" display="http://vk.com/wall211185389_1454" tooltip="http://vk.com/wall211185389_1454" r:id="rId757"/>
    <hyperlink ref="K317" display="http://vk.com/id211185389" tooltip="http://vk.com/id211185389" r:id="rId758"/>
    <hyperlink ref="G318" display="http://vk.com/wall652794211_6220" tooltip="http://vk.com/wall652794211_6220" r:id="rId759"/>
    <hyperlink ref="K318" display="http://vk.com/id652794211" tooltip="http://vk.com/id652794211" r:id="rId760"/>
    <hyperlink ref="G319" display="http://vk.com/wall175709540_2043" tooltip="http://vk.com/wall175709540_2043" r:id="rId761"/>
    <hyperlink ref="K319" display="http://vk.com/id175709540" tooltip="http://vk.com/id175709540" r:id="rId762"/>
    <hyperlink ref="G320" display="http://vk.com/wall267054429_1908" tooltip="http://vk.com/wall267054429_1908" r:id="rId763"/>
    <hyperlink ref="K320" display="http://vk.com/id267054429" tooltip="http://vk.com/id267054429" r:id="rId764"/>
    <hyperlink ref="G321" display="http://vk.com/wall572527805_5866" tooltip="http://vk.com/wall572527805_5866" r:id="rId765"/>
    <hyperlink ref="K321" display="http://vk.com/id572527805" tooltip="http://vk.com/id572527805" r:id="rId766"/>
    <hyperlink ref="G322" display="http://vk.com/wall175676633_8806" tooltip="http://vk.com/wall175676633_8806" r:id="rId767"/>
    <hyperlink ref="K322" display="http://vk.com/id175676633" tooltip="http://vk.com/id175676633" r:id="rId768"/>
    <hyperlink ref="G323" display="http://www.ok.ru/profile/568011806606/statuses/156074693249934" tooltip="http://www.ok.ru/profile/568011806606/statuses/156074693249934" r:id="rId769"/>
    <hyperlink ref="K323" display="http://www.ok.ru/profile/568011806606" tooltip="http://www.ok.ru/profile/568011806606" r:id="rId770"/>
    <hyperlink ref="G324" display="http://vk.com/wall-178402016_167400?reply=167447&amp;thread=167402" tooltip="http://vk.com/wall-178402016_167400?reply=167447&amp;thread=167402" r:id="rId771"/>
    <hyperlink ref="K324" display="http://vk.com/id793503511" tooltip="http://vk.com/id793503511" r:id="rId772"/>
    <hyperlink ref="N324" display="http://vk.com/club178402016" tooltip="http://vk.com/club178402016" r:id="rId773"/>
    <hyperlink ref="G325" display="https://omskgazzeta.ru/all-news/v-omskih-aptekah-snizilis-ceny-na-zhiznenno-vazhnye-preparaty/" tooltip="https://omskgazzeta.ru/all-news/v-omskih-aptekah-snizilis-ceny-na-zhiznenno-vazhnye-preparaty/" r:id="rId774"/>
    <hyperlink ref="G326" display="https://dzen.ru/news/story/Vomskikh_aptekakh_snizilis_ceny_nazhiznenno_vazhnye_preparaty--8056e0f918a37defad903a7ad0de5ebd" tooltip="https://dzen.ru/news/story/Vomskikh_aptekakh_snizilis_ceny_nazhiznenno_vazhnye_preparaty--8056e0f918a37defad903a7ad0de5ebd" r:id="rId775"/>
    <hyperlink ref="G327" display="http://vk.com/wall-84895952_1623723?reply=1623753&amp;thread=1623725" tooltip="http://vk.com/wall-84895952_1623723?reply=1623753&amp;thread=1623725" r:id="rId776"/>
    <hyperlink ref="K327" display="http://vk.com/id228169329" tooltip="http://vk.com/id228169329" r:id="rId777"/>
    <hyperlink ref="N327" display="http://vk.com/club84895952" tooltip="http://vk.com/club84895952" r:id="rId778"/>
    <hyperlink ref="G328" display="http://vk.com/wall573382094_1155" tooltip="http://vk.com/wall573382094_1155" r:id="rId779"/>
    <hyperlink ref="K328" display="http://vk.com/id573382094" tooltip="http://vk.com/id573382094" r:id="rId780"/>
    <hyperlink ref="G329" display="http://vk.com/wall451858981_1441" tooltip="http://vk.com/wall451858981_1441" r:id="rId781"/>
    <hyperlink ref="K329" display="http://vk.com/id451858981" tooltip="http://vk.com/id451858981" r:id="rId782"/>
    <hyperlink ref="G330" display="http://vk.com/wall-153326247_489378?reply=489397" tooltip="http://vk.com/wall-153326247_489378?reply=489397" r:id="rId783"/>
    <hyperlink ref="K330" display="http://vk.com/id19383621" tooltip="http://vk.com/id19383621" r:id="rId784"/>
    <hyperlink ref="N330" display="http://vk.com/club153326247" tooltip="http://vk.com/club153326247" r:id="rId785"/>
    <hyperlink ref="G331" display="http://vk.com/wall-188861514_47789?reply=47830&amp;thread=47801" tooltip="http://vk.com/wall-188861514_47789?reply=47830&amp;thread=47801" r:id="rId786"/>
    <hyperlink ref="K331" display="http://vk.com/id793503511" tooltip="http://vk.com/id793503511" r:id="rId787"/>
    <hyperlink ref="N331" display="http://vk.com/club188861514" tooltip="http://vk.com/club188861514" r:id="rId788"/>
    <hyperlink ref="G332" display="http://www.ok.ru/profile/554959820666/statuses/155173222524282" tooltip="http://www.ok.ru/profile/554959820666/statuses/155173222524282" r:id="rId789"/>
    <hyperlink ref="K332" display="http://www.ok.ru/profile/554959820666" tooltip="http://www.ok.ru/profile/554959820666" r:id="rId790"/>
    <hyperlink ref="G333" display="https://kursk.bezformata.com/listnews/tceni-tarifi-i-indeksi-potrebitelskih/116241146/" tooltip="https://kursk.bezformata.com/listnews/tceni-tarifi-i-indeksi-potrebitelskih/116241146/" r:id="rId791"/>
    <hyperlink ref="G334" display="http://vk.com/wall414388649_2284" tooltip="http://vk.com/wall414388649_2284" r:id="rId792"/>
    <hyperlink ref="K334" display="http://vk.com/id414388649" tooltip="http://vk.com/id414388649" r:id="rId793"/>
    <hyperlink ref="G335" display="http://vk.com/wall-48142326_2090753?reply=2090887&amp;thread=2090875" tooltip="http://vk.com/wall-48142326_2090753?reply=2090887&amp;thread=2090875" r:id="rId794"/>
    <hyperlink ref="K335" display="http://vk.com/id793503511" tooltip="http://vk.com/id793503511" r:id="rId795"/>
    <hyperlink ref="N335" display="http://vk.com/club48142326" tooltip="http://vk.com/club48142326" r:id="rId796"/>
    <hyperlink ref="G336" display="https://www.baby.ru/blogs/post/2611557830-407026791/" tooltip="https://www.baby.ru/blogs/post/2611557830-407026791/" r:id="rId797"/>
    <hyperlink ref="K336" display="https://www.baby.ru/u/usr2935939/" tooltip="https://www.baby.ru/u/usr2935939/" r:id="rId798"/>
    <hyperlink ref="N336" display="https://www.baby.ru/u/usr2000311/" tooltip="https://www.baby.ru/u/usr2000311/" r:id="rId799"/>
    <hyperlink ref="G337" display="http://vk.com/wall-26296001_86094?reply=86156&amp;thread=86112" tooltip="http://vk.com/wall-26296001_86094?reply=86156&amp;thread=86112" r:id="rId800"/>
    <hyperlink ref="K337" display="http://vk.com/id793503511" tooltip="http://vk.com/id793503511" r:id="rId801"/>
    <hyperlink ref="N337" display="http://vk.com/club26296001" tooltip="http://vk.com/club26296001" r:id="rId802"/>
    <hyperlink ref="G338" display="http://vk.com/wall179118757_14399" tooltip="http://vk.com/wall179118757_14399" r:id="rId803"/>
    <hyperlink ref="K338" display="http://vk.com/id179118757" tooltip="http://vk.com/id179118757" r:id="rId804"/>
    <hyperlink ref="G339" display="http://vk.com/wall695161381_40" tooltip="http://vk.com/wall695161381_40" r:id="rId805"/>
    <hyperlink ref="K339" display="http://vk.com/id695161381" tooltip="http://vk.com/id695161381" r:id="rId806"/>
    <hyperlink ref="G340" display="https://www.baby.ru/blogs/post/2611557830-407026791/" tooltip="https://www.baby.ru/blogs/post/2611557830-407026791/" r:id="rId807"/>
    <hyperlink ref="K340" display="https://www.baby.ru/u/usr2000311/" tooltip="https://www.baby.ru/u/usr2000311/" r:id="rId808"/>
    <hyperlink ref="G341" display="http://vk.com/wall94365953_14878" tooltip="http://vk.com/wall94365953_14878" r:id="rId809"/>
    <hyperlink ref="K341" display="http://vk.com/id94365953" tooltip="http://vk.com/id94365953" r:id="rId810"/>
    <hyperlink ref="G342" display="http://vk.com/wall691293962_350" tooltip="http://vk.com/wall691293962_350" r:id="rId811"/>
    <hyperlink ref="K342" display="http://vk.com/id691293962" tooltip="http://vk.com/id691293962" r:id="rId812"/>
    <hyperlink ref="G343" display="http://vk.com/wall89026383_4959" tooltip="http://vk.com/wall89026383_4959" r:id="rId813"/>
    <hyperlink ref="K343" display="http://vk.com/id89026383" tooltip="http://vk.com/id89026383" r:id="rId814"/>
    <hyperlink ref="G344" display="https://www.baby.ru/blogs/post/2611452164-2278440064/" tooltip="https://www.baby.ru/blogs/post/2611452164-2278440064/" r:id="rId815"/>
    <hyperlink ref="K344" display="https://www.baby.ru/u/usr2920513/" tooltip="https://www.baby.ru/u/usr2920513/" r:id="rId816"/>
    <hyperlink ref="N344" display="https://www.baby.ru/u/usr2113670/" tooltip="https://www.baby.ru/u/usr2113670/" r:id="rId817"/>
    <hyperlink ref="G345" display="http://vk.com/wall170883098_2706" tooltip="http://vk.com/wall170883098_2706" r:id="rId818"/>
    <hyperlink ref="K345" display="http://vk.com/id170883098" tooltip="http://vk.com/id170883098" r:id="rId819"/>
    <hyperlink ref="G346" display="http://vk.com/wall506429540_2374" tooltip="http://vk.com/wall506429540_2374" r:id="rId820"/>
    <hyperlink ref="K346" display="http://vk.com/id506429540" tooltip="http://vk.com/id506429540" r:id="rId821"/>
    <hyperlink ref="G347" display="http://vk.com/wall-119249179_1024603?reply=1024896&amp;thread=1024813" tooltip="http://vk.com/wall-119249179_1024603?reply=1024896&amp;thread=1024813" r:id="rId822"/>
    <hyperlink ref="K347" display="http://vk.com/id793503511" tooltip="http://vk.com/id793503511" r:id="rId823"/>
    <hyperlink ref="N347" display="http://vk.com/club119249179" tooltip="http://vk.com/club119249179" r:id="rId824"/>
    <hyperlink ref="G348" display="http://www.kremlinrus.ru/article/181/166225/" tooltip="http://www.kremlinrus.ru/article/181/166225/" r:id="rId825"/>
    <hyperlink ref="G349" display="http://www.ok.ru/profile/584537664780/statuses/155453047967756" tooltip="http://www.ok.ru/profile/584537664780/statuses/155453047967756" r:id="rId826"/>
    <hyperlink ref="K349" display="http://www.ok.ru/profile/584537664780" tooltip="http://www.ok.ru/profile/584537664780" r:id="rId827"/>
    <hyperlink ref="G350" display="http://vk.com/wall428544023_297" tooltip="http://vk.com/wall428544023_297" r:id="rId828"/>
    <hyperlink ref="K350" display="http://vk.com/id428544023" tooltip="http://vk.com/id428544023" r:id="rId829"/>
    <hyperlink ref="G351" display="http://www.ok.ru/profile/571378118638/statuses/156611715038190" tooltip="http://www.ok.ru/profile/571378118638/statuses/156611715038190" r:id="rId830"/>
    <hyperlink ref="K351" display="http://www.ok.ru/profile/571378118638" tooltip="http://www.ok.ru/profile/571378118638" r:id="rId831"/>
    <hyperlink ref="G352" display="http://vk.com/wall-187579258_47517?reply=47772&amp;thread=47528" tooltip="http://vk.com/wall-187579258_47517?reply=47772&amp;thread=47528" r:id="rId832"/>
    <hyperlink ref="K352" display="http://vk.com/id793503511" tooltip="http://vk.com/id793503511" r:id="rId833"/>
    <hyperlink ref="N352" display="http://vk.com/club187579258" tooltip="http://vk.com/club187579258" r:id="rId834"/>
    <hyperlink ref="G353" display="http://vk.com/wall419287591_127766" tooltip="http://vk.com/wall419287591_127766" r:id="rId835"/>
    <hyperlink ref="K353" display="http://vk.com/id419287591" tooltip="http://vk.com/id419287591" r:id="rId836"/>
    <hyperlink ref="G354" display="http://vk.com/wall-106768795_4226" tooltip="http://vk.com/wall-106768795_4226" r:id="rId837"/>
    <hyperlink ref="K354" display="http://vk.com/club106768795" tooltip="http://vk.com/club106768795" r:id="rId838"/>
    <hyperlink ref="G355" display="http://vk.com/wall248287731_13936" tooltip="http://vk.com/wall248287731_13936" r:id="rId839"/>
    <hyperlink ref="K355" display="http://vk.com/id248287731" tooltip="http://vk.com/id248287731" r:id="rId840"/>
    <hyperlink ref="G356" display="http://vk.com/wall-136637198_109495?reply=109893&amp;thread=109566" tooltip="http://vk.com/wall-136637198_109495?reply=109893&amp;thread=109566" r:id="rId841"/>
    <hyperlink ref="K356" display="http://vk.com/id793503511" tooltip="http://vk.com/id793503511" r:id="rId842"/>
    <hyperlink ref="N356" display="http://vk.com/club136637198" tooltip="http://vk.com/club136637198" r:id="rId843"/>
    <hyperlink ref="G357" display="http://vk.com/wall221337354_2349" tooltip="http://vk.com/wall221337354_2349" r:id="rId844"/>
    <hyperlink ref="K357" display="http://vk.com/id221337354" tooltip="http://vk.com/id221337354" r:id="rId845"/>
    <hyperlink ref="G358" display="https://www.baby.ru/blogs/post/2611478834-2598052940/" tooltip="https://www.baby.ru/blogs/post/2611478834-2598052940/" r:id="rId846"/>
    <hyperlink ref="K358" display="https://www.baby.ru/u/usr1776305/" tooltip="https://www.baby.ru/u/usr1776305/" r:id="rId847"/>
    <hyperlink ref="N358" display="https://www.baby.ru/u/usr2977470/" tooltip="https://www.baby.ru/u/usr2977470/" r:id="rId848"/>
    <hyperlink ref="G359" display="http://vk.com/wall-21671583_256044" tooltip="http://vk.com/wall-21671583_256044" r:id="rId849"/>
    <hyperlink ref="K359" display="http://vk.com/club21671583" tooltip="http://vk.com/club21671583" r:id="rId850"/>
    <hyperlink ref="G360" display="https://siktivkar.bezformata.com/listnews/nedelyu-v-komi-podorozhali-kapusta/116236060/" tooltip="https://siktivkar.bezformata.com/listnews/nedelyu-v-komi-podorozhali-kapusta/116236060/" r:id="rId851"/>
    <hyperlink ref="G361" display="http://vk.com/wall430614272_238" tooltip="http://vk.com/wall430614272_238" r:id="rId852"/>
    <hyperlink ref="K361" display="http://vk.com/id430614272" tooltip="http://vk.com/id430614272" r:id="rId853"/>
    <hyperlink ref="G362" display="http://vk.com/wall-153326278_404946?reply=405206&amp;thread=404955" tooltip="http://vk.com/wall-153326278_404946?reply=405206&amp;thread=404955" r:id="rId854"/>
    <hyperlink ref="K362" display="http://vk.com/id793503511" tooltip="http://vk.com/id793503511" r:id="rId855"/>
    <hyperlink ref="N362" display="http://vk.com/club153326278" tooltip="http://vk.com/club153326278" r:id="rId856"/>
    <hyperlink ref="G363" display="http://vk.com/wall-153326247_489378" tooltip="http://vk.com/wall-153326247_489378" r:id="rId857"/>
    <hyperlink ref="K363" display="http://vk.com/club153326247" tooltip="http://vk.com/club153326247" r:id="rId858"/>
    <hyperlink ref="G364" display="http://vk.com/wall-110697272_513435?reply=513741&amp;thread=513440" tooltip="http://vk.com/wall-110697272_513435?reply=513741&amp;thread=513440" r:id="rId859"/>
    <hyperlink ref="K364" display="http://vk.com/id793503511" tooltip="http://vk.com/id793503511" r:id="rId860"/>
    <hyperlink ref="N364" display="http://vk.com/club110697272" tooltip="http://vk.com/club110697272" r:id="rId861"/>
    <hyperlink ref="G365" display="https://www.baby.ru/blogs/post/2611532555-622677534/" tooltip="https://www.baby.ru/blogs/post/2611532555-622677534/" r:id="rId862"/>
    <hyperlink ref="K365" display="https://www.baby.ru/u/usr1776305/" tooltip="https://www.baby.ru/u/usr1776305/" r:id="rId863"/>
    <hyperlink ref="N365" display="https://www.baby.ru/u/usr1788801/" tooltip="https://www.baby.ru/u/usr1788801/" r:id="rId864"/>
    <hyperlink ref="G366" display="http://vk.com/wall568917062_310" tooltip="http://vk.com/wall568917062_310" r:id="rId865"/>
    <hyperlink ref="K366" display="http://vk.com/id568917062" tooltip="http://vk.com/id568917062" r:id="rId866"/>
    <hyperlink ref="G367" display="https://www.baby.ru/blogs/post/2611440906-597440755/" tooltip="https://www.baby.ru/blogs/post/2611440906-597440755/" r:id="rId867"/>
    <hyperlink ref="K367" display="https://www.baby.ru/u/usr2781259/" tooltip="https://www.baby.ru/u/usr2781259/" r:id="rId868"/>
    <hyperlink ref="N367" display="https://www.baby.ru/u/usr1354704/" tooltip="https://www.baby.ru/u/usr1354704/" r:id="rId869"/>
    <hyperlink ref="G368" display="https://www.baby.ru/blogs/post/2611525289-67027063/" tooltip="https://www.baby.ru/blogs/post/2611525289-67027063/" r:id="rId870"/>
    <hyperlink ref="K368" display="https://www.baby.ru/u/usr1776305/" tooltip="https://www.baby.ru/u/usr1776305/" r:id="rId871"/>
    <hyperlink ref="N368" display="https://www.baby.ru/u/usr486296/" tooltip="https://www.baby.ru/u/usr486296/" r:id="rId872"/>
    <hyperlink ref="G369" display="http://vk.com/wall770557996_86" tooltip="http://vk.com/wall770557996_86" r:id="rId873"/>
    <hyperlink ref="K369" display="http://vk.com/id770557996" tooltip="http://vk.com/id770557996" r:id="rId874"/>
    <hyperlink ref="G370" display="http://vk.com/wall502364298_1840" tooltip="http://vk.com/wall502364298_1840" r:id="rId875"/>
    <hyperlink ref="K370" display="http://vk.com/id502364298" tooltip="http://vk.com/id502364298" r:id="rId876"/>
    <hyperlink ref="G371" display="http://vk.com/wall509409524_156" tooltip="http://vk.com/wall509409524_156" r:id="rId877"/>
    <hyperlink ref="K371" display="http://vk.com/id509409524" tooltip="http://vk.com/id509409524" r:id="rId878"/>
    <hyperlink ref="G372" display="http://vk.com/wall-146175495_828867?reply=830222&amp;thread=829839" tooltip="http://vk.com/wall-146175495_828867?reply=830222&amp;thread=829839" r:id="rId879"/>
    <hyperlink ref="K372" display="http://vk.com/id793503511" tooltip="http://vk.com/id793503511" r:id="rId880"/>
    <hyperlink ref="N372" display="http://vk.com/club146175495" tooltip="http://vk.com/club146175495" r:id="rId881"/>
    <hyperlink ref="G373" display="http://vk.com/wall-55087184_55957?reply=56170" tooltip="http://vk.com/wall-55087184_55957?reply=56170" r:id="rId882"/>
    <hyperlink ref="K373" display="http://vk.com/id190589420" tooltip="http://vk.com/id190589420" r:id="rId883"/>
    <hyperlink ref="N373" display="http://vk.com/club55087184" tooltip="http://vk.com/club55087184" r:id="rId884"/>
    <hyperlink ref="G374" display="http://www.ok.ru/profile/564670085565/statuses/155269141348541" tooltip="http://www.ok.ru/profile/564670085565/statuses/155269141348541" r:id="rId885"/>
    <hyperlink ref="K374" display="http://www.ok.ru/profile/564670085565" tooltip="http://www.ok.ru/profile/564670085565" r:id="rId886"/>
    <hyperlink ref="G375" display="http://vk.com/wall-89459809_144848" tooltip="http://vk.com/wall-89459809_144848" r:id="rId887"/>
    <hyperlink ref="K375" display="http://vk.com/club89459809" tooltip="http://vk.com/club89459809" r:id="rId888"/>
    <hyperlink ref="G376" display="http://vk.com/wall646416958_1437" tooltip="http://vk.com/wall646416958_1437" r:id="rId889"/>
    <hyperlink ref="K376" display="http://vk.com/id646416958" tooltip="http://vk.com/id646416958" r:id="rId890"/>
    <hyperlink ref="G377" display="http://vk.com/wall-65288136_5878695?reply=5879334&amp;thread=5878820" tooltip="http://vk.com/wall-65288136_5878695?reply=5879334&amp;thread=5878820" r:id="rId891"/>
    <hyperlink ref="K377" display="http://vk.com/id793503511" tooltip="http://vk.com/id793503511" r:id="rId892"/>
    <hyperlink ref="N377" display="http://vk.com/club65288136" tooltip="http://vk.com/club65288136" r:id="rId893"/>
    <hyperlink ref="G378" display="http://vk.com/wall-168460699_384837?reply=385393" tooltip="http://vk.com/wall-168460699_384837?reply=385393" r:id="rId894"/>
    <hyperlink ref="K378" display="http://vk.com/id139963867" tooltip="http://vk.com/id139963867" r:id="rId895"/>
    <hyperlink ref="N378" display="http://vk.com/club168460699" tooltip="http://vk.com/club168460699" r:id="rId896"/>
    <hyperlink ref="G379" display="https://telegram.me/bukharamedic/35788" tooltip="https://telegram.me/bukharamedic/35788" r:id="rId897"/>
    <hyperlink ref="K379" display="https://telegram.me/" tooltip="https://telegram.me/" r:id="rId898"/>
    <hyperlink ref="N379" display="https://telegram.me/bukharamedic" tooltip="https://telegram.me/bukharamedic" r:id="rId899"/>
    <hyperlink ref="G380" display="http://vk.com/wall-33277814_729930?reply=730840" tooltip="http://vk.com/wall-33277814_729930?reply=730840" r:id="rId900"/>
    <hyperlink ref="K380" display="http://vk.com/id332893591" tooltip="http://vk.com/id332893591" r:id="rId901"/>
    <hyperlink ref="N380" display="http://vk.com/club33277814" tooltip="http://vk.com/club33277814" r:id="rId902"/>
    <hyperlink ref="G381" display="https://www.babyblog.ru/community/living/post/3308647" tooltip="https://www.babyblog.ru/community/living/post/3308647" r:id="rId903"/>
    <hyperlink ref="G382" display="http://vk.com/wall-110697163_959750?reply=960186" tooltip="http://vk.com/wall-110697163_959750?reply=960186" r:id="rId904"/>
    <hyperlink ref="K382" display="http://vk.com/id154041057" tooltip="http://vk.com/id154041057" r:id="rId905"/>
    <hyperlink ref="N382" display="http://vk.com/club110697163" tooltip="http://vk.com/club110697163" r:id="rId906"/>
    <hyperlink ref="G383" display="https://www.baby.ru/blogs/post/2611526904-2588972979/" tooltip="https://www.baby.ru/blogs/post/2611526904-2588972979/" r:id="rId907"/>
    <hyperlink ref="K383" display="https://www.baby.ru/u/usr1776305/" tooltip="https://www.baby.ru/u/usr1776305/" r:id="rId908"/>
    <hyperlink ref="N383" display="https://www.baby.ru/u/usr2745608/" tooltip="https://www.baby.ru/u/usr2745608/" r:id="rId909"/>
    <hyperlink ref="G384" display="http://www.ok.ru/profile/581859480380/statuses/155007951781948" tooltip="http://www.ok.ru/profile/581859480380/statuses/155007951781948" r:id="rId910"/>
    <hyperlink ref="K384" display="http://www.ok.ru/profile/581859480380" tooltip="http://www.ok.ru/profile/581859480380" r:id="rId911"/>
    <hyperlink ref="G385" display="http://www.ok.ru/profile/340533751996/statuses/155063366727100" tooltip="http://www.ok.ru/profile/340533751996/statuses/155063366727100" r:id="rId912"/>
    <hyperlink ref="K385" display="http://www.ok.ru/profile/340533751996" tooltip="http://www.ok.ru/profile/340533751996" r:id="rId913"/>
    <hyperlink ref="G386" display="http://vk.com/wall-50606574_862566?reply=862692" tooltip="http://vk.com/wall-50606574_862566?reply=862692" r:id="rId914"/>
    <hyperlink ref="K386" display="http://vk.com/id793503511" tooltip="http://vk.com/id793503511" r:id="rId915"/>
    <hyperlink ref="N386" display="http://vk.com/club50606574" tooltip="http://vk.com/club50606574" r:id="rId916"/>
    <hyperlink ref="G387" display="http://vk.com/wall388619288_7845" tooltip="http://vk.com/wall388619288_7845" r:id="rId917"/>
    <hyperlink ref="K387" display="http://vk.com/id388619288" tooltip="http://vk.com/id388619288" r:id="rId918"/>
    <hyperlink ref="G388" display="https://telegram.me/covidgoodbye/255093" tooltip="https://telegram.me/covidgoodbye/255093" r:id="rId919"/>
    <hyperlink ref="K388" display="https://telegram.me/Vistrus" tooltip="https://telegram.me/Vistrus" r:id="rId920"/>
    <hyperlink ref="N388" display="https://telegram.me/covidgoodbye" tooltip="https://telegram.me/covidgoodbye" r:id="rId921"/>
    <hyperlink ref="G389" display="http://vk.com/wall-143027530_228896?reply=229368&amp;thread=229224" tooltip="http://vk.com/wall-143027530_228896?reply=229368&amp;thread=229224" r:id="rId922"/>
    <hyperlink ref="K389" display="http://vk.com/id793503511" tooltip="http://vk.com/id793503511" r:id="rId923"/>
    <hyperlink ref="N389" display="http://vk.com/club143027530" tooltip="http://vk.com/club143027530" r:id="rId924"/>
    <hyperlink ref="G390" display="http://vk.com/wall-203023242_19133?reply=19276&amp;thread=19143" tooltip="http://vk.com/wall-203023242_19133?reply=19276&amp;thread=19143" r:id="rId925"/>
    <hyperlink ref="K390" display="http://vk.com/id793503511" tooltip="http://vk.com/id793503511" r:id="rId926"/>
    <hyperlink ref="N390" display="http://vk.com/club203023242" tooltip="http://vk.com/club203023242" r:id="rId927"/>
    <hyperlink ref="G391" display="http://vk.com/wall371040278_7824" tooltip="http://vk.com/wall371040278_7824" r:id="rId928"/>
    <hyperlink ref="K391" display="http://vk.com/id371040278" tooltip="http://vk.com/id371040278" r:id="rId929"/>
    <hyperlink ref="G392" display="http://www.ok.ru/profile/575611891077/statuses/154868459881349" tooltip="http://www.ok.ru/profile/575611891077/statuses/154868459881349" r:id="rId930"/>
    <hyperlink ref="K392" display="http://www.ok.ru/profile/575611891077" tooltip="http://www.ok.ru/profile/575611891077" r:id="rId931"/>
    <hyperlink ref="G393" display="http://www.ok.ru/profile/593762734099/statuses/156299927390995" tooltip="http://www.ok.ru/profile/593762734099/statuses/156299927390995" r:id="rId932"/>
    <hyperlink ref="K393" display="http://www.ok.ru/profile/593762734099" tooltip="http://www.ok.ru/profile/593762734099" r:id="rId933"/>
    <hyperlink ref="G394" display="http://vk.com/wall670741896_14212" tooltip="http://vk.com/wall670741896_14212" r:id="rId934"/>
    <hyperlink ref="K394" display="http://vk.com/id670741896" tooltip="http://vk.com/id670741896" r:id="rId935"/>
    <hyperlink ref="G395" display="http://vk.com/wall270249130_54694" tooltip="http://vk.com/wall270249130_54694" r:id="rId936"/>
    <hyperlink ref="K395" display="http://vk.com/id270249130" tooltip="http://vk.com/id270249130" r:id="rId937"/>
    <hyperlink ref="G396" display="http://vk.com/wall-28815494_387621" tooltip="http://vk.com/wall-28815494_387621" r:id="rId938"/>
    <hyperlink ref="K396" display="http://vk.com/club28815494" tooltip="http://vk.com/club28815494" r:id="rId939"/>
    <hyperlink ref="G397" display="http://vk.com/wall-36857673_1765562?reply=1766013" tooltip="http://vk.com/wall-36857673_1765562?reply=1766013" r:id="rId940"/>
    <hyperlink ref="K397" display="http://vk.com/id622818232" tooltip="http://vk.com/id622818232" r:id="rId941"/>
    <hyperlink ref="N397" display="http://vk.com/club36857673" tooltip="http://vk.com/club36857673" r:id="rId942"/>
    <hyperlink ref="G398" display="http://vk.com/wall-155403177_56807?reply=57239&amp;thread=56853" tooltip="http://vk.com/wall-155403177_56807?reply=57239&amp;thread=56853" r:id="rId943"/>
    <hyperlink ref="K398" display="http://vk.com/id793503511" tooltip="http://vk.com/id793503511" r:id="rId944"/>
    <hyperlink ref="N398" display="http://vk.com/club155403177" tooltip="http://vk.com/club155403177" r:id="rId945"/>
    <hyperlink ref="G399" display="https://news.myseldon.com/ru/news/index/282046885" tooltip="https://news.myseldon.com/ru/news/index/282046885" r:id="rId946"/>
    <hyperlink ref="G400" display="https://www.baby.ru/blogs/post/2611538869-1441733754/" tooltip="https://www.baby.ru/blogs/post/2611538869-1441733754/" r:id="rId947"/>
    <hyperlink ref="K400" display="https://www.baby.ru/u/usr1776305/" tooltip="https://www.baby.ru/u/usr1776305/" r:id="rId948"/>
    <hyperlink ref="N400" display="https://www.baby.ru/u/usr2705359/" tooltip="https://www.baby.ru/u/usr2705359/" r:id="rId949"/>
    <hyperlink ref="G401" display="http://vk.com/wall-177698471_633040" tooltip="http://vk.com/wall-177698471_633040" r:id="rId950"/>
    <hyperlink ref="K401" display="http://vk.com/club177698471" tooltip="http://vk.com/club177698471" r:id="rId951"/>
    <hyperlink ref="G402" display="http://www.ok.ru/group/55921101635792/topic/156200749001680" tooltip="http://www.ok.ru/group/55921101635792/topic/156200749001680" r:id="rId952"/>
    <hyperlink ref="K402" display="http://www.ok.ru/group/55921101635792" tooltip="http://www.ok.ru/group/55921101635792" r:id="rId953"/>
    <hyperlink ref="G403" display="http://vk.com/wall695949383_397" tooltip="http://vk.com/wall695949383_397" r:id="rId954"/>
    <hyperlink ref="K403" display="http://vk.com/id695949383" tooltip="http://vk.com/id695949383" r:id="rId955"/>
    <hyperlink ref="G404" display="http://vk.com/wall299149753_3907" tooltip="http://vk.com/wall299149753_3907" r:id="rId956"/>
    <hyperlink ref="K404" display="http://vk.com/id299149753" tooltip="http://vk.com/id299149753" r:id="rId957"/>
    <hyperlink ref="G405" display="http://vk.com/wall-176718025_2551" tooltip="http://vk.com/wall-176718025_2551" r:id="rId958"/>
    <hyperlink ref="K405" display="http://vk.com/club176718025" tooltip="http://vk.com/club176718025" r:id="rId959"/>
    <hyperlink ref="G406" display="http://vk.com/wall149287437_1820" tooltip="http://vk.com/wall149287437_1820" r:id="rId960"/>
    <hyperlink ref="K406" display="http://vk.com/id149287437" tooltip="http://vk.com/id149287437" r:id="rId961"/>
    <hyperlink ref="G407" display="http://vk.com/wall488680573_1976" tooltip="http://vk.com/wall488680573_1976" r:id="rId962"/>
    <hyperlink ref="K407" display="http://vk.com/id488680573" tooltip="http://vk.com/id488680573" r:id="rId963"/>
    <hyperlink ref="G408" display="https://omsk-news.net/society/2023/04/14/476682.html" tooltip="https://omsk-news.net/society/2023/04/14/476682.html" r:id="rId964"/>
    <hyperlink ref="G409" display="http://vk.com/wall209887758_555" tooltip="http://vk.com/wall209887758_555" r:id="rId965"/>
    <hyperlink ref="K409" display="http://vk.com/id209887758" tooltip="http://vk.com/id209887758" r:id="rId966"/>
    <hyperlink ref="G410" display="http://www.ok.ru/profile/569733820517/statuses/155184716995941" tooltip="http://www.ok.ru/profile/569733820517/statuses/155184716995941" r:id="rId967"/>
    <hyperlink ref="K410" display="http://www.ok.ru/profile/569733820517" tooltip="http://www.ok.ru/profile/569733820517" r:id="rId968"/>
    <hyperlink ref="G411" display="http://vk.com/wall-199899651_29917?reply=29934" tooltip="http://vk.com/wall-199899651_29917?reply=29934" r:id="rId969"/>
    <hyperlink ref="K411" display="http://vk.com/id613838198" tooltip="http://vk.com/id613838198" r:id="rId970"/>
    <hyperlink ref="N411" display="http://vk.com/club199899651" tooltip="http://vk.com/club199899651" r:id="rId971"/>
    <hyperlink ref="G412" display="http://www.ok.ru/profile/563488377238/statuses/155736269035670" tooltip="http://www.ok.ru/profile/563488377238/statuses/155736269035670" r:id="rId972"/>
    <hyperlink ref="K412" display="http://www.ok.ru/profile/563488377238" tooltip="http://www.ok.ru/profile/563488377238" r:id="rId973"/>
    <hyperlink ref="G413" display="http://vk.com/wall553516526_375" tooltip="http://vk.com/wall553516526_375" r:id="rId974"/>
    <hyperlink ref="K413" display="http://vk.com/id553516526" tooltip="http://vk.com/id553516526" r:id="rId975"/>
    <hyperlink ref="G414" display="http://www.ok.ru/profile/567830669710/statuses/156074540288910" tooltip="http://www.ok.ru/profile/567830669710/statuses/156074540288910" r:id="rId976"/>
    <hyperlink ref="K414" display="http://www.ok.ru/profile/567830669710" tooltip="http://www.ok.ru/profile/567830669710" r:id="rId977"/>
    <hyperlink ref="G415" display="http://vk.com/wall231692237_710" tooltip="http://vk.com/wall231692237_710" r:id="rId978"/>
    <hyperlink ref="K415" display="http://vk.com/id231692237" tooltip="http://vk.com/id231692237" r:id="rId979"/>
    <hyperlink ref="G416" display="https://telegram.me/drleeyana/1551?comment=7574" tooltip="https://telegram.me/drleeyana/1551?comment=7574" r:id="rId980"/>
    <hyperlink ref="K416" display="https://telegram.me/drleeyanasakh" tooltip="https://telegram.me/drleeyanasakh" r:id="rId981"/>
    <hyperlink ref="N416" display="https://telegram.me/drleeyana" tooltip="https://telegram.me/drleeyana" r:id="rId982"/>
    <hyperlink ref="G417" display="http://vk.com/wall-214450246_108353" tooltip="http://vk.com/wall-214450246_108353" r:id="rId983"/>
    <hyperlink ref="K417" display="http://vk.com/club214450246" tooltip="http://vk.com/club214450246" r:id="rId984"/>
    <hyperlink ref="G418" display="https://telegram.me/drleeyana/1551?comment=7571" tooltip="https://telegram.me/drleeyana/1551?comment=7571" r:id="rId985"/>
    <hyperlink ref="K418" display="https://telegram.me/" tooltip="https://telegram.me/" r:id="rId986"/>
    <hyperlink ref="N418" display="https://telegram.me/drleeyana" tooltip="https://telegram.me/drleeyana" r:id="rId987"/>
    <hyperlink ref="G419" display="http://www.ok.ru/group/70000001263514/topic/155534065226650" tooltip="http://www.ok.ru/group/70000001263514/topic/155534065226650" r:id="rId988"/>
    <hyperlink ref="K419" display="http://www.ok.ru/group/70000001263514" tooltip="http://www.ok.ru/group/70000001263514" r:id="rId989"/>
    <hyperlink ref="G420" display="https://www.baby.ru/blogs/post/2611340423-1845663622/" tooltip="https://www.baby.ru/blogs/post/2611340423-1845663622/" r:id="rId990"/>
    <hyperlink ref="K420" display="https://www.baby.ru/u/usr2661582/" tooltip="https://www.baby.ru/u/usr2661582/" r:id="rId991"/>
    <hyperlink ref="N420" display="https://www.baby.ru/u/usr2220377/" tooltip="https://www.baby.ru/u/usr2220377/" r:id="rId992"/>
    <hyperlink ref="G421" display="http://www.ok.ru/profile/354158731895/statuses/155775973647735" tooltip="http://www.ok.ru/profile/354158731895/statuses/155775973647735" r:id="rId993"/>
    <hyperlink ref="K421" display="http://www.ok.ru/profile/354158731895" tooltip="http://www.ok.ru/profile/354158731895" r:id="rId994"/>
    <hyperlink ref="G422" display="http://vk.com/wall257851812_33220" tooltip="http://vk.com/wall257851812_33220" r:id="rId995"/>
    <hyperlink ref="K422" display="http://vk.com/id257851812" tooltip="http://vk.com/id257851812" r:id="rId996"/>
    <hyperlink ref="G423" display="http://vk.com/wall227482249_479" tooltip="http://vk.com/wall227482249_479" r:id="rId997"/>
    <hyperlink ref="K423" display="http://vk.com/id227482249" tooltip="http://vk.com/id227482249" r:id="rId998"/>
    <hyperlink ref="G424" display="http://www.ok.ru/profile/571168152431/statuses/157362360643695" tooltip="http://www.ok.ru/profile/571168152431/statuses/157362360643695" r:id="rId999"/>
    <hyperlink ref="K424" display="http://www.ok.ru/profile/571168152431" tooltip="http://www.ok.ru/profile/571168152431" r:id="rId1000"/>
    <hyperlink ref="G425" display="http://vk.com/wall-213714758_4415" tooltip="http://vk.com/wall-213714758_4415" r:id="rId1001"/>
    <hyperlink ref="K425" display="http://vk.com/club213714758" tooltip="http://vk.com/club213714758" r:id="rId1002"/>
    <hyperlink ref="G426" display="http://vk.com/wall661282221_287" tooltip="http://vk.com/wall661282221_287" r:id="rId1003"/>
    <hyperlink ref="K426" display="http://vk.com/id661282221" tooltip="http://vk.com/id661282221" r:id="rId1004"/>
    <hyperlink ref="G427" display="http://vk.com/wall647892858_31" tooltip="http://vk.com/wall647892858_31" r:id="rId1005"/>
    <hyperlink ref="K427" display="http://vk.com/id647892858" tooltip="http://vk.com/id647892858" r:id="rId1006"/>
    <hyperlink ref="G428" display="http://vk.com/wall-47179959_140661" tooltip="http://vk.com/wall-47179959_140661" r:id="rId1007"/>
    <hyperlink ref="K428" display="http://vk.com/club47179959" tooltip="http://vk.com/club47179959" r:id="rId1008"/>
    <hyperlink ref="G429" display="https://www.baby.ru/blogs/post/2611409992-475871213/" tooltip="https://www.baby.ru/blogs/post/2611409992-475871213/" r:id="rId1009"/>
    <hyperlink ref="K429" display="https://www.baby.ru/u/usr2431988/" tooltip="https://www.baby.ru/u/usr2431988/" r:id="rId1010"/>
    <hyperlink ref="N429" display="https://www.baby.ru/u/usr1392797/" tooltip="https://www.baby.ru/u/usr1392797/" r:id="rId1011"/>
    <hyperlink ref="G430" display="https://12-kanal.ru/news/167049/" tooltip="https://12-kanal.ru/news/167049/" r:id="rId1012"/>
    <hyperlink ref="G431" display="http://vk.com/wall169389452_8214" tooltip="http://vk.com/wall169389452_8214" r:id="rId1013"/>
    <hyperlink ref="K431" display="http://vk.com/id169389452" tooltip="http://vk.com/id169389452" r:id="rId1014"/>
    <hyperlink ref="G432" display="http://vk.com/wall-165495813_955937?reply=956013" tooltip="http://vk.com/wall-165495813_955937?reply=956013" r:id="rId1015"/>
    <hyperlink ref="K432" display="http://vk.com/id507733686" tooltip="http://vk.com/id507733686" r:id="rId1016"/>
    <hyperlink ref="N432" display="http://vk.com/club165495813" tooltip="http://vk.com/club165495813" r:id="rId1017"/>
    <hyperlink ref="G433" display="http://vk.com/wall-110697191_622099?reply=622772" tooltip="http://vk.com/wall-110697191_622099?reply=622772" r:id="rId1018"/>
    <hyperlink ref="K433" display="http://vk.com/id289688804" tooltip="http://vk.com/id289688804" r:id="rId1019"/>
    <hyperlink ref="N433" display="http://vk.com/club110697191" tooltip="http://vk.com/club110697191" r:id="rId1020"/>
    <hyperlink ref="G434" display="http://vk.com/wall-142477702_726009?reply=726447" tooltip="http://vk.com/wall-142477702_726009?reply=726447" r:id="rId1021"/>
    <hyperlink ref="K434" display="http://vk.com/id353627035" tooltip="http://vk.com/id353627035" r:id="rId1022"/>
    <hyperlink ref="N434" display="http://vk.com/club142477702" tooltip="http://vk.com/club142477702" r:id="rId1023"/>
    <hyperlink ref="G435" display="http://vk.com/wall88127633_3357" tooltip="http://vk.com/wall88127633_3357" r:id="rId1024"/>
    <hyperlink ref="K435" display="http://vk.com/id88127633" tooltip="http://vk.com/id88127633" r:id="rId1025"/>
    <hyperlink ref="G436" display="http://instagram.com/p/Cq_dduVIhmC/c/17965505465371014/" tooltip="http://instagram.com/p/Cq_dduVIhmC/c/17965505465371014/" r:id="rId1026"/>
    <hyperlink ref="K436" display="http://instagram.com/albatrossmakesgood" tooltip="http://instagram.com/albatrossmakesgood" r:id="rId1027"/>
    <hyperlink ref="N436" display="http://instagram.com/anestesiolog.md" tooltip="http://instagram.com/anestesiolog.md" r:id="rId1028"/>
    <hyperlink ref="G437" display="http://vk.com/wall-117981766_921038?reply=923093" tooltip="http://vk.com/wall-117981766_921038?reply=923093" r:id="rId1029"/>
    <hyperlink ref="K437" display="http://vk.com/id31262266" tooltip="http://vk.com/id31262266" r:id="rId1030"/>
    <hyperlink ref="N437" display="http://vk.com/club117981766" tooltip="http://vk.com/club117981766" r:id="rId1031"/>
    <hyperlink ref="G438" display="http://vk.com/wall484592697_1417" tooltip="http://vk.com/wall484592697_1417" r:id="rId1032"/>
    <hyperlink ref="K438" display="http://vk.com/id484592697" tooltip="http://vk.com/id484592697" r:id="rId1033"/>
    <hyperlink ref="G439" display="http://www.ok.ru/profile/219430628490/statuses/155733889290378" tooltip="http://www.ok.ru/profile/219430628490/statuses/155733889290378" r:id="rId1034"/>
    <hyperlink ref="K439" display="http://www.ok.ru/profile/219430628490" tooltip="http://www.ok.ru/profile/219430628490" r:id="rId1035"/>
    <hyperlink ref="G440" display="http://vk.com/wall-178765450_69240" tooltip="http://vk.com/wall-178765450_69240" r:id="rId1036"/>
    <hyperlink ref="K440" display="http://vk.com/club178765450" tooltip="http://vk.com/club178765450" r:id="rId1037"/>
    <hyperlink ref="G441" display="http://vk.com/wall-89460402_150812" tooltip="http://vk.com/wall-89460402_150812" r:id="rId1038"/>
    <hyperlink ref="K441" display="http://vk.com/club89460402" tooltip="http://vk.com/club89460402" r:id="rId1039"/>
    <hyperlink ref="G442" display="http://vk.com/wall-14809629_2048" tooltip="http://vk.com/wall-14809629_2048" r:id="rId1040"/>
    <hyperlink ref="K442" display="http://vk.com/club14809629" tooltip="http://vk.com/club14809629" r:id="rId1041"/>
    <hyperlink ref="G443" display="http://vk.com/wall609581125_1334" tooltip="http://vk.com/wall609581125_1334" r:id="rId1042"/>
    <hyperlink ref="K443" display="http://vk.com/id609581125" tooltip="http://vk.com/id609581125" r:id="rId1043"/>
    <hyperlink ref="G444" display="http://vk.com/wall-212350366_17482" tooltip="http://vk.com/wall-212350366_17482" r:id="rId1044"/>
    <hyperlink ref="K444" display="http://vk.com/club212350366" tooltip="http://vk.com/club212350366" r:id="rId1045"/>
    <hyperlink ref="G445" display="https://russia24.pro/komi/346919728/" tooltip="https://russia24.pro/komi/346919728/" r:id="rId1046"/>
    <hyperlink ref="G446" display="https://pg11.ru/news/97466" tooltip="https://pg11.ru/news/97466" r:id="rId1047"/>
    <hyperlink ref="G447" display="https://123ru.net/mix/346919728/" tooltip="https://123ru.net/mix/346919728/" r:id="rId1048"/>
    <hyperlink ref="G448" display="https://russian.city/syktyvkar/346919728/" tooltip="https://russian.city/syktyvkar/346919728/" r:id="rId1049"/>
    <hyperlink ref="G449" display="https://ru24.net/mix/346919728/" tooltip="https://ru24.net/mix/346919728/" r:id="rId1050"/>
    <hyperlink ref="G450" display="https://ria.city/syktyvkar/346919728/" tooltip="https://ria.city/syktyvkar/346919728/" r:id="rId1051"/>
    <hyperlink ref="G451" display="https://news-life.pro/komi/346919728/" tooltip="https://news-life.pro/komi/346919728/" r:id="rId1052"/>
    <hyperlink ref="G452" display="https://ru24.net/pics/346919728/" tooltip="https://ru24.net/pics/346919728/" r:id="rId1053"/>
    <hyperlink ref="G453" display="https://ru24.net/syktyvkar/346919728/" tooltip="https://ru24.net/syktyvkar/346919728/" r:id="rId1054"/>
    <hyperlink ref="G454" display="http://vk.com/wall572405238_1386" tooltip="http://vk.com/wall572405238_1386" r:id="rId1055"/>
    <hyperlink ref="K454" display="http://vk.com/id572405238" tooltip="http://vk.com/id572405238" r:id="rId1056"/>
    <hyperlink ref="G455" display="http://www.ok.ru/profile/579118994597/statuses/155418568468645" tooltip="http://www.ok.ru/profile/579118994597/statuses/155418568468645" r:id="rId1057"/>
    <hyperlink ref="K455" display="http://www.ok.ru/profile/579118994597" tooltip="http://www.ok.ru/profile/579118994597" r:id="rId1058"/>
    <hyperlink ref="G456" display="http://vk.com/wall409572877_4991" tooltip="http://vk.com/wall409572877_4991" r:id="rId1059"/>
    <hyperlink ref="K456" display="http://vk.com/id409572877" tooltip="http://vk.com/id409572877" r:id="rId1060"/>
    <hyperlink ref="G457" display="http://vk.com/wall722693308_16" tooltip="http://vk.com/wall722693308_16" r:id="rId1061"/>
    <hyperlink ref="K457" display="http://vk.com/id722693308" tooltip="http://vk.com/id722693308" r:id="rId1062"/>
    <hyperlink ref="G458" display="https://telegram.me/covidgoodbye/255088" tooltip="https://telegram.me/covidgoodbye/255088" r:id="rId1063"/>
    <hyperlink ref="K458" display="https://telegram.me/Vistrus" tooltip="https://telegram.me/Vistrus" r:id="rId1064"/>
    <hyperlink ref="N458" display="https://telegram.me/covidgoodbye" tooltip="https://telegram.me/covidgoodbye" r:id="rId1065"/>
    <hyperlink ref="G459" display="http://vk.com/wall765718980_254" tooltip="http://vk.com/wall765718980_254" r:id="rId1066"/>
    <hyperlink ref="K459" display="http://vk.com/id765718980" tooltip="http://vk.com/id765718980" r:id="rId1067"/>
    <hyperlink ref="G460" display="http://vk.com/wall-58006062_773424" tooltip="http://vk.com/wall-58006062_773424" r:id="rId1068"/>
    <hyperlink ref="K460" display="http://vk.com/club58006062" tooltip="http://vk.com/club58006062" r:id="rId1069"/>
    <hyperlink ref="G461" display="http://www.ok.ru/profile/592035818027/statuses/156305358494507" tooltip="http://www.ok.ru/profile/592035818027/statuses/156305358494507" r:id="rId1070"/>
    <hyperlink ref="K461" display="http://www.ok.ru/profile/592035818027" tooltip="http://www.ok.ru/profile/592035818027" r:id="rId1071"/>
    <hyperlink ref="G462" display="http://vk.com/wall146809210_730" tooltip="http://vk.com/wall146809210_730" r:id="rId1072"/>
    <hyperlink ref="K462" display="http://vk.com/id146809210" tooltip="http://vk.com/id146809210" r:id="rId1073"/>
    <hyperlink ref="G463" display="http://www.ok.ru/profile/149614669554/statuses/156056322031090" tooltip="http://www.ok.ru/profile/149614669554/statuses/156056322031090" r:id="rId1074"/>
    <hyperlink ref="K463" display="http://www.ok.ru/profile/149614669554" tooltip="http://www.ok.ru/profile/149614669554" r:id="rId1075"/>
    <hyperlink ref="G464" display="http://www.ok.ru/profile/564322633318/statuses/155237443528806" tooltip="http://www.ok.ru/profile/564322633318/statuses/155237443528806" r:id="rId1076"/>
    <hyperlink ref="K464" display="http://www.ok.ru/profile/564322633318" tooltip="http://www.ok.ru/profile/564322633318" r:id="rId1077"/>
    <hyperlink ref="G465" display="http://www.ok.ru/profile/575153304976/statuses/155899745966224" tooltip="http://www.ok.ru/profile/575153304976/statuses/155899745966224" r:id="rId1078"/>
    <hyperlink ref="K465" display="http://www.ok.ru/profile/575153304976" tooltip="http://www.ok.ru/profile/575153304976" r:id="rId1079"/>
    <hyperlink ref="G466" display="http://vk.com/wall795471382_16" tooltip="http://vk.com/wall795471382_16" r:id="rId1080"/>
    <hyperlink ref="K466" display="http://vk.com/id795471382" tooltip="http://vk.com/id795471382" r:id="rId1081"/>
    <hyperlink ref="G467" display="http://vk.com/wall272353756_962" tooltip="http://vk.com/wall272353756_962" r:id="rId1082"/>
    <hyperlink ref="K467" display="http://vk.com/id272353756" tooltip="http://vk.com/id272353756" r:id="rId1083"/>
    <hyperlink ref="G468" display="http://vk.com/wall231909786_1163" tooltip="http://vk.com/wall231909786_1163" r:id="rId1084"/>
    <hyperlink ref="K468" display="http://vk.com/id231909786" tooltip="http://vk.com/id231909786" r:id="rId1085"/>
    <hyperlink ref="G469" display="http://vk.com/wall373420855_2022" tooltip="http://vk.com/wall373420855_2022" r:id="rId1086"/>
    <hyperlink ref="K469" display="http://vk.com/id373420855" tooltip="http://vk.com/id373420855" r:id="rId1087"/>
    <hyperlink ref="G470" display="https://siktivkar.bezformata.com/listnews/komi-podorozhalo-podsolnechnoe-maslo/116232939/" tooltip="https://siktivkar.bezformata.com/listnews/komi-podorozhalo-podsolnechnoe-maslo/116232939/" r:id="rId1088"/>
    <hyperlink ref="G471" display="http://vk.com/wall-94658526_588348?reply=588363" tooltip="http://vk.com/wall-94658526_588348?reply=588363" r:id="rId1089"/>
    <hyperlink ref="K471" display="http://vk.com/id713660275" tooltip="http://vk.com/id713660275" r:id="rId1090"/>
    <hyperlink ref="N471" display="http://vk.com/club94658526" tooltip="http://vk.com/club94658526" r:id="rId1091"/>
    <hyperlink ref="G472" display="https://omsk.bezformata.com/listnews/omskih-aptekah-podorozhali-lekarstva/116232754/" tooltip="https://omsk.bezformata.com/listnews/omskih-aptekah-podorozhali-lekarstva/116232754/" r:id="rId1092"/>
    <hyperlink ref="G473" display="http://www.ok.ru/group/54286420541455/topic/156055283437583" tooltip="http://www.ok.ru/group/54286420541455/topic/156055283437583" r:id="rId1093"/>
    <hyperlink ref="K473" display="http://www.ok.ru/profile/557691741590" tooltip="http://www.ok.ru/profile/557691741590" r:id="rId1094"/>
    <hyperlink ref="N473" display="http://www.ok.ru/group/54286420541455" tooltip="http://www.ok.ru/group/54286420541455" r:id="rId1095"/>
    <hyperlink ref="G474" display="http://vk.com/wall-155386267_1061284?reply=1061378" tooltip="http://vk.com/wall-155386267_1061284?reply=1061378" r:id="rId1096"/>
    <hyperlink ref="K474" display="http://vk.com/id146040951" tooltip="http://vk.com/id146040951" r:id="rId1097"/>
    <hyperlink ref="N474" display="http://vk.com/club155386267" tooltip="http://vk.com/club155386267" r:id="rId1098"/>
    <hyperlink ref="G475" display="http://www.ok.ru/profile/564989233737/statuses/155925723458377" tooltip="http://www.ok.ru/profile/564989233737/statuses/155925723458377" r:id="rId1099"/>
    <hyperlink ref="K475" display="http://www.ok.ru/profile/564989233737" tooltip="http://www.ok.ru/profile/564989233737" r:id="rId1100"/>
    <hyperlink ref="G476" display="http://vk.com/wall240169188_125" tooltip="http://vk.com/wall240169188_125" r:id="rId1101"/>
    <hyperlink ref="K476" display="http://vk.com/id240169188" tooltip="http://vk.com/id240169188" r:id="rId1102"/>
    <hyperlink ref="G477" display="http://vk.com/wall-158936891_617063?reply=617078" tooltip="http://vk.com/wall-158936891_617063?reply=617078" r:id="rId1103"/>
    <hyperlink ref="K477" display="http://vk.com/id204624281" tooltip="http://vk.com/id204624281" r:id="rId1104"/>
    <hyperlink ref="N477" display="http://vk.com/club158936891" tooltip="http://vk.com/club158936891" r:id="rId1105"/>
    <hyperlink ref="G478" display="http://vk.com/wall262270147_7942" tooltip="http://vk.com/wall262270147_7942" r:id="rId1106"/>
    <hyperlink ref="K478" display="http://vk.com/id262270147" tooltip="http://vk.com/id262270147" r:id="rId1107"/>
    <hyperlink ref="G479" display="http://twitter.com/tupuny1a/status/1646766144810893316" tooltip="http://twitter.com/tupuny1a/status/1646766144810893316" r:id="rId1108"/>
    <hyperlink ref="K479" display="http://twitter.com/tupuny1a" tooltip="http://twitter.com/tupuny1a" r:id="rId1109"/>
    <hyperlink ref="G480" display="http://vk.com/wall365256141_17545" tooltip="http://vk.com/wall365256141_17545" r:id="rId1110"/>
    <hyperlink ref="K480" display="http://vk.com/id365256141" tooltip="http://vk.com/id365256141" r:id="rId1111"/>
    <hyperlink ref="G481" display="http://vk.com/wall532881519_1890" tooltip="http://vk.com/wall532881519_1890" r:id="rId1112"/>
    <hyperlink ref="K481" display="http://vk.com/id532881519" tooltip="http://vk.com/id532881519" r:id="rId1113"/>
    <hyperlink ref="G482" display="http://www.ok.ru/profile/342803283537/statuses/156017191376977" tooltip="http://www.ok.ru/profile/342803283537/statuses/156017191376977" r:id="rId1114"/>
    <hyperlink ref="K482" display="http://www.ok.ru/profile/342803283537" tooltip="http://www.ok.ru/profile/342803283537" r:id="rId1115"/>
    <hyperlink ref="G483" display="http://vk.com/wall-149047382_2415266?reply=2415400" tooltip="http://vk.com/wall-149047382_2415266?reply=2415400" r:id="rId1116"/>
    <hyperlink ref="K483" display="http://vk.com/id349860553" tooltip="http://vk.com/id349860553" r:id="rId1117"/>
    <hyperlink ref="N483" display="http://vk.com/club149047382" tooltip="http://vk.com/club149047382" r:id="rId1118"/>
    <hyperlink ref="G484" display="http://galya.ru/clubs/show.php?id=1392063&amp;nt=231" tooltip="http://galya.ru/clubs/show.php?id=1392063&amp;nt=231" r:id="rId1119"/>
    <hyperlink ref="G485" display="http://www.ok.ru/profile/586150499853/statuses/155781400070925" tooltip="http://www.ok.ru/profile/586150499853/statuses/155781400070925" r:id="rId1120"/>
    <hyperlink ref="K485" display="http://www.ok.ru/profile/586150499853" tooltip="http://www.ok.ru/profile/586150499853" r:id="rId1121"/>
    <hyperlink ref="G486" display="http://vk.com/wall452548225_3563" tooltip="http://vk.com/wall452548225_3563" r:id="rId1122"/>
    <hyperlink ref="K486" display="http://vk.com/id452548225" tooltip="http://vk.com/id452548225" r:id="rId1123"/>
    <hyperlink ref="G487" display="http://vk.com/wall9156611_979" tooltip="http://vk.com/wall9156611_979" r:id="rId1124"/>
    <hyperlink ref="K487" display="http://vk.com/id9156611" tooltip="http://vk.com/id9156611" r:id="rId1125"/>
    <hyperlink ref="G488" display="http://vk.com/wall29903439_2582" tooltip="http://vk.com/wall29903439_2582" r:id="rId1126"/>
    <hyperlink ref="K488" display="http://vk.com/id29903439" tooltip="http://vk.com/id29903439" r:id="rId1127"/>
    <hyperlink ref="G489" display="http://vk.com/wall-59954620_1260" tooltip="http://vk.com/wall-59954620_1260" r:id="rId1128"/>
    <hyperlink ref="K489" display="http://vk.com/club59954620" tooltip="http://vk.com/club59954620" r:id="rId1129"/>
    <hyperlink ref="G490" display="http://vk.com/wall629883562_11512" tooltip="http://vk.com/wall629883562_11512" r:id="rId1130"/>
    <hyperlink ref="K490" display="http://vk.com/id629883562" tooltip="http://vk.com/id629883562" r:id="rId1131"/>
    <hyperlink ref="G491" display="https://news.myseldon.com/ru/news/index/282042340" tooltip="https://news.myseldon.com/ru/news/index/282042340" r:id="rId1132"/>
    <hyperlink ref="G492" display="https://telegram.me/zvoinaukraina/23737?comment=11856403" tooltip="https://telegram.me/zvoinaukraina/23737?comment=11856403" r:id="rId1133"/>
    <hyperlink ref="K492" display="https://telegram.me/Mamrikina" tooltip="https://telegram.me/Mamrikina" r:id="rId1134"/>
    <hyperlink ref="N492" display="https://telegram.me/zvoinaukraina" tooltip="https://telegram.me/zvoinaukraina" r:id="rId1135"/>
    <hyperlink ref="G493" display="http://vk.com/wall763571625_294" tooltip="http://vk.com/wall763571625_294" r:id="rId1136"/>
    <hyperlink ref="K493" display="http://vk.com/id763571625" tooltip="http://vk.com/id763571625" r:id="rId1137"/>
    <hyperlink ref="G494" display="http://www.ok.ru/profile/559010279745/statuses/155657519846721" tooltip="http://www.ok.ru/profile/559010279745/statuses/155657519846721" r:id="rId1138"/>
    <hyperlink ref="K494" display="http://www.ok.ru/profile/559010279745" tooltip="http://www.ok.ru/profile/559010279745" r:id="rId1139"/>
    <hyperlink ref="G495" display="https://news.myseldon.com/ru/news/index/282039412" tooltip="https://news.myseldon.com/ru/news/index/282039412" r:id="rId1140"/>
    <hyperlink ref="G496" display="http://vk.com/wall602240033_3493" tooltip="http://vk.com/wall602240033_3493" r:id="rId1141"/>
    <hyperlink ref="K496" display="http://vk.com/id602240033" tooltip="http://vk.com/id602240033" r:id="rId1142"/>
    <hyperlink ref="G497" display="http://vk.com/wall55458522_1574" tooltip="http://vk.com/wall55458522_1574" r:id="rId1143"/>
    <hyperlink ref="K497" display="http://vk.com/id55458522" tooltip="http://vk.com/id55458522" r:id="rId1144"/>
    <hyperlink ref="G498" display="http://vk.com/wall441692341_1698" tooltip="http://vk.com/wall441692341_1698" r:id="rId1145"/>
    <hyperlink ref="K498" display="http://vk.com/id441692341" tooltip="http://vk.com/id441692341" r:id="rId1146"/>
    <hyperlink ref="G499" display="http://www.ok.ru/profile/520717131606/statuses/156126242446678" tooltip="http://www.ok.ru/profile/520717131606/statuses/156126242446678" r:id="rId1147"/>
    <hyperlink ref="K499" display="http://www.ok.ru/profile/520717131606" tooltip="http://www.ok.ru/profile/520717131606" r:id="rId1148"/>
    <hyperlink ref="G500" display="http://vk.com/wall-143027530_229294?reply=229364" tooltip="http://vk.com/wall-143027530_229294?reply=229364" r:id="rId1149"/>
    <hyperlink ref="K500" display="http://vk.com/id56155989" tooltip="http://vk.com/id56155989" r:id="rId1150"/>
    <hyperlink ref="N500" display="http://vk.com/club143027530" tooltip="http://vk.com/club143027530" r:id="rId1151"/>
    <hyperlink ref="G501" display="http://www.ok.ru/profile/577450587657/statuses/155524211413001" tooltip="http://www.ok.ru/profile/577450587657/statuses/155524211413001" r:id="rId1152"/>
    <hyperlink ref="K501" display="http://www.ok.ru/profile/577450587657" tooltip="http://www.ok.ru/profile/577450587657" r:id="rId1153"/>
    <hyperlink ref="G502" display="http://vk.com/wall438296203_4281" tooltip="http://vk.com/wall438296203_4281" r:id="rId1154"/>
    <hyperlink ref="K502" display="http://vk.com/id438296203" tooltip="http://vk.com/id438296203" r:id="rId1155"/>
    <hyperlink ref="G503" display="http://www.ok.ru/profile/552533904993/statuses/155137106096993" tooltip="http://www.ok.ru/profile/552533904993/statuses/155137106096993" r:id="rId1156"/>
    <hyperlink ref="K503" display="http://www.ok.ru/profile/552533904993" tooltip="http://www.ok.ru/profile/552533904993" r:id="rId1157"/>
    <hyperlink ref="G504" display="http://vk.com/wall57789688_1659" tooltip="http://vk.com/wall57789688_1659" r:id="rId1158"/>
    <hyperlink ref="K504" display="http://vk.com/id57789688" tooltip="http://vk.com/id57789688" r:id="rId1159"/>
    <hyperlink ref="G505" display="https://telegram.me/covidgoodbye/255063" tooltip="https://telegram.me/covidgoodbye/255063" r:id="rId1160"/>
    <hyperlink ref="K505" display="https://telegram.me/pavelvoronov" tooltip="https://telegram.me/pavelvoronov" r:id="rId1161"/>
    <hyperlink ref="N505" display="https://telegram.me/covidgoodbye" tooltip="https://telegram.me/covidgoodbye" r:id="rId1162"/>
    <hyperlink ref="G506" display="http://www.ok.ru/profile/570267295846/statuses/155237373077606" tooltip="http://www.ok.ru/profile/570267295846/statuses/155237373077606" r:id="rId1163"/>
    <hyperlink ref="K506" display="http://www.ok.ru/profile/570267295846" tooltip="http://www.ok.ru/profile/570267295846" r:id="rId1164"/>
    <hyperlink ref="G507" display="http://vk.com/wall765221912_4" tooltip="http://vk.com/wall765221912_4" r:id="rId1165"/>
    <hyperlink ref="K507" display="http://vk.com/id765221912" tooltip="http://vk.com/id765221912" r:id="rId1166"/>
    <hyperlink ref="G508" display="http://www.ok.ru/profile/561165442806/statuses/156184555878646" tooltip="http://www.ok.ru/profile/561165442806/statuses/156184555878646" r:id="rId1167"/>
    <hyperlink ref="K508" display="http://www.ok.ru/profile/561165442806" tooltip="http://www.ok.ru/profile/561165442806" r:id="rId1168"/>
    <hyperlink ref="G509" display="http://vk.com/wall-115360655_1077226?reply=1078153&amp;thread=1077406" tooltip="http://vk.com/wall-115360655_1077226?reply=1078153&amp;thread=1077406" r:id="rId1169"/>
    <hyperlink ref="K509" display="http://vk.com/id313362653" tooltip="http://vk.com/id313362653" r:id="rId1170"/>
    <hyperlink ref="N509" display="http://vk.com/club115360655" tooltip="http://vk.com/club115360655" r:id="rId1171"/>
    <hyperlink ref="G510" display="http://vk.com/wall147190197_907" tooltip="http://vk.com/wall147190197_907" r:id="rId1172"/>
    <hyperlink ref="K510" display="http://vk.com/id147190197" tooltip="http://vk.com/id147190197" r:id="rId1173"/>
    <hyperlink ref="G511" display="http://vk.com/wall137856356_2359" tooltip="http://vk.com/wall137856356_2359" r:id="rId1174"/>
    <hyperlink ref="K511" display="http://vk.com/id137856356" tooltip="http://vk.com/id137856356" r:id="rId1175"/>
    <hyperlink ref="G512" display="http://vk.com/wall704667220_49" tooltip="http://vk.com/wall704667220_49" r:id="rId1176"/>
    <hyperlink ref="K512" display="http://vk.com/id704667220" tooltip="http://vk.com/id704667220" r:id="rId1177"/>
    <hyperlink ref="G513" display="http://vk.com/wall-157771437_610132?reply=610139" tooltip="http://vk.com/wall-157771437_610132?reply=610139" r:id="rId1178"/>
    <hyperlink ref="K513" display="http://vk.com/id647832699" tooltip="http://vk.com/id647832699" r:id="rId1179"/>
    <hyperlink ref="N513" display="http://vk.com/club157771437" tooltip="http://vk.com/club157771437" r:id="rId1180"/>
    <hyperlink ref="G514" display="https://omsk-news.net/society/2023/04/14/476658.html" tooltip="https://omsk-news.net/society/2023/04/14/476658.html" r:id="rId1181"/>
    <hyperlink ref="G515" display="https://news.myseldon.com/ru/news/index/282041163" tooltip="https://news.myseldon.com/ru/news/index/282041163" r:id="rId1182"/>
    <hyperlink ref="G516" display="http://vk.com/wall782213686_6276" tooltip="http://vk.com/wall782213686_6276" r:id="rId1183"/>
    <hyperlink ref="K516" display="http://vk.com/id782213686" tooltip="http://vk.com/id782213686" r:id="rId1184"/>
    <hyperlink ref="G517" display="http://vk.com/wall795922091_19" tooltip="http://vk.com/wall795922091_19" r:id="rId1185"/>
    <hyperlink ref="K517" display="http://vk.com/id795922091" tooltip="http://vk.com/id795922091" r:id="rId1186"/>
    <hyperlink ref="G518" display="http://vk.com/wall591045721_126" tooltip="http://vk.com/wall591045721_126" r:id="rId1187"/>
    <hyperlink ref="K518" display="http://vk.com/id591045721" tooltip="http://vk.com/id591045721" r:id="rId1188"/>
    <hyperlink ref="G519" display="https://telegram.me/MedicalTajikistan/5712" tooltip="https://telegram.me/MedicalTajikistan/5712" r:id="rId1189"/>
    <hyperlink ref="K519" display="https://telegram.me/foreveryoungiwannabe23" tooltip="https://telegram.me/foreveryoungiwannabe23" r:id="rId1190"/>
    <hyperlink ref="N519" display="https://telegram.me/MedicalTajikistan" tooltip="https://telegram.me/MedicalTajikistan" r:id="rId1191"/>
    <hyperlink ref="G520" display="http://vk.com/wall-89459809_144843" tooltip="http://vk.com/wall-89459809_144843" r:id="rId1192"/>
    <hyperlink ref="K520" display="http://vk.com/club89459809" tooltip="http://vk.com/club89459809" r:id="rId1193"/>
    <hyperlink ref="G521" display="http://vk.com/wall376361973_510" tooltip="http://vk.com/wall376361973_510" r:id="rId1194"/>
    <hyperlink ref="K521" display="http://vk.com/id376361973" tooltip="http://vk.com/id376361973" r:id="rId1195"/>
    <hyperlink ref="G522" display="http://vk.com/wall734909842_275" tooltip="http://vk.com/wall734909842_275" r:id="rId1196"/>
    <hyperlink ref="K522" display="http://vk.com/id734909842" tooltip="http://vk.com/id734909842" r:id="rId1197"/>
    <hyperlink ref="G523" display="http://vk.com/wall509409524_101" tooltip="http://vk.com/wall509409524_101" r:id="rId1198"/>
    <hyperlink ref="K523" display="http://vk.com/id509409524" tooltip="http://vk.com/id509409524" r:id="rId1199"/>
    <hyperlink ref="G524" display="http://vk.com/wall317756120_3543" tooltip="http://vk.com/wall317756120_3543" r:id="rId1200"/>
    <hyperlink ref="K524" display="http://vk.com/id317756120" tooltip="http://vk.com/id317756120" r:id="rId1201"/>
    <hyperlink ref="G525" display="http://www.ok.ru/profile/248947107710/statuses/154972733407358" tooltip="http://www.ok.ru/profile/248947107710/statuses/154972733407358" r:id="rId1202"/>
    <hyperlink ref="K525" display="http://www.ok.ru/profile/248947107710" tooltip="http://www.ok.ru/profile/248947107710" r:id="rId1203"/>
    <hyperlink ref="G526" display="http://vk.com/wall749183453_137" tooltip="http://vk.com/wall749183453_137" r:id="rId1204"/>
    <hyperlink ref="K526" display="http://vk.com/id749183453" tooltip="http://vk.com/id749183453" r:id="rId1205"/>
    <hyperlink ref="G527" display="http://vk.com/wall-155403177_56807?reply=57238" tooltip="http://vk.com/wall-155403177_56807?reply=57238" r:id="rId1206"/>
    <hyperlink ref="K527" display="http://vk.com/id310624774" tooltip="http://vk.com/id310624774" r:id="rId1207"/>
    <hyperlink ref="N527" display="http://vk.com/club155403177" tooltip="http://vk.com/club155403177" r:id="rId1208"/>
    <hyperlink ref="G528" display="http://www.ok.ru/profile/571306442950/statuses/155220711688390" tooltip="http://www.ok.ru/profile/571306442950/statuses/155220711688390" r:id="rId1209"/>
    <hyperlink ref="K528" display="http://www.ok.ru/profile/571306442950" tooltip="http://www.ok.ru/profile/571306442950" r:id="rId1210"/>
    <hyperlink ref="G529" display="http://vk.com/wall729974541_2" tooltip="http://vk.com/wall729974541_2" r:id="rId1211"/>
    <hyperlink ref="K529" display="http://vk.com/id729974541" tooltip="http://vk.com/id729974541" r:id="rId1212"/>
    <hyperlink ref="G530" display="http://vk.com/wall458304676_349" tooltip="http://vk.com/wall458304676_349" r:id="rId1213"/>
    <hyperlink ref="K530" display="http://vk.com/id458304676" tooltip="http://vk.com/id458304676" r:id="rId1214"/>
    <hyperlink ref="G531" display="http://www.ok.ru/group/54286420541455/topic/156055283437583" tooltip="http://www.ok.ru/group/54286420541455/topic/156055283437583" r:id="rId1215"/>
    <hyperlink ref="K531" display="http://www.ok.ru/profile/584714139816" tooltip="http://www.ok.ru/profile/584714139816" r:id="rId1216"/>
    <hyperlink ref="N531" display="http://www.ok.ru/group/54286420541455" tooltip="http://www.ok.ru/group/54286420541455" r:id="rId1217"/>
    <hyperlink ref="G532" display="http://vk.com/wall450987703_645" tooltip="http://vk.com/wall450987703_645" r:id="rId1218"/>
    <hyperlink ref="K532" display="http://vk.com/id450987703" tooltip="http://vk.com/id450987703" r:id="rId1219"/>
    <hyperlink ref="G533" display="http://vk.com/wall450987703_644" tooltip="http://vk.com/wall450987703_644" r:id="rId1220"/>
    <hyperlink ref="K533" display="http://vk.com/id450987703" tooltip="http://vk.com/id450987703" r:id="rId1221"/>
    <hyperlink ref="G534" display="https://otzovik.com/review_14606366.html" tooltip="https://otzovik.com/review_14606366.html" r:id="rId1222"/>
    <hyperlink ref="K534" display="https://otzovik.com/profile/AvocadoA" tooltip="https://otzovik.com/profile/AvocadoA" r:id="rId1223"/>
    <hyperlink ref="N534" display="https://otzovik.com/" tooltip="https://otzovik.com/" r:id="rId1224"/>
    <hyperlink ref="G535" display="http://www.ok.ru/profile/571917508265/statuses/155755177040809" tooltip="http://www.ok.ru/profile/571917508265/statuses/155755177040809" r:id="rId1225"/>
    <hyperlink ref="K535" display="http://www.ok.ru/profile/571917508265" tooltip="http://www.ok.ru/profile/571917508265" r:id="rId1226"/>
    <hyperlink ref="G536" display="http://vk.com/wall-194617755_28664" tooltip="http://vk.com/wall-194617755_28664" r:id="rId1227"/>
    <hyperlink ref="K536" display="http://vk.com/club194617755" tooltip="http://vk.com/club194617755" r:id="rId1228"/>
    <hyperlink ref="G537" display="http://vk.com/wall-141518790_2250357?reply=2251111" tooltip="http://vk.com/wall-141518790_2250357?reply=2251111" r:id="rId1229"/>
    <hyperlink ref="K537" display="http://vk.com/id26835044" tooltip="http://vk.com/id26835044" r:id="rId1230"/>
    <hyperlink ref="N537" display="http://vk.com/club141518790" tooltip="http://vk.com/club141518790" r:id="rId1231"/>
    <hyperlink ref="G538" display="http://vk.com/wall63657409_2088" tooltip="http://vk.com/wall63657409_2088" r:id="rId1232"/>
    <hyperlink ref="K538" display="http://vk.com/id63657409" tooltip="http://vk.com/id63657409" r:id="rId1233"/>
    <hyperlink ref="G539" display="http://vk.com/wall795721869_12" tooltip="http://vk.com/wall795721869_12" r:id="rId1234"/>
    <hyperlink ref="K539" display="http://vk.com/id795721869" tooltip="http://vk.com/id795721869" r:id="rId1235"/>
    <hyperlink ref="G540" display="https://www.om1.ru/bank/news/306699-v_omskikh_aptekakh_podorozhali_lekarstva_ot_otjokov_i_jjod/" tooltip="https://www.om1.ru/bank/news/306699-v_omskikh_aptekakh_podorozhali_lekarstva_ot_otjokov_i_jjod/" r:id="rId1236"/>
    <hyperlink ref="G541" display="http://vk.com/wall795732796_17" tooltip="http://vk.com/wall795732796_17" r:id="rId1237"/>
    <hyperlink ref="K541" display="http://vk.com/id795732796" tooltip="http://vk.com/id795732796" r:id="rId1238"/>
    <hyperlink ref="G542" display="http://vk.com/wall-149047382_2415266?reply=2415365" tooltip="http://vk.com/wall-149047382_2415266?reply=2415365" r:id="rId1239"/>
    <hyperlink ref="K542" display="http://vk.com/id349676611" tooltip="http://vk.com/id349676611" r:id="rId1240"/>
    <hyperlink ref="N542" display="http://vk.com/club149047382" tooltip="http://vk.com/club149047382" r:id="rId1241"/>
    <hyperlink ref="G543" display="http://vk.com/wall420983764_3022" tooltip="http://vk.com/wall420983764_3022" r:id="rId1242"/>
    <hyperlink ref="K543" display="http://vk.com/id420983764" tooltip="http://vk.com/id420983764" r:id="rId1243"/>
    <hyperlink ref="G544" display="http://www.ok.ru/profile/563822795630/statuses/156011461909870" tooltip="http://www.ok.ru/profile/563822795630/statuses/156011461909870" r:id="rId1244"/>
    <hyperlink ref="K544" display="http://www.ok.ru/profile/563822795630" tooltip="http://www.ok.ru/profile/563822795630" r:id="rId1245"/>
    <hyperlink ref="G545" display="http://www.youtube.com/watch?v=FxQUPQZtN5I&amp;lc=UgwlPEZ3UMKKqyYqAAB4AaABAg" tooltip="http://www.youtube.com/watch?v=FxQUPQZtN5I&amp;lc=UgwlPEZ3UMKKqyYqAAB4AaABAg" r:id="rId1246"/>
    <hyperlink ref="K545" display="http://www.youtube.com/channel/UC6nIx92vt1RoWrROX2FPk-w" tooltip="http://www.youtube.com/channel/UC6nIx92vt1RoWrROX2FPk-w" r:id="rId1247"/>
    <hyperlink ref="N545" display="http://www.youtube.com/channel/UCpm6vCgiehSKHtMFFS5ukiA" tooltip="http://www.youtube.com/channel/UCpm6vCgiehSKHtMFFS5ukiA" r:id="rId1248"/>
    <hyperlink ref="G546" display="http://vk.com/wall519688656_1384" tooltip="http://vk.com/wall519688656_1384" r:id="rId1249"/>
    <hyperlink ref="K546" display="http://vk.com/id519688656" tooltip="http://vk.com/id519688656" r:id="rId1250"/>
    <hyperlink ref="G547" display="http://vk.com/wall-48067990_913230?reply=914034&amp;thread=913370" tooltip="http://vk.com/wall-48067990_913230?reply=914034&amp;thread=913370" r:id="rId1251"/>
    <hyperlink ref="K547" display="http://vk.com/id156575843" tooltip="http://vk.com/id156575843" r:id="rId1252"/>
    <hyperlink ref="N547" display="http://vk.com/club48067990" tooltip="http://vk.com/club48067990" r:id="rId1253"/>
    <hyperlink ref="G548" display="https://www.babyblog.ru/community/diseases/post/3125065" tooltip="https://www.babyblog.ru/community/diseases/post/3125065" r:id="rId1254"/>
    <hyperlink ref="G549" display="http://vk.com/wall573126056_1047" tooltip="http://vk.com/wall573126056_1047" r:id="rId1255"/>
    <hyperlink ref="K549" display="http://vk.com/id573126056" tooltip="http://vk.com/id573126056" r:id="rId1256"/>
    <hyperlink ref="G550" display="https://komiinform.ru/news/249037" tooltip="https://komiinform.ru/news/249037" r:id="rId1257"/>
    <hyperlink ref="G551" display="http://gorodskoyportal.ru/syktyvkar/news/news/82553606/" tooltip="http://gorodskoyportal.ru/syktyvkar/news/news/82553606/" r:id="rId1258"/>
    <hyperlink ref="G552" display="http://vk.com/wall-1678339_2239126?reply=2239850&amp;thread=2239238" tooltip="http://vk.com/wall-1678339_2239126?reply=2239850&amp;thread=2239238" r:id="rId1259"/>
    <hyperlink ref="K552" display="http://vk.com/id217763697" tooltip="http://vk.com/id217763697" r:id="rId1260"/>
    <hyperlink ref="N552" display="http://vk.com/club1678339" tooltip="http://vk.com/club1678339" r:id="rId1261"/>
    <hyperlink ref="G553" display="http://vk.com/wall418525205_103" tooltip="http://vk.com/wall418525205_103" r:id="rId1262"/>
    <hyperlink ref="K553" display="http://vk.com/id418525205" tooltip="http://vk.com/id418525205" r:id="rId1263"/>
    <hyperlink ref="G554" display="http://vk.com/wall-164460003_1863466?reply=1866338&amp;thread=1864239" tooltip="http://vk.com/wall-164460003_1863466?reply=1866338&amp;thread=1864239" r:id="rId1264"/>
    <hyperlink ref="K554" display="http://vk.com/id217763697" tooltip="http://vk.com/id217763697" r:id="rId1265"/>
    <hyperlink ref="N554" display="http://vk.com/club164460003" tooltip="http://vk.com/club164460003" r:id="rId1266"/>
    <hyperlink ref="G555" display="http://vk.com/wall-149047382_2415266?reply=2415360" tooltip="http://vk.com/wall-149047382_2415266?reply=2415360" r:id="rId1267"/>
    <hyperlink ref="K555" display="http://vk.com/id87314122" tooltip="http://vk.com/id87314122" r:id="rId1268"/>
    <hyperlink ref="N555" display="http://vk.com/club149047382" tooltip="http://vk.com/club149047382" r:id="rId1269"/>
    <hyperlink ref="G556" display="https://www.consmed.ru/pediator/view/1111617/" tooltip="https://www.consmed.ru/pediator/view/1111617/" r:id="rId1270"/>
    <hyperlink ref="G557" display="http://vk.com/wall450756669_2349" tooltip="http://vk.com/wall450756669_2349" r:id="rId1271"/>
    <hyperlink ref="K557" display="http://vk.com/id450756669" tooltip="http://vk.com/id450756669" r:id="rId1272"/>
    <hyperlink ref="G558" display="http://vk.com/wall555474632_449" tooltip="http://vk.com/wall555474632_449" r:id="rId1273"/>
    <hyperlink ref="K558" display="http://vk.com/id555474632" tooltip="http://vk.com/id555474632" r:id="rId1274"/>
    <hyperlink ref="G559" display="http://vk.com/wall-64735800_1253775?reply=1253856" tooltip="http://vk.com/wall-64735800_1253775?reply=1253856" r:id="rId1275"/>
    <hyperlink ref="K559" display="http://vk.com/id124308192" tooltip="http://vk.com/id124308192" r:id="rId1276"/>
    <hyperlink ref="N559" display="http://vk.com/club64735800" tooltip="http://vk.com/club64735800" r:id="rId1277"/>
    <hyperlink ref="G560" display="http://vk.com/wall232933568_221" tooltip="http://vk.com/wall232933568_221" r:id="rId1278"/>
    <hyperlink ref="K560" display="http://vk.com/id232933568" tooltip="http://vk.com/id232933568" r:id="rId1279"/>
    <hyperlink ref="G561" display="https://omsk.bezformata.com/listnews/oblasti-vzleteli-tceni-na-lekarstva/116231079/" tooltip="https://omsk.bezformata.com/listnews/oblasti-vzleteli-tceni-na-lekarstva/116231079/" r:id="rId1280"/>
    <hyperlink ref="G562" display="http://www.ok.ru/profile/563171517418/statuses/156307981398250" tooltip="http://www.ok.ru/profile/563171517418/statuses/156307981398250" r:id="rId1281"/>
    <hyperlink ref="K562" display="http://www.ok.ru/profile/563171517418" tooltip="http://www.ok.ru/profile/563171517418" r:id="rId1282"/>
    <hyperlink ref="G563" display="http://vk.com/wall785237239_58" tooltip="http://vk.com/wall785237239_58" r:id="rId1283"/>
    <hyperlink ref="K563" display="http://vk.com/id785237239" tooltip="http://vk.com/id785237239" r:id="rId1284"/>
    <hyperlink ref="G564" display="http://www.ok.ru/profile/578963237027/statuses/154942652011427" tooltip="http://www.ok.ru/profile/578963237027/statuses/154942652011427" r:id="rId1285"/>
    <hyperlink ref="K564" display="http://www.ok.ru/profile/578963237027" tooltip="http://www.ok.ru/profile/578963237027" r:id="rId1286"/>
    <hyperlink ref="G565" display="http://vk.com/wall-125331076_1255107" tooltip="http://vk.com/wall-125331076_1255107" r:id="rId1287"/>
    <hyperlink ref="K565" display="http://vk.com/club125331076" tooltip="http://vk.com/club125331076" r:id="rId1288"/>
    <hyperlink ref="G566" display="http://vk.com/wall789388063_19" tooltip="http://vk.com/wall789388063_19" r:id="rId1289"/>
    <hyperlink ref="K566" display="http://vk.com/id789388063" tooltip="http://vk.com/id789388063" r:id="rId1290"/>
    <hyperlink ref="G567" display="http://vk.com/wall-121026450_71645" tooltip="http://vk.com/wall-121026450_71645" r:id="rId1291"/>
    <hyperlink ref="K567" display="http://vk.com/club121026450" tooltip="http://vk.com/club121026450" r:id="rId1292"/>
    <hyperlink ref="G568" display="http://vk.com/wall795471498_18" tooltip="http://vk.com/wall795471498_18" r:id="rId1293"/>
    <hyperlink ref="K568" display="http://vk.com/id795471498" tooltip="http://vk.com/id795471498" r:id="rId1294"/>
    <hyperlink ref="G569" display="http://vk.com/wall398247543_697" tooltip="http://vk.com/wall398247543_697" r:id="rId1295"/>
    <hyperlink ref="K569" display="http://vk.com/id398247543" tooltip="http://vk.com/id398247543" r:id="rId1296"/>
    <hyperlink ref="G570" display="http://vk.com/wall-155386267_1061284?reply=1061323" tooltip="http://vk.com/wall-155386267_1061284?reply=1061323" r:id="rId1297"/>
    <hyperlink ref="K570" display="http://vk.com/id121714327" tooltip="http://vk.com/id121714327" r:id="rId1298"/>
    <hyperlink ref="N570" display="http://vk.com/club155386267" tooltip="http://vk.com/club155386267" r:id="rId1299"/>
    <hyperlink ref="G571" display="https://dzen.ru/a/ZDgjEIYkRh3GBFBR#comment_1610534354" tooltip="https://dzen.ru/a/ZDgjEIYkRh3GBFBR#comment_1610534354" r:id="rId1300"/>
    <hyperlink ref="K571" display="https://dzen.ru/id/60e7ed2cd0f55c5dfd1a0543" tooltip="https://dzen.ru/id/60e7ed2cd0f55c5dfd1a0543" r:id="rId1301"/>
    <hyperlink ref="N571" display="https://dzen.ru/id/60681da99678a719cc83d540" tooltip="https://dzen.ru/id/60681da99678a719cc83d540" r:id="rId1302"/>
    <hyperlink ref="G572" display="http://vk.com/wall140322705_1689" tooltip="http://vk.com/wall140322705_1689" r:id="rId1303"/>
    <hyperlink ref="K572" display="http://vk.com/id140322705" tooltip="http://vk.com/id140322705" r:id="rId1304"/>
    <hyperlink ref="G573" display="http://vk.com/wall-1678339_2239126?reply=2239848&amp;thread=2239238" tooltip="http://vk.com/wall-1678339_2239126?reply=2239848&amp;thread=2239238" r:id="rId1305"/>
    <hyperlink ref="K573" display="http://vk.com/id231336952" tooltip="http://vk.com/id231336952" r:id="rId1306"/>
    <hyperlink ref="N573" display="http://vk.com/club1678339" tooltip="http://vk.com/club1678339" r:id="rId1307"/>
    <hyperlink ref="G574" display="http://vk.com/wall-169315723_35230" tooltip="http://vk.com/wall-169315723_35230" r:id="rId1308"/>
    <hyperlink ref="K574" display="http://vk.com/club169315723" tooltip="http://vk.com/club169315723" r:id="rId1309"/>
    <hyperlink ref="G575" display="http://vk.com/wall564708783_9961" tooltip="http://vk.com/wall564708783_9961" r:id="rId1310"/>
    <hyperlink ref="K575" display="http://vk.com/id564708783" tooltip="http://vk.com/id564708783" r:id="rId1311"/>
    <hyperlink ref="G576" display="http://www.ok.ru/group/59030470918183/topic/155307719534631" tooltip="http://www.ok.ru/group/59030470918183/topic/155307719534631" r:id="rId1312"/>
    <hyperlink ref="K576" display="http://www.ok.ru/group/59030470918183" tooltip="http://www.ok.ru/group/59030470918183" r:id="rId1313"/>
    <hyperlink ref="G577" display="http://vk.com/wall283537202_4469" tooltip="http://vk.com/wall283537202_4469" r:id="rId1314"/>
    <hyperlink ref="K577" display="http://vk.com/id283537202" tooltip="http://vk.com/id283537202" r:id="rId1315"/>
    <hyperlink ref="G578" display="http://www.ok.ru/profile/560939978957/statuses/156010804079565" tooltip="http://www.ok.ru/profile/560939978957/statuses/156010804079565" r:id="rId1316"/>
    <hyperlink ref="K578" display="http://www.ok.ru/profile/560939978957" tooltip="http://www.ok.ru/profile/560939978957" r:id="rId1317"/>
    <hyperlink ref="G579" display="http://vk.com/wall366296623_9160" tooltip="http://vk.com/wall366296623_9160" r:id="rId1318"/>
    <hyperlink ref="K579" display="http://vk.com/id366296623" tooltip="http://vk.com/id366296623" r:id="rId1319"/>
    <hyperlink ref="G580" display="http://vk.com/wall558109562_716" tooltip="http://vk.com/wall558109562_716" r:id="rId1320"/>
    <hyperlink ref="K580" display="http://vk.com/id558109562" tooltip="http://vk.com/id558109562" r:id="rId1321"/>
    <hyperlink ref="G581" display="http://www.ok.ru/profile/556970098131/statuses/156201810062291" tooltip="http://www.ok.ru/profile/556970098131/statuses/156201810062291" r:id="rId1322"/>
    <hyperlink ref="K581" display="http://www.ok.ru/profile/556970098131" tooltip="http://www.ok.ru/profile/556970098131" r:id="rId1323"/>
    <hyperlink ref="G582" display="https://telegram.me/mamadinsk/22967" tooltip="https://telegram.me/mamadinsk/22967" r:id="rId1324"/>
    <hyperlink ref="K582" display="https://telegram.me/" tooltip="https://telegram.me/" r:id="rId1325"/>
    <hyperlink ref="N582" display="https://telegram.me/mamadinsk" tooltip="https://telegram.me/mamadinsk" r:id="rId1326"/>
    <hyperlink ref="G583" display="http://vk.com/wall-201246402_36795?reply=36796" tooltip="http://vk.com/wall-201246402_36795?reply=36796" r:id="rId1327"/>
    <hyperlink ref="K583" display="http://vk.com/id184842913" tooltip="http://vk.com/id184842913" r:id="rId1328"/>
    <hyperlink ref="N583" display="http://vk.com/club201246402" tooltip="http://vk.com/club201246402" r:id="rId1329"/>
    <hyperlink ref="G584" display="http://www.ok.ru/profile/571011157866/statuses/155983167372138" tooltip="http://www.ok.ru/profile/571011157866/statuses/155983167372138" r:id="rId1330"/>
    <hyperlink ref="K584" display="http://www.ok.ru/profile/571011157866" tooltip="http://www.ok.ru/profile/571011157866" r:id="rId1331"/>
    <hyperlink ref="G585" display="http://www.ok.ru/group/52772700160167/topic/155079680781735" tooltip="http://www.ok.ru/group/52772700160167/topic/155079680781735" r:id="rId1332"/>
    <hyperlink ref="K585" display="http://www.ok.ru/group/52772700160167" tooltip="http://www.ok.ru/group/52772700160167" r:id="rId1333"/>
    <hyperlink ref="G586" display="http://vk.com/wall-149047382_2415266?reply=2415338&amp;thread=2415270" tooltip="http://vk.com/wall-149047382_2415266?reply=2415338&amp;thread=2415270" r:id="rId1334"/>
    <hyperlink ref="K586" display="http://vk.com/id32762807" tooltip="http://vk.com/id32762807" r:id="rId1335"/>
    <hyperlink ref="N586" display="http://vk.com/club149047382" tooltip="http://vk.com/club149047382" r:id="rId1336"/>
    <hyperlink ref="G587" display="http://vk.com/wall736177501_194" tooltip="http://vk.com/wall736177501_194" r:id="rId1337"/>
    <hyperlink ref="K587" display="http://vk.com/id736177501" tooltip="http://vk.com/id736177501" r:id="rId1338"/>
    <hyperlink ref="G588" display="https://news.mail.ru/society/55825805/" tooltip="https://news.mail.ru/society/55825805/" r:id="rId1339"/>
    <hyperlink ref="G589" display="http://vk.com/wall672184371_340" tooltip="http://vk.com/wall672184371_340" r:id="rId1340"/>
    <hyperlink ref="K589" display="http://vk.com/id672184371" tooltip="http://vk.com/id672184371" r:id="rId1341"/>
    <hyperlink ref="G590" display="https://news.myseldon.com/ru/news/index/282038051" tooltip="https://news.myseldon.com/ru/news/index/282038051" r:id="rId1342"/>
    <hyperlink ref="G591" display="http://vk.com/wall737086339_134" tooltip="http://vk.com/wall737086339_134" r:id="rId1343"/>
    <hyperlink ref="K591" display="http://vk.com/id737086339" tooltip="http://vk.com/id737086339" r:id="rId1344"/>
    <hyperlink ref="G592" display="http://vk.com/wall503829509_341" tooltip="http://vk.com/wall503829509_341" r:id="rId1345"/>
    <hyperlink ref="K592" display="http://vk.com/id503829509" tooltip="http://vk.com/id503829509" r:id="rId1346"/>
    <hyperlink ref="G593" display="http://vk.com/wall83287751_84" tooltip="http://vk.com/wall83287751_84" r:id="rId1347"/>
    <hyperlink ref="K593" display="http://vk.com/id83287751" tooltip="http://vk.com/id83287751" r:id="rId1348"/>
    <hyperlink ref="G594" display="http://vk.com/wall-171193480_1647567" tooltip="http://vk.com/wall-171193480_1647567" r:id="rId1349"/>
    <hyperlink ref="K594" display="http://vk.com/club171193480" tooltip="http://vk.com/club171193480" r:id="rId1350"/>
    <hyperlink ref="G595" display="http://vk.com/wall-62483764_580000" tooltip="http://vk.com/wall-62483764_580000" r:id="rId1351"/>
    <hyperlink ref="K595" display="http://vk.com/club62483764" tooltip="http://vk.com/club62483764" r:id="rId1352"/>
    <hyperlink ref="G596" display="http://vk.com/wall-164339093_267557?reply=267668" tooltip="http://vk.com/wall-164339093_267557?reply=267668" r:id="rId1353"/>
    <hyperlink ref="K596" display="http://vk.com/id18555294" tooltip="http://vk.com/id18555294" r:id="rId1354"/>
    <hyperlink ref="N596" display="http://vk.com/club164339093" tooltip="http://vk.com/club164339093" r:id="rId1355"/>
    <hyperlink ref="G597" display="http://vk.com/wall105594936_5220" tooltip="http://vk.com/wall105594936_5220" r:id="rId1356"/>
    <hyperlink ref="K597" display="http://vk.com/id105594936" tooltip="http://vk.com/id105594936" r:id="rId1357"/>
    <hyperlink ref="G598" display="http://vk.com/wall259199897_4940" tooltip="http://vk.com/wall259199897_4940" r:id="rId1358"/>
    <hyperlink ref="K598" display="http://vk.com/id259199897" tooltip="http://vk.com/id259199897" r:id="rId1359"/>
    <hyperlink ref="G599" display="http://vk.com/wall145063410_2423" tooltip="http://vk.com/wall145063410_2423" r:id="rId1360"/>
    <hyperlink ref="K599" display="http://vk.com/id145063410" tooltip="http://vk.com/id145063410" r:id="rId1361"/>
    <hyperlink ref="G600" display="https://dzen.ru/a/ZDjd3QVoDBX7vQyN" tooltip="https://dzen.ru/a/ZDjd3QVoDBX7vQyN" r:id="rId1362"/>
    <hyperlink ref="K600" display="https://dzen.ru/id/5b62dc1a511a6c00a838ed3b" tooltip="https://dzen.ru/id/5b62dc1a511a6c00a838ed3b" r:id="rId1363"/>
    <hyperlink ref="G601" display="http://vk.com/wall-219236148_817" tooltip="http://vk.com/wall-219236148_817" r:id="rId1364"/>
    <hyperlink ref="K601" display="http://vk.com/club219236148" tooltip="http://vk.com/club219236148" r:id="rId1365"/>
    <hyperlink ref="G602" display="http://vk.com/wall-193231553_545151" tooltip="http://vk.com/wall-193231553_545151" r:id="rId1366"/>
    <hyperlink ref="K602" display="http://vk.com/club193231553" tooltip="http://vk.com/club193231553" r:id="rId1367"/>
    <hyperlink ref="G603" display="http://vk.com/wall-91883335_571379" tooltip="http://vk.com/wall-91883335_571379" r:id="rId1368"/>
    <hyperlink ref="K603" display="http://vk.com/club91883335" tooltip="http://vk.com/club91883335" r:id="rId1369"/>
    <hyperlink ref="G604" display="http://vk.com/wall-170234932_719730" tooltip="http://vk.com/wall-170234932_719730" r:id="rId1370"/>
    <hyperlink ref="K604" display="http://vk.com/club170234932" tooltip="http://vk.com/club170234932" r:id="rId1371"/>
    <hyperlink ref="G605" display="https://telegram.me/solo_ninka/2167?comment=41963" tooltip="https://telegram.me/solo_ninka/2167?comment=41963" r:id="rId1372"/>
    <hyperlink ref="K605" display="https://telegram.me/Xalazi" tooltip="https://telegram.me/Xalazi" r:id="rId1373"/>
    <hyperlink ref="N605" display="https://telegram.me/solo_ninka" tooltip="https://telegram.me/solo_ninka" r:id="rId1374"/>
    <hyperlink ref="G606" display="https://www.babyblog.ru/community/diseases/post/3125065" tooltip="https://www.babyblog.ru/community/diseases/post/3125065" r:id="rId1375"/>
    <hyperlink ref="G607" display="http://www.ok.ru/profile/553973577134/statuses/156494430253230" tooltip="http://www.ok.ru/profile/553973577134/statuses/156494430253230" r:id="rId1376"/>
    <hyperlink ref="K607" display="http://www.ok.ru/profile/553973577134" tooltip="http://www.ok.ru/profile/553973577134" r:id="rId1377"/>
    <hyperlink ref="G608" display="http://vk.com/wall-149047382_2415266?reply=2415327" tooltip="http://vk.com/wall-149047382_2415266?reply=2415327" r:id="rId1378"/>
    <hyperlink ref="K608" display="http://vk.com/id67272581" tooltip="http://vk.com/id67272581" r:id="rId1379"/>
    <hyperlink ref="N608" display="http://vk.com/club149047382" tooltip="http://vk.com/club149047382" r:id="rId1380"/>
    <hyperlink ref="G609" display="http://vk.com/wall387697715_8720" tooltip="http://vk.com/wall387697715_8720" r:id="rId1381"/>
    <hyperlink ref="K609" display="http://vk.com/id387697715" tooltip="http://vk.com/id387697715" r:id="rId1382"/>
    <hyperlink ref="G610" display="http://vk.com/wall-80410546_502722" tooltip="http://vk.com/wall-80410546_502722" r:id="rId1383"/>
    <hyperlink ref="K610" display="http://vk.com/club80410546" tooltip="http://vk.com/club80410546" r:id="rId1384"/>
    <hyperlink ref="G611" display="http://www.ok.ru/group/52047157264593/topic/156072033220049" tooltip="http://www.ok.ru/group/52047157264593/topic/156072033220049" r:id="rId1385"/>
    <hyperlink ref="K611" display="http://www.ok.ru/profile/565251146826" tooltip="http://www.ok.ru/profile/565251146826" r:id="rId1386"/>
    <hyperlink ref="N611" display="http://www.ok.ru/group/52047157264593" tooltip="http://www.ok.ru/group/52047157264593" r:id="rId1387"/>
    <hyperlink ref="G612" display="https://gorod55.ru/news/2023-04-14/polechimsya-v-drugoy-raz-v-omskoy-oblasti-vzleteli-tseny-na-lekarstva-2902964" tooltip="https://gorod55.ru/news/2023-04-14/polechimsya-v-drugoy-raz-v-omskoy-oblasti-vzleteli-tseny-na-lekarstva-2902964" r:id="rId1388"/>
    <hyperlink ref="G613" display="http://vk.com/wall169909138_4433" tooltip="http://vk.com/wall169909138_4433" r:id="rId1389"/>
    <hyperlink ref="K613" display="http://vk.com/id169909138" tooltip="http://vk.com/id169909138" r:id="rId1390"/>
    <hyperlink ref="G614" display="http://www.ok.ru/group/51948234997919/topic/155031404126367" tooltip="http://www.ok.ru/group/51948234997919/topic/155031404126367" r:id="rId1391"/>
    <hyperlink ref="K614" display="http://www.ok.ru/profile/565251146826" tooltip="http://www.ok.ru/profile/565251146826" r:id="rId1392"/>
    <hyperlink ref="N614" display="http://www.ok.ru/group/51948234997919" tooltip="http://www.ok.ru/group/51948234997919" r:id="rId1393"/>
    <hyperlink ref="G615" display="https://telegram.me/Agitblog/18631?comment=1402533" tooltip="https://telegram.me/Agitblog/18631?comment=1402533" r:id="rId1394"/>
    <hyperlink ref="K615" display="https://telegram.me/Mariya_ariya" tooltip="https://telegram.me/Mariya_ariya" r:id="rId1395"/>
    <hyperlink ref="N615" display="https://telegram.me/Agitblog" tooltip="https://telegram.me/Agitblog" r:id="rId1396"/>
    <hyperlink ref="G616" display="https://omskgazzeta.ru/all-news/omskstat-rasskazal-kakie-lekarstva-podesheveli-a-kakie-podorozhali/" tooltip="https://omskgazzeta.ru/all-news/omskstat-rasskazal-kakie-lekarstva-podesheveli-a-kakie-podorozhali/" r:id="rId1397"/>
    <hyperlink ref="G617" display="http://www.ok.ru/profile/359365296655/statuses/156055076016143" tooltip="http://www.ok.ru/profile/359365296655/statuses/156055076016143" r:id="rId1398"/>
    <hyperlink ref="K617" display="http://www.ok.ru/profile/359365296655" tooltip="http://www.ok.ru/profile/359365296655" r:id="rId1399"/>
    <hyperlink ref="G618" display="http://www.ok.ru/group/52047157264593/topic/156072022537681" tooltip="http://www.ok.ru/group/52047157264593/topic/156072022537681" r:id="rId1400"/>
    <hyperlink ref="K618" display="http://www.ok.ru/profile/565251146826" tooltip="http://www.ok.ru/profile/565251146826" r:id="rId1401"/>
    <hyperlink ref="N618" display="http://www.ok.ru/group/52047157264593" tooltip="http://www.ok.ru/group/52047157264593" r:id="rId1402"/>
    <hyperlink ref="G619" display="http://vk.com/wall-164460003_1866301" tooltip="http://vk.com/wall-164460003_1866301" r:id="rId1403"/>
    <hyperlink ref="K619" display="http://vk.com/club164460003" tooltip="http://vk.com/club164460003" r:id="rId1404"/>
    <hyperlink ref="G620" display="http://www.ok.ru/profile/259972109570/statuses/154611594855682" tooltip="http://www.ok.ru/profile/259972109570/statuses/154611594855682" r:id="rId1405"/>
    <hyperlink ref="K620" display="http://www.ok.ru/profile/259972109570" tooltip="http://www.ok.ru/profile/259972109570" r:id="rId1406"/>
    <hyperlink ref="G621" display="http://www.ok.ru/profile/188121208872/statuses/155439509216040" tooltip="http://www.ok.ru/profile/188121208872/statuses/155439509216040" r:id="rId1407"/>
    <hyperlink ref="K621" display="http://www.ok.ru/profile/188121208872" tooltip="http://www.ok.ru/profile/188121208872" r:id="rId1408"/>
    <hyperlink ref="G622" display="http://www.ok.ru/group/52311804215437/topic/156068734931085" tooltip="http://www.ok.ru/group/52311804215437/topic/156068734931085" r:id="rId1409"/>
    <hyperlink ref="K622" display="http://www.ok.ru/profile/565251146826" tooltip="http://www.ok.ru/profile/565251146826" r:id="rId1410"/>
    <hyperlink ref="N622" display="http://www.ok.ru/group/52311804215437" tooltip="http://www.ok.ru/group/52311804215437" r:id="rId1411"/>
    <hyperlink ref="G623" display="https://telegram.me/animeechatbeseda/1692749" tooltip="https://telegram.me/animeechatbeseda/1692749" r:id="rId1412"/>
    <hyperlink ref="K623" display="https://telegram.me/" tooltip="https://telegram.me/" r:id="rId1413"/>
    <hyperlink ref="N623" display="https://telegram.me/animeechatbeseda" tooltip="https://telegram.me/animeechatbeseda" r:id="rId1414"/>
    <hyperlink ref="G624" display="http://www.ok.ru/profile/530750404755/statuses/156024492103827" tooltip="http://www.ok.ru/profile/530750404755/statuses/156024492103827" r:id="rId1415"/>
    <hyperlink ref="K624" display="http://www.ok.ru/profile/530750404755" tooltip="http://www.ok.ru/profile/530750404755" r:id="rId1416"/>
    <hyperlink ref="G625" display="http://vk.com/wall149538968_17438" tooltip="http://vk.com/wall149538968_17438" r:id="rId1417"/>
    <hyperlink ref="K625" display="http://vk.com/id149538968" tooltip="http://vk.com/id149538968" r:id="rId1418"/>
    <hyperlink ref="G626" display="http://vk.com/wall676614947_51" tooltip="http://vk.com/wall676614947_51" r:id="rId1419"/>
    <hyperlink ref="K626" display="http://vk.com/id676614947" tooltip="http://vk.com/id676614947" r:id="rId1420"/>
    <hyperlink ref="G627" display="http://www.ok.ru/profile/589865463330/statuses/154840457876258" tooltip="http://www.ok.ru/profile/589865463330/statuses/154840457876258" r:id="rId1421"/>
    <hyperlink ref="K627" display="http://www.ok.ru/profile/589865463330" tooltip="http://www.ok.ru/profile/589865463330" r:id="rId1422"/>
    <hyperlink ref="G628" display="http://www.ok.ru/profile/553658141685/statuses/157996086232565" tooltip="http://www.ok.ru/profile/553658141685/statuses/157996086232565" r:id="rId1423"/>
    <hyperlink ref="K628" display="http://www.ok.ru/profile/553658141685" tooltip="http://www.ok.ru/profile/553658141685" r:id="rId1424"/>
    <hyperlink ref="G629" display="http://www.ok.ru/profile/538222657024/statuses/160958103291904" tooltip="http://www.ok.ru/profile/538222657024/statuses/160958103291904" r:id="rId1425"/>
    <hyperlink ref="K629" display="http://www.ok.ru/profile/538222657024" tooltip="http://www.ok.ru/profile/538222657024" r:id="rId1426"/>
    <hyperlink ref="G630" display="http://www.ok.ru/profile/575503381903/statuses/156129590896015" tooltip="http://www.ok.ru/profile/575503381903/statuses/156129590896015" r:id="rId1427"/>
    <hyperlink ref="K630" display="http://www.ok.ru/profile/575503381903" tooltip="http://www.ok.ru/profile/575503381903" r:id="rId1428"/>
    <hyperlink ref="G631" display="http://vk.com/wall34965321_3200" tooltip="http://vk.com/wall34965321_3200" r:id="rId1429"/>
    <hyperlink ref="K631" display="http://vk.com/id34965321" tooltip="http://vk.com/id34965321" r:id="rId1430"/>
    <hyperlink ref="G632" display="https://omsk.bezformata.com/listnews/omske-podskochili-tceni-na-lekarstva/116229657/" tooltip="https://omsk.bezformata.com/listnews/omske-podskochili-tceni-na-lekarstva/116229657/" r:id="rId1431"/>
    <hyperlink ref="G633" display="http://www.ok.ru/profile/536306069978/statuses/156622571486682" tooltip="http://www.ok.ru/profile/536306069978/statuses/156622571486682" r:id="rId1432"/>
    <hyperlink ref="K633" display="http://www.ok.ru/profile/536306069978" tooltip="http://www.ok.ru/profile/536306069978" r:id="rId1433"/>
    <hyperlink ref="G634" display="http://vk.com/wall533585223_145" tooltip="http://vk.com/wall533585223_145" r:id="rId1434"/>
    <hyperlink ref="K634" display="http://vk.com/id533585223" tooltip="http://vk.com/id533585223" r:id="rId1435"/>
    <hyperlink ref="G635" display="http://vk.com/wall190679892_1056" tooltip="http://vk.com/wall190679892_1056" r:id="rId1436"/>
    <hyperlink ref="K635" display="http://vk.com/id190679892" tooltip="http://vk.com/id190679892" r:id="rId1437"/>
    <hyperlink ref="G636" display="http://www.ok.ru/profile/544707643032/statuses/155610262810008" tooltip="http://www.ok.ru/profile/544707643032/statuses/155610262810008" r:id="rId1438"/>
    <hyperlink ref="K636" display="http://www.ok.ru/profile/544707643032" tooltip="http://www.ok.ru/profile/544707643032" r:id="rId1439"/>
    <hyperlink ref="G637" display="http://www.ok.ru/group/68983449583669/topic/156217696802101" tooltip="http://www.ok.ru/group/68983449583669/topic/156217696802101" r:id="rId1440"/>
    <hyperlink ref="K637" display="http://www.ok.ru/group/68983449583669" tooltip="http://www.ok.ru/group/68983449583669" r:id="rId1441"/>
    <hyperlink ref="G638" display="http://vk.com/wall-194617464_563082" tooltip="http://vk.com/wall-194617464_563082" r:id="rId1442"/>
    <hyperlink ref="K638" display="http://vk.com/club194617464" tooltip="http://vk.com/club194617464" r:id="rId1443"/>
    <hyperlink ref="G639" display="http://vk.com/wall-188434551_134574?reply=134589" tooltip="http://vk.com/wall-188434551_134574?reply=134589" r:id="rId1444"/>
    <hyperlink ref="K639" display="http://vk.com/id166694960" tooltip="http://vk.com/id166694960" r:id="rId1445"/>
    <hyperlink ref="N639" display="http://vk.com/club188434551" tooltip="http://vk.com/club188434551" r:id="rId1446"/>
    <hyperlink ref="G640" display="https://telegram.me/voenacher/42900?comment=5778264" tooltip="https://telegram.me/voenacher/42900?comment=5778264" r:id="rId1447"/>
    <hyperlink ref="K640" display="https://telegram.me/SergeyEvgenievis" tooltip="https://telegram.me/SergeyEvgenievis" r:id="rId1448"/>
    <hyperlink ref="N640" display="https://telegram.me/voenacher" tooltip="https://telegram.me/voenacher" r:id="rId1449"/>
    <hyperlink ref="G641" display="https://news.myseldon.com/ru/news/index/282035672" tooltip="https://news.myseldon.com/ru/news/index/282035672" r:id="rId1450"/>
    <hyperlink ref="G642" display="http://vk.com/wall-51267957_560156?reply=560160" tooltip="http://vk.com/wall-51267957_560156?reply=560160" r:id="rId1451"/>
    <hyperlink ref="K642" display="http://vk.com/id217973765" tooltip="http://vk.com/id217973765" r:id="rId1452"/>
    <hyperlink ref="N642" display="http://vk.com/club51267957" tooltip="http://vk.com/club51267957" r:id="rId1453"/>
    <hyperlink ref="G643" display="http://vk.com/wall-158393246_1356109" tooltip="http://vk.com/wall-158393246_1356109" r:id="rId1454"/>
    <hyperlink ref="K643" display="http://vk.com/club158393246" tooltip="http://vk.com/club158393246" r:id="rId1455"/>
    <hyperlink ref="G644" display="http://vk.com/wall317674441_4059" tooltip="http://vk.com/wall317674441_4059" r:id="rId1456"/>
    <hyperlink ref="K644" display="http://vk.com/id317674441" tooltip="http://vk.com/id317674441" r:id="rId1457"/>
    <hyperlink ref="G645" display="http://vk.com/wall-211308622_569" tooltip="http://vk.com/wall-211308622_569" r:id="rId1458"/>
    <hyperlink ref="K645" display="http://vk.com/club211308622" tooltip="http://vk.com/club211308622" r:id="rId1459"/>
    <hyperlink ref="G646" display="http://vk.com/wall617408552_2508" tooltip="http://vk.com/wall617408552_2508" r:id="rId1460"/>
    <hyperlink ref="K646" display="http://vk.com/id617408552" tooltip="http://vk.com/id617408552" r:id="rId1461"/>
    <hyperlink ref="G647" display="http://instagram.com/reel/CrAKoDuM0mW" tooltip="http://instagram.com/reel/CrAKoDuM0mW" r:id="rId1462"/>
    <hyperlink ref="K647" display="http://instagram.com/dr_vitalina_berezovskaya" tooltip="http://instagram.com/dr_vitalina_berezovskaya" r:id="rId1463"/>
    <hyperlink ref="G648" display="http://www.ok.ru/profile/558022227661/statuses/156010504645581" tooltip="http://www.ok.ru/profile/558022227661/statuses/156010504645581" r:id="rId1464"/>
    <hyperlink ref="K648" display="http://www.ok.ru/profile/558022227661" tooltip="http://www.ok.ru/profile/558022227661" r:id="rId1465"/>
    <hyperlink ref="G649" display="http://vk.com/wall-149047382_2415266?reply=2415270" tooltip="http://vk.com/wall-149047382_2415266?reply=2415270" r:id="rId1466"/>
    <hyperlink ref="K649" display="http://vk.com/id171022826" tooltip="http://vk.com/id171022826" r:id="rId1467"/>
    <hyperlink ref="N649" display="http://vk.com/club149047382" tooltip="http://vk.com/club149047382" r:id="rId1468"/>
    <hyperlink ref="G650" display="http://www.ok.ru/profile/553579171185/statuses/155997680721265" tooltip="http://www.ok.ru/profile/553579171185/statuses/155997680721265" r:id="rId1469"/>
    <hyperlink ref="K650" display="http://www.ok.ru/profile/553579171185" tooltip="http://www.ok.ru/profile/553579171185" r:id="rId1470"/>
    <hyperlink ref="G651" display="http://www.ok.ru/profile/539890705849/statuses/155683886560697" tooltip="http://www.ok.ru/profile/539890705849/statuses/155683886560697" r:id="rId1471"/>
    <hyperlink ref="K651" display="http://www.ok.ru/profile/539890705849" tooltip="http://www.ok.ru/profile/539890705849" r:id="rId1472"/>
    <hyperlink ref="G652" display="http://www.ok.ru/profile/555801501433/statuses/155284041761017" tooltip="http://www.ok.ru/profile/555801501433/statuses/155284041761017" r:id="rId1473"/>
    <hyperlink ref="K652" display="http://www.ok.ru/profile/555801501433" tooltip="http://www.ok.ru/profile/555801501433" r:id="rId1474"/>
    <hyperlink ref="G653" display="http://vk.com/wall381386105_36746" tooltip="http://vk.com/wall381386105_36746" r:id="rId1475"/>
    <hyperlink ref="K653" display="http://vk.com/id381386105" tooltip="http://vk.com/id381386105" r:id="rId1476"/>
    <hyperlink ref="G654" display="http://www.ok.ru/group/53329523048599/topic/155378633134999" tooltip="http://www.ok.ru/group/53329523048599/topic/155378633134999" r:id="rId1477"/>
    <hyperlink ref="K654" display="http://www.ok.ru/group/53329523048599" tooltip="http://www.ok.ru/group/53329523048599" r:id="rId1478"/>
    <hyperlink ref="G655" display="http://www.ok.ru/profile/561247952113/statuses/156567547542513" tooltip="http://www.ok.ru/profile/561247952113/statuses/156567547542513" r:id="rId1479"/>
    <hyperlink ref="K655" display="http://www.ok.ru/profile/561247952113" tooltip="http://www.ok.ru/profile/561247952113" r:id="rId1480"/>
    <hyperlink ref="G656" display="http://www.ok.ru/profile/562669683089/statuses/156515359902609" tooltip="http://www.ok.ru/profile/562669683089/statuses/156515359902609" r:id="rId1481"/>
    <hyperlink ref="K656" display="http://www.ok.ru/profile/562669683089" tooltip="http://www.ok.ru/profile/562669683089" r:id="rId1482"/>
    <hyperlink ref="G657" display="https://mom.life/post/6438cb35880b3a5230586947" tooltip="https://mom.life/post/6438cb35880b3a5230586947" r:id="rId1483"/>
    <hyperlink ref="K657" display="https://mom.life/profile/5e734b0223d3e14ce82410db" tooltip="https://mom.life/profile/5e734b0223d3e14ce82410db" r:id="rId1484"/>
    <hyperlink ref="N657" display="https://mom.life/" tooltip="https://mom.life/" r:id="rId1485"/>
    <hyperlink ref="G658" display="https://mom.life/post/6438cb35880b3a5230586947" tooltip="https://mom.life/post/6438cb35880b3a5230586947" r:id="rId1486"/>
    <hyperlink ref="K658" display="https://mom.life/profile/5e734b0223d3e14ce82410db" tooltip="https://mom.life/profile/5e734b0223d3e14ce82410db" r:id="rId1487"/>
    <hyperlink ref="N658" display="https://mom.life/" tooltip="https://mom.life/" r:id="rId1488"/>
    <hyperlink ref="G659" display="http://www.ok.ru/profile/576168828394/statuses/156307592573162" tooltip="http://www.ok.ru/profile/576168828394/statuses/156307592573162" r:id="rId1489"/>
    <hyperlink ref="K659" display="http://www.ok.ru/profile/576168828394" tooltip="http://www.ok.ru/profile/576168828394" r:id="rId1490"/>
    <hyperlink ref="G660" display="https://superomsk.ru/news/124323-v_omske_podskochili_tsen_na_lekarstva_iz_spiska_ji/" tooltip="https://superomsk.ru/news/124323-v_omske_podskochili_tsen_na_lekarstva_iz_spiska_ji/" r:id="rId1491"/>
    <hyperlink ref="G661" display="http://www.ok.ru/profile/563151551153/statuses/156717325007025" tooltip="http://www.ok.ru/profile/563151551153/statuses/156717325007025" r:id="rId1492"/>
    <hyperlink ref="K661" display="http://www.ok.ru/profile/563151551153" tooltip="http://www.ok.ru/profile/563151551153" r:id="rId1493"/>
    <hyperlink ref="G662" display="https://mom.life/post/6438cb35880b3a5230586947" tooltip="https://mom.life/post/6438cb35880b3a5230586947" r:id="rId1494"/>
    <hyperlink ref="K662" display="https://mom.life/" tooltip="https://mom.life/" r:id="rId1495"/>
    <hyperlink ref="G663" display="http://www.ok.ru/profile/165636450528/statuses/154797371833824" tooltip="http://www.ok.ru/profile/165636450528/statuses/154797371833824" r:id="rId1496"/>
    <hyperlink ref="K663" display="http://www.ok.ru/profile/165636450528" tooltip="http://www.ok.ru/profile/165636450528" r:id="rId1497"/>
    <hyperlink ref="G664" display="http://www.ok.ru/profile/537829469693/statuses/155068676113405" tooltip="http://www.ok.ru/profile/537829469693/statuses/155068676113405" r:id="rId1498"/>
    <hyperlink ref="K664" display="http://www.ok.ru/profile/537829469693" tooltip="http://www.ok.ru/profile/537829469693" r:id="rId1499"/>
    <hyperlink ref="G665" display="http://vk.com/wall425267596_2274" tooltip="http://vk.com/wall425267596_2274" r:id="rId1500"/>
    <hyperlink ref="K665" display="http://vk.com/id425267596" tooltip="http://vk.com/id425267596" r:id="rId1501"/>
    <hyperlink ref="G666" display="http://kvnews.ru/news-feed/pod-konets-zimy-v-omskoy-oblasti-zametno-podorozhalo-lekarstvo-ot-otkov" tooltip="http://kvnews.ru/news-feed/pod-konets-zimy-v-omskoy-oblasti-zametno-podorozhalo-lekarstvo-ot-otkov" r:id="rId1502"/>
    <hyperlink ref="G667" display="http://www.ok.ru/profile/537036869178/statuses/155479325418298" tooltip="http://www.ok.ru/profile/537036869178/statuses/155479325418298" r:id="rId1503"/>
    <hyperlink ref="K667" display="http://www.ok.ru/profile/537036869178" tooltip="http://www.ok.ru/profile/537036869178" r:id="rId1504"/>
    <hyperlink ref="G668" display="https://compromat41.com/wiki/item/70756-virus-zhadnosti-glavnoe-rossiyskoe-lekarstvo-ot-covid-19-okazalos-pustyshkoy-zakuplennoy-v-kitae-i-krayne-toksichnoy" tooltip="https://compromat41.com/wiki/item/70756-virus-zhadnosti-glavnoe-rossiyskoe-lekarstvo-ot-covid-19-okazalos-pustyshkoy-zakuplennoy-v-kitae-i-krayne-toksichnoy" r:id="rId1505"/>
    <hyperlink ref="G669" display="https://oha.bezformata.com/listnews/rasskazal-kak-izmenilis-tceni/116228214/" tooltip="https://oha.bezformata.com/listnews/rasskazal-kak-izmenilis-tceni/116228214/" r:id="rId1506"/>
    <hyperlink ref="G670" display="http://www.ok.ru/group/53516342591590/topic/155236909279334" tooltip="http://www.ok.ru/group/53516342591590/topic/155236909279334" r:id="rId1507"/>
    <hyperlink ref="K670" display="http://www.ok.ru/profile/569460760498" tooltip="http://www.ok.ru/profile/569460760498" r:id="rId1508"/>
    <hyperlink ref="N670" display="http://www.ok.ru/group/53516342591590" tooltip="http://www.ok.ru/group/53516342591590" r:id="rId1509"/>
    <hyperlink ref="G671" display="http://www.ok.ru/profile/568025139843/statuses/154870451922307" tooltip="http://www.ok.ru/profile/568025139843/statuses/154870451922307" r:id="rId1510"/>
    <hyperlink ref="K671" display="http://www.ok.ru/profile/568025139843" tooltip="http://www.ok.ru/profile/568025139843" r:id="rId1511"/>
    <hyperlink ref="G672" display="http://vk.com/wall248074270_2980" tooltip="http://vk.com/wall248074270_2980" r:id="rId1512"/>
    <hyperlink ref="K672" display="http://vk.com/id248074270" tooltip="http://vk.com/id248074270" r:id="rId1513"/>
    <hyperlink ref="G673" display="http://www.ok.ru/profile/572047729010/statuses/156144388175986" tooltip="http://www.ok.ru/profile/572047729010/statuses/156144388175986" r:id="rId1514"/>
    <hyperlink ref="K673" display="http://www.ok.ru/profile/572047729010" tooltip="http://www.ok.ru/profile/572047729010" r:id="rId1515"/>
    <hyperlink ref="G674" display="http://vk.com/wall709523761_155" tooltip="http://vk.com/wall709523761_155" r:id="rId1516"/>
    <hyperlink ref="K674" display="http://vk.com/id709523761" tooltip="http://vk.com/id709523761" r:id="rId1517"/>
    <hyperlink ref="G675" display="http://www.ok.ru/group/57532833464371/topic/156008583608371" tooltip="http://www.ok.ru/group/57532833464371/topic/156008583608371" r:id="rId1518"/>
    <hyperlink ref="K675" display="http://www.ok.ru/profile/325218320462" tooltip="http://www.ok.ru/profile/325218320462" r:id="rId1519"/>
    <hyperlink ref="N675" display="http://www.ok.ru/group/57532833464371" tooltip="http://www.ok.ru/group/57532833464371" r:id="rId1520"/>
    <hyperlink ref="G676" display="http://vk.com/wall489488577_213" tooltip="http://vk.com/wall489488577_213" r:id="rId1521"/>
    <hyperlink ref="K676" display="http://vk.com/id489488577" tooltip="http://vk.com/id489488577" r:id="rId1522"/>
    <hyperlink ref="G677" display="http://www.ok.ru/profile/574051699097/statuses/155617962270873" tooltip="http://www.ok.ru/profile/574051699097/statuses/155617962270873" r:id="rId1523"/>
    <hyperlink ref="K677" display="http://www.ok.ru/profile/574051699097" tooltip="http://www.ok.ru/profile/574051699097" r:id="rId1524"/>
    <hyperlink ref="G678" display="https://dzen.ru/a/ZDhesJiDtg7PFCTV" tooltip="https://dzen.ru/a/ZDhesJiDtg7PFCTV" r:id="rId1525"/>
    <hyperlink ref="K678" display="https://dzen.ru/id/6162fa04e2620c7711b16269" tooltip="https://dzen.ru/id/6162fa04e2620c7711b16269" r:id="rId1526"/>
    <hyperlink ref="G679" display="http://gorodskoyportal.ru/omsk/news/biz/82550886/" tooltip="http://gorodskoyportal.ru/omsk/news/biz/82550886/" r:id="rId1527"/>
    <hyperlink ref="G680" display="http://www.ok.ru/profile/580969950263/statuses/155711994700599" tooltip="http://www.ok.ru/profile/580969950263/statuses/155711994700599" r:id="rId1528"/>
    <hyperlink ref="K680" display="http://www.ok.ru/profile/580969950263" tooltip="http://www.ok.ru/profile/580969950263" r:id="rId1529"/>
    <hyperlink ref="G681" display="http://vk.com/wall448488219_797" tooltip="http://vk.com/wall448488219_797" r:id="rId1530"/>
    <hyperlink ref="K681" display="http://vk.com/id448488219" tooltip="http://vk.com/id448488219" r:id="rId1531"/>
    <hyperlink ref="G682" display="http://www.ok.ru/profile/564537194458/statuses/156622234238426" tooltip="http://www.ok.ru/profile/564537194458/statuses/156622234238426" r:id="rId1532"/>
    <hyperlink ref="K682" display="http://www.ok.ru/profile/564537194458" tooltip="http://www.ok.ru/profile/564537194458" r:id="rId1533"/>
    <hyperlink ref="G683" display="http://vk.com/wall-12376406_2453" tooltip="http://vk.com/wall-12376406_2453" r:id="rId1534"/>
    <hyperlink ref="K683" display="http://vk.com/club12376406" tooltip="http://vk.com/club12376406" r:id="rId1535"/>
    <hyperlink ref="G684" display="http://www.ok.ru/profile/576339102256/statuses/156247510825008" tooltip="http://www.ok.ru/profile/576339102256/statuses/156247510825008" r:id="rId1536"/>
    <hyperlink ref="K684" display="http://www.ok.ru/profile/576339102256" tooltip="http://www.ok.ru/profile/576339102256" r:id="rId1537"/>
    <hyperlink ref="G685" display="http://www.ok.ru/profile/553862374363/statuses/155113854460123" tooltip="http://www.ok.ru/profile/553862374363/statuses/155113854460123" r:id="rId1538"/>
    <hyperlink ref="K685" display="http://www.ok.ru/profile/553862374363" tooltip="http://www.ok.ru/profile/553862374363" r:id="rId1539"/>
    <hyperlink ref="G686" display="http://www.ok.ru/profile/518898259383/statuses/155817884694711" tooltip="http://www.ok.ru/profile/518898259383/statuses/155817884694711" r:id="rId1540"/>
    <hyperlink ref="K686" display="http://www.ok.ru/profile/518898259383" tooltip="http://www.ok.ru/profile/518898259383" r:id="rId1541"/>
    <hyperlink ref="G687" display="http://vk.com/wall-141518790_2250357?reply=2250362" tooltip="http://vk.com/wall-141518790_2250357?reply=2250362" r:id="rId1542"/>
    <hyperlink ref="K687" display="http://vk.com/id215922387" tooltip="http://vk.com/id215922387" r:id="rId1543"/>
    <hyperlink ref="N687" display="http://vk.com/club141518790" tooltip="http://vk.com/club141518790" r:id="rId1544"/>
    <hyperlink ref="G688" display="http://www.ok.ru/profile/574961685209/statuses/155522788946905" tooltip="http://www.ok.ru/profile/574961685209/statuses/155522788946905" r:id="rId1545"/>
    <hyperlink ref="K688" display="http://www.ok.ru/profile/574961685209" tooltip="http://www.ok.ru/profile/574961685209" r:id="rId1546"/>
    <hyperlink ref="G689" display="http://vk.com/wall-141518790_2250357?reply=2250359" tooltip="http://vk.com/wall-141518790_2250357?reply=2250359" r:id="rId1547"/>
    <hyperlink ref="K689" display="http://vk.com/id173834894" tooltip="http://vk.com/id173834894" r:id="rId1548"/>
    <hyperlink ref="N689" display="http://vk.com/club141518790" tooltip="http://vk.com/club141518790" r:id="rId1549"/>
    <hyperlink ref="G690" display="http://www.ok.ru/profile/562686340784/statuses/156234164546992" tooltip="http://www.ok.ru/profile/562686340784/statuses/156234164546992" r:id="rId1550"/>
    <hyperlink ref="K690" display="http://www.ok.ru/profile/562686340784" tooltip="http://www.ok.ru/profile/562686340784" r:id="rId1551"/>
    <hyperlink ref="G691" display="http://www.ok.ru/profile/582230377991/statuses/155120185805575" tooltip="http://www.ok.ru/profile/582230377991/statuses/155120185805575" r:id="rId1552"/>
    <hyperlink ref="K691" display="http://www.ok.ru/profile/582230377991" tooltip="http://www.ok.ru/profile/582230377991" r:id="rId1553"/>
    <hyperlink ref="G692" display="http://www.ok.ru/profile/528350768432/statuses/156247482513456" tooltip="http://www.ok.ru/profile/528350768432/statuses/156247482513456" r:id="rId1554"/>
    <hyperlink ref="K692" display="http://www.ok.ru/profile/528350768432" tooltip="http://www.ok.ru/profile/528350768432" r:id="rId1555"/>
    <hyperlink ref="G693" display="http://instagram.com/p/CrAA-3ooIzG/c/18286811008107295/" tooltip="http://instagram.com/p/CrAA-3ooIzG/c/18286811008107295/" r:id="rId1556"/>
    <hyperlink ref="K693" display="http://instagram.com/okha65ru" tooltip="http://instagram.com/okha65ru" r:id="rId1557"/>
    <hyperlink ref="G694" display="http://www.ok.ru/profile/556735436761/statuses/155522774332377" tooltip="http://www.ok.ru/profile/556735436761/statuses/155522774332377" r:id="rId1558"/>
    <hyperlink ref="K694" display="http://www.ok.ru/profile/556735436761" tooltip="http://www.ok.ru/profile/556735436761" r:id="rId1559"/>
    <hyperlink ref="G695" display="https://okha65.ru/news/obschestvo/9920.html" tooltip="https://okha65.ru/news/obschestvo/9920.html" r:id="rId1560"/>
    <hyperlink ref="G696" display="http://vk.com/wall594251889_54104" tooltip="http://vk.com/wall594251889_54104" r:id="rId1561"/>
    <hyperlink ref="K696" display="http://vk.com/id594251889" tooltip="http://vk.com/id594251889" r:id="rId1562"/>
    <hyperlink ref="G697" display="http://www.ok.ru/profile/567526711507/statuses/156201207000019" tooltip="http://www.ok.ru/profile/567526711507/statuses/156201207000019" r:id="rId1563"/>
    <hyperlink ref="K697" display="http://www.ok.ru/profile/567526711507" tooltip="http://www.ok.ru/profile/567526711507" r:id="rId1564"/>
    <hyperlink ref="G698" display="http://vk.com/wall291475015_4232" tooltip="http://vk.com/wall291475015_4232" r:id="rId1565"/>
    <hyperlink ref="K698" display="http://vk.com/id291475015" tooltip="http://vk.com/id291475015" r:id="rId1566"/>
    <hyperlink ref="G699" display="http://vk.com/wall-165932654_51869?reply=51871" tooltip="http://vk.com/wall-165932654_51869?reply=51871" r:id="rId1567"/>
    <hyperlink ref="K699" display="http://vk.com/id790491887" tooltip="http://vk.com/id790491887" r:id="rId1568"/>
    <hyperlink ref="N699" display="http://vk.com/club165932654" tooltip="http://vk.com/club165932654" r:id="rId1569"/>
    <hyperlink ref="G700" display="https://telegram.me/forumsakhcom_family/187888" tooltip="https://telegram.me/forumsakhcom_family/187888" r:id="rId1570"/>
    <hyperlink ref="K700" display="https://telegram.me/anetsakh" tooltip="https://telegram.me/anetsakh" r:id="rId1571"/>
    <hyperlink ref="N700" display="https://telegram.me/forumsakhcom_family" tooltip="https://telegram.me/forumsakhcom_family" r:id="rId1572"/>
    <hyperlink ref="G701" display="http://www.ok.ru/profile/557047970658/statuses/155245852466530" tooltip="http://www.ok.ru/profile/557047970658/statuses/155245852466530" r:id="rId1573"/>
    <hyperlink ref="K701" display="http://www.ok.ru/profile/557047970658" tooltip="http://www.ok.ru/profile/557047970658" r:id="rId1574"/>
    <hyperlink ref="G702" display="http://www.ok.ru/profile/579278464934/statuses/155226073947046" tooltip="http://www.ok.ru/profile/579278464934/statuses/155226073947046" r:id="rId1575"/>
    <hyperlink ref="K702" display="http://www.ok.ru/profile/579278464934" tooltip="http://www.ok.ru/profile/579278464934" r:id="rId1576"/>
    <hyperlink ref="G703" display="https://telegram.me/forumsakhcom_family/187883" tooltip="https://telegram.me/forumsakhcom_family/187883" r:id="rId1577"/>
    <hyperlink ref="K703" display="https://telegram.me/" tooltip="https://telegram.me/" r:id="rId1578"/>
    <hyperlink ref="N703" display="https://telegram.me/forumsakhcom_family" tooltip="https://telegram.me/forumsakhcom_family" r:id="rId1579"/>
    <hyperlink ref="G704" display="http://www.ok.ru/profile/586908093700/statuses/155183588901636" tooltip="http://www.ok.ru/profile/586908093700/statuses/155183588901636" r:id="rId1580"/>
    <hyperlink ref="K704" display="http://www.ok.ru/profile/586908093700" tooltip="http://www.ok.ru/profile/586908093700" r:id="rId1581"/>
    <hyperlink ref="G705" display="http://vk.com/wall213058610_3393" tooltip="http://vk.com/wall213058610_3393" r:id="rId1582"/>
    <hyperlink ref="K705" display="http://vk.com/id213058610" tooltip="http://vk.com/id213058610" r:id="rId1583"/>
    <hyperlink ref="G706" display="http://www.ok.ru/profile/564617526983/statuses/155842293853127" tooltip="http://www.ok.ru/profile/564617526983/statuses/155842293853127" r:id="rId1584"/>
    <hyperlink ref="K706" display="http://www.ok.ru/profile/564617526983" tooltip="http://www.ok.ru/profile/564617526983" r:id="rId1585"/>
    <hyperlink ref="G707" display="http://www.ok.ru/profile/474498047233/statuses/154791686210305" tooltip="http://www.ok.ru/profile/474498047233/statuses/154791686210305" r:id="rId1586"/>
    <hyperlink ref="K707" display="http://www.ok.ru/profile/474498047233" tooltip="http://www.ok.ru/profile/474498047233" r:id="rId1587"/>
    <hyperlink ref="G708" display="http://www.ok.ru/profile/519066942727/statuses/155120089729799" tooltip="http://www.ok.ru/profile/519066942727/statuses/155120089729799" r:id="rId1588"/>
    <hyperlink ref="K708" display="http://www.ok.ru/profile/519066942727" tooltip="http://www.ok.ru/profile/519066942727" r:id="rId1589"/>
    <hyperlink ref="G709" display="http://www.ok.ru/profile/537613968913/statuses/155899677459729" tooltip="http://www.ok.ru/profile/537613968913/statuses/155899677459729" r:id="rId1590"/>
    <hyperlink ref="K709" display="http://www.ok.ru/profile/537613968913" tooltip="http://www.ok.ru/profile/537613968913" r:id="rId1591"/>
    <hyperlink ref="G710" display="https://telegram.me/forumsakhcom_family/187853" tooltip="https://telegram.me/forumsakhcom_family/187853" r:id="rId1592"/>
    <hyperlink ref="K710" display="https://telegram.me/" tooltip="https://telegram.me/" r:id="rId1593"/>
    <hyperlink ref="N710" display="https://telegram.me/forumsakhcom_family" tooltip="https://telegram.me/forumsakhcom_family" r:id="rId1594"/>
    <hyperlink ref="G711" display="http://www.ok.ru/profile/521322328899/statuses/154891174912835" tooltip="http://www.ok.ru/profile/521322328899/statuses/154891174912835" r:id="rId1595"/>
    <hyperlink ref="K711" display="http://www.ok.ru/profile/521322328899" tooltip="http://www.ok.ru/profile/521322328899" r:id="rId1596"/>
    <hyperlink ref="G712" display="http://vk.com/wall-200590246_862" tooltip="http://vk.com/wall-200590246_862" r:id="rId1597"/>
    <hyperlink ref="K712" display="http://vk.com/id302593432" tooltip="http://vk.com/id302593432" r:id="rId1598"/>
    <hyperlink ref="N712" display="http://vk.com/club200590246" tooltip="http://vk.com/club200590246" r:id="rId1599"/>
    <hyperlink ref="G713" display="http://www.ok.ru/profile/563997483623/statuses/155383780916071" tooltip="http://www.ok.ru/profile/563997483623/statuses/155383780916071" r:id="rId1600"/>
    <hyperlink ref="K713" display="http://www.ok.ru/profile/563997483623" tooltip="http://www.ok.ru/profile/563997483623" r:id="rId1601"/>
    <hyperlink ref="G714" display="http://www.ok.ru/profile/553763013496/statuses/155584500891768" tooltip="http://www.ok.ru/profile/553763013496/statuses/155584500891768" r:id="rId1602"/>
    <hyperlink ref="K714" display="http://www.ok.ru/profile/553763013496" tooltip="http://www.ok.ru/profile/553763013496" r:id="rId1603"/>
    <hyperlink ref="G715" display="http://www.ok.ru/profile/589203725861/statuses/155104884396837" tooltip="http://www.ok.ru/profile/589203725861/statuses/155104884396837" r:id="rId1604"/>
    <hyperlink ref="K715" display="http://www.ok.ru/profile/589203725861" tooltip="http://www.ok.ru/profile/589203725861" r:id="rId1605"/>
    <hyperlink ref="G716" display="https://ujnosahalinsk.bezformata.com/listnews/podorozhali-shini-i-sol-podesheveli/116226934/" tooltip="https://ujnosahalinsk.bezformata.com/listnews/podorozhali-shini-i-sol-podesheveli/116226934/" r:id="rId1606"/>
    <hyperlink ref="G717" display="http://www.ok.ru/profile/483838394145/statuses/154877660506145" tooltip="http://www.ok.ru/profile/483838394145/statuses/154877660506145" r:id="rId1607"/>
    <hyperlink ref="K717" display="http://www.ok.ru/profile/483838394145" tooltip="http://www.ok.ru/profile/483838394145" r:id="rId1608"/>
    <hyperlink ref="G718" display="http://www.ok.ru/profile/571665259586/statuses/155120636872770" tooltip="http://www.ok.ru/profile/571665259586/statuses/155120636872770" r:id="rId1609"/>
    <hyperlink ref="K718" display="http://www.ok.ru/profile/571665259586" tooltip="http://www.ok.ru/profile/571665259586" r:id="rId1610"/>
    <hyperlink ref="G719" display="http://vk.com/wall735635010_163" tooltip="http://vk.com/wall735635010_163" r:id="rId1611"/>
    <hyperlink ref="K719" display="http://vk.com/id735635010" tooltip="http://vk.com/id735635010" r:id="rId1612"/>
    <hyperlink ref="G720" display="http://www.ok.ru/profile/569085364166/statuses/155220064979142" tooltip="http://www.ok.ru/profile/569085364166/statuses/155220064979142" r:id="rId1613"/>
    <hyperlink ref="K720" display="http://www.ok.ru/profile/569085364166" tooltip="http://www.ok.ru/profile/569085364166" r:id="rId1614"/>
    <hyperlink ref="G721" display="http://vk.com/wall586634584_680" tooltip="http://vk.com/wall586634584_680" r:id="rId1615"/>
    <hyperlink ref="K721" display="http://vk.com/id586634584" tooltip="http://vk.com/id586634584" r:id="rId1616"/>
    <hyperlink ref="G722" display="https://sakhalin-news.net/society/2023/04/14/163350.html" tooltip="https://sakhalin-news.net/society/2023/04/14/163350.html" r:id="rId1617"/>
    <hyperlink ref="G723" display="http://www.ok.ru/profile/565349469069/statuses/156068129706125" tooltip="http://www.ok.ru/profile/565349469069/statuses/156068129706125" r:id="rId1618"/>
    <hyperlink ref="K723" display="http://www.ok.ru/profile/565349469069" tooltip="http://www.ok.ru/profile/565349469069" r:id="rId1619"/>
    <hyperlink ref="G724" display="http://vk.com/wall-205165850_49" tooltip="http://vk.com/wall-205165850_49" r:id="rId1620"/>
    <hyperlink ref="K724" display="http://vk.com/club205165850" tooltip="http://vk.com/club205165850" r:id="rId1621"/>
    <hyperlink ref="G725" display="http://vk.com/wall-219643098_651" tooltip="http://vk.com/wall-219643098_651" r:id="rId1622"/>
    <hyperlink ref="K725" display="http://vk.com/club219643098" tooltip="http://vk.com/club219643098" r:id="rId1623"/>
    <hyperlink ref="G726" display="https://ru24.net/korsakov/346907570/" tooltip="https://ru24.net/korsakov/346907570/" r:id="rId1624"/>
    <hyperlink ref="G727" display="https://ru24.net/oha/346907570/" tooltip="https://ru24.net/oha/346907570/" r:id="rId1625"/>
    <hyperlink ref="G728" display="https://astv.ru/news/society/2023-04-14-kurtki-citramon-i-onlajn-servisy-podorozhali-shiny-i-sol-podesheveli-kak-izmenilis-ceny-na-sahaline-za-mart" tooltip="https://astv.ru/news/society/2023-04-14-kurtki-citramon-i-onlajn-servisy-podorozhali-shiny-i-sol-podesheveli-kak-izmenilis-ceny-na-sahaline-za-mart" r:id="rId1626"/>
    <hyperlink ref="G729" display="https://ru24.net/yuzhno-sahalinsk/346907570/" tooltip="https://ru24.net/yuzhno-sahalinsk/346907570/" r:id="rId1627"/>
    <hyperlink ref="G730" display="https://ru24.net/poronaysk/346907570/" tooltip="https://ru24.net/poronaysk/346907570/" r:id="rId1628"/>
    <hyperlink ref="G731" display="https://news-life.pro/sakhalin-obl/346907570/" tooltip="https://news-life.pro/sakhalin-obl/346907570/" r:id="rId1629"/>
    <hyperlink ref="G732" display="https://123ru.net/korsakov/346907570/" tooltip="https://123ru.net/korsakov/346907570/" r:id="rId1630"/>
    <hyperlink ref="G733" display="http://vk.com/wall700534188_614" tooltip="http://vk.com/wall700534188_614" r:id="rId1631"/>
    <hyperlink ref="K733" display="http://vk.com/id700534188" tooltip="http://vk.com/id700534188" r:id="rId1632"/>
    <hyperlink ref="G734" display="https://www.baby.ru/blogs/post/2611546837-484832450/" tooltip="https://www.baby.ru/blogs/post/2611546837-484832450/" r:id="rId1633"/>
    <hyperlink ref="K734" display="https://www.baby.ru/u/usr2795461/" tooltip="https://www.baby.ru/u/usr2795461/" r:id="rId1634"/>
    <hyperlink ref="N734" display="https://www.baby.ru/u/usr1598110/" tooltip="https://www.baby.ru/u/usr1598110/" r:id="rId1635"/>
    <hyperlink ref="G735" display="http://vk.com/wall539331529_1016" tooltip="http://vk.com/wall539331529_1016" r:id="rId1636"/>
    <hyperlink ref="K735" display="http://vk.com/id539331529" tooltip="http://vk.com/id539331529" r:id="rId1637"/>
    <hyperlink ref="G736" display="http://vk.com/wall687189675_136" tooltip="http://vk.com/wall687189675_136" r:id="rId1638"/>
    <hyperlink ref="K736" display="http://vk.com/id687189675" tooltip="http://vk.com/id687189675" r:id="rId1639"/>
    <hyperlink ref="G737" display="http://vk.com/wall416920486_60057" tooltip="http://vk.com/wall416920486_60057" r:id="rId1640"/>
    <hyperlink ref="K737" display="http://vk.com/id416920486" tooltip="http://vk.com/id416920486" r:id="rId1641"/>
    <hyperlink ref="G738" display="http://www.ok.ru/profile/568270414028/statuses/156123566297292" tooltip="http://www.ok.ru/profile/568270414028/statuses/156123566297292" r:id="rId1642"/>
    <hyperlink ref="K738" display="http://www.ok.ru/profile/568270414028" tooltip="http://www.ok.ru/profile/568270414028" r:id="rId1643"/>
    <hyperlink ref="G739" display="https://news.myseldon.com/ru/news/index/282029217" tooltip="https://news.myseldon.com/ru/news/index/282029217" r:id="rId1644"/>
    <hyperlink ref="G740" display="https://ujnosahalinsk.bezformata.com/listnews/goda-na-sahaline-podorozhali-produkti/116226559/" tooltip="https://ujnosahalinsk.bezformata.com/listnews/goda-na-sahaline-podorozhali-produkti/116226559/" r:id="rId1645"/>
    <hyperlink ref="G741" display="https://telegram.me/neurokids_chat/12113" tooltip="https://telegram.me/neurokids_chat/12113" r:id="rId1646"/>
    <hyperlink ref="K741" display="https://telegram.me/" tooltip="https://telegram.me/" r:id="rId1647"/>
    <hyperlink ref="N741" display="https://telegram.me/neurokids_chat" tooltip="https://telegram.me/neurokids_chat" r:id="rId1648"/>
    <hyperlink ref="G742" display="https://03.rosstat.gov.ru/statcurrentevents/document/203372" tooltip="https://03.rosstat.gov.ru/statcurrentevents/document/203372" r:id="rId1649"/>
    <hyperlink ref="G743" display="http://vk.com/wall378824526_267" tooltip="http://vk.com/wall378824526_267" r:id="rId1650"/>
    <hyperlink ref="K743" display="http://vk.com/id378824526" tooltip="http://vk.com/id378824526" r:id="rId1651"/>
    <hyperlink ref="G744" display="https://sakhalin-news.net/society/2023/04/14/163330.html" tooltip="https://sakhalin-news.net/society/2023/04/14/163330.html" r:id="rId1652"/>
    <hyperlink ref="G745" display="http://www.ok.ru/profile/577814807790/statuses/156610374892526" tooltip="http://www.ok.ru/profile/577814807790/statuses/156610374892526" r:id="rId1653"/>
    <hyperlink ref="K745" display="http://www.ok.ru/profile/577814807790" tooltip="http://www.ok.ru/profile/577814807790" r:id="rId1654"/>
    <hyperlink ref="G746" display="https://dzen.ru/a/ZDVQIrdvd34J2Uos#comment_1615800063" tooltip="https://dzen.ru/a/ZDVQIrdvd34J2Uos#comment_1615800063" r:id="rId1655"/>
    <hyperlink ref="K746" display="https://dzen.ru/user/qjnwev7mhbej54xkeye3yb3zz4" tooltip="https://dzen.ru/user/qjnwev7mhbej54xkeye3yb3zz4" r:id="rId1656"/>
    <hyperlink ref="N746" display="https://dzen.ru/id/626eb47ab8794d4e747d8f74" tooltip="https://dzen.ru/id/626eb47ab8794d4e747d8f74" r:id="rId1657"/>
    <hyperlink ref="G747" display="http://www.ok.ru/profile/345828524029/statuses/155068324054013" tooltip="http://www.ok.ru/profile/345828524029/statuses/155068324054013" r:id="rId1658"/>
    <hyperlink ref="K747" display="http://www.ok.ru/profile/345828524029" tooltip="http://www.ok.ru/profile/345828524029" r:id="rId1659"/>
    <hyperlink ref="G748" display="http://vk.com/wall599380216_2655" tooltip="http://vk.com/wall599380216_2655" r:id="rId1660"/>
    <hyperlink ref="K748" display="http://vk.com/id599380216" tooltip="http://vk.com/id599380216" r:id="rId1661"/>
    <hyperlink ref="G749" display="https://sakhalinmedia.ru/news/1486312/" tooltip="https://sakhalinmedia.ru/news/1486312/" r:id="rId1662"/>
    <hyperlink ref="G750" display="http://vk.com/wall614440065_166" tooltip="http://vk.com/wall614440065_166" r:id="rId1663"/>
    <hyperlink ref="K750" display="http://vk.com/id614440065" tooltip="http://vk.com/id614440065" r:id="rId1664"/>
    <hyperlink ref="G751" display="http://vk.com/wall688425923_963" tooltip="http://vk.com/wall688425923_963" r:id="rId1665"/>
    <hyperlink ref="K751" display="http://vk.com/id688425923" tooltip="http://vk.com/id688425923" r:id="rId1666"/>
    <hyperlink ref="G752" display="http://vk.com/wall195604528_1513" tooltip="http://vk.com/wall195604528_1513" r:id="rId1667"/>
    <hyperlink ref="K752" display="http://vk.com/id195604528" tooltip="http://vk.com/id195604528" r:id="rId1668"/>
    <hyperlink ref="G753" display="http://vk.com/wall382213682_2809" tooltip="http://vk.com/wall382213682_2809" r:id="rId1669"/>
    <hyperlink ref="K753" display="http://vk.com/id382213682" tooltip="http://vk.com/id382213682" r:id="rId1670"/>
    <hyperlink ref="G754" display="https://omsk.media/news/obschestvo/131087-v-omskih-aptekah-podorozhali-zhiznenno-neobhodimye-lekarstva-novosti-obschestvo-omsk.html" tooltip="https://omsk.media/news/obschestvo/131087-v-omskih-aptekah-podorozhali-zhiznenno-neobhodimye-lekarstva-novosti-obschestvo-omsk.html" r:id="rId1671"/>
    <hyperlink ref="G755" display="http://www.ok.ru/profile/522415280054/statuses/160045318256054" tooltip="http://www.ok.ru/profile/522415280054/statuses/160045318256054" r:id="rId1672"/>
    <hyperlink ref="K755" display="http://www.ok.ru/profile/522415280054" tooltip="http://www.ok.ru/profile/522415280054" r:id="rId1673"/>
    <hyperlink ref="G756" display="http://vk.com/wall199409160_21" tooltip="http://vk.com/wall199409160_21" r:id="rId1674"/>
    <hyperlink ref="K756" display="http://vk.com/id199409160" tooltip="http://vk.com/id199409160" r:id="rId1675"/>
    <hyperlink ref="G757" display="http://vk.com/wall244346838_1086" tooltip="http://vk.com/wall244346838_1086" r:id="rId1676"/>
    <hyperlink ref="K757" display="http://vk.com/id244346838" tooltip="http://vk.com/id244346838" r:id="rId1677"/>
    <hyperlink ref="G758" display="https://okaygorod.com/yuzhnosakhalinsk/news/15436" tooltip="https://okaygorod.com/yuzhnosakhalinsk/news/15436" r:id="rId1678"/>
    <hyperlink ref="G759" display="https://telegram.me/dr_shefova/1356?comment=28310" tooltip="https://telegram.me/dr_shefova/1356?comment=28310" r:id="rId1679"/>
    <hyperlink ref="K759" display="https://telegram.me/Altynai_Ihsanova" tooltip="https://telegram.me/Altynai_Ihsanova" r:id="rId1680"/>
    <hyperlink ref="N759" display="https://telegram.me/dr_shefova" tooltip="https://telegram.me/dr_shefova" r:id="rId1681"/>
    <hyperlink ref="G760" display="http://vk.com/wall688085432_1411" tooltip="http://vk.com/wall688085432_1411" r:id="rId1682"/>
    <hyperlink ref="K760" display="http://vk.com/id688085432" tooltip="http://vk.com/id688085432" r:id="rId1683"/>
    <hyperlink ref="G761" display="http://vk.com/wall136056469_204" tooltip="http://vk.com/wall136056469_204" r:id="rId1684"/>
    <hyperlink ref="K761" display="http://vk.com/id136056469" tooltip="http://vk.com/id136056469" r:id="rId1685"/>
    <hyperlink ref="G762" display="http://www.ok.ru/group/64343868834022/topic/156600881102310" tooltip="http://www.ok.ru/group/64343868834022/topic/156600881102310" r:id="rId1686"/>
    <hyperlink ref="K762" display="http://www.ok.ru/group/64343868834022" tooltip="http://www.ok.ru/group/64343868834022" r:id="rId1687"/>
    <hyperlink ref="G763" display="http://www.ok.ru/profile/525920298302/statuses/154923190097214" tooltip="http://www.ok.ru/profile/525920298302/statuses/154923190097214" r:id="rId1688"/>
    <hyperlink ref="K763" display="http://www.ok.ru/profile/525920298302" tooltip="http://www.ok.ru/profile/525920298302" r:id="rId1689"/>
    <hyperlink ref="G764" display="http://vk.com/wall-150337440_368111?reply=375066" tooltip="http://vk.com/wall-150337440_368111?reply=375066" r:id="rId1690"/>
    <hyperlink ref="K764" display="http://vk.com/id793606446" tooltip="http://vk.com/id793606446" r:id="rId1691"/>
    <hyperlink ref="N764" display="http://vk.com/club150337440" tooltip="http://vk.com/club150337440" r:id="rId1692"/>
    <hyperlink ref="G765" display="http://vk.com/wall279447849_5400" tooltip="http://vk.com/wall279447849_5400" r:id="rId1693"/>
    <hyperlink ref="K765" display="http://vk.com/id279447849" tooltip="http://vk.com/id279447849" r:id="rId1694"/>
    <hyperlink ref="G766" display="http://vk.com/wall-196716269_1248233?reply=1464519&amp;thread=1249443" tooltip="http://vk.com/wall-196716269_1248233?reply=1464519&amp;thread=1249443" r:id="rId1695"/>
    <hyperlink ref="K766" display="http://vk.com/id793606446" tooltip="http://vk.com/id793606446" r:id="rId1696"/>
    <hyperlink ref="N766" display="http://vk.com/club196716269" tooltip="http://vk.com/club196716269" r:id="rId1697"/>
    <hyperlink ref="G767" display="http://vk.com/wall-98506288_2854359?reply=2907421&amp;thread=2854389" tooltip="http://vk.com/wall-98506288_2854359?reply=2907421&amp;thread=2854389" r:id="rId1698"/>
    <hyperlink ref="K767" display="http://vk.com/id793606446" tooltip="http://vk.com/id793606446" r:id="rId1699"/>
    <hyperlink ref="N767" display="http://vk.com/club98506288" tooltip="http://vk.com/club98506288" r:id="rId1700"/>
    <hyperlink ref="G768" display="http://vk.com/wall-161957723_25668?reply=48081&amp;thread=25788" tooltip="http://vk.com/wall-161957723_25668?reply=48081&amp;thread=25788" r:id="rId1701"/>
    <hyperlink ref="K768" display="http://vk.com/id793606446" tooltip="http://vk.com/id793606446" r:id="rId1702"/>
    <hyperlink ref="N768" display="http://vk.com/club161957723" tooltip="http://vk.com/club161957723" r:id="rId1703"/>
    <hyperlink ref="G769" display="http://vk.com/wall-142438839_84439" tooltip="http://vk.com/wall-142438839_84439" r:id="rId1704"/>
    <hyperlink ref="K769" display="http://vk.com/club142438839" tooltip="http://vk.com/club142438839" r:id="rId1705"/>
    <hyperlink ref="G770" display="http://vk.com/wall-92006241_344055?reply=424435&amp;thread=344107" tooltip="http://vk.com/wall-92006241_344055?reply=424435&amp;thread=344107" r:id="rId1706"/>
    <hyperlink ref="K770" display="http://vk.com/id793606446" tooltip="http://vk.com/id793606446" r:id="rId1707"/>
    <hyperlink ref="N770" display="http://vk.com/club92006241" tooltip="http://vk.com/club92006241" r:id="rId1708"/>
    <hyperlink ref="G771" display="http://www.ok.ru/profile/557429871714/statuses/155245717658978" tooltip="http://www.ok.ru/profile/557429871714/statuses/155245717658978" r:id="rId1709"/>
    <hyperlink ref="K771" display="http://www.ok.ru/profile/557429871714" tooltip="http://www.ok.ru/profile/557429871714" r:id="rId1710"/>
    <hyperlink ref="G772" display="http://vk.com/wall698459177_293" tooltip="http://vk.com/wall698459177_293" r:id="rId1711"/>
    <hyperlink ref="K772" display="http://vk.com/id698459177" tooltip="http://vk.com/id698459177" r:id="rId1712"/>
    <hyperlink ref="G773" display="http://vk.com/wall-162659411_50697?reply=53478&amp;thread=50699" tooltip="http://vk.com/wall-162659411_50697?reply=53478&amp;thread=50699" r:id="rId1713"/>
    <hyperlink ref="K773" display="http://vk.com/id793606446" tooltip="http://vk.com/id793606446" r:id="rId1714"/>
    <hyperlink ref="N773" display="http://vk.com/club162659411" tooltip="http://vk.com/club162659411" r:id="rId1715"/>
    <hyperlink ref="G774" display="http://vk.com/wall-158339750_476571?reply=491681&amp;thread=476572" tooltip="http://vk.com/wall-158339750_476571?reply=491681&amp;thread=476572" r:id="rId1716"/>
    <hyperlink ref="K774" display="http://vk.com/id793606446" tooltip="http://vk.com/id793606446" r:id="rId1717"/>
    <hyperlink ref="N774" display="http://vk.com/club158339750" tooltip="http://vk.com/club158339750" r:id="rId1718"/>
    <hyperlink ref="G775" display="http://vk.com/wall-47120073_3193668?reply=3253620" tooltip="http://vk.com/wall-47120073_3193668?reply=3253620" r:id="rId1719"/>
    <hyperlink ref="K775" display="http://vk.com/id793581951" tooltip="http://vk.com/id793581951" r:id="rId1720"/>
    <hyperlink ref="N775" display="http://vk.com/club47120073" tooltip="http://vk.com/club47120073" r:id="rId1721"/>
    <hyperlink ref="G776" display="http://vk.com/wall-48067990_757711?reply=913823&amp;thread=758110" tooltip="http://vk.com/wall-48067990_757711?reply=913823&amp;thread=758110" r:id="rId1722"/>
    <hyperlink ref="K776" display="http://vk.com/id793581951" tooltip="http://vk.com/id793581951" r:id="rId1723"/>
    <hyperlink ref="N776" display="http://vk.com/club48067990" tooltip="http://vk.com/club48067990" r:id="rId1724"/>
    <hyperlink ref="G777" display="https://telegram.me/cardiodokstories/5376?comment=122572" tooltip="https://telegram.me/cardiodokstories/5376?comment=122572" r:id="rId1725"/>
    <hyperlink ref="K777" display="https://telegram.me/krasnodar551" tooltip="https://telegram.me/krasnodar551" r:id="rId1726"/>
    <hyperlink ref="N777" display="https://telegram.me/cardiodokstories" tooltip="https://telegram.me/cardiodokstories" r:id="rId1727"/>
    <hyperlink ref="G778" display="http://vk.com/wall-112011819_882893?reply=989870&amp;thread=882897" tooltip="http://vk.com/wall-112011819_882893?reply=989870&amp;thread=882897" r:id="rId1728"/>
    <hyperlink ref="K778" display="http://vk.com/id793581951" tooltip="http://vk.com/id793581951" r:id="rId1729"/>
    <hyperlink ref="N778" display="http://vk.com/club112011819" tooltip="http://vk.com/club112011819" r:id="rId1730"/>
    <hyperlink ref="G779" display="http://vk.com/wall-155386267_985789?reply=1061219&amp;thread=990783" tooltip="http://vk.com/wall-155386267_985789?reply=1061219&amp;thread=990783" r:id="rId1731"/>
    <hyperlink ref="K779" display="http://vk.com/id793581951" tooltip="http://vk.com/id793581951" r:id="rId1732"/>
    <hyperlink ref="N779" display="http://vk.com/club155386267" tooltip="http://vk.com/club155386267" r:id="rId1733"/>
    <hyperlink ref="G780" display="http://www.ok.ru/profile/551777025406/statuses/154971996717182" tooltip="http://www.ok.ru/profile/551777025406/statuses/154971996717182" r:id="rId1734"/>
    <hyperlink ref="K780" display="http://www.ok.ru/profile/551777025406" tooltip="http://www.ok.ru/profile/551777025406" r:id="rId1735"/>
    <hyperlink ref="G781" display="http://vk.com/wall-153326247_488693?reply=489332&amp;thread=488734" tooltip="http://vk.com/wall-153326247_488693?reply=489332&amp;thread=488734" r:id="rId1736"/>
    <hyperlink ref="K781" display="http://vk.com/id793581951" tooltip="http://vk.com/id793581951" r:id="rId1737"/>
    <hyperlink ref="N781" display="http://vk.com/club153326247" tooltip="http://vk.com/club153326247" r:id="rId1738"/>
    <hyperlink ref="G782" display="http://vk.com/wall-47120073_3250059?reply=3253618&amp;thread=3250236" tooltip="http://vk.com/wall-47120073_3250059?reply=3253618&amp;thread=3250236" r:id="rId1739"/>
    <hyperlink ref="K782" display="http://vk.com/id793581951" tooltip="http://vk.com/id793581951" r:id="rId1740"/>
    <hyperlink ref="N782" display="http://vk.com/club47120073" tooltip="http://vk.com/club47120073" r:id="rId1741"/>
    <hyperlink ref="G783" display="http://vk.com/wall-164460003_1863466?reply=1866267&amp;thread=1864239" tooltip="http://vk.com/wall-164460003_1863466?reply=1866267&amp;thread=1864239" r:id="rId1742"/>
    <hyperlink ref="K783" display="http://vk.com/id793581951" tooltip="http://vk.com/id793581951" r:id="rId1743"/>
    <hyperlink ref="N783" display="http://vk.com/club164460003" tooltip="http://vk.com/club164460003" r:id="rId1744"/>
    <hyperlink ref="G784" display="http://vk.com/wall-115360655_1077226?reply=1078136&amp;thread=1077406" tooltip="http://vk.com/wall-115360655_1077226?reply=1078136&amp;thread=1077406" r:id="rId1745"/>
    <hyperlink ref="K784" display="http://vk.com/id793581951" tooltip="http://vk.com/id793581951" r:id="rId1746"/>
    <hyperlink ref="N784" display="http://vk.com/club115360655" tooltip="http://vk.com/club115360655" r:id="rId1747"/>
    <hyperlink ref="G785" display="http://vk.com/wall401016901_1327" tooltip="http://vk.com/wall401016901_1327" r:id="rId1748"/>
    <hyperlink ref="K785" display="http://vk.com/id401016901" tooltip="http://vk.com/id401016901" r:id="rId1749"/>
    <hyperlink ref="G786" display="https://www.baby.ru/blogs/post/2611406742-1969574877/" tooltip="https://www.baby.ru/blogs/post/2611406742-1969574877/" r:id="rId1750"/>
    <hyperlink ref="K786" display="https://www.baby.ru/u/usr2677890/" tooltip="https://www.baby.ru/u/usr2677890/" r:id="rId1751"/>
    <hyperlink ref="N786" display="https://www.baby.ru/u/usr2516130/" tooltip="https://www.baby.ru/u/usr2516130/" r:id="rId1752"/>
    <hyperlink ref="G787" display="http://www.ok.ru/profile/482834041816/statuses/155638151897304" tooltip="http://www.ok.ru/profile/482834041816/statuses/155638151897304" r:id="rId1753"/>
    <hyperlink ref="K787" display="http://www.ok.ru/profile/482834041816" tooltip="http://www.ok.ru/profile/482834041816" r:id="rId1754"/>
    <hyperlink ref="G788" display="http://vk.com/wall-124426990_212398?reply=213186&amp;thread=212415" tooltip="http://vk.com/wall-124426990_212398?reply=213186&amp;thread=212415" r:id="rId1755"/>
    <hyperlink ref="K788" display="http://vk.com/id793581951" tooltip="http://vk.com/id793581951" r:id="rId1756"/>
    <hyperlink ref="N788" display="http://vk.com/club124426990" tooltip="http://vk.com/club124426990" r:id="rId1757"/>
    <hyperlink ref="G789" display="http://vk.com/wall429694262_32567" tooltip="http://vk.com/wall429694262_32567" r:id="rId1758"/>
    <hyperlink ref="K789" display="http://vk.com/id429694262" tooltip="http://vk.com/id429694262" r:id="rId1759"/>
    <hyperlink ref="G790" display="https://telegram.me/VICTORIA_UA1/147906" tooltip="https://telegram.me/VICTORIA_UA1/147906" r:id="rId1760"/>
    <hyperlink ref="K790" display="https://telegram.me/VICTORIA_UA1" tooltip="https://telegram.me/VICTORIA_UA1" r:id="rId1761"/>
    <hyperlink ref="G791" display="https://www.baby.ru/blogs/post/2611547795-2605572884/" tooltip="https://www.baby.ru/blogs/post/2611547795-2605572884/" r:id="rId1762"/>
    <hyperlink ref="K791" display="https://www.baby.ru/u/usr2712105/" tooltip="https://www.baby.ru/u/usr2712105/" r:id="rId1763"/>
    <hyperlink ref="G792" display="https://telegram.me/mamochkipoimyt/18326" tooltip="https://telegram.me/mamochkipoimyt/18326" r:id="rId1764"/>
    <hyperlink ref="K792" display="https://telegram.me/" tooltip="https://telegram.me/" r:id="rId1765"/>
    <hyperlink ref="N792" display="https://telegram.me/mamochkipoimyt" tooltip="https://telegram.me/mamochkipoimyt" r:id="rId1766"/>
    <hyperlink ref="G793" display="http://vk.com/wall-217172909_17" tooltip="http://vk.com/wall-217172909_17" r:id="rId1767"/>
    <hyperlink ref="K793" display="http://vk.com/club217172909" tooltip="http://vk.com/club217172909" r:id="rId1768"/>
    <hyperlink ref="G794" display="http://vk.com/wall134254005_3876" tooltip="http://vk.com/wall134254005_3876" r:id="rId1769"/>
    <hyperlink ref="K794" display="http://vk.com/id134254005" tooltip="http://vk.com/id134254005" r:id="rId1770"/>
    <hyperlink ref="G795" display="http://vk.com/wall528466769_859" tooltip="http://vk.com/wall528466769_859" r:id="rId1771"/>
    <hyperlink ref="K795" display="http://vk.com/id528466769" tooltip="http://vk.com/id528466769" r:id="rId1772"/>
    <hyperlink ref="G796" display="http://vk.com/wall378230272_6814" tooltip="http://vk.com/wall378230272_6814" r:id="rId1773"/>
    <hyperlink ref="K796" display="http://vk.com/id378230272" tooltip="http://vk.com/id378230272" r:id="rId1774"/>
    <hyperlink ref="G797" display="https://telegram.me/pivnoychat/141666" tooltip="https://telegram.me/pivnoychat/141666" r:id="rId1775"/>
    <hyperlink ref="K797" display="https://telegram.me/Wealdman" tooltip="https://telegram.me/Wealdman" r:id="rId1776"/>
    <hyperlink ref="N797" display="https://telegram.me/pivnoychat" tooltip="https://telegram.me/pivnoychat" r:id="rId1777"/>
    <hyperlink ref="G798" display="http://www.ok.ru/profile/568612302145/statuses/155656594609473" tooltip="http://www.ok.ru/profile/568612302145/statuses/155656594609473" r:id="rId1778"/>
    <hyperlink ref="K798" display="http://www.ok.ru/profile/568612302145" tooltip="http://www.ok.ru/profile/568612302145" r:id="rId1779"/>
    <hyperlink ref="G799" display="http://vk.com/wall290836091_2243" tooltip="http://vk.com/wall290836091_2243" r:id="rId1780"/>
    <hyperlink ref="K799" display="http://vk.com/id290836091" tooltip="http://vk.com/id290836091" r:id="rId1781"/>
    <hyperlink ref="G800" display="http://vk.com/wall497872065_3763" tooltip="http://vk.com/wall497872065_3763" r:id="rId1782"/>
    <hyperlink ref="K800" display="http://vk.com/id497872065" tooltip="http://vk.com/id497872065" r:id="rId1783"/>
    <hyperlink ref="G801" display="https://otvet.mail.ru/answer/2030796813" tooltip="https://otvet.mail.ru/answer/2030796813" r:id="rId1784"/>
    <hyperlink ref="K801" display="https://otvet.mail.ru/profile/id24535156" tooltip="https://otvet.mail.ru/profile/id24535156" r:id="rId1785"/>
    <hyperlink ref="N801" display="https://otvet.mail.ru/profile/id300186554" tooltip="https://otvet.mail.ru/profile/id300186554" r:id="rId1786"/>
    <hyperlink ref="G802" display="https://pikabu.ru/story/otvet_na_post_chay_ne_podslastit_i_gripp_ne_vyilechit_10135834?cid=270553384" tooltip="https://pikabu.ru/story/otvet_na_post_chay_ne_podslastit_i_gripp_ne_vyilechit_10135834?cid=270553384" r:id="rId1787"/>
    <hyperlink ref="K802" display="https://pikabu.ru/@Agrocult" tooltip="https://pikabu.ru/@Agrocult" r:id="rId1788"/>
    <hyperlink ref="N802" display="https://pikabu.ru/@Senseless1987" tooltip="https://pikabu.ru/@Senseless1987" r:id="rId1789"/>
    <hyperlink ref="G803" display="http://www.ok.ru/profile/560508732759/statuses/155909256206423" tooltip="http://www.ok.ru/profile/560508732759/statuses/155909256206423" r:id="rId1790"/>
    <hyperlink ref="K803" display="http://www.ok.ru/profile/560508732759" tooltip="http://www.ok.ru/profile/560508732759" r:id="rId1791"/>
    <hyperlink ref="G804" display="https://telegram.me/emolandparty_chat/47758" tooltip="https://telegram.me/emolandparty_chat/47758" r:id="rId1792"/>
    <hyperlink ref="K804" display="https://telegram.me/whymestan" tooltip="https://telegram.me/whymestan" r:id="rId1793"/>
    <hyperlink ref="N804" display="https://telegram.me/emolandparty_chat" tooltip="https://telegram.me/emolandparty_chat" r:id="rId1794"/>
    <hyperlink ref="G805" display="http://www.ok.ru/group/68538272186415/topic/157513687420207" tooltip="http://www.ok.ru/group/68538272186415/topic/157513687420207" r:id="rId1795"/>
    <hyperlink ref="K805" display="http://www.ok.ru/group/68538272186415" tooltip="http://www.ok.ru/group/68538272186415" r:id="rId1796"/>
    <hyperlink ref="G806" display="http://vk.com/wall607343335_4321" tooltip="http://vk.com/wall607343335_4321" r:id="rId1797"/>
    <hyperlink ref="K806" display="http://vk.com/id607343335" tooltip="http://vk.com/id607343335" r:id="rId1798"/>
    <hyperlink ref="G807" display="http://www.ok.ru/profile/576683517727/statuses/155065397121823" tooltip="http://www.ok.ru/profile/576683517727/statuses/155065397121823" r:id="rId1799"/>
    <hyperlink ref="K807" display="http://www.ok.ru/profile/576683517727" tooltip="http://www.ok.ru/profile/576683517727" r:id="rId1800"/>
    <hyperlink ref="G808" display="http://vk.com/wall-146119392_295355?reply=295362&amp;thread=295357" tooltip="http://vk.com/wall-146119392_295355?reply=295362&amp;thread=295357" r:id="rId1801"/>
    <hyperlink ref="K808" display="http://vk.com/id281420944" tooltip="http://vk.com/id281420944" r:id="rId1802"/>
    <hyperlink ref="N808" display="http://vk.com/club146119392" tooltip="http://vk.com/club146119392" r:id="rId1803"/>
    <hyperlink ref="G809" display="http://www.ok.ru/profile/528811054734/statuses/156073147779982" tooltip="http://www.ok.ru/profile/528811054734/statuses/156073147779982" r:id="rId1804"/>
    <hyperlink ref="K809" display="http://www.ok.ru/profile/528811054734" tooltip="http://www.ok.ru/profile/528811054734" r:id="rId1805"/>
    <hyperlink ref="G810" display="http://www.ok.ru/profile/587935311872/statuses/160956862826496" tooltip="http://www.ok.ru/profile/587935311872/statuses/160956862826496" r:id="rId1806"/>
    <hyperlink ref="K810" display="http://www.ok.ru/profile/587935311872" tooltip="http://www.ok.ru/profile/587935311872" r:id="rId1807"/>
    <hyperlink ref="G811" display="http://www.ok.ru/profile/551981250389/statuses/155837017293653" tooltip="http://www.ok.ru/profile/551981250389/statuses/155837017293653" r:id="rId1808"/>
    <hyperlink ref="K811" display="http://www.ok.ru/profile/551981250389" tooltip="http://www.ok.ru/profile/551981250389" r:id="rId1809"/>
    <hyperlink ref="G812" display="http://www.ok.ru/profile/520305862555/statuses/155107105172891" tooltip="http://www.ok.ru/profile/520305862555/statuses/155107105172891" r:id="rId1810"/>
    <hyperlink ref="K812" display="http://www.ok.ru/profile/520305862555" tooltip="http://www.ok.ru/profile/520305862555" r:id="rId1811"/>
    <hyperlink ref="G813" display="http://www.ok.ru/profile/570772885473/statuses/155498741819617" tooltip="http://www.ok.ru/profile/570772885473/statuses/155498741819617" r:id="rId1812"/>
    <hyperlink ref="K813" display="http://www.ok.ru/profile/570772885473" tooltip="http://www.ok.ru/profile/570772885473" r:id="rId1813"/>
    <hyperlink ref="G814" display="http://www.ok.ru/profile/487039269171/statuses/156014926575667" tooltip="http://www.ok.ru/profile/487039269171/statuses/156014926575667" r:id="rId1814"/>
    <hyperlink ref="K814" display="http://www.ok.ru/profile/487039269171" tooltip="http://www.ok.ru/profile/487039269171" r:id="rId1815"/>
    <hyperlink ref="G815" display="http://www.ok.ru/profile/527966923488/statuses/154797015252448" tooltip="http://www.ok.ru/profile/527966923488/statuses/154797015252448" r:id="rId1816"/>
    <hyperlink ref="K815" display="http://www.ok.ru/profile/527966923488" tooltip="http://www.ok.ru/profile/527966923488" r:id="rId1817"/>
    <hyperlink ref="G816" display="http://www.ok.ru/group/57971426459692/topic/156194525744428" tooltip="http://www.ok.ru/group/57971426459692/topic/156194525744428" r:id="rId1818"/>
    <hyperlink ref="K816" display="http://www.ok.ru/group/57971426459692" tooltip="http://www.ok.ru/group/57971426459692" r:id="rId1819"/>
    <hyperlink ref="G817" display="https://dzen.ru/a/ZDgjEIYkRh3GBFBR#comment_1610277494" tooltip="https://dzen.ru/a/ZDgjEIYkRh3GBFBR#comment_1610277494" r:id="rId1820"/>
    <hyperlink ref="K817" display="https://dzen.ru/id/60e7ed2cd0f55c5dfd1a0543" tooltip="https://dzen.ru/id/60e7ed2cd0f55c5dfd1a0543" r:id="rId1821"/>
    <hyperlink ref="N817" display="https://dzen.ru/id/60681da99678a719cc83d540" tooltip="https://dzen.ru/id/60681da99678a719cc83d540" r:id="rId1822"/>
    <hyperlink ref="G818" display="http://vk.com/wall617388038_8963" tooltip="http://vk.com/wall617388038_8963" r:id="rId1823"/>
    <hyperlink ref="K818" display="http://vk.com/id617388038" tooltip="http://vk.com/id617388038" r:id="rId1824"/>
    <hyperlink ref="G819" display="http://www.ok.ru/profile/368688701375/statuses/155193632748991" tooltip="http://www.ok.ru/profile/368688701375/statuses/155193632748991" r:id="rId1825"/>
    <hyperlink ref="K819" display="http://www.ok.ru/profile/368688701375" tooltip="http://www.ok.ru/profile/368688701375" r:id="rId1826"/>
    <hyperlink ref="G820" display="http://vk.com/wall-169324153_71474" tooltip="http://vk.com/wall-169324153_71474" r:id="rId1827"/>
    <hyperlink ref="K820" display="http://vk.com/club169324153" tooltip="http://vk.com/club169324153" r:id="rId1828"/>
    <hyperlink ref="G821" display="http://vk.com/wall773553283_327" tooltip="http://vk.com/wall773553283_327" r:id="rId1829"/>
    <hyperlink ref="K821" display="http://vk.com/id773553283" tooltip="http://vk.com/id773553283" r:id="rId1830"/>
    <hyperlink ref="G822" display="http://www.ok.ru/profile/387163806795/statuses/156042697527371" tooltip="http://www.ok.ru/profile/387163806795/statuses/156042697527371" r:id="rId1831"/>
    <hyperlink ref="K822" display="http://www.ok.ru/profile/387163806795" tooltip="http://www.ok.ru/profile/387163806795" r:id="rId1832"/>
    <hyperlink ref="G823" display="http://www.ok.ru/profile/567364241318/statuses/155225819667366" tooltip="http://www.ok.ru/profile/567364241318/statuses/155225819667366" r:id="rId1833"/>
    <hyperlink ref="K823" display="http://www.ok.ru/profile/567364241318" tooltip="http://www.ok.ru/profile/567364241318" r:id="rId1834"/>
    <hyperlink ref="G824" display="http://vk.com/wall779649644_62" tooltip="http://vk.com/wall779649644_62" r:id="rId1835"/>
    <hyperlink ref="K824" display="http://vk.com/id779649644" tooltip="http://vk.com/id779649644" r:id="rId1836"/>
    <hyperlink ref="G825" display="http://www.ok.ru/profile/492031209163/statuses/155832393070027" tooltip="http://www.ok.ru/profile/492031209163/statuses/155832393070027" r:id="rId1837"/>
    <hyperlink ref="K825" display="http://www.ok.ru/profile/492031209163" tooltip="http://www.ok.ru/profile/492031209163" r:id="rId1838"/>
    <hyperlink ref="G826" display="http://www.ok.ru/profile/532862150952/statuses/155438754896680" tooltip="http://www.ok.ru/profile/532862150952/statuses/155438754896680" r:id="rId1839"/>
    <hyperlink ref="K826" display="http://www.ok.ru/profile/532862150952" tooltip="http://www.ok.ru/profile/532862150952" r:id="rId1840"/>
    <hyperlink ref="G827" display="https://pikabu.ru/story/chay_ne_podslastit_i_gripp_ne_vyilechit_10134733?cid=270550932" tooltip="https://pikabu.ru/story/chay_ne_podslastit_i_gripp_ne_vyilechit_10134733?cid=270550932" r:id="rId1841"/>
    <hyperlink ref="K827" display="https://pikabu.ru/@pashu861986" tooltip="https://pikabu.ru/@pashu861986" r:id="rId1842"/>
    <hyperlink ref="N827" display="https://pikabu.ru/@TweekNyan" tooltip="https://pikabu.ru/@TweekNyan" r:id="rId1843"/>
    <hyperlink ref="G828" display="http://www.ok.ru/profile/355312149136/statuses/155898501240976" tooltip="http://www.ok.ru/profile/355312149136/statuses/155898501240976" r:id="rId1844"/>
    <hyperlink ref="K828" display="http://www.ok.ru/profile/355312149136" tooltip="http://www.ok.ru/profile/355312149136" r:id="rId1845"/>
    <hyperlink ref="G829" display="http://vk.com/wall227253501_4174" tooltip="http://vk.com/wall227253501_4174" r:id="rId1846"/>
    <hyperlink ref="K829" display="http://vk.com/id227253501" tooltip="http://vk.com/id227253501" r:id="rId1847"/>
    <hyperlink ref="G830" display="http://www.ok.ru/profile/551963741809/statuses/155996996984177" tooltip="http://www.ok.ru/profile/551963741809/statuses/155996996984177" r:id="rId1848"/>
    <hyperlink ref="K830" display="http://www.ok.ru/profile/551963741809" tooltip="http://www.ok.ru/profile/551963741809" r:id="rId1849"/>
    <hyperlink ref="G831" display="https://otzyvy.pro/reviews/otzyvy-anaferon-464063.html" tooltip="https://otzyvy.pro/reviews/otzyvy-anaferon-464063.html" r:id="rId1850"/>
    <hyperlink ref="G832" display="http://vk.com/wall-119249179_1024603?reply=1024813" tooltip="http://vk.com/wall-119249179_1024603?reply=1024813" r:id="rId1851"/>
    <hyperlink ref="K832" display="http://vk.com/id161336569" tooltip="http://vk.com/id161336569" r:id="rId1852"/>
    <hyperlink ref="N832" display="http://vk.com/club119249179" tooltip="http://vk.com/club119249179" r:id="rId1853"/>
    <hyperlink ref="G833" display="http://vk.com/wall-217649537_8" tooltip="http://vk.com/wall-217649537_8" r:id="rId1854"/>
    <hyperlink ref="K833" display="http://vk.com/club217649537" tooltip="http://vk.com/club217649537" r:id="rId1855"/>
    <hyperlink ref="G834" display="http://vk.com/wall-92006241_421750?reply=424351&amp;thread=421853" tooltip="http://vk.com/wall-92006241_421750?reply=424351&amp;thread=421853" r:id="rId1856"/>
    <hyperlink ref="K834" display="http://vk.com/id612148529" tooltip="http://vk.com/id612148529" r:id="rId1857"/>
    <hyperlink ref="N834" display="http://vk.com/club92006241" tooltip="http://vk.com/club92006241" r:id="rId1858"/>
    <hyperlink ref="G835" display="http://www.ok.ru/profile/77108265604/statuses/155088188311684" tooltip="http://www.ok.ru/profile/77108265604/statuses/155088188311684" r:id="rId1859"/>
    <hyperlink ref="K835" display="http://www.ok.ru/profile/77108265604" tooltip="http://www.ok.ru/profile/77108265604" r:id="rId1860"/>
    <hyperlink ref="G836" display="http://vk.com/wall160628448_10012" tooltip="http://vk.com/wall160628448_10012" r:id="rId1861"/>
    <hyperlink ref="K836" display="http://vk.com/id160628448" tooltip="http://vk.com/id160628448" r:id="rId1862"/>
    <hyperlink ref="G837" display="http://vk.com/wall492406690_4825" tooltip="http://vk.com/wall492406690_4825" r:id="rId1863"/>
    <hyperlink ref="K837" display="http://vk.com/id492406690" tooltip="http://vk.com/id492406690" r:id="rId1864"/>
    <hyperlink ref="G838" display="https://telegram.me/taobaoarenkovachat/164371" tooltip="https://telegram.me/taobaoarenkovachat/164371" r:id="rId1865"/>
    <hyperlink ref="K838" display="https://telegram.me/MishBak" tooltip="https://telegram.me/MishBak" r:id="rId1866"/>
    <hyperlink ref="N838" display="https://telegram.me/taobaoarenkovachat" tooltip="https://telegram.me/taobaoarenkovachat" r:id="rId1867"/>
    <hyperlink ref="G839" display="https://telegram.me/taobaoarenkovachat/164370" tooltip="https://telegram.me/taobaoarenkovachat/164370" r:id="rId1868"/>
    <hyperlink ref="K839" display="https://telegram.me/MishBak" tooltip="https://telegram.me/MishBak" r:id="rId1869"/>
    <hyperlink ref="N839" display="https://telegram.me/taobaoarenkovachat" tooltip="https://telegram.me/taobaoarenkovachat" r:id="rId1870"/>
    <hyperlink ref="G840" display="http://www.ok.ru/profile/555073356756/statuses/155979592646100" tooltip="http://www.ok.ru/profile/555073356756/statuses/155979592646100" r:id="rId1871"/>
    <hyperlink ref="K840" display="http://www.ok.ru/profile/555073356756" tooltip="http://www.ok.ru/profile/555073356756" r:id="rId1872"/>
    <hyperlink ref="G841" display="http://www.ok.ru/profile/579140160046/statuses/156362599045934" tooltip="http://www.ok.ru/profile/579140160046/statuses/156362599045934" r:id="rId1873"/>
    <hyperlink ref="K841" display="http://www.ok.ru/profile/579140160046" tooltip="http://www.ok.ru/profile/579140160046" r:id="rId1874"/>
    <hyperlink ref="G842" display="http://www.ok.ru/profile/298691208392/statuses/155835371042248" tooltip="http://www.ok.ru/profile/298691208392/statuses/155835371042248" r:id="rId1875"/>
    <hyperlink ref="K842" display="http://www.ok.ru/profile/298691208392" tooltip="http://www.ok.ru/profile/298691208392" r:id="rId1876"/>
    <hyperlink ref="G843" display="http://vk.com/wall710715831_786" tooltip="http://vk.com/wall710715831_786" r:id="rId1877"/>
    <hyperlink ref="K843" display="http://vk.com/id710715831" tooltip="http://vk.com/id710715831" r:id="rId1878"/>
    <hyperlink ref="G844" display="http://www.ok.ru/profile/484865717694/statuses/154839063421886" tooltip="http://www.ok.ru/profile/484865717694/statuses/154839063421886" r:id="rId1879"/>
    <hyperlink ref="K844" display="http://www.ok.ru/profile/484865717694" tooltip="http://www.ok.ru/profile/484865717694" r:id="rId1880"/>
    <hyperlink ref="G845" display="http://vk.com/wall-17734054_18173113?reply=18181221" tooltip="http://vk.com/wall-17734054_18173113?reply=18181221" r:id="rId1881"/>
    <hyperlink ref="K845" display="http://vk.com/id612148529" tooltip="http://vk.com/id612148529" r:id="rId1882"/>
    <hyperlink ref="N845" display="http://vk.com/club17734054" tooltip="http://vk.com/club17734054" r:id="rId1883"/>
    <hyperlink ref="G846" display="http://vk.com/wall-76846938_2689397?reply=2689808&amp;thread=2689447" tooltip="http://vk.com/wall-76846938_2689397?reply=2689808&amp;thread=2689447" r:id="rId1884"/>
    <hyperlink ref="K846" display="http://vk.com/id163566544" tooltip="http://vk.com/id163566544" r:id="rId1885"/>
    <hyperlink ref="N846" display="http://vk.com/club76846938" tooltip="http://vk.com/club76846938" r:id="rId1886"/>
    <hyperlink ref="G847" display="http://vk.com/wall114339596_1659" tooltip="http://vk.com/wall114339596_1659" r:id="rId1887"/>
    <hyperlink ref="K847" display="http://vk.com/id114339596" tooltip="http://vk.com/id114339596" r:id="rId1888"/>
    <hyperlink ref="G848" display="http://www.ok.ru/profile/346238873907/statuses/156014848260147" tooltip="http://www.ok.ru/profile/346238873907/statuses/156014848260147" r:id="rId1889"/>
    <hyperlink ref="K848" display="http://www.ok.ru/profile/346238873907" tooltip="http://www.ok.ru/profile/346238873907" r:id="rId1890"/>
    <hyperlink ref="G849" display="http://www.ok.ru/profile/573129900034/statuses/154611022398722" tooltip="http://www.ok.ru/profile/573129900034/statuses/154611022398722" r:id="rId1891"/>
    <hyperlink ref="K849" display="http://www.ok.ru/profile/573129900034" tooltip="http://www.ok.ru/profile/573129900034" r:id="rId1892"/>
    <hyperlink ref="G850" display="http://vk.com/wall-203022192_15167?reply=15254" tooltip="http://vk.com/wall-203022192_15167?reply=15254" r:id="rId1893"/>
    <hyperlink ref="K850" display="http://vk.com/id612148529" tooltip="http://vk.com/id612148529" r:id="rId1894"/>
    <hyperlink ref="N850" display="http://vk.com/club203022192" tooltip="http://vk.com/club203022192" r:id="rId1895"/>
    <hyperlink ref="G851" display="http://www.ok.ru/profile/256981023352/statuses/155584204931192" tooltip="http://www.ok.ru/profile/256981023352/statuses/155584204931192" r:id="rId1896"/>
    <hyperlink ref="K851" display="http://www.ok.ru/profile/256981023352" tooltip="http://www.ok.ru/profile/256981023352" r:id="rId1897"/>
    <hyperlink ref="G852" display="http://vk.com/wall-137444280_2094471?reply=2102774&amp;thread=2094512" tooltip="http://vk.com/wall-137444280_2094471?reply=2102774&amp;thread=2094512" r:id="rId1898"/>
    <hyperlink ref="K852" display="http://vk.com/id612148529" tooltip="http://vk.com/id612148529" r:id="rId1899"/>
    <hyperlink ref="N852" display="http://vk.com/club137444280" tooltip="http://vk.com/club137444280" r:id="rId1900"/>
    <hyperlink ref="G853" display="http://vk.com/wall-76846938_2689397?reply=2689806&amp;thread=2689447" tooltip="http://vk.com/wall-76846938_2689397?reply=2689806&amp;thread=2689447" r:id="rId1901"/>
    <hyperlink ref="K853" display="http://vk.com/id163566544" tooltip="http://vk.com/id163566544" r:id="rId1902"/>
    <hyperlink ref="N853" display="http://vk.com/club76846938" tooltip="http://vk.com/club76846938" r:id="rId1903"/>
    <hyperlink ref="G854" display="http://www.ok.ru/profile/571397818187/statuses/156042609709131" tooltip="http://www.ok.ru/profile/571397818187/statuses/156042609709131" r:id="rId1904"/>
    <hyperlink ref="K854" display="http://www.ok.ru/profile/571397818187" tooltip="http://www.ok.ru/profile/571397818187" r:id="rId1905"/>
    <hyperlink ref="G855" display="http://www.ok.ru/profile/525125774325/statuses/157994939811317" tooltip="http://www.ok.ru/profile/525125774325/statuses/157994939811317" r:id="rId1906"/>
    <hyperlink ref="K855" display="http://www.ok.ru/profile/525125774325" tooltip="http://www.ok.ru/profile/525125774325" r:id="rId1907"/>
    <hyperlink ref="G856" display="http://vk.com/wall766878729_400" tooltip="http://vk.com/wall766878729_400" r:id="rId1908"/>
    <hyperlink ref="K856" display="http://vk.com/id766878729" tooltip="http://vk.com/id766878729" r:id="rId1909"/>
    <hyperlink ref="G857" display="http://vk.com/wall-202201921_284013?reply=287564" tooltip="http://vk.com/wall-202201921_284013?reply=287564" r:id="rId1910"/>
    <hyperlink ref="K857" display="http://vk.com/id612148529" tooltip="http://vk.com/id612148529" r:id="rId1911"/>
    <hyperlink ref="N857" display="http://vk.com/club202201921" tooltip="http://vk.com/club202201921" r:id="rId1912"/>
    <hyperlink ref="G858" display="http://vk.com/wall358742810_47018" tooltip="http://vk.com/wall358742810_47018" r:id="rId1913"/>
    <hyperlink ref="K858" display="http://vk.com/id358742810" tooltip="http://vk.com/id358742810" r:id="rId1914"/>
    <hyperlink ref="G859" display="https://telegram.me/apple_ukraina/190364" tooltip="https://telegram.me/apple_ukraina/190364" r:id="rId1915"/>
    <hyperlink ref="K859" display="https://telegram.me/" tooltip="https://telegram.me/" r:id="rId1916"/>
    <hyperlink ref="N859" display="https://telegram.me/apple_ukraina" tooltip="https://telegram.me/apple_ukraina" r:id="rId1917"/>
    <hyperlink ref="G860" display="http://www.ok.ru/profile/562979437920/statuses/154974951467104" tooltip="http://www.ok.ru/profile/562979437920/statuses/154974951467104" r:id="rId1918"/>
    <hyperlink ref="K860" display="http://www.ok.ru/profile/562979437920" tooltip="http://www.ok.ru/profile/562979437920" r:id="rId1919"/>
    <hyperlink ref="G861" display="http://www.ok.ru/profile/146672396407/statuses/155774647919991" tooltip="http://www.ok.ru/profile/146672396407/statuses/155774647919991" r:id="rId1920"/>
    <hyperlink ref="K861" display="http://www.ok.ru/profile/146672396407" tooltip="http://www.ok.ru/profile/146672396407" r:id="rId1921"/>
    <hyperlink ref="G862" display="http://www.ok.ru/profile/560411193992/statuses/155484441561992" tooltip="http://www.ok.ru/profile/560411193992/statuses/155484441561992" r:id="rId1922"/>
    <hyperlink ref="K862" display="http://www.ok.ru/profile/560411193992" tooltip="http://www.ok.ru/profile/560411193992" r:id="rId1923"/>
    <hyperlink ref="G863" display="http://vk.com/wall-203023242_19254?reply=19259" tooltip="http://vk.com/wall-203023242_19254?reply=19259" r:id="rId1924"/>
    <hyperlink ref="K863" display="http://vk.com/id636416689" tooltip="http://vk.com/id636416689" r:id="rId1925"/>
    <hyperlink ref="N863" display="http://vk.com/club203023242" tooltip="http://vk.com/club203023242" r:id="rId1926"/>
    <hyperlink ref="G864" display="http://www.ok.ru/profile/587164944177/statuses/156604224609073" tooltip="http://www.ok.ru/profile/587164944177/statuses/156604224609073" r:id="rId1927"/>
    <hyperlink ref="K864" display="http://www.ok.ru/profile/587164944177" tooltip="http://www.ok.ru/profile/587164944177" r:id="rId1928"/>
    <hyperlink ref="G865" display="https://www.babyblog.ru/community/ks/post/3200935" tooltip="https://www.babyblog.ru/community/ks/post/3200935" r:id="rId1929"/>
    <hyperlink ref="G866" display="http://vk.com/wall13046562_392" tooltip="http://vk.com/wall13046562_392" r:id="rId1930"/>
    <hyperlink ref="K866" display="http://vk.com/id13046562" tooltip="http://vk.com/id13046562" r:id="rId1931"/>
    <hyperlink ref="G867" display="http://www.ok.ru/profile/565737277315/statuses/154869989762435" tooltip="http://www.ok.ru/profile/565737277315/statuses/154869989762435" r:id="rId1932"/>
    <hyperlink ref="K867" display="http://www.ok.ru/profile/565737277315" tooltip="http://www.ok.ru/profile/565737277315" r:id="rId1933"/>
    <hyperlink ref="G868" display="http://www.ok.ru/profile/581407959215/statuses/156335328320431" tooltip="http://www.ok.ru/profile/581407959215/statuses/156335328320431" r:id="rId1934"/>
    <hyperlink ref="K868" display="http://www.ok.ru/profile/581407959215" tooltip="http://www.ok.ru/profile/581407959215" r:id="rId1935"/>
    <hyperlink ref="G869" display="http://vk.com/wall-17389345_920735" tooltip="http://vk.com/wall-17389345_920735" r:id="rId1936"/>
    <hyperlink ref="K869" display="http://vk.com/club17389345" tooltip="http://vk.com/club17389345" r:id="rId1937"/>
    <hyperlink ref="G870" display="http://vk.com/wall-87598739_817102?reply=817258&amp;thread=817254" tooltip="http://vk.com/wall-87598739_817102?reply=817258&amp;thread=817254" r:id="rId1938"/>
    <hyperlink ref="K870" display="http://vk.com/id311981412" tooltip="http://vk.com/id311981412" r:id="rId1939"/>
    <hyperlink ref="N870" display="http://vk.com/club87598739" tooltip="http://vk.com/club87598739" r:id="rId1940"/>
    <hyperlink ref="G871" display="http://www.ok.ru/profile/517515058047/statuses/154845402415999" tooltip="http://www.ok.ru/profile/517515058047/statuses/154845402415999" r:id="rId1941"/>
    <hyperlink ref="K871" display="http://www.ok.ru/profile/517515058047" tooltip="http://www.ok.ru/profile/517515058047" r:id="rId1942"/>
    <hyperlink ref="G872" display="http://www.ok.ru/profile/294503561555/statuses/156215602697555" tooltip="http://www.ok.ru/profile/294503561555/statuses/156215602697555" r:id="rId1943"/>
    <hyperlink ref="K872" display="http://www.ok.ru/profile/294503561555" tooltip="http://www.ok.ru/profile/294503561555" r:id="rId1944"/>
    <hyperlink ref="G873" display="http://vk.com/wall373308779_761" tooltip="http://vk.com/wall373308779_761" r:id="rId1945"/>
    <hyperlink ref="K873" display="http://vk.com/id373308779" tooltip="http://vk.com/id373308779" r:id="rId1946"/>
    <hyperlink ref="G874" display="http://www.ok.ru/profile/581853282084/statuses/155009447897124" tooltip="http://www.ok.ru/profile/581853282084/statuses/155009447897124" r:id="rId1947"/>
    <hyperlink ref="K874" display="http://www.ok.ru/profile/581853282084" tooltip="http://www.ok.ru/profile/581853282084" r:id="rId1948"/>
    <hyperlink ref="G875" display="https://vk.com/wall-111918418_3257291?reply=3320601&amp;thread=3257310" tooltip="https://vk.com/wall-111918418_3257291?reply=3320601&amp;thread=3257310" r:id="rId1949"/>
    <hyperlink ref="K875" display="https://vk.com/wall-111918418_3257291?reply=3320601&amp;thread=3257310" tooltip="https://vk.com/wall-111918418_3257291?reply=3320601&amp;thread=3257310" r:id="rId1950"/>
    <hyperlink ref="G876" display="http://www.ok.ru/profile/563009289372/statuses/155004002541724" tooltip="http://www.ok.ru/profile/563009289372/statuses/155004002541724" r:id="rId1951"/>
    <hyperlink ref="K876" display="http://www.ok.ru/profile/563009289372" tooltip="http://www.ok.ru/profile/563009289372" r:id="rId1952"/>
    <hyperlink ref="G877" display="http://vk.com/wall523685554_234" tooltip="http://vk.com/wall523685554_234" r:id="rId1953"/>
    <hyperlink ref="K877" display="http://vk.com/id523685554" tooltip="http://vk.com/id523685554" r:id="rId1954"/>
    <hyperlink ref="G878" display="http://www.ok.ru/profile/562520318332/statuses/155155120604028" tooltip="http://www.ok.ru/profile/562520318332/statuses/155155120604028" r:id="rId1955"/>
    <hyperlink ref="K878" display="http://www.ok.ru/profile/562520318332" tooltip="http://www.ok.ru/profile/562520318332" r:id="rId1956"/>
    <hyperlink ref="G879" display="http://vk.com/wall-87169444_12293185?reply=12293341" tooltip="http://vk.com/wall-87169444_12293185?reply=12293341" r:id="rId1957"/>
    <hyperlink ref="K879" display="http://vk.com/id793707190" tooltip="http://vk.com/id793707190" r:id="rId1958"/>
    <hyperlink ref="N879" display="http://vk.com/club87169444" tooltip="http://vk.com/club87169444" r:id="rId1959"/>
    <hyperlink ref="G880" display="http://vk.com/wall-206530812_2357872?reply=2358633&amp;thread=2358116" tooltip="http://vk.com/wall-206530812_2357872?reply=2358633&amp;thread=2358116" r:id="rId1960"/>
    <hyperlink ref="K880" display="http://vk.com/id536598200" tooltip="http://vk.com/id536598200" r:id="rId1961"/>
    <hyperlink ref="N880" display="http://vk.com/club206530812" tooltip="http://vk.com/club206530812" r:id="rId1962"/>
    <hyperlink ref="G881" display="https://telegram.me/shukinoszao/93102" tooltip="https://telegram.me/shukinoszao/93102" r:id="rId1963"/>
    <hyperlink ref="K881" display="https://telegram.me/YuliyaTver" tooltip="https://telegram.me/YuliyaTver" r:id="rId1964"/>
    <hyperlink ref="N881" display="https://telegram.me/shukinoszao" tooltip="https://telegram.me/shukinoszao" r:id="rId1965"/>
    <hyperlink ref="G882" display="http://www.ok.ru/profile/541135828979/statuses/156226923264243" tooltip="http://www.ok.ru/profile/541135828979/statuses/156226923264243" r:id="rId1966"/>
    <hyperlink ref="K882" display="http://www.ok.ru/profile/541135828979" tooltip="http://www.ok.ru/profile/541135828979" r:id="rId1967"/>
    <hyperlink ref="G883" display="https://telegram.me/we_are_vkusvill/3464?comment=225999" tooltip="https://telegram.me/we_are_vkusvill/3464?comment=225999" r:id="rId1968"/>
    <hyperlink ref="K883" display="https://telegram.me/" tooltip="https://telegram.me/" r:id="rId1969"/>
    <hyperlink ref="N883" display="https://telegram.me/we_are_vkusvill" tooltip="https://telegram.me/we_are_vkusvill" r:id="rId1970"/>
    <hyperlink ref="G884" display="http://vk.com/wall-142477702_726009?reply=726409" tooltip="http://vk.com/wall-142477702_726009?reply=726409" r:id="rId1971"/>
    <hyperlink ref="K884" display="http://vk.com/id793707190" tooltip="http://vk.com/id793707190" r:id="rId1972"/>
    <hyperlink ref="N884" display="http://vk.com/club142477702" tooltip="http://vk.com/club142477702" r:id="rId1973"/>
    <hyperlink ref="G885" display="http://vk.com/wall-103474409_917610?reply=917700&amp;thread=917662" tooltip="http://vk.com/wall-103474409_917610?reply=917700&amp;thread=917662" r:id="rId1974"/>
    <hyperlink ref="K885" display="http://vk.com/id20323989" tooltip="http://vk.com/id20323989" r:id="rId1975"/>
    <hyperlink ref="N885" display="http://vk.com/club103474409" tooltip="http://vk.com/club103474409" r:id="rId1976"/>
    <hyperlink ref="G886" display="https://www.babyblog.ru/community/health/post/3215619" tooltip="https://www.babyblog.ru/community/health/post/3215619" r:id="rId1977"/>
    <hyperlink ref="G887" display="https://telegram.me/shukinoszao/93097" tooltip="https://telegram.me/shukinoszao/93097" r:id="rId1978"/>
    <hyperlink ref="K887" display="https://telegram.me/DerAlSem" tooltip="https://telegram.me/DerAlSem" r:id="rId1979"/>
    <hyperlink ref="N887" display="https://telegram.me/shukinoszao" tooltip="https://telegram.me/shukinoszao" r:id="rId1980"/>
    <hyperlink ref="G888" display="http://www.ok.ru/profile/541832290067/statuses/156298323069715" tooltip="http://www.ok.ru/profile/541832290067/statuses/156298323069715" r:id="rId1981"/>
    <hyperlink ref="K888" display="http://www.ok.ru/profile/541832290067" tooltip="http://www.ok.ru/profile/541832290067" r:id="rId1982"/>
    <hyperlink ref="G889" display="http://www.ok.ru/group/64283132559598/topic/156610048130030" tooltip="http://www.ok.ru/group/64283132559598/topic/156610048130030" r:id="rId1983"/>
    <hyperlink ref="K889" display="http://www.ok.ru/group/64283132559598" tooltip="http://www.ok.ru/group/64283132559598" r:id="rId1984"/>
    <hyperlink ref="G890" display="http://vk.com/wall248628919_7771" tooltip="http://vk.com/wall248628919_7771" r:id="rId1985"/>
    <hyperlink ref="K890" display="http://vk.com/id248628919" tooltip="http://vk.com/id248628919" r:id="rId1986"/>
    <hyperlink ref="G891" display="http://www.ok.ru/profile/586743532848/statuses/156246835214384" tooltip="http://www.ok.ru/profile/586743532848/statuses/156246835214384" r:id="rId1987"/>
    <hyperlink ref="K891" display="http://www.ok.ru/profile/586743532848" tooltip="http://www.ok.ru/profile/586743532848" r:id="rId1988"/>
    <hyperlink ref="G892" display="https://www.baby.ru/blogs/post/2611543491-2600215552/" tooltip="https://www.baby.ru/blogs/post/2611543491-2600215552/" r:id="rId1989"/>
    <hyperlink ref="K892" display="https://www.baby.ru/u/usr2816068/" tooltip="https://www.baby.ru/u/usr2816068/" r:id="rId1990"/>
    <hyperlink ref="N892" display="https://www.baby.ru/u/usr2573509/" tooltip="https://www.baby.ru/u/usr2573509/" r:id="rId1991"/>
    <hyperlink ref="G893" display="http://vk.com/wall200794158_10146" tooltip="http://vk.com/wall200794158_10146" r:id="rId1992"/>
    <hyperlink ref="K893" display="http://vk.com/id200794158" tooltip="http://vk.com/id200794158" r:id="rId1993"/>
    <hyperlink ref="G894" display="http://vk.com/wall-110697191_622636?reply=622714" tooltip="http://vk.com/wall-110697191_622636?reply=622714" r:id="rId1994"/>
    <hyperlink ref="K894" display="http://vk.com/id26593557" tooltip="http://vk.com/id26593557" r:id="rId1995"/>
    <hyperlink ref="N894" display="http://vk.com/club110697191" tooltip="http://vk.com/club110697191" r:id="rId1996"/>
    <hyperlink ref="G895" display="http://www.ok.ru/profile/360069009982/statuses/154922945123646" tooltip="http://www.ok.ru/profile/360069009982/statuses/154922945123646" r:id="rId1997"/>
    <hyperlink ref="K895" display="http://www.ok.ru/profile/360069009982" tooltip="http://www.ok.ru/profile/360069009982" r:id="rId1998"/>
    <hyperlink ref="G896" display="http://www.ok.ru/profile/556955883488/statuses/154796855410144" tooltip="http://www.ok.ru/profile/556955883488/statuses/154796855410144" r:id="rId1999"/>
    <hyperlink ref="K896" display="http://www.ok.ru/profile/556955883488" tooltip="http://www.ok.ru/profile/556955883488" r:id="rId2000"/>
    <hyperlink ref="G897" display="http://www.ok.ru/profile/570639311378/statuses/156150021232658" tooltip="http://www.ok.ru/profile/570639311378/statuses/156150021232658" r:id="rId2001"/>
    <hyperlink ref="K897" display="http://www.ok.ru/profile/570639311378" tooltip="http://www.ok.ru/profile/570639311378" r:id="rId2002"/>
    <hyperlink ref="G898" display="http://www.ok.ru/profile/574178984761/statuses/155434230562873" tooltip="http://www.ok.ru/profile/574178984761/statuses/155434230562873" r:id="rId2003"/>
    <hyperlink ref="K898" display="http://www.ok.ru/profile/574178984761" tooltip="http://www.ok.ru/profile/574178984761" r:id="rId2004"/>
    <hyperlink ref="G899" display="http://vk.com/wall-176266147_201663?reply=201688" tooltip="http://vk.com/wall-176266147_201663?reply=201688" r:id="rId2005"/>
    <hyperlink ref="K899" display="http://vk.com/id4017982" tooltip="http://vk.com/id4017982" r:id="rId2006"/>
    <hyperlink ref="N899" display="http://vk.com/club176266147" tooltip="http://vk.com/club176266147" r:id="rId2007"/>
    <hyperlink ref="G900" display="http://www.ok.ru/group/57003210833975/topic/155711413330743" tooltip="http://www.ok.ru/group/57003210833975/topic/155711413330743" r:id="rId2008"/>
    <hyperlink ref="K900" display="http://www.ok.ru/group/57003210833975" tooltip="http://www.ok.ru/group/57003210833975" r:id="rId2009"/>
    <hyperlink ref="G901" display="http://vk.com/wall-140264116_119554" tooltip="http://vk.com/wall-140264116_119554" r:id="rId2010"/>
    <hyperlink ref="K901" display="http://vk.com/club140264116" tooltip="http://vk.com/club140264116" r:id="rId2011"/>
    <hyperlink ref="G902" display="http://vk.com/wall-106437710_461209?reply=461914" tooltip="http://vk.com/wall-106437710_461209?reply=461914" r:id="rId2012"/>
    <hyperlink ref="K902" display="http://vk.com/id44708086" tooltip="http://vk.com/id44708086" r:id="rId2013"/>
    <hyperlink ref="N902" display="http://vk.com/club106437710" tooltip="http://vk.com/club106437710" r:id="rId2014"/>
    <hyperlink ref="G903" display="http://www.ok.ru/profile/456332109360/statuses/156246815815728" tooltip="http://www.ok.ru/profile/456332109360/statuses/156246815815728" r:id="rId2015"/>
    <hyperlink ref="K903" display="http://www.ok.ru/profile/456332109360" tooltip="http://www.ok.ru/profile/456332109360" r:id="rId2016"/>
    <hyperlink ref="G904" display="http://www.ok.ru/profile/460248951407/statuses/157360864784495" tooltip="http://www.ok.ru/profile/460248951407/statuses/157360864784495" r:id="rId2017"/>
    <hyperlink ref="K904" display="http://www.ok.ru/profile/460248951407" tooltip="http://www.ok.ru/profile/460248951407" r:id="rId2018"/>
    <hyperlink ref="G905" display="http://www.ok.ru/profile/567504656775/statuses/155509177878663" tooltip="http://www.ok.ru/profile/567504656775/statuses/155509177878663" r:id="rId2019"/>
    <hyperlink ref="K905" display="http://www.ok.ru/profile/567504656775" tooltip="http://www.ok.ru/profile/567504656775" r:id="rId2020"/>
    <hyperlink ref="G906" display="http://vk.com/wall486048847_438" tooltip="http://vk.com/wall486048847_438" r:id="rId2021"/>
    <hyperlink ref="K906" display="http://vk.com/id486048847" tooltip="http://vk.com/id486048847" r:id="rId2022"/>
    <hyperlink ref="G907" display="http://vk.com/wall25851840_11499" tooltip="http://vk.com/wall25851840_11499" r:id="rId2023"/>
    <hyperlink ref="K907" display="http://vk.com/id25851840" tooltip="http://vk.com/id25851840" r:id="rId2024"/>
    <hyperlink ref="G908" display="http://www.ok.ru/profile/562841679795/statuses/156118534843827" tooltip="http://www.ok.ru/profile/562841679795/statuses/156118534843827" r:id="rId2025"/>
    <hyperlink ref="K908" display="http://www.ok.ru/profile/562841679795" tooltip="http://www.ok.ru/profile/562841679795" r:id="rId2026"/>
    <hyperlink ref="G909" display="http://www.ok.ru/profile/572066912490/statuses/156306792968426" tooltip="http://www.ok.ru/profile/572066912490/statuses/156306792968426" r:id="rId2027"/>
    <hyperlink ref="K909" display="http://www.ok.ru/profile/572066912490" tooltip="http://www.ok.ru/profile/572066912490" r:id="rId2028"/>
    <hyperlink ref="G910" display="http://vk.com/wall-106087149_102995?reply=103066" tooltip="http://vk.com/wall-106087149_102995?reply=103066" r:id="rId2029"/>
    <hyperlink ref="K910" display="http://vk.com/id600106171" tooltip="http://vk.com/id600106171" r:id="rId2030"/>
    <hyperlink ref="N910" display="http://vk.com/club106087149" tooltip="http://vk.com/club106087149" r:id="rId2031"/>
    <hyperlink ref="G911" display="http://www.ok.ru/profile/544404440311/statuses/156143201879031" tooltip="http://www.ok.ru/profile/544404440311/statuses/156143201879031" r:id="rId2032"/>
    <hyperlink ref="K911" display="http://www.ok.ru/profile/544404440311" tooltip="http://www.ok.ru/profile/544404440311" r:id="rId2033"/>
    <hyperlink ref="G912" display="http://www.ok.ru/profile/561287899351/statuses/155748908400087" tooltip="http://www.ok.ru/profile/561287899351/statuses/155748908400087" r:id="rId2034"/>
    <hyperlink ref="K912" display="http://www.ok.ru/profile/561287899351" tooltip="http://www.ok.ru/profile/561287899351" r:id="rId2035"/>
    <hyperlink ref="G913" display="http://vk.com/wall591107361_1707" tooltip="http://vk.com/wall591107361_1707" r:id="rId2036"/>
    <hyperlink ref="K913" display="http://vk.com/id591107361" tooltip="http://vk.com/id591107361" r:id="rId2037"/>
    <hyperlink ref="G914" display="http://www.ok.ru/profile/509742655209/statuses/156232721137129" tooltip="http://www.ok.ru/profile/509742655209/statuses/156232721137129" r:id="rId2038"/>
    <hyperlink ref="K914" display="http://www.ok.ru/profile/509742655209" tooltip="http://www.ok.ru/profile/509742655209" r:id="rId2039"/>
    <hyperlink ref="G915" display="http://www.ok.ru/profile/476031760178/statuses/157284759014706" tooltip="http://www.ok.ru/profile/476031760178/statuses/157284759014706" r:id="rId2040"/>
    <hyperlink ref="K915" display="http://www.ok.ru/profile/476031760178" tooltip="http://www.ok.ru/profile/476031760178" r:id="rId2041"/>
    <hyperlink ref="G916" display="http://www.ok.ru/profile/524052663107/statuses/154890819904323" tooltip="http://www.ok.ru/profile/524052663107/statuses/154890819904323" r:id="rId2042"/>
    <hyperlink ref="K916" display="http://www.ok.ru/profile/524052663107" tooltip="http://www.ok.ru/profile/524052663107" r:id="rId2043"/>
    <hyperlink ref="G917" display="http://www.ok.ru/profile/227504150050/statuses/154839717122850" tooltip="http://www.ok.ru/profile/227504150050/statuses/154839717122850" r:id="rId2044"/>
    <hyperlink ref="K917" display="http://www.ok.ru/profile/227504150050" tooltip="http://www.ok.ru/profile/227504150050" r:id="rId2045"/>
    <hyperlink ref="G918" display="http://www.ok.ru/profile/585104782105/statuses/156520503087897" tooltip="http://www.ok.ru/profile/585104782105/statuses/156520503087897" r:id="rId2046"/>
    <hyperlink ref="K918" display="http://www.ok.ru/profile/585104782105" tooltip="http://www.ok.ru/profile/585104782105" r:id="rId2047"/>
    <hyperlink ref="G919" display="http://www.ok.ru/profile/556773160880/statuses/156233526554032" tooltip="http://www.ok.ru/profile/556773160880/statuses/156233526554032" r:id="rId2048"/>
    <hyperlink ref="K919" display="http://www.ok.ru/profile/556773160880" tooltip="http://www.ok.ru/profile/556773160880" r:id="rId2049"/>
    <hyperlink ref="G920" display="http://vk.com/wall75092533_2714" tooltip="http://vk.com/wall75092533_2714" r:id="rId2050"/>
    <hyperlink ref="K920" display="http://vk.com/id75092533" tooltip="http://vk.com/id75092533" r:id="rId2051"/>
    <hyperlink ref="G921" display="http://www.ok.ru/profile/519862047238/statuses/155083715250182" tooltip="http://www.ok.ru/profile/519862047238/statuses/155083715250182" r:id="rId2052"/>
    <hyperlink ref="K921" display="http://www.ok.ru/profile/519862047238" tooltip="http://www.ok.ru/profile/519862047238" r:id="rId2053"/>
    <hyperlink ref="G922" display="http://www.ok.ru/profile/554792971343/statuses/156889491024719" tooltip="http://www.ok.ru/profile/554792971343/statuses/156889491024719" r:id="rId2054"/>
    <hyperlink ref="K922" display="http://www.ok.ru/profile/554792971343" tooltip="http://www.ok.ru/profile/554792971343" r:id="rId2055"/>
    <hyperlink ref="G923" display="http://vk.com/wall569442209_3034" tooltip="http://vk.com/wall569442209_3034" r:id="rId2056"/>
    <hyperlink ref="K923" display="http://vk.com/id569442209" tooltip="http://vk.com/id569442209" r:id="rId2057"/>
    <hyperlink ref="G924" display="http://vk.com/wall598047113_3124" tooltip="http://vk.com/wall598047113_3124" r:id="rId2058"/>
    <hyperlink ref="K924" display="http://vk.com/id598047113" tooltip="http://vk.com/id598047113" r:id="rId2059"/>
    <hyperlink ref="G925" display="http://vk.com/wall158399146_3439" tooltip="http://vk.com/wall158399146_3439" r:id="rId2060"/>
    <hyperlink ref="K925" display="http://vk.com/id158399146" tooltip="http://vk.com/id158399146" r:id="rId2061"/>
    <hyperlink ref="G926" display="http://www.ok.ru/profile/538676163632/statuses/156246765942832" tooltip="http://www.ok.ru/profile/538676163632/statuses/156246765942832" r:id="rId2062"/>
    <hyperlink ref="K926" display="http://www.ok.ru/profile/538676163632" tooltip="http://www.ok.ru/profile/538676163632" r:id="rId2063"/>
    <hyperlink ref="G927" display="http://vk.com/wall2052607_38402" tooltip="http://vk.com/wall2052607_38402" r:id="rId2064"/>
    <hyperlink ref="K927" display="http://vk.com/id2052607" tooltip="http://vk.com/id2052607" r:id="rId2065"/>
    <hyperlink ref="G928" display="http://www.ok.ru/profile/544704880100/statuses/155150676519140" tooltip="http://www.ok.ru/profile/544704880100/statuses/155150676519140" r:id="rId2066"/>
    <hyperlink ref="K928" display="http://www.ok.ru/profile/544704880100" tooltip="http://www.ok.ru/profile/544704880100" r:id="rId2067"/>
    <hyperlink ref="G929" display="http://www.ok.ru/profile/322547506864/statuses/156233487625648" tooltip="http://www.ok.ru/profile/322547506864/statuses/156233487625648" r:id="rId2068"/>
    <hyperlink ref="K929" display="http://www.ok.ru/profile/322547506864" tooltip="http://www.ok.ru/profile/322547506864" r:id="rId2069"/>
    <hyperlink ref="G930" display="http://vk.com/wall-151204563_1297175?reply=1297376&amp;thread=1297181" tooltip="http://vk.com/wall-151204563_1297175?reply=1297376&amp;thread=1297181" r:id="rId2070"/>
    <hyperlink ref="K930" display="http://vk.com/id29195238" tooltip="http://vk.com/id29195238" r:id="rId2071"/>
    <hyperlink ref="N930" display="http://vk.com/club151204563" tooltip="http://vk.com/club151204563" r:id="rId2072"/>
    <hyperlink ref="G931" display="http://vk.com/wall301927700_14180" tooltip="http://vk.com/wall301927700_14180" r:id="rId2073"/>
    <hyperlink ref="K931" display="http://vk.com/id301927700" tooltip="http://vk.com/id301927700" r:id="rId2074"/>
    <hyperlink ref="G932" display="http://www.ok.ru/profile/515666046660/statuses/155142804759492" tooltip="http://www.ok.ru/profile/515666046660/statuses/155142804759492" r:id="rId2075"/>
    <hyperlink ref="K932" display="http://www.ok.ru/profile/515666046660" tooltip="http://www.ok.ru/profile/515666046660" r:id="rId2076"/>
    <hyperlink ref="G933" display="http://www.ok.ru/profile/22573058975/statuses/155030616711327" tooltip="http://www.ok.ru/profile/22573058975/statuses/155030616711327" r:id="rId2077"/>
    <hyperlink ref="K933" display="http://www.ok.ru/profile/22573058975" tooltip="http://www.ok.ru/profile/22573058975" r:id="rId2078"/>
    <hyperlink ref="G934" display="http://vk.com/wall-90436798_53439" tooltip="http://vk.com/wall-90436798_53439" r:id="rId2079"/>
    <hyperlink ref="K934" display="http://vk.com/club90436798" tooltip="http://vk.com/club90436798" r:id="rId2080"/>
    <hyperlink ref="G935" display="http://vk.com/wall-142477702_726009?reply=726403&amp;thread=726401" tooltip="http://vk.com/wall-142477702_726009?reply=726403&amp;thread=726401" r:id="rId2081"/>
    <hyperlink ref="K935" display="http://vk.com/id342883465" tooltip="http://vk.com/id342883465" r:id="rId2082"/>
    <hyperlink ref="N935" display="http://vk.com/club142477702" tooltip="http://vk.com/club142477702" r:id="rId2083"/>
    <hyperlink ref="G936" display="http://vk.com/wall-137133200_67858?reply=67860" tooltip="http://vk.com/wall-137133200_67858?reply=67860" r:id="rId2084"/>
    <hyperlink ref="K936" display="http://vk.com/id500965747" tooltip="http://vk.com/id500965747" r:id="rId2085"/>
    <hyperlink ref="N936" display="http://vk.com/club137133200" tooltip="http://vk.com/club137133200" r:id="rId2086"/>
    <hyperlink ref="G937" display="http://vk.com/wall-142477702_726009?reply=726401" tooltip="http://vk.com/wall-142477702_726009?reply=726401" r:id="rId2087"/>
    <hyperlink ref="K937" display="http://vk.com/id342883465" tooltip="http://vk.com/id342883465" r:id="rId2088"/>
    <hyperlink ref="N937" display="http://vk.com/club142477702" tooltip="http://vk.com/club142477702" r:id="rId2089"/>
    <hyperlink ref="G938" display="http://vk.com/wall643502528_299" tooltip="http://vk.com/wall643502528_299" r:id="rId2090"/>
    <hyperlink ref="K938" display="http://vk.com/id643502528" tooltip="http://vk.com/id643502528" r:id="rId2091"/>
    <hyperlink ref="G939" display="http://www.ok.ru/profile/577035872786/statuses/156149906479122" tooltip="http://www.ok.ru/profile/577035872786/statuses/156149906479122" r:id="rId2092"/>
    <hyperlink ref="K939" display="http://www.ok.ru/profile/577035872786" tooltip="http://www.ok.ru/profile/577035872786" r:id="rId2093"/>
    <hyperlink ref="G940" display="http://vk.com/wall-80494791_260029?reply=260556" tooltip="http://vk.com/wall-80494791_260029?reply=260556" r:id="rId2094"/>
    <hyperlink ref="K940" display="http://vk.com/id337205722" tooltip="http://vk.com/id337205722" r:id="rId2095"/>
    <hyperlink ref="N940" display="http://vk.com/club80494791" tooltip="http://vk.com/club80494791" r:id="rId2096"/>
    <hyperlink ref="G941" display="http://vk.com/wall711822206_808" tooltip="http://vk.com/wall711822206_808" r:id="rId2097"/>
    <hyperlink ref="K941" display="http://vk.com/id711822206" tooltip="http://vk.com/id711822206" r:id="rId2098"/>
    <hyperlink ref="G942" display="http://www.ok.ru/profile/570355273330/statuses/156143575398514" tooltip="http://www.ok.ru/profile/570355273330/statuses/156143575398514" r:id="rId2099"/>
    <hyperlink ref="K942" display="http://www.ok.ru/profile/570355273330" tooltip="http://www.ok.ru/profile/570355273330" r:id="rId2100"/>
    <hyperlink ref="G943" display="https://telegram.me/kambuland/1807581" tooltip="https://telegram.me/kambuland/1807581" r:id="rId2101"/>
    <hyperlink ref="K943" display="https://telegram.me/businkaaaa1" tooltip="https://telegram.me/businkaaaa1" r:id="rId2102"/>
    <hyperlink ref="N943" display="https://telegram.me/kambuland" tooltip="https://telegram.me/kambuland" r:id="rId2103"/>
    <hyperlink ref="G944" display="http://vk.com/wall334113888_3243" tooltip="http://vk.com/wall334113888_3243" r:id="rId2104"/>
    <hyperlink ref="K944" display="http://vk.com/id334113888" tooltip="http://vk.com/id334113888" r:id="rId2105"/>
    <hyperlink ref="G945" display="http://www.ok.ru/profile/561109512961/statuses/154791073317633" tooltip="http://www.ok.ru/profile/561109512961/statuses/154791073317633" r:id="rId2106"/>
    <hyperlink ref="K945" display="http://www.ok.ru/profile/561109512961" tooltip="http://www.ok.ru/profile/561109512961" r:id="rId2107"/>
    <hyperlink ref="G946" display="http://www.ok.ru/profile/107852049988/statuses/155466883142980" tooltip="http://www.ok.ru/profile/107852049988/statuses/155466883142980" r:id="rId2108"/>
    <hyperlink ref="K946" display="http://www.ok.ru/profile/107852049988" tooltip="http://www.ok.ru/profile/107852049988" r:id="rId2109"/>
    <hyperlink ref="G947" display="http://vk.com/wall429394158_460" tooltip="http://vk.com/wall429394158_460" r:id="rId2110"/>
    <hyperlink ref="K947" display="http://vk.com/id429394158" tooltip="http://vk.com/id429394158" r:id="rId2111"/>
    <hyperlink ref="G948" display="http://www.ok.ru/profile/538784157950/statuses/155116689343998" tooltip="http://www.ok.ru/profile/538784157950/statuses/155116689343998" r:id="rId2112"/>
    <hyperlink ref="K948" display="http://www.ok.ru/profile/538784157950" tooltip="http://www.ok.ru/profile/538784157950" r:id="rId2113"/>
    <hyperlink ref="G949" display="http://www.ok.ru/profile/555185999326/statuses/154821646672094" tooltip="http://www.ok.ru/profile/555185999326/statuses/154821646672094" r:id="rId2114"/>
    <hyperlink ref="K949" display="http://www.ok.ru/profile/555185999326" tooltip="http://www.ok.ru/profile/555185999326" r:id="rId2115"/>
    <hyperlink ref="G950" display="http://vk.com/wall101336173_6983" tooltip="http://vk.com/wall101336173_6983" r:id="rId2116"/>
    <hyperlink ref="K950" display="http://vk.com/id101336173" tooltip="http://vk.com/id101336173" r:id="rId2117"/>
    <hyperlink ref="G951" display="http://www.ok.ru/profile/522467744604/statuses/155004084297052" tooltip="http://www.ok.ru/profile/522467744604/statuses/155004084297052" r:id="rId2118"/>
    <hyperlink ref="K951" display="http://www.ok.ru/profile/522467744604" tooltip="http://www.ok.ru/profile/522467744604" r:id="rId2119"/>
    <hyperlink ref="G952" display="http://vk.com/wall-217202374_1102?reply=1136" tooltip="http://vk.com/wall-217202374_1102?reply=1136" r:id="rId2120"/>
    <hyperlink ref="K952" display="http://vk.com/id373028665" tooltip="http://vk.com/id373028665" r:id="rId2121"/>
    <hyperlink ref="N952" display="http://vk.com/club217202374" tooltip="http://vk.com/club217202374" r:id="rId2122"/>
    <hyperlink ref="G953" display="http://vk.com/wall561718327_8549" tooltip="http://vk.com/wall561718327_8549" r:id="rId2123"/>
    <hyperlink ref="K953" display="http://vk.com/id561718327" tooltip="http://vk.com/id561718327" r:id="rId2124"/>
    <hyperlink ref="G954" display="http://www.ok.ru/profile/520207415013/statuses/155347796030437" tooltip="http://www.ok.ru/profile/520207415013/statuses/155347796030437" r:id="rId2125"/>
    <hyperlink ref="K954" display="http://www.ok.ru/profile/520207415013" tooltip="http://www.ok.ru/profile/520207415013" r:id="rId2126"/>
    <hyperlink ref="G955" display="http://www.ok.ru/profile/555799572736/statuses/160956185708544" tooltip="http://www.ok.ru/profile/555799572736/statuses/160956185708544" r:id="rId2127"/>
    <hyperlink ref="K955" display="http://www.ok.ru/profile/555799572736" tooltip="http://www.ok.ru/profile/555799572736" r:id="rId2128"/>
    <hyperlink ref="G956" display="http://www.ok.ru/profile/582071662120/statuses/155438494063400" tooltip="http://www.ok.ru/profile/582071662120/statuses/155438494063400" r:id="rId2129"/>
    <hyperlink ref="K956" display="http://www.ok.ru/profile/582071662120" tooltip="http://www.ok.ru/profile/582071662120" r:id="rId2130"/>
    <hyperlink ref="G957" display="http://vk.com/wall387733521_1379" tooltip="http://vk.com/wall387733521_1379" r:id="rId2131"/>
    <hyperlink ref="K957" display="http://vk.com/id387733521" tooltip="http://vk.com/id387733521" r:id="rId2132"/>
    <hyperlink ref="G958" display="http://vk.com/wall-178308905_324" tooltip="http://vk.com/wall-178308905_324" r:id="rId2133"/>
    <hyperlink ref="K958" display="http://vk.com/club178308905" tooltip="http://vk.com/club178308905" r:id="rId2134"/>
    <hyperlink ref="G959" display="http://www.ok.ru/profile/538742437375/statuses/155234602189055" tooltip="http://www.ok.ru/profile/538742437375/statuses/155234602189055" r:id="rId2135"/>
    <hyperlink ref="K959" display="http://www.ok.ru/profile/538742437375" tooltip="http://www.ok.ru/profile/538742437375" r:id="rId2136"/>
    <hyperlink ref="G960" display="http://vk.com/wall228099412_2344" tooltip="http://vk.com/wall228099412_2344" r:id="rId2137"/>
    <hyperlink ref="K960" display="http://vk.com/id228099412" tooltip="http://vk.com/id228099412" r:id="rId2138"/>
    <hyperlink ref="G961" display="http://vk.com/wall584197107_333" tooltip="http://vk.com/wall584197107_333" r:id="rId2139"/>
    <hyperlink ref="K961" display="http://vk.com/id584197107" tooltip="http://vk.com/id584197107" r:id="rId2140"/>
    <hyperlink ref="G962" display="http://www.ok.ru/profile/522467744604/statuses/155004056182108" tooltip="http://www.ok.ru/profile/522467744604/statuses/155004056182108" r:id="rId2141"/>
    <hyperlink ref="K962" display="http://www.ok.ru/profile/522467744604" tooltip="http://www.ok.ru/profile/522467744604" r:id="rId2142"/>
    <hyperlink ref="G963" display="https://telegram.me/hockei_khl/2277?comment=59619" tooltip="https://telegram.me/hockei_khl/2277?comment=59619" r:id="rId2143"/>
    <hyperlink ref="K963" display="https://telegram.me/Yana756" tooltip="https://telegram.me/Yana756" r:id="rId2144"/>
    <hyperlink ref="N963" display="https://telegram.me/hockei_khl" tooltip="https://telegram.me/hockei_khl" r:id="rId2145"/>
    <hyperlink ref="G964" display="http://www.ok.ru/profile/569784497524/statuses/155854399284596" tooltip="http://www.ok.ru/profile/569784497524/statuses/155854399284596" r:id="rId2146"/>
    <hyperlink ref="K964" display="http://www.ok.ru/profile/569784497524" tooltip="http://www.ok.ru/profile/569784497524" r:id="rId2147"/>
    <hyperlink ref="G965" display="http://vk.com/wall170371487_211163" tooltip="http://vk.com/wall170371487_211163" r:id="rId2148"/>
    <hyperlink ref="K965" display="http://vk.com/id170371487" tooltip="http://vk.com/id170371487" r:id="rId2149"/>
    <hyperlink ref="G966" display="http://www.ok.ru/profile/516545796192/statuses/154974739130464" tooltip="http://www.ok.ru/profile/516545796192/statuses/154974739130464" r:id="rId2150"/>
    <hyperlink ref="K966" display="http://www.ok.ru/profile/516545796192" tooltip="http://www.ok.ru/profile/516545796192" r:id="rId2151"/>
    <hyperlink ref="G967" display="http://vk.com/wall525318927_307" tooltip="http://vk.com/wall525318927_307" r:id="rId2152"/>
    <hyperlink ref="K967" display="http://vk.com/id525318927" tooltip="http://vk.com/id525318927" r:id="rId2153"/>
    <hyperlink ref="G968" display="http://vk.com/wall-87169444_12293185?reply=12293311&amp;thread=12293217" tooltip="http://vk.com/wall-87169444_12293185?reply=12293311&amp;thread=12293217" r:id="rId2154"/>
    <hyperlink ref="K968" display="http://vk.com/id749676261" tooltip="http://vk.com/id749676261" r:id="rId2155"/>
    <hyperlink ref="N968" display="http://vk.com/club87169444" tooltip="http://vk.com/club87169444" r:id="rId2156"/>
    <hyperlink ref="G969" display="http://www.ok.ru/profile/411053196041/statuses/155522841710601" tooltip="http://www.ok.ru/profile/411053196041/statuses/155522841710601" r:id="rId2157"/>
    <hyperlink ref="K969" display="http://www.ok.ru/profile/411053196041" tooltip="http://www.ok.ru/profile/411053196041" r:id="rId2158"/>
    <hyperlink ref="G970" display="http://www.ok.ru/profile/563749711170/statuses/155120122939458" tooltip="http://www.ok.ru/profile/563749711170/statuses/155120122939458" r:id="rId2159"/>
    <hyperlink ref="K970" display="http://www.ok.ru/profile/563749711170" tooltip="http://www.ok.ru/profile/563749711170" r:id="rId2160"/>
    <hyperlink ref="G971" display="http://www.ok.ru/profile/563407087064/statuses/155637765824728" tooltip="http://www.ok.ru/profile/563407087064/statuses/155637765824728" r:id="rId2161"/>
    <hyperlink ref="K971" display="http://www.ok.ru/profile/563407087064" tooltip="http://www.ok.ru/profile/563407087064" r:id="rId2162"/>
    <hyperlink ref="G972" display="http://vk.com/wall350562931_170" tooltip="http://vk.com/wall350562931_170" r:id="rId2163"/>
    <hyperlink ref="K972" display="http://vk.com/id350562931" tooltip="http://vk.com/id350562931" r:id="rId2164"/>
    <hyperlink ref="G973" display="http://vk.com/wall156994122_4940" tooltip="http://vk.com/wall156994122_4940" r:id="rId2165"/>
    <hyperlink ref="K973" display="http://vk.com/id156994122" tooltip="http://vk.com/id156994122" r:id="rId2166"/>
    <hyperlink ref="G974" display="http://www.ok.ru/profile/548554419318/statuses/156531674792822" tooltip="http://www.ok.ru/profile/548554419318/statuses/156531674792822" r:id="rId2167"/>
    <hyperlink ref="K974" display="http://www.ok.ru/profile/548554419318" tooltip="http://www.ok.ru/profile/548554419318" r:id="rId2168"/>
    <hyperlink ref="G975" display="http://www.ok.ru/profile/563349119662/statuses/156493214494894" tooltip="http://www.ok.ru/profile/563349119662/statuses/156493214494894" r:id="rId2169"/>
    <hyperlink ref="K975" display="http://www.ok.ru/profile/563349119662" tooltip="http://www.ok.ru/profile/563349119662" r:id="rId2170"/>
    <hyperlink ref="G976" display="https://telegram.me/kolokol_21/3504" tooltip="https://telegram.me/kolokol_21/3504" r:id="rId2171"/>
    <hyperlink ref="K976" display="https://telegram.me/kolokol_21" tooltip="https://telegram.me/kolokol_21" r:id="rId2172"/>
    <hyperlink ref="G977" display="http://vk.com/wall-155403177_57057?reply=57229&amp;thread=57063" tooltip="http://vk.com/wall-155403177_57057?reply=57229&amp;thread=57063" r:id="rId2173"/>
    <hyperlink ref="K977" display="http://vk.com/id564999158" tooltip="http://vk.com/id564999158" r:id="rId2174"/>
    <hyperlink ref="N977" display="http://vk.com/club155403177" tooltip="http://vk.com/club155403177" r:id="rId2175"/>
    <hyperlink ref="G978" display="http://www.ok.ru/profile/212789584072/statuses/155834967602632" tooltip="http://www.ok.ru/profile/212789584072/statuses/155834967602632" r:id="rId2176"/>
    <hyperlink ref="K978" display="http://www.ok.ru/profile/212789584072" tooltip="http://www.ok.ru/profile/212789584072" r:id="rId2177"/>
    <hyperlink ref="G979" display="http://www.ok.ru/profile/365817126074/statuses/155397848809658" tooltip="http://www.ok.ru/profile/365817126074/statuses/155397848809658" r:id="rId2178"/>
    <hyperlink ref="K979" display="http://www.ok.ru/profile/365817126074" tooltip="http://www.ok.ru/profile/365817126074" r:id="rId2179"/>
    <hyperlink ref="G980" display="http://www.ok.ru/profile/573791784916/statuses/155979256315348" tooltip="http://www.ok.ru/profile/573791784916/statuses/155979256315348" r:id="rId2180"/>
    <hyperlink ref="K980" display="http://www.ok.ru/profile/573791784916" tooltip="http://www.ok.ru/profile/573791784916" r:id="rId2181"/>
    <hyperlink ref="G981" display="http://vk.com/wall188988869_822" tooltip="http://vk.com/wall188988869_822" r:id="rId2182"/>
    <hyperlink ref="K981" display="http://vk.com/id188988869" tooltip="http://vk.com/id188988869" r:id="rId2183"/>
    <hyperlink ref="G982" display="http://www.ok.ru/profile/538901049127/statuses/155306666698791" tooltip="http://www.ok.ru/profile/538901049127/statuses/155306666698791" r:id="rId2184"/>
    <hyperlink ref="K982" display="http://www.ok.ru/profile/538901049127" tooltip="http://www.ok.ru/profile/538901049127" r:id="rId2185"/>
    <hyperlink ref="G983" display="http://monitoring-money.com/wiki/item/65566-krugovorot-ingavirina-v-seme-reyharta" tooltip="http://monitoring-money.com/wiki/item/65566-krugovorot-ingavirina-v-seme-reyharta" r:id="rId2186"/>
    <hyperlink ref="G984" display="http://www.ok.ru/profile/545852551192/statuses/156278108069912" tooltip="http://www.ok.ru/profile/545852551192/statuses/156278108069912" r:id="rId2187"/>
    <hyperlink ref="K984" display="http://www.ok.ru/profile/545852551192" tooltip="http://www.ok.ru/profile/545852551192" r:id="rId2188"/>
    <hyperlink ref="G985" display="http://vk.com/wall443322588_1174" tooltip="http://vk.com/wall443322588_1174" r:id="rId2189"/>
    <hyperlink ref="K985" display="http://vk.com/id443322588" tooltip="http://vk.com/id443322588" r:id="rId2190"/>
    <hyperlink ref="G986" display="http://vk.com/wall567796735_76" tooltip="http://vk.com/wall567796735_76" r:id="rId2191"/>
    <hyperlink ref="K986" display="http://vk.com/id567796735" tooltip="http://vk.com/id567796735" r:id="rId2192"/>
    <hyperlink ref="G987" display="http://vk.com/wall-155403177_57057?reply=57228&amp;thread=57063" tooltip="http://vk.com/wall-155403177_57057?reply=57228&amp;thread=57063" r:id="rId2193"/>
    <hyperlink ref="K987" display="http://vk.com/id564999158" tooltip="http://vk.com/id564999158" r:id="rId2194"/>
    <hyperlink ref="N987" display="http://vk.com/club155403177" tooltip="http://vk.com/club155403177" r:id="rId2195"/>
    <hyperlink ref="G988" display="http://www.ok.ru/profile/567428872334/statuses/156072703839118" tooltip="http://www.ok.ru/profile/567428872334/statuses/156072703839118" r:id="rId2196"/>
    <hyperlink ref="K988" display="http://www.ok.ru/profile/567428872334" tooltip="http://www.ok.ru/profile/567428872334" r:id="rId2197"/>
    <hyperlink ref="G989" display="https://telegram.me/anaboliki_chat/588325" tooltip="https://telegram.me/anaboliki_chat/588325" r:id="rId2198"/>
    <hyperlink ref="K989" display="https://telegram.me/" tooltip="https://telegram.me/" r:id="rId2199"/>
    <hyperlink ref="N989" display="https://telegram.me/anaboliki_chat" tooltip="https://telegram.me/anaboliki_chat" r:id="rId2200"/>
    <hyperlink ref="G990" display="https://www.babyblog.ru/community/diseases/post/3125065" tooltip="https://www.babyblog.ru/community/diseases/post/3125065" r:id="rId2201"/>
    <hyperlink ref="G991" display="http://vk.com/wall-114156683_126915?reply=126916" tooltip="http://vk.com/wall-114156683_126915?reply=126916" r:id="rId2202"/>
    <hyperlink ref="K991" display="http://vk.com/id700967740" tooltip="http://vk.com/id700967740" r:id="rId2203"/>
    <hyperlink ref="N991" display="http://vk.com/club114156683" tooltip="http://vk.com/club114156683" r:id="rId2204"/>
    <hyperlink ref="G992" display="http://vk.com/wall-155403177_57057?reply=57226&amp;thread=57063" tooltip="http://vk.com/wall-155403177_57057?reply=57226&amp;thread=57063" r:id="rId2205"/>
    <hyperlink ref="K992" display="http://vk.com/id564999158" tooltip="http://vk.com/id564999158" r:id="rId2206"/>
    <hyperlink ref="N992" display="http://vk.com/club155403177" tooltip="http://vk.com/club155403177" r:id="rId2207"/>
    <hyperlink ref="G993" display="http://vk.com/wall516956480_1582" tooltip="http://vk.com/wall516956480_1582" r:id="rId2208"/>
    <hyperlink ref="K993" display="http://vk.com/id516956480" tooltip="http://vk.com/id516956480" r:id="rId2209"/>
    <hyperlink ref="G994" display="http://vk.com/wall553740263_173" tooltip="http://vk.com/wall553740263_173" r:id="rId2210"/>
    <hyperlink ref="K994" display="http://vk.com/id553740263" tooltip="http://vk.com/id553740263" r:id="rId2211"/>
    <hyperlink ref="G995" display="http://vk.com/wall211735607_3911" tooltip="http://vk.com/wall211735607_3911" r:id="rId2212"/>
    <hyperlink ref="K995" display="http://vk.com/id211735607" tooltip="http://vk.com/id211735607" r:id="rId2213"/>
    <hyperlink ref="G996" display="http://www.youtube.com/watch?v=xfx8WR60uIA&amp;lc=UgxBHoG2O0URGGdKqQF4AaABAg.9oQtY1Piv5f9oSYI4Aehop" tooltip="http://www.youtube.com/watch?v=xfx8WR60uIA&amp;lc=UgxBHoG2O0URGGdKqQF4AaABAg.9oQtY1Piv5f9oSYI4Aehop" r:id="rId2214"/>
    <hyperlink ref="K996" display="http://www.youtube.com/channel/UC4hus2HoJyRuCC3bucuRfvA" tooltip="http://www.youtube.com/channel/UC4hus2HoJyRuCC3bucuRfvA" r:id="rId2215"/>
    <hyperlink ref="N996" display="http://www.youtube.com/channel/UCUs4YGaEXLUtCzshe-PhbCw" tooltip="http://www.youtube.com/channel/UCUs4YGaEXLUtCzshe-PhbCw" r:id="rId2216"/>
    <hyperlink ref="G997" display="http://vk.com/wall563468472_219" tooltip="http://vk.com/wall563468472_219" r:id="rId2217"/>
    <hyperlink ref="K997" display="http://vk.com/id563468472" tooltip="http://vk.com/id563468472" r:id="rId2218"/>
    <hyperlink ref="G998" display="http://www.ok.ru/profile/557581145332/statuses/156304941218804" tooltip="http://www.ok.ru/profile/557581145332/statuses/156304941218804" r:id="rId2219"/>
    <hyperlink ref="K998" display="http://www.ok.ru/profile/557581145332" tooltip="http://www.ok.ru/profile/557581145332" r:id="rId2220"/>
    <hyperlink ref="G999" display="http://vk.com/wall-150054253_404704?reply=404708" tooltip="http://vk.com/wall-150054253_404704?reply=404708" r:id="rId2221"/>
    <hyperlink ref="K999" display="http://vk.com/id105628473" tooltip="http://vk.com/id105628473" r:id="rId2222"/>
    <hyperlink ref="N999" display="http://vk.com/club150054253" tooltip="http://vk.com/club150054253" r:id="rId2223"/>
    <hyperlink ref="G1000" display="http://vk.com/wall-150054253_404704?reply=404707" tooltip="http://vk.com/wall-150054253_404704?reply=404707" r:id="rId2224"/>
    <hyperlink ref="K1000" display="http://vk.com/id62140573" tooltip="http://vk.com/id62140573" r:id="rId2225"/>
    <hyperlink ref="N1000" display="http://vk.com/club150054253" tooltip="http://vk.com/club150054253" r:id="rId2226"/>
    <hyperlink ref="G1001" display="https://www.baby.ru/blogs/post/2611463403-520375476/" tooltip="https://www.baby.ru/blogs/post/2611463403-520375476/" r:id="rId2227"/>
    <hyperlink ref="K1001" display="https://www.baby.ru/u/usr2601479/" tooltip="https://www.baby.ru/u/usr2601479/" r:id="rId2228"/>
    <hyperlink ref="N1001" display="https://www.baby.ru/u/usr1132236/" tooltip="https://www.baby.ru/u/usr1132236/" r:id="rId2229"/>
    <hyperlink ref="G1002" display="http://www.ok.ru/profile/572418878058/statuses/155981869562730" tooltip="http://www.ok.ru/profile/572418878058/statuses/155981869562730" r:id="rId2230"/>
    <hyperlink ref="K1002" display="http://www.ok.ru/profile/572418878058" tooltip="http://www.ok.ru/profile/572418878058" r:id="rId2231"/>
    <hyperlink ref="G1003" display="http://www.ok.ru/profile/521829647348/statuses/156304922934260" tooltip="http://www.ok.ru/profile/521829647348/statuses/156304922934260" r:id="rId2232"/>
    <hyperlink ref="K1003" display="http://www.ok.ru/profile/521829647348" tooltip="http://www.ok.ru/profile/521829647348" r:id="rId2233"/>
    <hyperlink ref="G1004" display="http://vk.com/wall512576493_1599" tooltip="http://vk.com/wall512576493_1599" r:id="rId2234"/>
    <hyperlink ref="K1004" display="http://vk.com/id512576493" tooltip="http://vk.com/id512576493" r:id="rId2235"/>
    <hyperlink ref="G1005" display="https://telegram.me/hhv7ru/634049" tooltip="https://telegram.me/hhv7ru/634049" r:id="rId2236"/>
    <hyperlink ref="K1005" display="https://telegram.me/" tooltip="https://telegram.me/" r:id="rId2237"/>
    <hyperlink ref="N1005" display="https://telegram.me/hhv7ru" tooltip="https://telegram.me/hhv7ru" r:id="rId2238"/>
    <hyperlink ref="G1006" display="http://vk.com/wall-139923997_4238168?reply=4239847&amp;thread=4238180" tooltip="http://vk.com/wall-139923997_4238168?reply=4239847&amp;thread=4238180" r:id="rId2239"/>
    <hyperlink ref="K1006" display="http://vk.com/id564998361" tooltip="http://vk.com/id564998361" r:id="rId2240"/>
    <hyperlink ref="N1006" display="http://vk.com/club139923997" tooltip="http://vk.com/club139923997" r:id="rId2241"/>
    <hyperlink ref="G1007" display="http://www.ok.ru/profile/589645008146/statuses/156149677889554" tooltip="http://www.ok.ru/profile/589645008146/statuses/156149677889554" r:id="rId2242"/>
    <hyperlink ref="K1007" display="http://www.ok.ru/profile/589645008146" tooltip="http://www.ok.ru/profile/589645008146" r:id="rId2243"/>
    <hyperlink ref="G1008" display="http://vk.com/wall-175424117_692371?reply=692376" tooltip="http://vk.com/wall-175424117_692371?reply=692376" r:id="rId2244"/>
    <hyperlink ref="K1008" display="http://vk.com/id964445" tooltip="http://vk.com/id964445" r:id="rId2245"/>
    <hyperlink ref="N1008" display="http://vk.com/club175424117" tooltip="http://vk.com/club175424117" r:id="rId2246"/>
    <hyperlink ref="G1009" display="http://www.ok.ru/profile/560137967353/statuses/155283083100409" tooltip="http://www.ok.ru/profile/560137967353/statuses/155283083100409" r:id="rId2247"/>
    <hyperlink ref="K1009" display="http://www.ok.ru/profile/560137967353" tooltip="http://www.ok.ru/profile/560137967353" r:id="rId2248"/>
    <hyperlink ref="G1010" display="http://www.ok.ru/profile/572552791405/statuses/155867299167085" tooltip="http://www.ok.ru/profile/572552791405/statuses/155867299167085" r:id="rId2249"/>
    <hyperlink ref="K1010" display="http://www.ok.ru/profile/572552791405" tooltip="http://www.ok.ru/profile/572552791405" r:id="rId2250"/>
    <hyperlink ref="G1011" display="http://vk.com/wall-1678339_2239751?reply=2239788" tooltip="http://vk.com/wall-1678339_2239751?reply=2239788" r:id="rId2251"/>
    <hyperlink ref="K1011" display="http://vk.com/id259475676" tooltip="http://vk.com/id259475676" r:id="rId2252"/>
    <hyperlink ref="N1011" display="http://vk.com/club1678339" tooltip="http://vk.com/club1678339" r:id="rId2253"/>
    <hyperlink ref="G1012" display="http://vk.com/wall-58073616_649555?reply=649596&amp;thread=649582" tooltip="http://vk.com/wall-58073616_649555?reply=649596&amp;thread=649582" r:id="rId2254"/>
    <hyperlink ref="K1012" display="http://vk.com/id32185341" tooltip="http://vk.com/id32185341" r:id="rId2255"/>
    <hyperlink ref="N1012" display="http://vk.com/club58073616" tooltip="http://vk.com/club58073616" r:id="rId2256"/>
    <hyperlink ref="G1013" display="http://vk.com/wall66980813_2677" tooltip="http://vk.com/wall66980813_2677" r:id="rId2257"/>
    <hyperlink ref="K1013" display="http://vk.com/id66980813" tooltip="http://vk.com/id66980813" r:id="rId2258"/>
    <hyperlink ref="G1014" display="http://www.ok.ru/profile/562130090479/statuses/156316760931823" tooltip="http://www.ok.ru/profile/562130090479/statuses/156316760931823" r:id="rId2259"/>
    <hyperlink ref="K1014" display="http://www.ok.ru/profile/562130090479" tooltip="http://www.ok.ru/profile/562130090479" r:id="rId2260"/>
    <hyperlink ref="G1015" display="https://mom.life/post/6438385f44703c5e234cdfad" tooltip="https://mom.life/post/6438385f44703c5e234cdfad" r:id="rId2261"/>
    <hyperlink ref="K1015" display="https://mom.life/" tooltip="https://mom.life/" r:id="rId2262"/>
    <hyperlink ref="G1016" display="http://www.ok.ru/profile/591909245469/statuses/155023043611933" tooltip="http://www.ok.ru/profile/591909245469/statuses/155023043611933" r:id="rId2263"/>
    <hyperlink ref="K1016" display="http://www.ok.ru/profile/591909245469" tooltip="http://www.ok.ru/profile/591909245469" r:id="rId2264"/>
    <hyperlink ref="G1017" display="http://www.ok.ru/profile/507494050339/statuses/156261101391139" tooltip="http://www.ok.ru/profile/507494050339/statuses/156261101391139" r:id="rId2265"/>
    <hyperlink ref="K1017" display="http://www.ok.ru/profile/507494050339" tooltip="http://www.ok.ru/profile/507494050339" r:id="rId2266"/>
    <hyperlink ref="G1018" display="http://www.ok.ru/group/47187324633135/topic/157513051655471" tooltip="http://www.ok.ru/group/47187324633135/topic/157513051655471" r:id="rId2267"/>
    <hyperlink ref="K1018" display="http://www.ok.ru/group/47187324633135" tooltip="http://www.ok.ru/group/47187324633135" r:id="rId2268"/>
    <hyperlink ref="G1019" display="http://vk.com/wall158894058_1313" tooltip="http://vk.com/wall158894058_1313" r:id="rId2269"/>
    <hyperlink ref="K1019" display="http://vk.com/id158894058" tooltip="http://vk.com/id158894058" r:id="rId2270"/>
    <hyperlink ref="G1020" display="http://vk.com/wall-127321163_1127433?reply=1128374" tooltip="http://vk.com/wall-127321163_1127433?reply=1128374" r:id="rId2271"/>
    <hyperlink ref="K1020" display="http://vk.com/id793503693" tooltip="http://vk.com/id793503693" r:id="rId2272"/>
    <hyperlink ref="N1020" display="http://vk.com/club127321163" tooltip="http://vk.com/club127321163" r:id="rId2273"/>
    <hyperlink ref="G1021" display="https://telegram.me/Votuum/2297" tooltip="https://telegram.me/Votuum/2297" r:id="rId2274"/>
    <hyperlink ref="K1021" display="https://telegram.me/Votuum" tooltip="https://telegram.me/Votuum" r:id="rId2275"/>
    <hyperlink ref="G1022" display="https://telegram.me/politcircus/9751" tooltip="https://telegram.me/politcircus/9751" r:id="rId2276"/>
    <hyperlink ref="K1022" display="https://telegram.me/politcircus" tooltip="https://telegram.me/politcircus" r:id="rId2277"/>
    <hyperlink ref="G1023" display="http://vk.com/wall198607286_16927" tooltip="http://vk.com/wall198607286_16927" r:id="rId2278"/>
    <hyperlink ref="K1023" display="http://vk.com/id198607286" tooltip="http://vk.com/id198607286" r:id="rId2279"/>
    <hyperlink ref="G1024" display="http://vk.com/wall-179880924_386" tooltip="http://vk.com/wall-179880924_386" r:id="rId2280"/>
    <hyperlink ref="K1024" display="http://vk.com/club179880924" tooltip="http://vk.com/club179880924" r:id="rId2281"/>
    <hyperlink ref="G1025" display="http://www.ok.ru/profile/564121568102/statuses/155235952060518" tooltip="http://www.ok.ru/profile/564121568102/statuses/155235952060518" r:id="rId2282"/>
    <hyperlink ref="K1025" display="http://www.ok.ru/profile/564121568102" tooltip="http://www.ok.ru/profile/564121568102" r:id="rId2283"/>
    <hyperlink ref="G1026" display="http://www.ok.ru/profile/584359559681/statuses/154790890341121" tooltip="http://www.ok.ru/profile/584359559681/statuses/154790890341121" r:id="rId2284"/>
    <hyperlink ref="K1026" display="http://www.ok.ru/profile/584359559681" tooltip="http://www.ok.ru/profile/584359559681" r:id="rId2285"/>
    <hyperlink ref="G1027" display="http://vk.com/wall-136860886_525463?reply=525902" tooltip="http://vk.com/wall-136860886_525463?reply=525902" r:id="rId2286"/>
    <hyperlink ref="K1027" display="http://vk.com/id793503693" tooltip="http://vk.com/id793503693" r:id="rId2287"/>
    <hyperlink ref="N1027" display="http://vk.com/club136860886" tooltip="http://vk.com/club136860886" r:id="rId2288"/>
    <hyperlink ref="G1028" display="https://factornews.ru/news/v-kareliju-za-nedelju-vyrosli-tseny-na-nekotorye-produkty/" tooltip="https://factornews.ru/news/v-kareliju-za-nedelju-vyrosli-tseny-na-nekotorye-produkty/" r:id="rId2289"/>
    <hyperlink ref="G1029" display="http://vk.com/wall-110697272_513644?reply=513681" tooltip="http://vk.com/wall-110697272_513644?reply=513681" r:id="rId2290"/>
    <hyperlink ref="K1029" display="http://vk.com/id793503693" tooltip="http://vk.com/id793503693" r:id="rId2291"/>
    <hyperlink ref="N1029" display="http://vk.com/club110697272" tooltip="http://vk.com/club110697272" r:id="rId2292"/>
    <hyperlink ref="G1030" display="http://vk.com/wall-167717868_619295?reply=619297" tooltip="http://vk.com/wall-167717868_619295?reply=619297" r:id="rId2293"/>
    <hyperlink ref="K1030" display="http://vk.com/id32336022" tooltip="http://vk.com/id32336022" r:id="rId2294"/>
    <hyperlink ref="N1030" display="http://vk.com/club167717868" tooltip="http://vk.com/club167717868" r:id="rId2295"/>
    <hyperlink ref="G1031" display="http://www.ok.ru/profile/579439682071/statuses/155963918699799" tooltip="http://www.ok.ru/profile/579439682071/statuses/155963918699799" r:id="rId2296"/>
    <hyperlink ref="K1031" display="http://www.ok.ru/profile/579439682071" tooltip="http://www.ok.ru/profile/579439682071" r:id="rId2297"/>
    <hyperlink ref="G1032" display="http://www.ok.ru/profile/563116094315/statuses/156101601254763" tooltip="http://www.ok.ru/profile/563116094315/statuses/156101601254763" r:id="rId2298"/>
    <hyperlink ref="K1032" display="http://www.ok.ru/profile/563116094315" tooltip="http://www.ok.ru/profile/563116094315" r:id="rId2299"/>
    <hyperlink ref="G1033" display="http://www.ok.ru/profile/520239845039/statuses/156334907906991" tooltip="http://www.ok.ru/profile/520239845039/statuses/156334907906991" r:id="rId2300"/>
    <hyperlink ref="K1033" display="http://www.ok.ru/profile/520239845039" tooltip="http://www.ok.ru/profile/520239845039" r:id="rId2301"/>
    <hyperlink ref="G1034" display="http://www.ok.ru/profile/570056524749/statuses/156009328602061" tooltip="http://www.ok.ru/profile/570056524749/statuses/156009328602061" r:id="rId2302"/>
    <hyperlink ref="K1034" display="http://www.ok.ru/profile/570056524749" tooltip="http://www.ok.ru/profile/570056524749" r:id="rId2303"/>
    <hyperlink ref="G1035" display="http://vk.com/wall-1023421_1005034" tooltip="http://vk.com/wall-1023421_1005034" r:id="rId2304"/>
    <hyperlink ref="K1035" display="http://vk.com/club1023421" tooltip="http://vk.com/club1023421" r:id="rId2305"/>
    <hyperlink ref="G1036" display="http://vk.com/wall-95556357_683" tooltip="http://vk.com/wall-95556357_683" r:id="rId2306"/>
    <hyperlink ref="K1036" display="http://vk.com/club95556357" tooltip="http://vk.com/club95556357" r:id="rId2307"/>
    <hyperlink ref="G1037" display="http://vk.com/wall-135814562_2463230?reply=2470733" tooltip="http://vk.com/wall-135814562_2463230?reply=2470733" r:id="rId2308"/>
    <hyperlink ref="K1037" display="http://vk.com/id793503693" tooltip="http://vk.com/id793503693" r:id="rId2309"/>
    <hyperlink ref="N1037" display="http://vk.com/club135814562" tooltip="http://vk.com/club135814562" r:id="rId2310"/>
    <hyperlink ref="G1038" display="http://vk.com/wall-58073616_649555?reply=649582" tooltip="http://vk.com/wall-58073616_649555?reply=649582" r:id="rId2311"/>
    <hyperlink ref="K1038" display="http://vk.com/id429393167" tooltip="http://vk.com/id429393167" r:id="rId2312"/>
    <hyperlink ref="N1038" display="http://vk.com/club58073616" tooltip="http://vk.com/club58073616" r:id="rId2313"/>
    <hyperlink ref="G1039" display="http://vk.com/wall-111918418_3320645?reply=3320795" tooltip="http://vk.com/wall-111918418_3320645?reply=3320795" r:id="rId2314"/>
    <hyperlink ref="K1039" display="http://vk.com/id149093726" tooltip="http://vk.com/id149093726" r:id="rId2315"/>
    <hyperlink ref="N1039" display="http://vk.com/club111918418" tooltip="http://vk.com/club111918418" r:id="rId2316"/>
    <hyperlink ref="G1040" display="http://vk.com/wall288740654_93515" tooltip="http://vk.com/wall288740654_93515" r:id="rId2317"/>
    <hyperlink ref="K1040" display="http://vk.com/id288740654" tooltip="http://vk.com/id288740654" r:id="rId2318"/>
    <hyperlink ref="G1041" display="http://vk.com/wall-162424850_543650?reply=543680" tooltip="http://vk.com/wall-162424850_543650?reply=543680" r:id="rId2319"/>
    <hyperlink ref="K1041" display="http://vk.com/id573462212" tooltip="http://vk.com/id573462212" r:id="rId2320"/>
    <hyperlink ref="N1041" display="http://vk.com/club162424850" tooltip="http://vk.com/club162424850" r:id="rId2321"/>
    <hyperlink ref="G1042" display="http://www.ok.ru/profile/486659743339/statuses/156101575499115" tooltip="http://www.ok.ru/profile/486659743339/statuses/156101575499115" r:id="rId2322"/>
    <hyperlink ref="K1042" display="http://www.ok.ru/profile/486659743339" tooltip="http://www.ok.ru/profile/486659743339" r:id="rId2323"/>
    <hyperlink ref="G1043" display="http://www.ok.ru/profile/586850999841/statuses/154876992694305" tooltip="http://www.ok.ru/profile/586850999841/statuses/154876992694305" r:id="rId2324"/>
    <hyperlink ref="K1043" display="http://www.ok.ru/profile/586850999841" tooltip="http://www.ok.ru/profile/586850999841" r:id="rId2325"/>
    <hyperlink ref="G1044" display="http://vk.com/wall-118188716_869434?reply=871007" tooltip="http://vk.com/wall-118188716_869434?reply=871007" r:id="rId2326"/>
    <hyperlink ref="K1044" display="http://vk.com/id793503693" tooltip="http://vk.com/id793503693" r:id="rId2327"/>
    <hyperlink ref="N1044" display="http://vk.com/club118188716" tooltip="http://vk.com/club118188716" r:id="rId2328"/>
    <hyperlink ref="G1045" display="http://vk.com/wall713262819_417" tooltip="http://vk.com/wall713262819_417" r:id="rId2329"/>
    <hyperlink ref="K1045" display="http://vk.com/id713262819" tooltip="http://vk.com/id713262819" r:id="rId2330"/>
    <hyperlink ref="G1046" display="http://www.ok.ru/group/62531117318347/topic/155831870092747" tooltip="http://www.ok.ru/group/62531117318347/topic/155831870092747" r:id="rId2331"/>
    <hyperlink ref="K1046" display="http://www.ok.ru/group/62531117318347" tooltip="http://www.ok.ru/group/62531117318347" r:id="rId2332"/>
    <hyperlink ref="G1047" display="https://dzen.ru/a/ZDgjEIYkRh3GBFBR" tooltip="https://dzen.ru/a/ZDgjEIYkRh3GBFBR" r:id="rId2333"/>
    <hyperlink ref="K1047" display="https://dzen.ru/id/60681da99678a719cc83d540" tooltip="https://dzen.ru/id/60681da99678a719cc83d540" r:id="rId2334"/>
    <hyperlink ref="G1048" display="http://www.ok.ru/profile/461888111230/statuses/154971460436094" tooltip="http://www.ok.ru/profile/461888111230/statuses/154971460436094" r:id="rId2335"/>
    <hyperlink ref="K1048" display="http://www.ok.ru/profile/461888111230" tooltip="http://www.ok.ru/profile/461888111230" r:id="rId2336"/>
    <hyperlink ref="G1049" display="http://vk.com/wall-17577887_8008027?reply=8008238" tooltip="http://vk.com/wall-17577887_8008027?reply=8008238" r:id="rId2337"/>
    <hyperlink ref="K1049" display="http://vk.com/id148041737" tooltip="http://vk.com/id148041737" r:id="rId2338"/>
    <hyperlink ref="N1049" display="http://vk.com/club17577887" tooltip="http://vk.com/club17577887" r:id="rId2339"/>
    <hyperlink ref="G1050" display="https://www.baby.ru/community/view/30500/forum/post/2611538410/" tooltip="https://www.baby.ru/community/view/30500/forum/post/2611538410/" r:id="rId2340"/>
    <hyperlink ref="K1050" display="https://www.baby.ru/u/usr1395184/" tooltip="https://www.baby.ru/u/usr1395184/" r:id="rId2341"/>
    <hyperlink ref="N1050" display="https://www.baby.ru/u/usr2936254/" tooltip="https://www.baby.ru/u/usr2936254/" r:id="rId2342"/>
    <hyperlink ref="G1051" display="http://www.ok.ru/profile/575564183939/statuses/154869661885827" tooltip="http://www.ok.ru/profile/575564183939/statuses/154869661885827" r:id="rId2343"/>
    <hyperlink ref="K1051" display="http://www.ok.ru/profile/575564183939" tooltip="http://www.ok.ru/profile/575564183939" r:id="rId2344"/>
    <hyperlink ref="G1052" display="http://vk.com/wall468199266_713" tooltip="http://vk.com/wall468199266_713" r:id="rId2345"/>
    <hyperlink ref="K1052" display="http://vk.com/id468199266" tooltip="http://vk.com/id468199266" r:id="rId2346"/>
    <hyperlink ref="G1053" display="http://vk.com/wall144338088_11010" tooltip="http://vk.com/wall144338088_11010" r:id="rId2347"/>
    <hyperlink ref="K1053" display="http://vk.com/id144338088" tooltip="http://vk.com/id144338088" r:id="rId2348"/>
    <hyperlink ref="G1054" display="http://www.ok.ru/profile/330157481884/statuses/155003636064412" tooltip="http://www.ok.ru/profile/330157481884/statuses/155003636064412" r:id="rId2349"/>
    <hyperlink ref="K1054" display="http://www.ok.ru/profile/330157481884" tooltip="http://www.ok.ru/profile/330157481884" r:id="rId2350"/>
    <hyperlink ref="G1055" display="http://www.ok.ru/profile/591793774873/statuses/156520185172761" tooltip="http://www.ok.ru/profile/591793774873/statuses/156520185172761" r:id="rId2351"/>
    <hyperlink ref="K1055" display="http://www.ok.ru/profile/591793774873" tooltip="http://www.ok.ru/profile/591793774873" r:id="rId2352"/>
    <hyperlink ref="G1056" display="http://vk.com/wall200200330_58089" tooltip="http://vk.com/wall200200330_58089" r:id="rId2353"/>
    <hyperlink ref="K1056" display="http://vk.com/id200200330" tooltip="http://vk.com/id200200330" r:id="rId2354"/>
    <hyperlink ref="G1057" display="http://www.ok.ru/profile/554335230200/statuses/155670328919544" tooltip="http://www.ok.ru/profile/554335230200/statuses/155670328919544" r:id="rId2355"/>
    <hyperlink ref="K1057" display="http://www.ok.ru/profile/554335230200" tooltip="http://www.ok.ru/profile/554335230200" r:id="rId2356"/>
    <hyperlink ref="G1058" display="http://vk.com/wall-134456770_246462?reply=246919" tooltip="http://vk.com/wall-134456770_246462?reply=246919" r:id="rId2357"/>
    <hyperlink ref="K1058" display="http://vk.com/id793503693" tooltip="http://vk.com/id793503693" r:id="rId2358"/>
    <hyperlink ref="N1058" display="http://vk.com/club134456770" tooltip="http://vk.com/club134456770" r:id="rId2359"/>
    <hyperlink ref="G1059" display="http://www.ok.ru/profile/509870544860/statuses/155434364597212" tooltip="http://www.ok.ru/profile/509870544860/statuses/155434364597212" r:id="rId2360"/>
    <hyperlink ref="K1059" display="http://www.ok.ru/profile/509870544860" tooltip="http://www.ok.ru/profile/509870544860" r:id="rId2361"/>
    <hyperlink ref="G1060" display="http://vk.com/wall-135814562_2463230?reply=2470731" tooltip="http://vk.com/wall-135814562_2463230?reply=2470731" r:id="rId2362"/>
    <hyperlink ref="K1060" display="http://vk.com/id793503693" tooltip="http://vk.com/id793503693" r:id="rId2363"/>
    <hyperlink ref="N1060" display="http://vk.com/club135814562" tooltip="http://vk.com/club135814562" r:id="rId2364"/>
    <hyperlink ref="G1061" display="http://vk.com/wall630989576_219" tooltip="http://vk.com/wall630989576_219" r:id="rId2365"/>
    <hyperlink ref="K1061" display="http://vk.com/id630989576" tooltip="http://vk.com/id630989576" r:id="rId2366"/>
    <hyperlink ref="G1062" display="http://vk.com/wall-111555133_2688910?reply=2689009" tooltip="http://vk.com/wall-111555133_2688910?reply=2689009" r:id="rId2367"/>
    <hyperlink ref="K1062" display="http://vk.com/id793510155" tooltip="http://vk.com/id793510155" r:id="rId2368"/>
    <hyperlink ref="N1062" display="http://vk.com/club111555133" tooltip="http://vk.com/club111555133" r:id="rId2369"/>
    <hyperlink ref="G1063" display="http://www.ok.ru/profile/482720420070/statuses/156600225545702" tooltip="http://www.ok.ru/profile/482720420070/statuses/156600225545702" r:id="rId2370"/>
    <hyperlink ref="K1063" display="http://www.ok.ru/profile/482720420070" tooltip="http://www.ok.ru/profile/482720420070" r:id="rId2371"/>
    <hyperlink ref="G1064" display="http://www.ok.ru/profile/587606618671/statuses/157512975961391" tooltip="http://www.ok.ru/profile/587606618671/statuses/157512975961391" r:id="rId2372"/>
    <hyperlink ref="K1064" display="http://www.ok.ru/profile/587606618671" tooltip="http://www.ok.ru/profile/587606618671" r:id="rId2373"/>
    <hyperlink ref="G1065" display="http://vk.com/wall-124730601_1465" tooltip="http://vk.com/wall-124730601_1465" r:id="rId2374"/>
    <hyperlink ref="K1065" display="http://vk.com/club124730601" tooltip="http://vk.com/club124730601" r:id="rId2375"/>
    <hyperlink ref="G1066" display="http://vk.com/wall-87169444_12293271?reply=12293292" tooltip="http://vk.com/wall-87169444_12293271?reply=12293292" r:id="rId2376"/>
    <hyperlink ref="K1066" display="http://vk.com/id785219250" tooltip="http://vk.com/id785219250" r:id="rId2377"/>
    <hyperlink ref="N1066" display="http://vk.com/club87169444" tooltip="http://vk.com/club87169444" r:id="rId2378"/>
    <hyperlink ref="G1067" display="http://www.ok.ru/profile/554775786465/statuses/155498159401185" tooltip="http://www.ok.ru/profile/554775786465/statuses/155498159401185" r:id="rId2379"/>
    <hyperlink ref="K1067" display="http://www.ok.ru/profile/554775786465" tooltip="http://www.ok.ru/profile/554775786465" r:id="rId2380"/>
    <hyperlink ref="G1068" display="http://www.ok.ru/profile/540781198977/statuses/154742834366593" tooltip="http://www.ok.ru/profile/540781198977/statuses/154742834366593" r:id="rId2381"/>
    <hyperlink ref="K1068" display="http://www.ok.ru/profile/540781198977" tooltip="http://www.ok.ru/profile/540781198977" r:id="rId2382"/>
    <hyperlink ref="G1069" display="http://www.ok.ru/profile/256437886698/statuses/156306373341418" tooltip="http://www.ok.ru/profile/256437886698/statuses/156306373341418" r:id="rId2383"/>
    <hyperlink ref="K1069" display="http://www.ok.ru/profile/256437886698" tooltip="http://www.ok.ru/profile/256437886698" r:id="rId2384"/>
    <hyperlink ref="G1070" display="http://vk.com/wall-51700884_1805845?reply=1806963" tooltip="http://vk.com/wall-51700884_1805845?reply=1806963" r:id="rId2385"/>
    <hyperlink ref="K1070" display="http://vk.com/id785219250" tooltip="http://vk.com/id785219250" r:id="rId2386"/>
    <hyperlink ref="N1070" display="http://vk.com/club51700884" tooltip="http://vk.com/club51700884" r:id="rId2387"/>
    <hyperlink ref="G1071" display="http://www.ok.ru/profile/568567359115/statuses/156160922209163" tooltip="http://www.ok.ru/profile/568567359115/statuses/156160922209163" r:id="rId2388"/>
    <hyperlink ref="K1071" display="http://www.ok.ru/profile/568567359115" tooltip="http://www.ok.ru/profile/568567359115" r:id="rId2389"/>
    <hyperlink ref="G1072" display="http://www.ok.ru/profile/554775786465/statuses/155498153240801" tooltip="http://www.ok.ru/profile/554775786465/statuses/155498153240801" r:id="rId2390"/>
    <hyperlink ref="K1072" display="http://www.ok.ru/profile/554775786465" tooltip="http://www.ok.ru/profile/554775786465" r:id="rId2391"/>
    <hyperlink ref="G1073" display="http://vk.com/wall430817000_2062" tooltip="http://vk.com/wall430817000_2062" r:id="rId2392"/>
    <hyperlink ref="K1073" display="http://vk.com/id430817000" tooltip="http://vk.com/id430817000" r:id="rId2393"/>
    <hyperlink ref="G1074" display="http://vk.com/wall430817000_2061" tooltip="http://vk.com/wall430817000_2061" r:id="rId2394"/>
    <hyperlink ref="K1074" display="http://vk.com/id430817000" tooltip="http://vk.com/id430817000" r:id="rId2395"/>
    <hyperlink ref="G1075" display="http://www.ok.ru/profile/550779649655/statuses/155774137984375" tooltip="http://www.ok.ru/profile/550779649655/statuses/155774137984375" r:id="rId2396"/>
    <hyperlink ref="K1075" display="http://www.ok.ru/profile/550779649655" tooltip="http://www.ok.ru/profile/550779649655" r:id="rId2397"/>
    <hyperlink ref="G1076" display="http://vk.com/wall-33277814_729930?reply=730715" tooltip="http://vk.com/wall-33277814_729930?reply=730715" r:id="rId2398"/>
    <hyperlink ref="K1076" display="http://vk.com/id785219250" tooltip="http://vk.com/id785219250" r:id="rId2399"/>
    <hyperlink ref="N1076" display="http://vk.com/club33277814" tooltip="http://vk.com/club33277814" r:id="rId2400"/>
    <hyperlink ref="G1077" display="https://telegram.me/sandiexpert/3905?comment=32750" tooltip="https://telegram.me/sandiexpert/3905?comment=32750" r:id="rId2401"/>
    <hyperlink ref="K1077" display="https://telegram.me/iGilman" tooltip="https://telegram.me/iGilman" r:id="rId2402"/>
    <hyperlink ref="N1077" display="https://telegram.me/sandiexpert" tooltip="https://telegram.me/sandiexpert" r:id="rId2403"/>
    <hyperlink ref="G1078" display="http://www.ok.ru/profile/744458888/statuses/155483945126792" tooltip="http://www.ok.ru/profile/744458888/statuses/155483945126792" r:id="rId2404"/>
    <hyperlink ref="K1078" display="http://www.ok.ru/profile/744458888" tooltip="http://www.ok.ru/profile/744458888" r:id="rId2405"/>
    <hyperlink ref="G1079" display="http://vk.com/wall-111555133_2688910?reply=2688997" tooltip="http://vk.com/wall-111555133_2688910?reply=2688997" r:id="rId2406"/>
    <hyperlink ref="K1079" display="http://vk.com/id254009760" tooltip="http://vk.com/id254009760" r:id="rId2407"/>
    <hyperlink ref="N1079" display="http://vk.com/club111555133" tooltip="http://vk.com/club111555133" r:id="rId2408"/>
    <hyperlink ref="G1080" display="http://www.ok.ru/profile/573246594677/statuses/156155041708149" tooltip="http://www.ok.ru/profile/573246594677/statuses/156155041708149" r:id="rId2409"/>
    <hyperlink ref="K1080" display="http://www.ok.ru/profile/573246594677" tooltip="http://www.ok.ru/profile/573246594677" r:id="rId2410"/>
    <hyperlink ref="G1081" display="http://www.ok.ru/profile/590601977880/statuses/156277927125016" tooltip="http://www.ok.ru/profile/590601977880/statuses/156277927125016" r:id="rId2411"/>
    <hyperlink ref="K1081" display="http://www.ok.ru/profile/590601977880" tooltip="http://www.ok.ru/profile/590601977880" r:id="rId2412"/>
    <hyperlink ref="G1082" display="http://vk.com/wall-153326278_404946?reply=405133" tooltip="http://vk.com/wall-153326278_404946?reply=405133" r:id="rId2413"/>
    <hyperlink ref="K1082" display="http://vk.com/id785219250" tooltip="http://vk.com/id785219250" r:id="rId2414"/>
    <hyperlink ref="N1082" display="http://vk.com/club153326278" tooltip="http://vk.com/club153326278" r:id="rId2415"/>
    <hyperlink ref="G1083" display="http://vk.com/wall-151317267_158355?reply=158639" tooltip="http://vk.com/wall-151317267_158355?reply=158639" r:id="rId2416"/>
    <hyperlink ref="K1083" display="http://vk.com/id793510155" tooltip="http://vk.com/id793510155" r:id="rId2417"/>
    <hyperlink ref="N1083" display="http://vk.com/club151317267" tooltip="http://vk.com/club151317267" r:id="rId2418"/>
    <hyperlink ref="G1084" display="http://vk.com/wall-63794824_1087778?reply=1088362" tooltip="http://vk.com/wall-63794824_1087778?reply=1088362" r:id="rId2419"/>
    <hyperlink ref="K1084" display="http://vk.com/id785219250" tooltip="http://vk.com/id785219250" r:id="rId2420"/>
    <hyperlink ref="N1084" display="http://vk.com/club63794824" tooltip="http://vk.com/club63794824" r:id="rId2421"/>
    <hyperlink ref="G1085" display="https://telegram.me/chat_dubai/318080" tooltip="https://telegram.me/chat_dubai/318080" r:id="rId2422"/>
    <hyperlink ref="K1085" display="https://telegram.me/ElenaLanski" tooltip="https://telegram.me/ElenaLanski" r:id="rId2423"/>
    <hyperlink ref="N1085" display="https://telegram.me/chat_dubai" tooltip="https://telegram.me/chat_dubai" r:id="rId2424"/>
    <hyperlink ref="G1086" display="http://www.ok.ru/profile/555621913561/statuses/155521858270169" tooltip="http://www.ok.ru/profile/555621913561/statuses/155521858270169" r:id="rId2425"/>
    <hyperlink ref="K1086" display="http://www.ok.ru/profile/555621913561" tooltip="http://www.ok.ru/profile/555621913561" r:id="rId2426"/>
    <hyperlink ref="G1087" display="http://vk.com/wall-142914432_6384796?reply=6385946" tooltip="http://vk.com/wall-142914432_6384796?reply=6385946" r:id="rId2427"/>
    <hyperlink ref="K1087" display="http://vk.com/id793510155" tooltip="http://vk.com/id793510155" r:id="rId2428"/>
    <hyperlink ref="N1087" display="http://vk.com/club142914432" tooltip="http://vk.com/club142914432" r:id="rId2429"/>
    <hyperlink ref="G1088" display="http://vk.com/wall-207636601_71358?reply=71436" tooltip="http://vk.com/wall-207636601_71358?reply=71436" r:id="rId2430"/>
    <hyperlink ref="K1088" display="http://vk.com/id136166298" tooltip="http://vk.com/id136166298" r:id="rId2431"/>
    <hyperlink ref="N1088" display="http://vk.com/club207636601" tooltip="http://vk.com/club207636601" r:id="rId2432"/>
    <hyperlink ref="G1089" display="https://www.baby.ru/blogs/post/2611450902-2597681634/" tooltip="https://www.baby.ru/blogs/post/2611450902-2597681634/" r:id="rId2433"/>
    <hyperlink ref="K1089" display="https://www.baby.ru/u/usr2601479/" tooltip="https://www.baby.ru/u/usr2601479/" r:id="rId2434"/>
    <hyperlink ref="N1089" display="https://www.baby.ru/u/usr2710213/" tooltip="https://www.baby.ru/u/usr2710213/" r:id="rId2435"/>
    <hyperlink ref="G1090" display="http://vk.com/wall-138168859_290183?reply=290249" tooltip="http://vk.com/wall-138168859_290183?reply=290249" r:id="rId2436"/>
    <hyperlink ref="K1090" display="http://vk.com/id785219250" tooltip="http://vk.com/id785219250" r:id="rId2437"/>
    <hyperlink ref="N1090" display="http://vk.com/club138168859" tooltip="http://vk.com/club138168859" r:id="rId2438"/>
    <hyperlink ref="G1091" display="http://www.ok.ru/group/53445801869520/topic/156198662269904" tooltip="http://www.ok.ru/group/53445801869520/topic/156198662269904" r:id="rId2439"/>
    <hyperlink ref="K1091" display="http://www.ok.ru/group/53445801869520" tooltip="http://www.ok.ru/group/53445801869520" r:id="rId2440"/>
    <hyperlink ref="G1092" display="http://vk.com/wall-206214408_165065?reply=165891" tooltip="http://vk.com/wall-206214408_165065?reply=165891" r:id="rId2441"/>
    <hyperlink ref="K1092" display="http://vk.com/id785219250" tooltip="http://vk.com/id785219250" r:id="rId2442"/>
    <hyperlink ref="N1092" display="http://vk.com/club206214408" tooltip="http://vk.com/club206214408" r:id="rId2443"/>
    <hyperlink ref="G1093" display="http://www.facebook.com/1173481785/posts/10227230549127552?comment_id=1203276090549898" tooltip="http://www.facebook.com/1173481785/posts/10227230549127552?comment_id=1203276090549898" r:id="rId2444"/>
    <hyperlink ref="K1093" display="http://www.facebook.com/100000413421162" tooltip="http://www.facebook.com/100000413421162" r:id="rId2445"/>
    <hyperlink ref="N1093" display="http://www.facebook.com/1173481785" tooltip="http://www.facebook.com/1173481785" r:id="rId2446"/>
    <hyperlink ref="G1094" display="http://www.ok.ru/profile/513088821194/statuses/155846042020810" tooltip="http://www.ok.ru/profile/513088821194/statuses/155846042020810" r:id="rId2447"/>
    <hyperlink ref="K1094" display="http://www.ok.ru/profile/513088821194" tooltip="http://www.ok.ru/profile/513088821194" r:id="rId2448"/>
    <hyperlink ref="G1095" display="https://panorama.pub/news/sud-smozet-arestovyvat-podozrevaemyh-cerez#comment-37496" tooltip="https://panorama.pub/news/sud-smozet-arestovyvat-podozrevaemyh-cerez#comment-37496" r:id="rId2449"/>
    <hyperlink ref="G1096" display="https://telegram.me/ia_panorama/15145?comment=165137" tooltip="https://telegram.me/ia_panorama/15145?comment=165137" r:id="rId2450"/>
    <hyperlink ref="K1096" display="https://telegram.me/" tooltip="https://telegram.me/" r:id="rId2451"/>
    <hyperlink ref="N1096" display="https://telegram.me/ia_panorama" tooltip="https://telegram.me/ia_panorama" r:id="rId2452"/>
    <hyperlink ref="G1097" display="https://www.baby.ru/blogs/post/2611452164-2278440064/" tooltip="https://www.baby.ru/blogs/post/2611452164-2278440064/" r:id="rId2453"/>
    <hyperlink ref="K1097" display="https://www.baby.ru/u/usr2601479/" tooltip="https://www.baby.ru/u/usr2601479/" r:id="rId2454"/>
    <hyperlink ref="N1097" display="https://www.baby.ru/u/usr2113670/" tooltip="https://www.baby.ru/u/usr2113670/" r:id="rId2455"/>
    <hyperlink ref="G1098" display="http://vk.com/wall-172880205_272485?reply=272698" tooltip="http://vk.com/wall-172880205_272485?reply=272698" r:id="rId2456"/>
    <hyperlink ref="K1098" display="http://vk.com/id793759114" tooltip="http://vk.com/id793759114" r:id="rId2457"/>
    <hyperlink ref="N1098" display="http://vk.com/club172880205" tooltip="http://vk.com/club172880205" r:id="rId2458"/>
    <hyperlink ref="G1099" display="http://www.ok.ru/profile/570716786834/statuses/155936808936850" tooltip="http://www.ok.ru/profile/570716786834/statuses/155936808936850" r:id="rId2459"/>
    <hyperlink ref="K1099" display="http://www.ok.ru/profile/570716786834" tooltip="http://www.ok.ru/profile/570716786834" r:id="rId2460"/>
    <hyperlink ref="G1100" display="http://vk.com/wall-204242132_10674?reply=10683" tooltip="http://vk.com/wall-204242132_10674?reply=10683" r:id="rId2461"/>
    <hyperlink ref="K1100" display="http://vk.com/id276606411" tooltip="http://vk.com/id276606411" r:id="rId2462"/>
    <hyperlink ref="N1100" display="http://vk.com/club204242132" tooltip="http://vk.com/club204242132" r:id="rId2463"/>
    <hyperlink ref="G1101" display="http://www.ok.ru/profile/345961585880/statuses/155637522161880" tooltip="http://www.ok.ru/profile/345961585880/statuses/155637522161880" r:id="rId2464"/>
    <hyperlink ref="K1101" display="http://www.ok.ru/profile/345961585880" tooltip="http://www.ok.ru/profile/345961585880" r:id="rId2465"/>
    <hyperlink ref="G1102" display="http://vk.com/wall-23327897_40503" tooltip="http://vk.com/wall-23327897_40503" r:id="rId2466"/>
    <hyperlink ref="K1102" display="http://vk.com/club23327897" tooltip="http://vk.com/club23327897" r:id="rId2467"/>
    <hyperlink ref="G1103" display="http://www.ok.ru/profile/447550221043/statuses/156226344646899" tooltip="http://www.ok.ru/profile/447550221043/statuses/156226344646899" r:id="rId2468"/>
    <hyperlink ref="K1103" display="http://www.ok.ru/profile/447550221043" tooltip="http://www.ok.ru/profile/447550221043" r:id="rId2469"/>
    <hyperlink ref="G1104" display="http://vk.com/wall588144209_974" tooltip="http://vk.com/wall588144209_974" r:id="rId2470"/>
    <hyperlink ref="K1104" display="http://vk.com/id588144209" tooltip="http://vk.com/id588144209" r:id="rId2471"/>
    <hyperlink ref="G1105" display="http://www.ok.ru/profile/560490753893/statuses/155183110577509" tooltip="http://www.ok.ru/profile/560490753893/statuses/155183110577509" r:id="rId2472"/>
    <hyperlink ref="K1105" display="http://www.ok.ru/profile/560490753893" tooltip="http://www.ok.ru/profile/560490753893" r:id="rId2473"/>
    <hyperlink ref="G1106" display="http://vk.com/wall525757428_601" tooltip="http://vk.com/wall525757428_601" r:id="rId2474"/>
    <hyperlink ref="K1106" display="http://vk.com/id525757428" tooltip="http://vk.com/id525757428" r:id="rId2475"/>
    <hyperlink ref="G1107" display="http://www.ok.ru/profile/500103441107/statuses/156200083319763" tooltip="http://www.ok.ru/profile/500103441107/statuses/156200083319763" r:id="rId2476"/>
    <hyperlink ref="K1107" display="http://www.ok.ru/profile/500103441107" tooltip="http://www.ok.ru/profile/500103441107" r:id="rId2477"/>
    <hyperlink ref="G1108" display="http://vk.com/wall166718517_1077" tooltip="http://vk.com/wall166718517_1077" r:id="rId2478"/>
    <hyperlink ref="K1108" display="http://vk.com/id166718517" tooltip="http://vk.com/id166718517" r:id="rId2479"/>
    <hyperlink ref="G1109" display="http://vk.com/wall-162424850_543650?reply=543666" tooltip="http://vk.com/wall-162424850_543650?reply=543666" r:id="rId2480"/>
    <hyperlink ref="K1109" display="http://vk.com/id555331154" tooltip="http://vk.com/id555331154" r:id="rId2481"/>
    <hyperlink ref="N1109" display="http://vk.com/club162424850" tooltip="http://vk.com/club162424850" r:id="rId2482"/>
    <hyperlink ref="G1110" display="http://www.ok.ru/profile/337914891964/statuses/155061702178236" tooltip="http://www.ok.ru/profile/337914891964/statuses/155061702178236" r:id="rId2483"/>
    <hyperlink ref="K1110" display="http://www.ok.ru/profile/337914891964" tooltip="http://www.ok.ru/profile/337914891964" r:id="rId2484"/>
    <hyperlink ref="G1111" display="http://vk.com/wall-66420111_792613?reply=794243" tooltip="http://vk.com/wall-66420111_792613?reply=794243" r:id="rId2485"/>
    <hyperlink ref="K1111" display="http://vk.com/id63919480" tooltip="http://vk.com/id63919480" r:id="rId2486"/>
    <hyperlink ref="N1111" display="http://vk.com/club66420111" tooltip="http://vk.com/club66420111" r:id="rId2487"/>
    <hyperlink ref="G1112" display="http://vk.com/wall-107912187_1346349?reply=1348091" tooltip="http://vk.com/wall-107912187_1346349?reply=1348091" r:id="rId2488"/>
    <hyperlink ref="K1112" display="http://vk.com/id793510155" tooltip="http://vk.com/id793510155" r:id="rId2489"/>
    <hyperlink ref="N1112" display="http://vk.com/club107912187" tooltip="http://vk.com/club107912187" r:id="rId2490"/>
    <hyperlink ref="G1113" display="https://www.babyblog.ru/community/diseases/post/3125065" tooltip="https://www.babyblog.ru/community/diseases/post/3125065" r:id="rId2491"/>
    <hyperlink ref="G1114" display="http://www.ok.ru/profile/563354369960/statuses/156116972974248" tooltip="http://www.ok.ru/profile/563354369960/statuses/156116972974248" r:id="rId2492"/>
    <hyperlink ref="K1114" display="http://www.ok.ru/profile/563354369960" tooltip="http://www.ok.ru/profile/563354369960" r:id="rId2493"/>
    <hyperlink ref="G1115" display="http://vk.com/wall511017964_2674" tooltip="http://vk.com/wall511017964_2674" r:id="rId2494"/>
    <hyperlink ref="K1115" display="http://vk.com/id511017964" tooltip="http://vk.com/id511017964" r:id="rId2495"/>
    <hyperlink ref="G1116" display="http://vk.com/wall-126272719_685358" tooltip="http://vk.com/wall-126272719_685358" r:id="rId2496"/>
    <hyperlink ref="K1116" display="http://vk.com/id595781259" tooltip="http://vk.com/id595781259" r:id="rId2497"/>
    <hyperlink ref="N1116" display="http://vk.com/club126272719" tooltip="http://vk.com/club126272719" r:id="rId2498"/>
    <hyperlink ref="G1117" display="http://vk.com/wall21474245_6643" tooltip="http://vk.com/wall21474245_6643" r:id="rId2499"/>
    <hyperlink ref="K1117" display="http://vk.com/id21474245" tooltip="http://vk.com/id21474245" r:id="rId2500"/>
    <hyperlink ref="G1118" display="http://vk.com/wall-87598739_813314?reply=817022" tooltip="http://vk.com/wall-87598739_813314?reply=817022" r:id="rId2501"/>
    <hyperlink ref="K1118" display="http://vk.com/id793510155" tooltip="http://vk.com/id793510155" r:id="rId2502"/>
    <hyperlink ref="N1118" display="http://vk.com/club87598739" tooltip="http://vk.com/club87598739" r:id="rId2503"/>
    <hyperlink ref="G1119" display="http://www.ok.ru/profile/554874050915/statuses/155651261884515" tooltip="http://www.ok.ru/profile/554874050915/statuses/155651261884515" r:id="rId2504"/>
    <hyperlink ref="K1119" display="http://www.ok.ru/profile/554874050915" tooltip="http://www.ok.ru/profile/554874050915" r:id="rId2505"/>
    <hyperlink ref="G1120" display="http://www.ok.ru/profile/563674773686/statuses/160044059112886" tooltip="http://www.ok.ru/profile/563674773686/statuses/160044059112886" r:id="rId2506"/>
    <hyperlink ref="K1120" display="http://www.ok.ru/profile/563674773686" tooltip="http://www.ok.ru/profile/563674773686" r:id="rId2507"/>
    <hyperlink ref="G1121" display="http://vk.com/wall-172880205_272485?reply=272693" tooltip="http://vk.com/wall-172880205_272485?reply=272693" r:id="rId2508"/>
    <hyperlink ref="K1121" display="http://vk.com/id793510155" tooltip="http://vk.com/id793510155" r:id="rId2509"/>
    <hyperlink ref="N1121" display="http://vk.com/club172880205" tooltip="http://vk.com/club172880205" r:id="rId2510"/>
    <hyperlink ref="G1122" display="http://vk.com/wall-1678339_2239751?reply=2239758" tooltip="http://vk.com/wall-1678339_2239751?reply=2239758" r:id="rId2511"/>
    <hyperlink ref="K1122" display="http://vk.com/id545810130" tooltip="http://vk.com/id545810130" r:id="rId2512"/>
    <hyperlink ref="N1122" display="http://vk.com/club1678339" tooltip="http://vk.com/club1678339" r:id="rId2513"/>
    <hyperlink ref="G1123" display="http://instagram.com/p/Cq5T2ZMLdEn/c/17971705436260068/" tooltip="http://instagram.com/p/Cq5T2ZMLdEn/c/17971705436260068/" r:id="rId2514"/>
    <hyperlink ref="K1123" display="http://instagram.com/sdobnayaplyushka" tooltip="http://instagram.com/sdobnayaplyushka" r:id="rId2515"/>
    <hyperlink ref="N1123" display="http://instagram.com/ainannet" tooltip="http://instagram.com/ainannet" r:id="rId2516"/>
    <hyperlink ref="G1124" display="http://vk.com/wall279356447_4347" tooltip="http://vk.com/wall279356447_4347" r:id="rId2517"/>
    <hyperlink ref="K1124" display="http://vk.com/id279356447" tooltip="http://vk.com/id279356447" r:id="rId2518"/>
    <hyperlink ref="G1125" display="http://www.ok.ru/profile/538612803323/statuses/157077253522939" tooltip="http://www.ok.ru/profile/538612803323/statuses/157077253522939" r:id="rId2519"/>
    <hyperlink ref="K1125" display="http://www.ok.ru/profile/538612803323" tooltip="http://www.ok.ru/profile/538612803323" r:id="rId2520"/>
    <hyperlink ref="G1126" display="http://vk.com/wall-206214408_165065?reply=165877" tooltip="http://vk.com/wall-206214408_165065?reply=165877" r:id="rId2521"/>
    <hyperlink ref="K1126" display="http://vk.com/id793510155" tooltip="http://vk.com/id793510155" r:id="rId2522"/>
    <hyperlink ref="N1126" display="http://vk.com/club206214408" tooltip="http://vk.com/club206214408" r:id="rId2523"/>
    <hyperlink ref="G1127" display="http://www.ok.ru/group/52884672020665/topic/155682670409145" tooltip="http://www.ok.ru/group/52884672020665/topic/155682670409145" r:id="rId2524"/>
    <hyperlink ref="K1127" display="http://www.ok.ru/group/52884672020665" tooltip="http://www.ok.ru/group/52884672020665" r:id="rId2525"/>
    <hyperlink ref="G1128" display="http://vk.com/wall-47119920_205323" tooltip="http://vk.com/wall-47119920_205323" r:id="rId2526"/>
    <hyperlink ref="K1128" display="http://vk.com/club47119920" tooltip="http://vk.com/club47119920" r:id="rId2527"/>
    <hyperlink ref="G1129" display="http://www.youtube.com/watch?v=2n3998vy0bE&amp;lc=UgzB2fssSeFQFnHK7yl4AaABAg" tooltip="http://www.youtube.com/watch?v=2n3998vy0bE&amp;lc=UgzB2fssSeFQFnHK7yl4AaABAg" r:id="rId2528"/>
    <hyperlink ref="K1129" display="http://www.youtube.com/channel/UCahaPnnEVNBBc_8LJtbkqrQ" tooltip="http://www.youtube.com/channel/UCahaPnnEVNBBc_8LJtbkqrQ" r:id="rId2529"/>
    <hyperlink ref="N1129" display="http://www.youtube.com/channel/UC3wGCqoIZmnJI65NHEq1VGg" tooltip="http://www.youtube.com/channel/UC3wGCqoIZmnJI65NHEq1VGg" r:id="rId2530"/>
    <hyperlink ref="G1130" display="http://www.ok.ru/profile/563645570794/statuses/156306187481322" tooltip="http://www.ok.ru/profile/563645570794/statuses/156306187481322" r:id="rId2531"/>
    <hyperlink ref="K1130" display="http://www.ok.ru/profile/563645570794" tooltip="http://www.ok.ru/profile/563645570794" r:id="rId2532"/>
    <hyperlink ref="G1131" display="http://www.ok.ru/profile/578092880441/statuses/155433719382073" tooltip="http://www.ok.ru/profile/578092880441/statuses/155433719382073" r:id="rId2533"/>
    <hyperlink ref="K1131" display="http://www.ok.ru/profile/578092880441" tooltip="http://www.ok.ru/profile/578092880441" r:id="rId2534"/>
    <hyperlink ref="G1132" display="http://vk.com/wall-138168859_290183?reply=290239" tooltip="http://vk.com/wall-138168859_290183?reply=290239" r:id="rId2535"/>
    <hyperlink ref="K1132" display="http://vk.com/id489334289" tooltip="http://vk.com/id489334289" r:id="rId2536"/>
    <hyperlink ref="N1132" display="http://vk.com/club138168859" tooltip="http://vk.com/club138168859" r:id="rId2537"/>
    <hyperlink ref="G1133" display="http://vk.com/wall-1678339_2239751?reply=2239756" tooltip="http://vk.com/wall-1678339_2239751?reply=2239756" r:id="rId2538"/>
    <hyperlink ref="K1133" display="http://vk.com/id171225597" tooltip="http://vk.com/id171225597" r:id="rId2539"/>
    <hyperlink ref="N1133" display="http://vk.com/club1678339" tooltip="http://vk.com/club1678339" r:id="rId2540"/>
    <hyperlink ref="G1134" display="http://vk.com/wall-63794824_1087778?reply=1088358&amp;thread=1088076" tooltip="http://vk.com/wall-63794824_1087778?reply=1088358&amp;thread=1088076" r:id="rId2541"/>
    <hyperlink ref="K1134" display="http://vk.com/id504498160" tooltip="http://vk.com/id504498160" r:id="rId2542"/>
    <hyperlink ref="N1134" display="http://vk.com/club63794824" tooltip="http://vk.com/club63794824" r:id="rId2543"/>
    <hyperlink ref="G1135" display="http://vk.com/wall354876372_414" tooltip="http://vk.com/wall354876372_414" r:id="rId2544"/>
    <hyperlink ref="K1135" display="http://vk.com/id354876372" tooltip="http://vk.com/id354876372" r:id="rId2545"/>
    <hyperlink ref="G1136" display="http://vk.com/wall-203023242_19133?reply=19247&amp;thread=19145" tooltip="http://vk.com/wall-203023242_19133?reply=19247&amp;thread=19145" r:id="rId2546"/>
    <hyperlink ref="K1136" display="http://vk.com/id169982201" tooltip="http://vk.com/id169982201" r:id="rId2547"/>
    <hyperlink ref="N1136" display="http://vk.com/club203023242" tooltip="http://vk.com/club203023242" r:id="rId2548"/>
    <hyperlink ref="G1137" display="http://www.ok.ru/profile/572772389497/statuses/155506775999353" tooltip="http://www.ok.ru/profile/572772389497/statuses/155506775999353" r:id="rId2549"/>
    <hyperlink ref="K1137" display="http://www.ok.ru/profile/572772389497" tooltip="http://www.ok.ru/profile/572772389497" r:id="rId2550"/>
    <hyperlink ref="G1138" display="http://www.ok.ru/profile/514499924962/statuses/155563172656098" tooltip="http://www.ok.ru/profile/514499924962/statuses/155563172656098" r:id="rId2551"/>
    <hyperlink ref="K1138" display="http://www.ok.ru/profile/514499924962" tooltip="http://www.ok.ru/profile/514499924962" r:id="rId2552"/>
    <hyperlink ref="G1139" display="http://vk.com/wall676265681_150" tooltip="http://vk.com/wall676265681_150" r:id="rId2553"/>
    <hyperlink ref="K1139" display="http://vk.com/id676265681" tooltip="http://vk.com/id676265681" r:id="rId2554"/>
    <hyperlink ref="G1140" display="http://vk.com/wall-153326278_404946?reply=405129" tooltip="http://vk.com/wall-153326278_404946?reply=405129" r:id="rId2555"/>
    <hyperlink ref="K1140" display="http://vk.com/id793510155" tooltip="http://vk.com/id793510155" r:id="rId2556"/>
    <hyperlink ref="N1140" display="http://vk.com/club153326278" tooltip="http://vk.com/club153326278" r:id="rId2557"/>
    <hyperlink ref="G1141" display="http://vk.com/wall515318322_2521" tooltip="http://vk.com/wall515318322_2521" r:id="rId2558"/>
    <hyperlink ref="K1141" display="http://vk.com/id515318322" tooltip="http://vk.com/id515318322" r:id="rId2559"/>
    <hyperlink ref="G1142" display="http://vk.com/wall-203023242_19133?reply=19246&amp;thread=19143" tooltip="http://vk.com/wall-203023242_19133?reply=19246&amp;thread=19143" r:id="rId2560"/>
    <hyperlink ref="K1142" display="http://vk.com/id439472" tooltip="http://vk.com/id439472" r:id="rId2561"/>
    <hyperlink ref="N1142" display="http://vk.com/club203023242" tooltip="http://vk.com/club203023242" r:id="rId2562"/>
    <hyperlink ref="G1143" display="http://www.ok.ru/profile/354791653216/statuses/154974403455072" tooltip="http://www.ok.ru/profile/354791653216/statuses/154974403455072" r:id="rId2563"/>
    <hyperlink ref="K1143" display="http://www.ok.ru/profile/354791653216" tooltip="http://www.ok.ru/profile/354791653216" r:id="rId2564"/>
    <hyperlink ref="G1144" display="http://www.ok.ru/profile/452605201604/statuses/155142413181892" tooltip="http://www.ok.ru/profile/452605201604/statuses/155142413181892" r:id="rId2565"/>
    <hyperlink ref="K1144" display="http://www.ok.ru/profile/452605201604" tooltip="http://www.ok.ru/profile/452605201604" r:id="rId2566"/>
    <hyperlink ref="G1145" display="http://www.ok.ru/profile/556327285230/statuses/156609374682094" tooltip="http://www.ok.ru/profile/556327285230/statuses/156609374682094" r:id="rId2567"/>
    <hyperlink ref="K1145" display="http://www.ok.ru/profile/556327285230" tooltip="http://www.ok.ru/profile/556327285230" r:id="rId2568"/>
    <hyperlink ref="G1146" display="http://www.ok.ru/profile/572187247499/statuses/156160666749835" tooltip="http://www.ok.ru/profile/572187247499/statuses/156160666749835" r:id="rId2569"/>
    <hyperlink ref="K1146" display="http://www.ok.ru/profile/572187247499" tooltip="http://www.ok.ru/profile/572187247499" r:id="rId2570"/>
    <hyperlink ref="G1147" display="http://vk.com/wall245834361_924" tooltip="http://vk.com/wall245834361_924" r:id="rId2571"/>
    <hyperlink ref="K1147" display="http://vk.com/id245834361" tooltip="http://vk.com/id245834361" r:id="rId2572"/>
    <hyperlink ref="G1148" display="http://vk.com/wall-33277814_729930?reply=730702" tooltip="http://vk.com/wall-33277814_729930?reply=730702" r:id="rId2573"/>
    <hyperlink ref="K1148" display="http://vk.com/id793510155" tooltip="http://vk.com/id793510155" r:id="rId2574"/>
    <hyperlink ref="N1148" display="http://vk.com/club33277814" tooltip="http://vk.com/club33277814" r:id="rId2575"/>
    <hyperlink ref="G1149" display="http://www.ok.ru/profile/568388124349/statuses/155267503276221" tooltip="http://www.ok.ru/profile/568388124349/statuses/155267503276221" r:id="rId2576"/>
    <hyperlink ref="K1149" display="http://www.ok.ru/profile/568388124349" tooltip="http://www.ok.ru/profile/568388124349" r:id="rId2577"/>
    <hyperlink ref="G1150" display="http://vk.com/wall-28182343_976236?reply=976756&amp;thread=976377" tooltip="http://vk.com/wall-28182343_976236?reply=976756&amp;thread=976377" r:id="rId2578"/>
    <hyperlink ref="K1150" display="http://vk.com/id267798712" tooltip="http://vk.com/id267798712" r:id="rId2579"/>
    <hyperlink ref="N1150" display="http://vk.com/club28182343" tooltip="http://vk.com/club28182343" r:id="rId2580"/>
    <hyperlink ref="G1151" display="http://www.ok.ru/profile/529615893258/statuses/155682194262794" tooltip="http://www.ok.ru/profile/529615893258/statuses/155682194262794" r:id="rId2581"/>
    <hyperlink ref="K1151" display="http://www.ok.ru/profile/529615893258" tooltip="http://www.ok.ru/profile/529615893258" r:id="rId2582"/>
    <hyperlink ref="G1152" display="http://www.ok.ru/profile/538601967346/statuses/156054086991346" tooltip="http://www.ok.ru/profile/538601967346/statuses/156054086991346" r:id="rId2583"/>
    <hyperlink ref="K1152" display="http://www.ok.ru/profile/538601967346" tooltip="http://www.ok.ru/profile/538601967346" r:id="rId2584"/>
    <hyperlink ref="G1153" display="http://vk.com/wall-135482876_645111?reply=645741&amp;thread=645168" tooltip="http://vk.com/wall-135482876_645111?reply=645741&amp;thread=645168" r:id="rId2585"/>
    <hyperlink ref="K1153" display="http://vk.com/id169982201" tooltip="http://vk.com/id169982201" r:id="rId2586"/>
    <hyperlink ref="N1153" display="http://vk.com/club135482876" tooltip="http://vk.com/club135482876" r:id="rId2587"/>
    <hyperlink ref="G1154" display="https://telegram.me/tortuga_vlg/257762" tooltip="https://telegram.me/tortuga_vlg/257762" r:id="rId2588"/>
    <hyperlink ref="K1154" display="https://telegram.me/kostidmaho" tooltip="https://telegram.me/kostidmaho" r:id="rId2589"/>
    <hyperlink ref="N1154" display="https://telegram.me/tortuga_vlg" tooltip="https://telegram.me/tortuga_vlg" r:id="rId2590"/>
    <hyperlink ref="G1155" display="http://www.ok.ru/profile/547934549895/statuses/155508657981575" tooltip="http://www.ok.ru/profile/547934549895/statuses/155508657981575" r:id="rId2591"/>
    <hyperlink ref="K1155" display="http://www.ok.ru/profile/547934549895" tooltip="http://www.ok.ru/profile/547934549895" r:id="rId2592"/>
    <hyperlink ref="G1156" display="http://www.ok.ru/profile/521445150358/statuses/155734292797590" tooltip="http://www.ok.ru/profile/521445150358/statuses/155734292797590" r:id="rId2593"/>
    <hyperlink ref="K1156" display="http://www.ok.ru/profile/521445150358" tooltip="http://www.ok.ru/profile/521445150358" r:id="rId2594"/>
    <hyperlink ref="G1157" display="http://www.ok.ru/profile/573212975054/statuses/156144838227406" tooltip="http://www.ok.ru/profile/573212975054/statuses/156144838227406" r:id="rId2595"/>
    <hyperlink ref="K1157" display="http://www.ok.ru/profile/573212975054" tooltip="http://www.ok.ru/profile/573212975054" r:id="rId2596"/>
    <hyperlink ref="G1158" display="https://www.babyblog.ru/community/living/post/3308287" tooltip="https://www.babyblog.ru/community/living/post/3308287" r:id="rId2597"/>
    <hyperlink ref="G1159" display="http://vk.com/wall-166506217_10849" tooltip="http://vk.com/wall-166506217_10849" r:id="rId2598"/>
    <hyperlink ref="K1159" display="http://vk.com/club166506217" tooltip="http://vk.com/club166506217" r:id="rId2599"/>
    <hyperlink ref="G1160" display="http://www.ok.ru/profile/550916827612/statuses/155434134893532" tooltip="http://www.ok.ru/profile/550916827612/statuses/155434134893532" r:id="rId2600"/>
    <hyperlink ref="K1160" display="http://www.ok.ru/profile/550916827612" tooltip="http://www.ok.ru/profile/550916827612" r:id="rId2601"/>
    <hyperlink ref="G1161" display="http://vk.com/wall-51700884_1805845?reply=1806933" tooltip="http://vk.com/wall-51700884_1805845?reply=1806933" r:id="rId2602"/>
    <hyperlink ref="K1161" display="http://vk.com/id793510155" tooltip="http://vk.com/id793510155" r:id="rId2603"/>
    <hyperlink ref="N1161" display="http://vk.com/club51700884" tooltip="http://vk.com/club51700884" r:id="rId2604"/>
    <hyperlink ref="G1162" display="http://www.ok.ru/profile/419938629844/statuses/155978807459284" tooltip="http://www.ok.ru/profile/419938629844/statuses/155978807459284" r:id="rId2605"/>
    <hyperlink ref="K1162" display="http://www.ok.ru/profile/419938629844" tooltip="http://www.ok.ru/profile/419938629844" r:id="rId2606"/>
    <hyperlink ref="G1163" display="http://vk.com/wall707571042_235" tooltip="http://vk.com/wall707571042_235" r:id="rId2607"/>
    <hyperlink ref="K1163" display="http://vk.com/id707571042" tooltip="http://vk.com/id707571042" r:id="rId2608"/>
    <hyperlink ref="G1164" display="http://www.ok.ru/profile/552430104662/statuses/156124506594646" tooltip="http://www.ok.ru/profile/552430104662/statuses/156124506594646" r:id="rId2609"/>
    <hyperlink ref="K1164" display="http://www.ok.ru/profile/552430104662" tooltip="http://www.ok.ru/profile/552430104662" r:id="rId2610"/>
    <hyperlink ref="G1165" display="http://vk.com/wall-131081771_1568641?reply=1591226&amp;thread=1568839" tooltip="http://vk.com/wall-131081771_1568641?reply=1591226&amp;thread=1568839" r:id="rId2611"/>
    <hyperlink ref="K1165" display="http://vk.com/id793566988" tooltip="http://vk.com/id793566988" r:id="rId2612"/>
    <hyperlink ref="N1165" display="http://vk.com/club131081771" tooltip="http://vk.com/club131081771" r:id="rId2613"/>
    <hyperlink ref="G1166" display="http://www.ok.ru/profile/580374246683/statuses/155214606442523" tooltip="http://www.ok.ru/profile/580374246683/statuses/155214606442523" r:id="rId2614"/>
    <hyperlink ref="K1166" display="http://www.ok.ru/profile/580374246683" tooltip="http://www.ok.ru/profile/580374246683" r:id="rId2615"/>
    <hyperlink ref="G1167" display="http://vk.com/wall-1678339_2239751" tooltip="http://vk.com/wall-1678339_2239751" r:id="rId2616"/>
    <hyperlink ref="K1167" display="http://vk.com/club1678339" tooltip="http://vk.com/club1678339" r:id="rId2617"/>
    <hyperlink ref="G1168" display="http://vk.com/wall-203023242_19133?reply=19241&amp;thread=19145" tooltip="http://vk.com/wall-203023242_19133?reply=19241&amp;thread=19145" r:id="rId2618"/>
    <hyperlink ref="K1168" display="http://vk.com/id793566988" tooltip="http://vk.com/id793566988" r:id="rId2619"/>
    <hyperlink ref="N1168" display="http://vk.com/club203023242" tooltip="http://vk.com/club203023242" r:id="rId2620"/>
    <hyperlink ref="G1169" display="http://www.ok.ru/profile/326657424982/statuses/156124495977814" tooltip="http://www.ok.ru/profile/326657424982/statuses/156124495977814" r:id="rId2621"/>
    <hyperlink ref="K1169" display="http://www.ok.ru/profile/326657424982" tooltip="http://www.ok.ru/profile/326657424982" r:id="rId2622"/>
    <hyperlink ref="G1170" display="http://www.ok.ru/profile/578406659600/statuses/156017422699280" tooltip="http://www.ok.ru/profile/578406659600/statuses/156017422699280" r:id="rId2623"/>
    <hyperlink ref="K1170" display="http://www.ok.ru/profile/578406659600" tooltip="http://www.ok.ru/profile/578406659600" r:id="rId2624"/>
    <hyperlink ref="G1171" display="http://www.ok.ru/profile/572364710592/statuses/155622114052288" tooltip="http://www.ok.ru/profile/572364710592/statuses/155622114052288" r:id="rId2625"/>
    <hyperlink ref="K1171" display="http://www.ok.ru/profile/572364710592" tooltip="http://www.ok.ru/profile/572364710592" r:id="rId2626"/>
    <hyperlink ref="G1172" display="http://vk.com/wall610171666_555" tooltip="http://vk.com/wall610171666_555" r:id="rId2627"/>
    <hyperlink ref="K1172" display="http://vk.com/id610171666" tooltip="http://vk.com/id610171666" r:id="rId2628"/>
    <hyperlink ref="G1173" display="http://vk.com/wall-136860886_525859?reply=525891" tooltip="http://vk.com/wall-136860886_525859?reply=525891" r:id="rId2629"/>
    <hyperlink ref="K1173" display="http://vk.com/id15987088" tooltip="http://vk.com/id15987088" r:id="rId2630"/>
    <hyperlink ref="N1173" display="http://vk.com/club136860886" tooltip="http://vk.com/club136860886" r:id="rId2631"/>
    <hyperlink ref="G1174" display="http://vk.com/wall55064849_3847" tooltip="http://vk.com/wall55064849_3847" r:id="rId2632"/>
    <hyperlink ref="K1174" display="http://vk.com/id55064849" tooltip="http://vk.com/id55064849" r:id="rId2633"/>
    <hyperlink ref="G1175" display="https://www.babyblog.ru/community/living/post/3308551" tooltip="https://www.babyblog.ru/community/living/post/3308551" r:id="rId2634"/>
    <hyperlink ref="G1176" display="http://vk.com/wall501593679_919" tooltip="http://vk.com/wall501593679_919" r:id="rId2635"/>
    <hyperlink ref="K1176" display="http://vk.com/id501593679" tooltip="http://vk.com/id501593679" r:id="rId2636"/>
    <hyperlink ref="G1177" display="http://vk.com/wall-172880205_272485?reply=272689" tooltip="http://vk.com/wall-172880205_272485?reply=272689" r:id="rId2637"/>
    <hyperlink ref="K1177" display="http://vk.com/id520742007" tooltip="http://vk.com/id520742007" r:id="rId2638"/>
    <hyperlink ref="N1177" display="http://vk.com/club172880205" tooltip="http://vk.com/club172880205" r:id="rId2639"/>
    <hyperlink ref="G1178" display="http://vk.com/wall-88354188_348339?reply=369134&amp;thread=348529" tooltip="http://vk.com/wall-88354188_348339?reply=369134&amp;thread=348529" r:id="rId2640"/>
    <hyperlink ref="K1178" display="http://vk.com/id793566988" tooltip="http://vk.com/id793566988" r:id="rId2641"/>
    <hyperlink ref="N1178" display="http://vk.com/club88354188" tooltip="http://vk.com/club88354188" r:id="rId2642"/>
    <hyperlink ref="G1179" display="http://vk.com/wall-146175495_830050?reply=830066" tooltip="http://vk.com/wall-146175495_830050?reply=830066" r:id="rId2643"/>
    <hyperlink ref="K1179" display="http://vk.com/id51184594" tooltip="http://vk.com/id51184594" r:id="rId2644"/>
    <hyperlink ref="N1179" display="http://vk.com/club146175495" tooltip="http://vk.com/club146175495" r:id="rId2645"/>
    <hyperlink ref="G1180" display="http://vk.com/wall-206214408_165065?reply=165867" tooltip="http://vk.com/wall-206214408_165065?reply=165867" r:id="rId2646"/>
    <hyperlink ref="K1180" display="http://vk.com/id229144165" tooltip="http://vk.com/id229144165" r:id="rId2647"/>
    <hyperlink ref="N1180" display="http://vk.com/club206214408" tooltip="http://vk.com/club206214408" r:id="rId2648"/>
    <hyperlink ref="G1181" display="http://www.ok.ru/profile/585412836368/statuses/156017415555856" tooltip="http://www.ok.ru/profile/585412836368/statuses/156017415555856" r:id="rId2649"/>
    <hyperlink ref="K1181" display="http://www.ok.ru/profile/585412836368" tooltip="http://www.ok.ru/profile/585412836368" r:id="rId2650"/>
    <hyperlink ref="G1182" display="http://vk.com/wall-153326278_404946?reply=405128&amp;thread=404955" tooltip="http://vk.com/wall-153326278_404946?reply=405128&amp;thread=404955" r:id="rId2651"/>
    <hyperlink ref="K1182" display="http://vk.com/id223323851" tooltip="http://vk.com/id223323851" r:id="rId2652"/>
    <hyperlink ref="N1182" display="http://vk.com/club153326278" tooltip="http://vk.com/club153326278" r:id="rId2653"/>
    <hyperlink ref="G1183" display="http://www.ok.ru/profile/586836984122/statuses/155478134039354" tooltip="http://www.ok.ru/profile/586836984122/statuses/155478134039354" r:id="rId2654"/>
    <hyperlink ref="K1183" display="http://www.ok.ru/profile/586836984122" tooltip="http://www.ok.ru/profile/586836984122" r:id="rId2655"/>
    <hyperlink ref="G1184" display="http://vk.com/wall512088771_380" tooltip="http://vk.com/wall512088771_380" r:id="rId2656"/>
    <hyperlink ref="K1184" display="http://vk.com/id512088771" tooltip="http://vk.com/id512088771" r:id="rId2657"/>
    <hyperlink ref="G1185" display="http://vk.com/wall-150079080_236610?reply=241086&amp;thread=237353" tooltip="http://vk.com/wall-150079080_236610?reply=241086&amp;thread=237353" r:id="rId2658"/>
    <hyperlink ref="K1185" display="http://vk.com/id793566988" tooltip="http://vk.com/id793566988" r:id="rId2659"/>
    <hyperlink ref="N1185" display="http://vk.com/club150079080" tooltip="http://vk.com/club150079080" r:id="rId2660"/>
    <hyperlink ref="G1186" display="http://vk.com/wall-36857673_1709524?reply=1765371&amp;thread=1709738" tooltip="http://vk.com/wall-36857673_1709524?reply=1765371&amp;thread=1709738" r:id="rId2661"/>
    <hyperlink ref="K1186" display="http://vk.com/id793566988" tooltip="http://vk.com/id793566988" r:id="rId2662"/>
    <hyperlink ref="N1186" display="http://vk.com/club36857673" tooltip="http://vk.com/club36857673" r:id="rId2663"/>
    <hyperlink ref="G1187" display="http://vk.com/wall-192883301_7286" tooltip="http://vk.com/wall-192883301_7286" r:id="rId2664"/>
    <hyperlink ref="K1187" display="http://vk.com/club192883301" tooltip="http://vk.com/club192883301" r:id="rId2665"/>
    <hyperlink ref="G1188" display="http://vk.com/wall-203023242_19133?reply=19239&amp;thread=19143" tooltip="http://vk.com/wall-203023242_19133?reply=19239&amp;thread=19143" r:id="rId2666"/>
    <hyperlink ref="K1188" display="http://vk.com/id795024010" tooltip="http://vk.com/id795024010" r:id="rId2667"/>
    <hyperlink ref="N1188" display="http://vk.com/club203023242" tooltip="http://vk.com/club203023242" r:id="rId2668"/>
    <hyperlink ref="G1189" display="http://vk.com/wall-203023242_19133?reply=19238&amp;thread=19145" tooltip="http://vk.com/wall-203023242_19133?reply=19238&amp;thread=19145" r:id="rId2669"/>
    <hyperlink ref="K1189" display="http://vk.com/id344348244" tooltip="http://vk.com/id344348244" r:id="rId2670"/>
    <hyperlink ref="N1189" display="http://vk.com/club203023242" tooltip="http://vk.com/club203023242" r:id="rId2671"/>
    <hyperlink ref="G1190" display="http://vk.com/wall-87169444_12293271?reply=12293274" tooltip="http://vk.com/wall-87169444_12293271?reply=12293274" r:id="rId2672"/>
    <hyperlink ref="K1190" display="http://vk.com/id90704374" tooltip="http://vk.com/id90704374" r:id="rId2673"/>
    <hyperlink ref="N1190" display="http://vk.com/club87169444" tooltip="http://vk.com/club87169444" r:id="rId2674"/>
    <hyperlink ref="G1191" display="http://vk.com/wall-155403177_57057?reply=57209&amp;thread=57063" tooltip="http://vk.com/wall-155403177_57057?reply=57209&amp;thread=57063" r:id="rId2675"/>
    <hyperlink ref="K1191" display="http://vk.com/club155403177" tooltip="http://vk.com/club155403177" r:id="rId2676"/>
    <hyperlink ref="G1192" display="http://vk.com/wall-91708729_937329?reply=937835&amp;thread=937366" tooltip="http://vk.com/wall-91708729_937329?reply=937835&amp;thread=937366" r:id="rId2677"/>
    <hyperlink ref="K1192" display="http://vk.com/id793566988" tooltip="http://vk.com/id793566988" r:id="rId2678"/>
    <hyperlink ref="N1192" display="http://vk.com/club91708729" tooltip="http://vk.com/club91708729" r:id="rId2679"/>
    <hyperlink ref="G1193" display="http://vk.com/wall-143027530_228896?reply=229318" tooltip="http://vk.com/wall-143027530_228896?reply=229318" r:id="rId2680"/>
    <hyperlink ref="K1193" display="http://vk.com/id795312301" tooltip="http://vk.com/id795312301" r:id="rId2681"/>
    <hyperlink ref="N1193" display="http://vk.com/club143027530" tooltip="http://vk.com/club143027530" r:id="rId2682"/>
    <hyperlink ref="G1194" display="http://vk.com/wall578780955_333" tooltip="http://vk.com/wall578780955_333" r:id="rId2683"/>
    <hyperlink ref="K1194" display="http://vk.com/id578780955" tooltip="http://vk.com/id578780955" r:id="rId2684"/>
    <hyperlink ref="G1195" display="https://dzen.ru/a/ZDXTcUmnUgHIK4tP#comment_1610188562" tooltip="https://dzen.ru/a/ZDXTcUmnUgHIK4tP#comment_1610188562" r:id="rId2685"/>
    <hyperlink ref="K1195" display="https://dzen.ru/user/bujxvz2ug5agx9qc99yg8ryf1m" tooltip="https://dzen.ru/user/bujxvz2ug5agx9qc99yg8ryf1m" r:id="rId2686"/>
    <hyperlink ref="N1195" display="https://dzen.ru/id/5e81e335d4abfe57572f5e79" tooltip="https://dzen.ru/id/5e81e335d4abfe57572f5e79" r:id="rId2687"/>
    <hyperlink ref="G1196" display="http://vk.com/wall-153326247_488859?reply=489267&amp;thread=488892" tooltip="http://vk.com/wall-153326247_488859?reply=489267&amp;thread=488892" r:id="rId2688"/>
    <hyperlink ref="K1196" display="http://vk.com/id793566988" tooltip="http://vk.com/id793566988" r:id="rId2689"/>
    <hyperlink ref="N1196" display="http://vk.com/club153326247" tooltip="http://vk.com/club153326247" r:id="rId2690"/>
    <hyperlink ref="G1197" display="http://www.ok.ru/profile/556849102451/statuses/155884549290867" tooltip="http://www.ok.ru/profile/556849102451/statuses/155884549290867" r:id="rId2691"/>
    <hyperlink ref="K1197" display="http://www.ok.ru/profile/556849102451" tooltip="http://www.ok.ru/profile/556849102451" r:id="rId2692"/>
    <hyperlink ref="G1198" display="http://vk.com/wall-146175495_830050?reply=830061&amp;thread=830057" tooltip="http://vk.com/wall-146175495_830050?reply=830061&amp;thread=830057" r:id="rId2693"/>
    <hyperlink ref="K1198" display="http://vk.com/id295416540" tooltip="http://vk.com/id295416540" r:id="rId2694"/>
    <hyperlink ref="N1198" display="http://vk.com/club146175495" tooltip="http://vk.com/club146175495" r:id="rId2695"/>
    <hyperlink ref="G1199" display="http://www.ok.ru/profile/440373986869/statuses/156215933883701" tooltip="http://www.ok.ru/profile/440373986869/statuses/156215933883701" r:id="rId2696"/>
    <hyperlink ref="K1199" display="http://www.ok.ru/profile/440373986869" tooltip="http://www.ok.ru/profile/440373986869" r:id="rId2697"/>
    <hyperlink ref="G1200" display="https://www.babyblog.ru/community/01medicina/post/3262171" tooltip="https://www.babyblog.ru/community/01medicina/post/3262171" r:id="rId2698"/>
    <hyperlink ref="G1201" display="https://telegram.me/kitchen_chef/7472" tooltip="https://telegram.me/kitchen_chef/7472" r:id="rId2699"/>
    <hyperlink ref="K1201" display="https://telegram.me/kitchen_chef" tooltip="https://telegram.me/kitchen_chef" r:id="rId2700"/>
    <hyperlink ref="G1202" display="http://www.ok.ru/profile/560026181754/statuses/155171384894842" tooltip="http://www.ok.ru/profile/560026181754/statuses/155171384894842" r:id="rId2701"/>
    <hyperlink ref="K1202" display="http://www.ok.ru/profile/560026181754" tooltip="http://www.ok.ru/profile/560026181754" r:id="rId2702"/>
    <hyperlink ref="G1203" display="http://vk.com/wall162125814_4355" tooltip="http://vk.com/wall162125814_4355" r:id="rId2703"/>
    <hyperlink ref="K1203" display="http://vk.com/id162125814" tooltip="http://vk.com/id162125814" r:id="rId2704"/>
    <hyperlink ref="G1204" display="http://vk.com/wall220494022_734" tooltip="http://vk.com/wall220494022_734" r:id="rId2705"/>
    <hyperlink ref="K1204" display="http://vk.com/id220494022" tooltip="http://vk.com/id220494022" r:id="rId2706"/>
    <hyperlink ref="G1205" display="http://vk.com/wall619892984_285" tooltip="http://vk.com/wall619892984_285" r:id="rId2707"/>
    <hyperlink ref="K1205" display="http://vk.com/id619892984" tooltip="http://vk.com/id619892984" r:id="rId2708"/>
    <hyperlink ref="G1206" display="http://vk.com/wall-78602289_5653406?reply=5653455" tooltip="http://vk.com/wall-78602289_5653406?reply=5653455" r:id="rId2709"/>
    <hyperlink ref="K1206" display="http://vk.com/id795312301" tooltip="http://vk.com/id795312301" r:id="rId2710"/>
    <hyperlink ref="N1206" display="http://vk.com/club78602289" tooltip="http://vk.com/club78602289" r:id="rId2711"/>
    <hyperlink ref="G1207" display="http://www.ok.ru/profile/566971554130/statuses/155912968285010" tooltip="http://www.ok.ru/profile/566971554130/statuses/155912968285010" r:id="rId2712"/>
    <hyperlink ref="K1207" display="http://www.ok.ru/profile/566971554130" tooltip="http://www.ok.ru/profile/566971554130" r:id="rId2713"/>
    <hyperlink ref="G1208" display="http://vk.com/wall-76846938_2689397?reply=2689757&amp;thread=2689399" tooltip="http://vk.com/wall-76846938_2689397?reply=2689757&amp;thread=2689399" r:id="rId2714"/>
    <hyperlink ref="K1208" display="http://vk.com/id143720076" tooltip="http://vk.com/id143720076" r:id="rId2715"/>
    <hyperlink ref="N1208" display="http://vk.com/club76846938" tooltip="http://vk.com/club76846938" r:id="rId2716"/>
    <hyperlink ref="G1209" display="http://vk.com/wall303772859_688" tooltip="http://vk.com/wall303772859_688" r:id="rId2717"/>
    <hyperlink ref="K1209" display="http://vk.com/id303772859" tooltip="http://vk.com/id303772859" r:id="rId2718"/>
    <hyperlink ref="G1210" display="http://vk.com/wall-76846938_2689397?reply=2689755&amp;thread=2689399" tooltip="http://vk.com/wall-76846938_2689397?reply=2689755&amp;thread=2689399" r:id="rId2719"/>
    <hyperlink ref="K1210" display="http://vk.com/id143720076" tooltip="http://vk.com/id143720076" r:id="rId2720"/>
    <hyperlink ref="N1210" display="http://vk.com/club76846938" tooltip="http://vk.com/club76846938" r:id="rId2721"/>
    <hyperlink ref="G1211" display="http://www.ok.ru/profile/561363209640/statuses/156116751528104" tooltip="http://www.ok.ru/profile/561363209640/statuses/156116751528104" r:id="rId2722"/>
    <hyperlink ref="K1211" display="http://www.ok.ru/profile/561363209640" tooltip="http://www.ok.ru/profile/561363209640" r:id="rId2723"/>
    <hyperlink ref="G1212" display="http://vk.com/wall-76846938_2689397?reply=2689753&amp;thread=2689403" tooltip="http://vk.com/wall-76846938_2689397?reply=2689753&amp;thread=2689403" r:id="rId2724"/>
    <hyperlink ref="K1212" display="http://vk.com/id58618726" tooltip="http://vk.com/id58618726" r:id="rId2725"/>
    <hyperlink ref="N1212" display="http://vk.com/club76846938" tooltip="http://vk.com/club76846938" r:id="rId2726"/>
    <hyperlink ref="G1213" display="http://vk.com/wall-146175495_830050" tooltip="http://vk.com/wall-146175495_830050" r:id="rId2727"/>
    <hyperlink ref="K1213" display="http://vk.com/club146175495" tooltip="http://vk.com/club146175495" r:id="rId2728"/>
    <hyperlink ref="G1214" display="http://www.ok.ru/profile/559822525608/statuses/156116738420904" tooltip="http://www.ok.ru/profile/559822525608/statuses/156116738420904" r:id="rId2729"/>
    <hyperlink ref="K1214" display="http://www.ok.ru/profile/559822525608" tooltip="http://www.ok.ru/profile/559822525608" r:id="rId2730"/>
    <hyperlink ref="G1215" display="https://otzovik.com/review_14604464.html" tooltip="https://otzovik.com/review_14604464.html" r:id="rId2731"/>
    <hyperlink ref="K1215" display="https://otzovik.com/profile/Valleronna" tooltip="https://otzovik.com/profile/Valleronna" r:id="rId2732"/>
    <hyperlink ref="N1215" display="https://otzovik.com/" tooltip="https://otzovik.com/" r:id="rId2733"/>
    <hyperlink ref="G1216" display="http://vk.com/wall-47120073_3253174?reply=3253447" tooltip="http://vk.com/wall-47120073_3253174?reply=3253447" r:id="rId2734"/>
    <hyperlink ref="K1216" display="http://vk.com/id253465205" tooltip="http://vk.com/id253465205" r:id="rId2735"/>
    <hyperlink ref="N1216" display="http://vk.com/club47120073" tooltip="http://vk.com/club47120073" r:id="rId2736"/>
    <hyperlink ref="G1217" display="http://vk.com/wall444877282_819" tooltip="http://vk.com/wall444877282_819" r:id="rId2737"/>
    <hyperlink ref="K1217" display="http://vk.com/id444877282" tooltip="http://vk.com/id444877282" r:id="rId2738"/>
    <hyperlink ref="G1218" display="http://vk.com/wall714473222_223" tooltip="http://vk.com/wall714473222_223" r:id="rId2739"/>
    <hyperlink ref="K1218" display="http://vk.com/id714473222" tooltip="http://vk.com/id714473222" r:id="rId2740"/>
    <hyperlink ref="G1219" display="http://vk.com/wall592957230_248" tooltip="http://vk.com/wall592957230_248" r:id="rId2741"/>
    <hyperlink ref="K1219" display="http://vk.com/id592957230" tooltip="http://vk.com/id592957230" r:id="rId2742"/>
    <hyperlink ref="G1220" display="http://www.ok.ru/profile/446804201659/statuses/155157028922299" tooltip="http://www.ok.ru/profile/446804201659/statuses/155157028922299" r:id="rId2743"/>
    <hyperlink ref="K1220" display="http://www.ok.ru/profile/446804201659" tooltip="http://www.ok.ru/profile/446804201659" r:id="rId2744"/>
    <hyperlink ref="G1221" display="http://irecommend.ru/content/virus-ne-proidet-tsitovir-ne-podvedet" tooltip="http://irecommend.ru/content/virus-ne-proidet-tsitovir-ne-podvedet" r:id="rId2745"/>
    <hyperlink ref="G1222" display="http://www.ok.ru/profile/561780937468/statuses/154939660370172" tooltip="http://www.ok.ru/profile/561780937468/statuses/154939660370172" r:id="rId2746"/>
    <hyperlink ref="K1222" display="http://www.ok.ru/profile/561780937468" tooltip="http://www.ok.ru/profile/561780937468" r:id="rId2747"/>
    <hyperlink ref="G1223" display="http://vk.com/wall-47120073_3252674?reply=3253443" tooltip="http://vk.com/wall-47120073_3252674?reply=3253443" r:id="rId2748"/>
    <hyperlink ref="K1223" display="http://vk.com/id795312301" tooltip="http://vk.com/id795312301" r:id="rId2749"/>
    <hyperlink ref="N1223" display="http://vk.com/club47120073" tooltip="http://vk.com/club47120073" r:id="rId2750"/>
    <hyperlink ref="G1224" display="http://www.ok.ru/profile/563416390467/statuses/154890200130371" tooltip="http://www.ok.ru/profile/563416390467/statuses/154890200130371" r:id="rId2751"/>
    <hyperlink ref="K1224" display="http://www.ok.ru/profile/563416390467" tooltip="http://www.ok.ru/profile/563416390467" r:id="rId2752"/>
    <hyperlink ref="G1225" display="http://vk.com/wall748639065_43" tooltip="http://vk.com/wall748639065_43" r:id="rId2753"/>
    <hyperlink ref="K1225" display="http://vk.com/id748639065" tooltip="http://vk.com/id748639065" r:id="rId2754"/>
    <hyperlink ref="G1226" display="http://www.ok.ru/profile/556178349231/statuses/156334448368559" tooltip="http://www.ok.ru/profile/556178349231/statuses/156334448368559" r:id="rId2755"/>
    <hyperlink ref="K1226" display="http://www.ok.ru/profile/556178349231" tooltip="http://www.ok.ru/profile/556178349231" r:id="rId2756"/>
    <hyperlink ref="G1227" display="http://www.ok.ru/profile/526176730491/statuses/155013401575547" tooltip="http://www.ok.ru/profile/526176730491/statuses/155013401575547" r:id="rId2757"/>
    <hyperlink ref="K1227" display="http://www.ok.ru/profile/526176730491" tooltip="http://www.ok.ru/profile/526176730491" r:id="rId2758"/>
    <hyperlink ref="G1228" display="http://www.facebook.com/100001119678747/posts/6179764995404095" tooltip="http://www.facebook.com/100001119678747/posts/6179764995404095" r:id="rId2759"/>
    <hyperlink ref="K1228" display="http://www.facebook.com/100001119678747" tooltip="http://www.facebook.com/100001119678747" r:id="rId2760"/>
    <hyperlink ref="G1229" display="http://vk.com/wall-70396129_85733?reply=85756" tooltip="http://vk.com/wall-70396129_85733?reply=85756" r:id="rId2761"/>
    <hyperlink ref="K1229" display="http://vk.com/id87861473" tooltip="http://vk.com/id87861473" r:id="rId2762"/>
    <hyperlink ref="N1229" display="http://vk.com/club70396129" tooltip="http://vk.com/club70396129" r:id="rId2763"/>
    <hyperlink ref="G1230" display="http://instagram.com/p/Cq-uVH1N8R8" tooltip="http://instagram.com/p/Cq-uVH1N8R8" r:id="rId2764"/>
    <hyperlink ref="K1230" display="http://instagram.com/55.news.55" tooltip="http://instagram.com/55.news.55" r:id="rId2765"/>
    <hyperlink ref="G1231" display="http://www.ok.ru/profile/573645137555/statuses/156022772701331" tooltip="http://www.ok.ru/profile/573645137555/statuses/156022772701331" r:id="rId2766"/>
    <hyperlink ref="K1231" display="http://www.ok.ru/profile/573645137555" tooltip="http://www.ok.ru/profile/573645137555" r:id="rId2767"/>
    <hyperlink ref="G1232" display="http://vk.com/wall751015243_40" tooltip="http://vk.com/wall751015243_40" r:id="rId2768"/>
    <hyperlink ref="K1232" display="http://vk.com/id751015243" tooltip="http://vk.com/id751015243" r:id="rId2769"/>
    <hyperlink ref="G1233" display="http://www.ok.ru/profile/572711739423/statuses/155064576873247" tooltip="http://www.ok.ru/profile/572711739423/statuses/155064576873247" r:id="rId2770"/>
    <hyperlink ref="K1233" display="http://www.ok.ru/profile/572711739423" tooltip="http://www.ok.ru/profile/572711739423" r:id="rId2771"/>
    <hyperlink ref="G1234" display="http://www.ok.ru/profile/487057420122/statuses/155567274942554" tooltip="http://www.ok.ru/profile/487057420122/statuses/155567274942554" r:id="rId2772"/>
    <hyperlink ref="K1234" display="http://www.ok.ru/profile/487057420122" tooltip="http://www.ok.ru/profile/487057420122" r:id="rId2773"/>
    <hyperlink ref="G1235" display="http://www.ok.ru/profile/542128340628/statuses/156146986994580" tooltip="http://www.ok.ru/profile/542128340628/statuses/156146986994580" r:id="rId2774"/>
    <hyperlink ref="K1235" display="http://www.ok.ru/profile/542128340628" tooltip="http://www.ok.ru/profile/542128340628" r:id="rId2775"/>
    <hyperlink ref="G1236" display="http://vk.com/wall-110697191_622099?reply=622666&amp;thread=622103" tooltip="http://vk.com/wall-110697191_622099?reply=622666&amp;thread=622103" r:id="rId2776"/>
    <hyperlink ref="K1236" display="http://vk.com/id43619696" tooltip="http://vk.com/id43619696" r:id="rId2777"/>
    <hyperlink ref="N1236" display="http://vk.com/club110697191" tooltip="http://vk.com/club110697191" r:id="rId2778"/>
    <hyperlink ref="G1237" display="http://www.ok.ru/group/55921101635792/topic/156198285175760" tooltip="http://www.ok.ru/group/55921101635792/topic/156198285175760" r:id="rId2779"/>
    <hyperlink ref="K1237" display="http://www.ok.ru/group/55921101635792" tooltip="http://www.ok.ru/group/55921101635792" r:id="rId2780"/>
    <hyperlink ref="G1238" display="http://www.ok.ru/profile/223365176763/statuses/155156996023227" tooltip="http://www.ok.ru/profile/223365176763/statuses/155156996023227" r:id="rId2781"/>
    <hyperlink ref="K1238" display="http://www.ok.ru/profile/223365176763" tooltip="http://www.ok.ru/profile/223365176763" r:id="rId2782"/>
    <hyperlink ref="G1239" display="http://vk.com/wall-172591640_69807?reply=69869" tooltip="http://vk.com/wall-172591640_69807?reply=69869" r:id="rId2783"/>
    <hyperlink ref="K1239" display="http://vk.com/id795312301" tooltip="http://vk.com/id795312301" r:id="rId2784"/>
    <hyperlink ref="N1239" display="http://vk.com/club172591640" tooltip="http://vk.com/club172591640" r:id="rId2785"/>
    <hyperlink ref="G1240" display="http://www.ok.ru/profile/564560866489/statuses/155682426680761" tooltip="http://www.ok.ru/profile/564560866489/statuses/155682426680761" r:id="rId2786"/>
    <hyperlink ref="K1240" display="http://www.ok.ru/profile/564560866489" tooltip="http://www.ok.ru/profile/564560866489" r:id="rId2787"/>
    <hyperlink ref="G1241" display="http://www.ok.ru/profile/563274866812/statuses/155154211750780" tooltip="http://www.ok.ru/profile/563274866812/statuses/155154211750780" r:id="rId2788"/>
    <hyperlink ref="K1241" display="http://www.ok.ru/profile/563274866812" tooltip="http://www.ok.ru/profile/563274866812" r:id="rId2789"/>
    <hyperlink ref="G1242" display="http://vk.com/wall-117339481_1474346?reply=1474476" tooltip="http://vk.com/wall-117339481_1474346?reply=1474476" r:id="rId2790"/>
    <hyperlink ref="K1242" display="http://vk.com/id136527754" tooltip="http://vk.com/id136527754" r:id="rId2791"/>
    <hyperlink ref="N1242" display="http://vk.com/club117339481" tooltip="http://vk.com/club117339481" r:id="rId2792"/>
    <hyperlink ref="G1243" display="http://vk.com/wall-203023242_19203?reply=19235" tooltip="http://vk.com/wall-203023242_19203?reply=19235" r:id="rId2793"/>
    <hyperlink ref="K1243" display="http://vk.com/id795312301" tooltip="http://vk.com/id795312301" r:id="rId2794"/>
    <hyperlink ref="N1243" display="http://vk.com/club203023242" tooltip="http://vk.com/club203023242" r:id="rId2795"/>
    <hyperlink ref="G1244" display="http://vk.com/wall-153326247_489241?reply=489255&amp;thread=489252" tooltip="http://vk.com/wall-153326247_489241?reply=489255&amp;thread=489252" r:id="rId2796"/>
    <hyperlink ref="K1244" display="http://vk.com/id8546862" tooltip="http://vk.com/id8546862" r:id="rId2797"/>
    <hyperlink ref="N1244" display="http://vk.com/club153326247" tooltip="http://vk.com/club153326247" r:id="rId2798"/>
    <hyperlink ref="G1245" display="http://www.ok.ru/profile/465060141936/statuses/156100729584496" tooltip="http://www.ok.ru/profile/465060141936/statuses/156100729584496" r:id="rId2799"/>
    <hyperlink ref="K1245" display="http://www.ok.ru/profile/465060141936" tooltip="http://www.ok.ru/profile/465060141936" r:id="rId2800"/>
    <hyperlink ref="G1246" display="http://www.ok.ru/profile/529727971754/statuses/155986703834538" tooltip="http://www.ok.ru/profile/529727971754/statuses/155986703834538" r:id="rId2801"/>
    <hyperlink ref="K1246" display="http://www.ok.ru/profile/529727971754" tooltip="http://www.ok.ru/profile/529727971754" r:id="rId2802"/>
    <hyperlink ref="G1247" display="https://telegram.me/doctorbloger_life/1369?comment=42409" tooltip="https://telegram.me/doctorbloger_life/1369?comment=42409" r:id="rId2803"/>
    <hyperlink ref="K1247" display="https://telegram.me/july_rusa" tooltip="https://telegram.me/july_rusa" r:id="rId2804"/>
    <hyperlink ref="N1247" display="https://telegram.me/doctorbloger_life" tooltip="https://telegram.me/doctorbloger_life" r:id="rId2805"/>
    <hyperlink ref="G1248" display="http://vk.com/wall-87598739_813314?reply=816894&amp;thread=813355" tooltip="http://vk.com/wall-87598739_813314?reply=816894&amp;thread=813355" r:id="rId2806"/>
    <hyperlink ref="K1248" display="http://vk.com/id191746976" tooltip="http://vk.com/id191746976" r:id="rId2807"/>
    <hyperlink ref="N1248" display="http://vk.com/club87598739" tooltip="http://vk.com/club87598739" r:id="rId2808"/>
    <hyperlink ref="G1249" display="http://vk.com/wall-203023242_19133?reply=19234&amp;thread=19145" tooltip="http://vk.com/wall-203023242_19133?reply=19234&amp;thread=19145" r:id="rId2809"/>
    <hyperlink ref="K1249" display="http://vk.com/id612148529" tooltip="http://vk.com/id612148529" r:id="rId2810"/>
    <hyperlink ref="N1249" display="http://vk.com/club203023242" tooltip="http://vk.com/club203023242" r:id="rId2811"/>
    <hyperlink ref="G1250" display="http://www.ok.ru/profile/571139847801/statuses/155506522243961" tooltip="http://www.ok.ru/profile/571139847801/statuses/155506522243961" r:id="rId2812"/>
    <hyperlink ref="K1250" display="http://www.ok.ru/profile/571139847801" tooltip="http://www.ok.ru/profile/571139847801" r:id="rId2813"/>
    <hyperlink ref="G1251" display="http://www.ok.ru/profile/571934611137/statuses/155213076620225" tooltip="http://www.ok.ru/profile/571934611137/statuses/155213076620225" r:id="rId2814"/>
    <hyperlink ref="K1251" display="http://www.ok.ru/profile/571934611137" tooltip="http://www.ok.ru/profile/571934611137" r:id="rId2815"/>
    <hyperlink ref="G1252" display="http://vk.com/wall-111555133_2688910?reply=2688912" tooltip="http://vk.com/wall-111555133_2688910?reply=2688912" r:id="rId2816"/>
    <hyperlink ref="K1252" display="http://vk.com/id151585684" tooltip="http://vk.com/id151585684" r:id="rId2817"/>
    <hyperlink ref="N1252" display="http://vk.com/club111555133" tooltip="http://vk.com/club111555133" r:id="rId2818"/>
    <hyperlink ref="G1253" display="http://vk.com/wall-203023242_19133?reply=19233&amp;thread=19143" tooltip="http://vk.com/wall-203023242_19133?reply=19233&amp;thread=19143" r:id="rId2819"/>
    <hyperlink ref="K1253" display="http://vk.com/id390931197" tooltip="http://vk.com/id390931197" r:id="rId2820"/>
    <hyperlink ref="N1253" display="http://vk.com/club203023242" tooltip="http://vk.com/club203023242" r:id="rId2821"/>
    <hyperlink ref="G1254" display="http://vk.com/wall187453131_12374" tooltip="http://vk.com/wall187453131_12374" r:id="rId2822"/>
    <hyperlink ref="K1254" display="http://vk.com/id187453131" tooltip="http://vk.com/id187453131" r:id="rId2823"/>
    <hyperlink ref="G1255" display="http://vk.com/wall-158867732_89565?reply=89764" tooltip="http://vk.com/wall-158867732_89565?reply=89764" r:id="rId2824"/>
    <hyperlink ref="K1255" display="http://vk.com/id612148529" tooltip="http://vk.com/id612148529" r:id="rId2825"/>
    <hyperlink ref="N1255" display="http://vk.com/club158867732" tooltip="http://vk.com/club158867732" r:id="rId2826"/>
    <hyperlink ref="G1256" display="http://vk.com/wall-175014530_460805?reply=461853&amp;thread=460925" tooltip="http://vk.com/wall-175014530_460805?reply=461853&amp;thread=460925" r:id="rId2827"/>
    <hyperlink ref="K1256" display="http://vk.com/id774448813" tooltip="http://vk.com/id774448813" r:id="rId2828"/>
    <hyperlink ref="N1256" display="http://vk.com/club175014530" tooltip="http://vk.com/club175014530" r:id="rId2829"/>
    <hyperlink ref="G1257" display="http://vk.com/wall-197339283_111710?reply=111774" tooltip="http://vk.com/wall-197339283_111710?reply=111774" r:id="rId2830"/>
    <hyperlink ref="K1257" display="http://vk.com/id72535541" tooltip="http://vk.com/id72535541" r:id="rId2831"/>
    <hyperlink ref="N1257" display="http://vk.com/club197339283" tooltip="http://vk.com/club197339283" r:id="rId2832"/>
    <hyperlink ref="G1258" display="http://vk.com/wall-135482876_645111?reply=645714&amp;thread=645168" tooltip="http://vk.com/wall-135482876_645111?reply=645714&amp;thread=645168" r:id="rId2833"/>
    <hyperlink ref="K1258" display="http://vk.com/id612148529" tooltip="http://vk.com/id612148529" r:id="rId2834"/>
    <hyperlink ref="N1258" display="http://vk.com/club135482876" tooltip="http://vk.com/club135482876" r:id="rId2835"/>
    <hyperlink ref="G1259" display="http://vk.com/wall774794574_294" tooltip="http://vk.com/wall774794574_294" r:id="rId2836"/>
    <hyperlink ref="K1259" display="http://vk.com/id774794574" tooltip="http://vk.com/id774794574" r:id="rId2837"/>
    <hyperlink ref="G1260" display="http://www.ok.ru/profile/568679431047/statuses/155508430112903" tooltip="http://www.ok.ru/profile/568679431047/statuses/155508430112903" r:id="rId2838"/>
    <hyperlink ref="K1260" display="http://www.ok.ru/profile/568679431047" tooltip="http://www.ok.ru/profile/568679431047" r:id="rId2839"/>
    <hyperlink ref="G1261" display="http://www.ok.ru/profile/541043399246/statuses/155884238622798" tooltip="http://www.ok.ru/profile/541043399246/statuses/155884238622798" r:id="rId2840"/>
    <hyperlink ref="K1261" display="http://www.ok.ru/profile/541043399246" tooltip="http://www.ok.ru/profile/541043399246" r:id="rId2841"/>
    <hyperlink ref="G1262" display="http://vk.com/wall-143027530_228896?reply=229306&amp;thread=229224" tooltip="http://vk.com/wall-143027530_228896?reply=229306&amp;thread=229224" r:id="rId2842"/>
    <hyperlink ref="K1262" display="http://vk.com/id391277875" tooltip="http://vk.com/id391277875" r:id="rId2843"/>
    <hyperlink ref="N1262" display="http://vk.com/club143027530" tooltip="http://vk.com/club143027530" r:id="rId2844"/>
    <hyperlink ref="G1263" display="http://vk.com/wall-193163431_499" tooltip="http://vk.com/wall-193163431_499" r:id="rId2845"/>
    <hyperlink ref="K1263" display="http://vk.com/club193163431" tooltip="http://vk.com/club193163431" r:id="rId2846"/>
    <hyperlink ref="G1264" display="http://vk.com/wall342079914_331" tooltip="http://vk.com/wall342079914_331" r:id="rId2847"/>
    <hyperlink ref="K1264" display="http://vk.com/id342079914" tooltip="http://vk.com/id342079914" r:id="rId2848"/>
    <hyperlink ref="G1265" display="http://vk.com/wall756884510_53" tooltip="http://vk.com/wall756884510_53" r:id="rId2849"/>
    <hyperlink ref="K1265" display="http://vk.com/id756884510" tooltip="http://vk.com/id756884510" r:id="rId2850"/>
    <hyperlink ref="G1266" display="http://www.ok.ru/profile/515580049551/statuses/156127184872847" tooltip="http://www.ok.ru/profile/515580049551/statuses/156127184872847" r:id="rId2851"/>
    <hyperlink ref="K1266" display="http://www.ok.ru/profile/515580049551" tooltip="http://www.ok.ru/profile/515580049551" r:id="rId2852"/>
    <hyperlink ref="G1267" display="http://vk.com/wall574072831_6905" tooltip="http://vk.com/wall574072831_6905" r:id="rId2853"/>
    <hyperlink ref="K1267" display="http://vk.com/id574072831" tooltip="http://vk.com/id574072831" r:id="rId2854"/>
    <hyperlink ref="G1268" display="http://vk.com/wall1077974_15060" tooltip="http://vk.com/wall1077974_15060" r:id="rId2855"/>
    <hyperlink ref="K1268" display="http://vk.com/id1077974" tooltip="http://vk.com/id1077974" r:id="rId2856"/>
    <hyperlink ref="G1269" display="https://omsk.bezformata.com/listnews/omskih-aptekah-podorozhali-zhiznenno/116212181/" tooltip="https://omsk.bezformata.com/listnews/omskih-aptekah-podorozhali-zhiznenno/116212181/" r:id="rId2857"/>
    <hyperlink ref="G1270" display="http://vk.com/wall-143027530_228896?reply=229305" tooltip="http://vk.com/wall-143027530_228896?reply=229305" r:id="rId2858"/>
    <hyperlink ref="K1270" display="http://vk.com/id612148529" tooltip="http://vk.com/id612148529" r:id="rId2859"/>
    <hyperlink ref="N1270" display="http://vk.com/club143027530" tooltip="http://vk.com/club143027530" r:id="rId2860"/>
    <hyperlink ref="G1271" display="http://www.ok.ru/profile/535493990030/statuses/156072048085902" tooltip="http://www.ok.ru/profile/535493990030/statuses/156072048085902" r:id="rId2861"/>
    <hyperlink ref="K1271" display="http://www.ok.ru/profile/535493990030" tooltip="http://www.ok.ru/profile/535493990030" r:id="rId2862"/>
    <hyperlink ref="G1272" display="http://vk.com/wall-110697272_513644?reply=513666" tooltip="http://vk.com/wall-110697272_513644?reply=513666" r:id="rId2863"/>
    <hyperlink ref="K1272" display="http://vk.com/id795312301" tooltip="http://vk.com/id795312301" r:id="rId2864"/>
    <hyperlink ref="N1272" display="http://vk.com/club110697272" tooltip="http://vk.com/club110697272" r:id="rId2865"/>
    <hyperlink ref="G1273" display="http://vk.com/wall-110697191_622099?reply=622661&amp;thread=622103" tooltip="http://vk.com/wall-110697191_622099?reply=622661&amp;thread=622103" r:id="rId2866"/>
    <hyperlink ref="K1273" display="http://vk.com/id390532848" tooltip="http://vk.com/id390532848" r:id="rId2867"/>
    <hyperlink ref="N1273" display="http://vk.com/club110697191" tooltip="http://vk.com/club110697191" r:id="rId2868"/>
    <hyperlink ref="G1274" display="http://www.ok.ru/profile/478312207928/statuses/155816120358200" tooltip="http://www.ok.ru/profile/478312207928/statuses/155816120358200" r:id="rId2869"/>
    <hyperlink ref="K1274" display="http://www.ok.ru/profile/478312207928" tooltip="http://www.ok.ru/profile/478312207928" r:id="rId2870"/>
    <hyperlink ref="G1275" display="http://vk.com/wall-219360701_558" tooltip="http://vk.com/wall-219360701_558" r:id="rId2871"/>
    <hyperlink ref="K1275" display="http://vk.com/club219360701" tooltip="http://vk.com/club219360701" r:id="rId2872"/>
    <hyperlink ref="G1276" display="http://www.ok.ru/profile/574009000592/statuses/155897316546704" tooltip="http://www.ok.ru/profile/574009000592/statuses/155897316546704" r:id="rId2873"/>
    <hyperlink ref="K1276" display="http://www.ok.ru/profile/574009000592" tooltip="http://www.ok.ru/profile/574009000592" r:id="rId2874"/>
    <hyperlink ref="G1277" display="http://www.ok.ru/profile/570947168621/statuses/155866664057709" tooltip="http://www.ok.ru/profile/570947168621/statuses/155866664057709" r:id="rId2875"/>
    <hyperlink ref="K1277" display="http://www.ok.ru/profile/570947168621" tooltip="http://www.ok.ru/profile/570947168621" r:id="rId2876"/>
    <hyperlink ref="G1278" display="http://vk.com/wall-87598739_813314?reply=816885&amp;thread=813320" tooltip="http://vk.com/wall-87598739_813314?reply=816885&amp;thread=813320" r:id="rId2877"/>
    <hyperlink ref="K1278" display="http://vk.com/id794370688" tooltip="http://vk.com/id794370688" r:id="rId2878"/>
    <hyperlink ref="N1278" display="http://vk.com/club87598739" tooltip="http://vk.com/club87598739" r:id="rId2879"/>
    <hyperlink ref="G1279" display="http://vk.com/wall168250689_349531" tooltip="http://vk.com/wall168250689_349531" r:id="rId2880"/>
    <hyperlink ref="K1279" display="http://vk.com/id168250689" tooltip="http://vk.com/id168250689" r:id="rId2881"/>
    <hyperlink ref="G1280" display="http://vk.com/wall-178617605_453608" tooltip="http://vk.com/wall-178617605_453608" r:id="rId2882"/>
    <hyperlink ref="K1280" display="http://vk.com/club178617605" tooltip="http://vk.com/club178617605" r:id="rId2883"/>
    <hyperlink ref="G1281" display="http://www.ok.ru/profile/591511337490/statuses/156148856002578" tooltip="http://www.ok.ru/profile/591511337490/statuses/156148856002578" r:id="rId2884"/>
    <hyperlink ref="K1281" display="http://www.ok.ru/profile/591511337490" tooltip="http://www.ok.ru/profile/591511337490" r:id="rId2885"/>
    <hyperlink ref="G1282" display="http://vk.com/wall-88354188_348339?reply=369103&amp;thread=348529" tooltip="http://vk.com/wall-88354188_348339?reply=369103&amp;thread=348529" r:id="rId2886"/>
    <hyperlink ref="K1282" display="http://vk.com/id612148529" tooltip="http://vk.com/id612148529" r:id="rId2887"/>
    <hyperlink ref="N1282" display="http://vk.com/club88354188" tooltip="http://vk.com/club88354188" r:id="rId2888"/>
    <hyperlink ref="G1283" display="http://vk.com/wall-164460003_1865336?reply=1866087" tooltip="http://vk.com/wall-164460003_1865336?reply=1866087" r:id="rId2889"/>
    <hyperlink ref="K1283" display="http://vk.com/id612148529" tooltip="http://vk.com/id612148529" r:id="rId2890"/>
    <hyperlink ref="N1283" display="http://vk.com/club164460003" tooltip="http://vk.com/club164460003" r:id="rId2891"/>
    <hyperlink ref="G1284" display="https://vk.com/wall-112011819_914128?reply=989465&amp;thread=914154" tooltip="https://vk.com/wall-112011819_914128?reply=989465&amp;thread=914154" r:id="rId2892"/>
    <hyperlink ref="K1284" display="https://vk.com/wall-112011819_914128?reply=989465&amp;thread=914154" tooltip="https://vk.com/wall-112011819_914128?reply=989465&amp;thread=914154" r:id="rId2893"/>
    <hyperlink ref="G1285" display="https://petrozavodsk.bezformata.com/listnews/kakie-produkti-podorozhali-v-karelii/116215947/" tooltip="https://petrozavodsk.bezformata.com/listnews/kakie-produkti-podorozhali-v-karelii/116215947/" r:id="rId2894"/>
    <hyperlink ref="G1286" display="http://vk.com/wall-155386267_1060849?reply=1060944" tooltip="http://vk.com/wall-155386267_1060849?reply=1060944" r:id="rId2895"/>
    <hyperlink ref="K1286" display="http://vk.com/id202805916" tooltip="http://vk.com/id202805916" r:id="rId2896"/>
    <hyperlink ref="N1286" display="http://vk.com/club155386267" tooltip="http://vk.com/club155386267" r:id="rId2897"/>
    <hyperlink ref="G1287" display="http://vk.com/wall-47179959_140636" tooltip="http://vk.com/wall-47179959_140636" r:id="rId2898"/>
    <hyperlink ref="K1287" display="http://vk.com/club47179959" tooltip="http://vk.com/club47179959" r:id="rId2899"/>
    <hyperlink ref="G1288" display="http://www.ok.ru/profile/561815644913/statuses/156565649095665" tooltip="http://www.ok.ru/profile/561815644913/statuses/156565649095665" r:id="rId2900"/>
    <hyperlink ref="K1288" display="http://www.ok.ru/profile/561815644913" tooltip="http://www.ok.ru/profile/561815644913" r:id="rId2901"/>
    <hyperlink ref="G1289" display="http://www.ok.ru/profile/569501793617/statuses/156015063947345" tooltip="http://www.ok.ru/profile/569501793617/statuses/156015063947345" r:id="rId2902"/>
    <hyperlink ref="K1289" display="http://www.ok.ru/profile/569501793617" tooltip="http://www.ok.ru/profile/569501793617" r:id="rId2903"/>
    <hyperlink ref="G1290" display="http://vk.com/wall-17734054_18176816?reply=18180192" tooltip="http://vk.com/wall-17734054_18176816?reply=18180192" r:id="rId2904"/>
    <hyperlink ref="K1290" display="http://vk.com/id652333442" tooltip="http://vk.com/id652333442" r:id="rId2905"/>
    <hyperlink ref="N1290" display="http://vk.com/club17734054" tooltip="http://vk.com/club17734054" r:id="rId2906"/>
    <hyperlink ref="G1291" display="http://www.ok.ru/profile/566777642308/statuses/155466158839108" tooltip="http://www.ok.ru/profile/566777642308/statuses/155466158839108" r:id="rId2907"/>
    <hyperlink ref="K1291" display="http://www.ok.ru/profile/566777642308" tooltip="http://www.ok.ru/profile/566777642308" r:id="rId2908"/>
    <hyperlink ref="G1292" display="http://vk.com/wall-110697191_622636?reply=622656" tooltip="http://vk.com/wall-110697191_622636?reply=622656" r:id="rId2909"/>
    <hyperlink ref="K1292" display="http://vk.com/id16453890" tooltip="http://vk.com/id16453890" r:id="rId2910"/>
    <hyperlink ref="N1292" display="http://vk.com/club110697191" tooltip="http://vk.com/club110697191" r:id="rId2911"/>
    <hyperlink ref="G1293" display="https://telegram.me/doctorbloger_life/1369?comment=42405" tooltip="https://telegram.me/doctorbloger_life/1369?comment=42405" r:id="rId2912"/>
    <hyperlink ref="K1293" display="https://telegram.me/" tooltip="https://telegram.me/" r:id="rId2913"/>
    <hyperlink ref="N1293" display="https://telegram.me/doctorbloger_life" tooltip="https://telegram.me/doctorbloger_life" r:id="rId2914"/>
    <hyperlink ref="G1294" display="http://www.ok.ru/profile/571232175280/statuses/156232468606384" tooltip="http://www.ok.ru/profile/571232175280/statuses/156232468606384" r:id="rId2915"/>
    <hyperlink ref="K1294" display="http://www.ok.ru/profile/571232175280" tooltip="http://www.ok.ru/profile/571232175280" r:id="rId2916"/>
    <hyperlink ref="G1295" display="http://www.ok.ru/profile/512226650434/statuses/155119500412994" tooltip="http://www.ok.ru/profile/512226650434/statuses/155119500412994" r:id="rId2917"/>
    <hyperlink ref="K1295" display="http://www.ok.ru/profile/512226650434" tooltip="http://www.ok.ru/profile/512226650434" r:id="rId2918"/>
    <hyperlink ref="G1296" display="http://vk.com/wall728391957_152" tooltip="http://vk.com/wall728391957_152" r:id="rId2919"/>
    <hyperlink ref="K1296" display="http://vk.com/id728391957" tooltip="http://vk.com/id728391957" r:id="rId2920"/>
    <hyperlink ref="G1297" display="http://vk.com/wall-136860886_525859?reply=525876" tooltip="http://vk.com/wall-136860886_525859?reply=525876" r:id="rId2921"/>
    <hyperlink ref="K1297" display="http://vk.com/id202805916" tooltip="http://vk.com/id202805916" r:id="rId2922"/>
    <hyperlink ref="N1297" display="http://vk.com/club136860886" tooltip="http://vk.com/club136860886" r:id="rId2923"/>
    <hyperlink ref="G1298" display="http://www.ok.ru/profile/512226650434/statuses/155119497529410" tooltip="http://www.ok.ru/profile/512226650434/statuses/155119497529410" r:id="rId2924"/>
    <hyperlink ref="K1298" display="http://www.ok.ru/profile/512226650434" tooltip="http://www.ok.ru/profile/512226650434" r:id="rId2925"/>
    <hyperlink ref="G1299" display="http://www.ok.ru/profile/529381131613/statuses/154907343282269" tooltip="http://www.ok.ru/profile/529381131613/statuses/154907343282269" r:id="rId2926"/>
    <hyperlink ref="K1299" display="http://www.ok.ru/profile/529381131613" tooltip="http://www.ok.ru/profile/529381131613" r:id="rId2927"/>
    <hyperlink ref="G1300" display="http://vk.com/wall416463604_10166" tooltip="http://vk.com/wall416463604_10166" r:id="rId2928"/>
    <hyperlink ref="K1300" display="http://vk.com/id416463604" tooltip="http://vk.com/id416463604" r:id="rId2929"/>
    <hyperlink ref="G1301" display="http://vk.com/wall-48067990_909943?reply=913400&amp;thread=913054" tooltip="http://vk.com/wall-48067990_909943?reply=913400&amp;thread=913054" r:id="rId2930"/>
    <hyperlink ref="K1301" display="http://vk.com/id612148529" tooltip="http://vk.com/id612148529" r:id="rId2931"/>
    <hyperlink ref="N1301" display="http://vk.com/club48067990" tooltip="http://vk.com/club48067990" r:id="rId2932"/>
    <hyperlink ref="G1302" display="https://telegram.me/obodzinskaya/119?comment=1206" tooltip="https://telegram.me/obodzinskaya/119?comment=1206" r:id="rId2933"/>
    <hyperlink ref="K1302" display="https://telegram.me/Innisolnce" tooltip="https://telegram.me/Innisolnce" r:id="rId2934"/>
    <hyperlink ref="N1302" display="https://telegram.me/obodzinskaya" tooltip="https://telegram.me/obodzinskaya" r:id="rId2935"/>
    <hyperlink ref="G1303" display="http://www.ok.ru/profile/590861217808/statuses/156017083812624" tooltip="http://www.ok.ru/profile/590861217808/statuses/156017083812624" r:id="rId2936"/>
    <hyperlink ref="K1303" display="http://www.ok.ru/profile/590861217808" tooltip="http://www.ok.ru/profile/590861217808" r:id="rId2937"/>
    <hyperlink ref="G1304" display="http://www.ok.ru/profile/536130639147/statuses/156302764120875" tooltip="http://www.ok.ru/profile/536130639147/statuses/156302764120875" r:id="rId2938"/>
    <hyperlink ref="K1304" display="http://www.ok.ru/profile/536130639147" tooltip="http://www.ok.ru/profile/536130639147" r:id="rId2939"/>
    <hyperlink ref="G1305" display="http://vk.com/wall-131081771_1590104?reply=1591193" tooltip="http://vk.com/wall-131081771_1590104?reply=1591193" r:id="rId2940"/>
    <hyperlink ref="K1305" display="http://vk.com/id612148529" tooltip="http://vk.com/id612148529" r:id="rId2941"/>
    <hyperlink ref="N1305" display="http://vk.com/club131081771" tooltip="http://vk.com/club131081771" r:id="rId2942"/>
    <hyperlink ref="G1306" display="https://telegram.me/children_covid/7896" tooltip="https://telegram.me/children_covid/7896" r:id="rId2943"/>
    <hyperlink ref="K1306" display="https://telegram.me/" tooltip="https://telegram.me/" r:id="rId2944"/>
    <hyperlink ref="N1306" display="https://telegram.me/children_covid" tooltip="https://telegram.me/children_covid" r:id="rId2945"/>
    <hyperlink ref="G1307" display="http://irecommend.ru/content/medovaya-kladez-iz-lichinok-voskovoi-moli-spasenie-dlya-detok-kotorye-ne-mogut-otkhodit-v-sa" tooltip="http://irecommend.ru/content/medovaya-kladez-iz-lichinok-voskovoi-moli-spasenie-dlya-detok-kotorye-ne-mogut-otkhodit-v-sa" r:id="rId2946"/>
    <hyperlink ref="G1308" display="http://www.ok.ru/profile/561252405483/statuses/155826617056235" tooltip="http://www.ok.ru/profile/561252405483/statuses/155826617056235" r:id="rId2947"/>
    <hyperlink ref="K1308" display="http://www.ok.ru/profile/561252405483" tooltip="http://www.ok.ru/profile/561252405483" r:id="rId2948"/>
    <hyperlink ref="G1309" display="http://vk.com/wall335284590_284" tooltip="http://vk.com/wall335284590_284" r:id="rId2949"/>
    <hyperlink ref="K1309" display="http://vk.com/id335284590" tooltip="http://vk.com/id335284590" r:id="rId2950"/>
    <hyperlink ref="G1310" display="http://www.ok.ru/profile/552808131998/statuses/155306191465886" tooltip="http://www.ok.ru/profile/552808131998/statuses/155306191465886" r:id="rId2951"/>
    <hyperlink ref="K1310" display="http://www.ok.ru/profile/552808131998" tooltip="http://www.ok.ru/profile/552808131998" r:id="rId2952"/>
    <hyperlink ref="G1311" display="https://www.babyblog.ru/community/ks/post/3200963" tooltip="https://www.babyblog.ru/community/ks/post/3200963" r:id="rId2953"/>
    <hyperlink ref="G1312" display="http://vk.com/wall771714477_491" tooltip="http://vk.com/wall771714477_491" r:id="rId2954"/>
    <hyperlink ref="K1312" display="http://vk.com/id771714477" tooltip="http://vk.com/id771714477" r:id="rId2955"/>
    <hyperlink ref="G1313" display="http://www.ok.ru/profile/576339859000/statuses/155816019301688" tooltip="http://www.ok.ru/profile/576339859000/statuses/155816019301688" r:id="rId2956"/>
    <hyperlink ref="K1313" display="http://www.ok.ru/profile/576339859000" tooltip="http://www.ok.ru/profile/576339859000" r:id="rId2957"/>
    <hyperlink ref="G1314" display="http://vk.com/wall555290823_2522" tooltip="http://vk.com/wall555290823_2522" r:id="rId2958"/>
    <hyperlink ref="K1314" display="http://vk.com/id555290823" tooltip="http://vk.com/id555290823" r:id="rId2959"/>
    <hyperlink ref="G1315" display="https://telegram.me/pediatry_chat_pediatrov/66985" tooltip="https://telegram.me/pediatry_chat_pediatrov/66985" r:id="rId2960"/>
    <hyperlink ref="K1315" display="https://telegram.me/bob_na" tooltip="https://telegram.me/bob_na" r:id="rId2961"/>
    <hyperlink ref="N1315" display="https://telegram.me/pediatry_chat_pediatrov" tooltip="https://telegram.me/pediatry_chat_pediatrov" r:id="rId2962"/>
    <hyperlink ref="G1316" display="http://vk.com/wall-81840381_3445957?reply=3451005" tooltip="http://vk.com/wall-81840381_3445957?reply=3451005" r:id="rId2963"/>
    <hyperlink ref="K1316" display="http://vk.com/id652333442" tooltip="http://vk.com/id652333442" r:id="rId2964"/>
    <hyperlink ref="N1316" display="http://vk.com/club81840381" tooltip="http://vk.com/club81840381" r:id="rId2965"/>
    <hyperlink ref="G1317" display="http://vk.com/wall224746185_11432" tooltip="http://vk.com/wall224746185_11432" r:id="rId2966"/>
    <hyperlink ref="K1317" display="http://vk.com/id224746185" tooltip="http://vk.com/id224746185" r:id="rId2967"/>
    <hyperlink ref="G1318" display="http://vk.com/wall-17577887_8008027?reply=8008085" tooltip="http://vk.com/wall-17577887_8008027?reply=8008085" r:id="rId2968"/>
    <hyperlink ref="K1318" display="http://vk.com/id155915274" tooltip="http://vk.com/id155915274" r:id="rId2969"/>
    <hyperlink ref="N1318" display="http://vk.com/club17577887" tooltip="http://vk.com/club17577887" r:id="rId2970"/>
    <hyperlink ref="G1319" display="http://www.ok.ru/profile/522098105051/statuses/155112468242651" tooltip="http://www.ok.ru/profile/522098105051/statuses/155112468242651" r:id="rId2971"/>
    <hyperlink ref="K1319" display="http://www.ok.ru/profile/522098105051" tooltip="http://www.ok.ru/profile/522098105051" r:id="rId2972"/>
    <hyperlink ref="G1320" display="http://vk.com/wall761951280_148" tooltip="http://vk.com/wall761951280_148" r:id="rId2973"/>
    <hyperlink ref="K1320" display="http://vk.com/id761951280" tooltip="http://vk.com/id761951280" r:id="rId2974"/>
    <hyperlink ref="G1321" display="http://www.ok.ru/group/64368221159654/topic/156599622680038" tooltip="http://www.ok.ru/group/64368221159654/topic/156599622680038" r:id="rId2975"/>
    <hyperlink ref="K1321" display="http://www.ok.ru/group/64368221159654" tooltip="http://www.ok.ru/group/64368221159654" r:id="rId2976"/>
    <hyperlink ref="G1322" display="http://www.kremlinrus.ru/article/181/166157/" tooltip="http://www.kremlinrus.ru/article/181/166157/" r:id="rId2977"/>
    <hyperlink ref="G1323" display="https://www.babyblog.ru/community/bolshiedeti/post/3198831" tooltip="https://www.babyblog.ru/community/bolshiedeti/post/3198831" r:id="rId2978"/>
    <hyperlink ref="G1324" display="http://www.ok.ru/profile/360746112718/statuses/156144383735246" tooltip="http://www.ok.ru/profile/360746112718/statuses/156144383735246" r:id="rId2979"/>
    <hyperlink ref="K1324" display="http://www.ok.ru/profile/360746112718" tooltip="http://www.ok.ru/profile/360746112718" r:id="rId2980"/>
    <hyperlink ref="G1325" display="http://www.ok.ru/profile/548865689238/statuses/155733892896918" tooltip="http://www.ok.ru/profile/548865689238/statuses/155733892896918" r:id="rId2981"/>
    <hyperlink ref="K1325" display="http://www.ok.ru/profile/548865689238" tooltip="http://www.ok.ru/profile/548865689238" r:id="rId2982"/>
    <hyperlink ref="G1326" display="http://www.ok.ru/profile/577192192530/statuses/156148720801810" tooltip="http://www.ok.ru/profile/577192192530/statuses/156148720801810" r:id="rId2983"/>
    <hyperlink ref="K1326" display="http://www.ok.ru/profile/577192192530" tooltip="http://www.ok.ru/profile/577192192530" r:id="rId2984"/>
    <hyperlink ref="G1327" display="http://vk.com/wall746730811_439" tooltip="http://vk.com/wall746730811_439" r:id="rId2985"/>
    <hyperlink ref="K1327" display="http://vk.com/id746730811" tooltip="http://vk.com/id746730811" r:id="rId2986"/>
    <hyperlink ref="G1328" display="http://vk.com/wall-31317167_5930?reply=5964&amp;thread=5955" tooltip="http://vk.com/wall-31317167_5930?reply=5964&amp;thread=5955" r:id="rId2987"/>
    <hyperlink ref="K1328" display="http://vk.com/id612148529" tooltip="http://vk.com/id612148529" r:id="rId2988"/>
    <hyperlink ref="N1328" display="http://vk.com/club31317167" tooltip="http://vk.com/club31317167" r:id="rId2989"/>
    <hyperlink ref="G1329" display="http://vk.com/wall-216859333_3708" tooltip="http://vk.com/wall-216859333_3708" r:id="rId2990"/>
    <hyperlink ref="K1329" display="http://vk.com/club216859333" tooltip="http://vk.com/club216859333" r:id="rId2991"/>
    <hyperlink ref="G1330" display="https://telegram.me/srklub/454234" tooltip="https://telegram.me/srklub/454234" r:id="rId2992"/>
    <hyperlink ref="K1330" display="https://telegram.me/Laisa_Lisa" tooltip="https://telegram.me/Laisa_Lisa" r:id="rId2993"/>
    <hyperlink ref="N1330" display="https://telegram.me/srklub" tooltip="https://telegram.me/srklub" r:id="rId2994"/>
    <hyperlink ref="G1331" display="http://www.ok.ru/profile/564706315074/statuses/155119442675778" tooltip="http://www.ok.ru/profile/564706315074/statuses/155119442675778" r:id="rId2995"/>
    <hyperlink ref="K1331" display="http://www.ok.ru/profile/564706315074" tooltip="http://www.ok.ru/profile/564706315074" r:id="rId2996"/>
    <hyperlink ref="G1332" display="http://vk.com/wall-155403177_56807?reply=57198&amp;thread=56845" tooltip="http://vk.com/wall-155403177_56807?reply=57198&amp;thread=56845" r:id="rId2997"/>
    <hyperlink ref="K1332" display="http://vk.com/id222505574" tooltip="http://vk.com/id222505574" r:id="rId2998"/>
    <hyperlink ref="N1332" display="http://vk.com/club155403177" tooltip="http://vk.com/club155403177" r:id="rId2999"/>
    <hyperlink ref="G1333" display="http://www.ok.ru/profile/575465544379/statuses/155156801512379" tooltip="http://www.ok.ru/profile/575465544379/statuses/155156801512379" r:id="rId3000"/>
    <hyperlink ref="K1333" display="http://www.ok.ru/profile/575465544379" tooltip="http://www.ok.ru/profile/575465544379" r:id="rId3001"/>
    <hyperlink ref="G1334" display="http://www.ok.ru/profile/591641422613/statuses/155863940405269" tooltip="http://www.ok.ru/profile/591641422613/statuses/155863940405269" r:id="rId3002"/>
    <hyperlink ref="K1334" display="http://www.ok.ru/profile/591641422613" tooltip="http://www.ok.ru/profile/591641422613" r:id="rId3003"/>
    <hyperlink ref="G1335" display="http://vk.com/wall638595057_289" tooltip="http://vk.com/wall638595057_289" r:id="rId3004"/>
    <hyperlink ref="K1335" display="http://vk.com/id638595057" tooltip="http://vk.com/id638595057" r:id="rId3005"/>
    <hyperlink ref="G1336" display="http://www.ok.ru/profile/531368500639/statuses/155029802229919" tooltip="http://www.ok.ru/profile/531368500639/statuses/155029802229919" r:id="rId3006"/>
    <hyperlink ref="K1336" display="http://www.ok.ru/profile/531368500639" tooltip="http://www.ok.ru/profile/531368500639" r:id="rId3007"/>
    <hyperlink ref="G1337" display="http://www.ok.ru/profile/573027605416/statuses/156116433481896" tooltip="http://www.ok.ru/profile/573027605416/statuses/156116433481896" r:id="rId3008"/>
    <hyperlink ref="K1337" display="http://www.ok.ru/profile/573027605416" tooltip="http://www.ok.ru/profile/573027605416" r:id="rId3009"/>
    <hyperlink ref="G1338" display="http://www.ok.ru/profile/562405010525/statuses/154907278532701" tooltip="http://www.ok.ru/profile/562405010525/statuses/154907278532701" r:id="rId3010"/>
    <hyperlink ref="K1338" display="http://www.ok.ru/profile/562405010525" tooltip="http://www.ok.ru/profile/562405010525" r:id="rId3011"/>
    <hyperlink ref="G1339" display="http://www.ok.ru/profile/354048186132/statuses/155970873789716" tooltip="http://www.ok.ru/profile/354048186132/statuses/155970873789716" r:id="rId3012"/>
    <hyperlink ref="K1339" display="http://www.ok.ru/profile/354048186132" tooltip="http://www.ok.ru/profile/354048186132" r:id="rId3013"/>
  </hyperlinks>
  <printOptions gridLines="false" gridLinesSet="true"/>
  <pageMargins left="0.699999988079071" top="0.75" right="0.699999988079071" bottom="0.75" header="0.300000011920929" footer="0.300000011920929"/>
  <pageSetup orientation="default" fitToHeight="1" fitToWidth="1" paperSize="1" cellComments="none"/>
  <headerFooter alignWithMargins="true" scaleWithDoc="true">
    <oddHeader/>
    <oddFooter/>
  </headerFooter>
  <drawing r:id="rId3014"/>
</worksheet>
</file>