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<sst xmlns="http://schemas.openxmlformats.org/spreadsheetml/2006/main" count="5463" uniqueCount="3502">
  <si>
    <t>_name</t>
  </si>
  <si>
    <t>ru</t>
  </si>
  <si>
    <t>zh</t>
  </si>
  <si>
    <t>en</t>
  </si>
  <si>
    <t>Бумажные салфетки Мякишко Эконом белые 100 шт</t>
  </si>
  <si>
    <t>餐巾纸 Myakishko 经济型白色 100 片</t>
  </si>
  <si>
    <t>Пятновыводитель для тканей Vanish Oxi Action 1 л</t>
  </si>
  <si>
    <t>Vanish Oxi Action 织物去污剂 1 升</t>
  </si>
  <si>
    <t>Пятновыводитель и отбеливатель Vanish Oxi Action Кристал белизна 1 л</t>
  </si>
  <si>
    <t>Vanish Oxi Action 去污剂和漂白剂水晶白度 1 升</t>
  </si>
  <si>
    <t>Рукав для запекания Komfi 30 см х 3 м</t>
  </si>
  <si>
    <t>烤套 Komfi 30 cm x 3 m</t>
  </si>
  <si>
    <t>Средство для мытья и дезинфекции Славин 1 л</t>
  </si>
  <si>
    <t>清洗和消毒 Slavin 1 升的方法</t>
  </si>
  <si>
    <t>Совок для мусора Мультипласт</t>
  </si>
  <si>
    <t>垃圾桶 Multiplast</t>
  </si>
  <si>
    <t>Совок для мусора с длинной ручкой Микс 80 см</t>
  </si>
  <si>
    <t>长柄垃圾勺 Mix 80 cm</t>
  </si>
  <si>
    <t>Совок для мусора Премиум с резинкой</t>
  </si>
  <si>
    <t>带橡皮筋的垃圾勺溢价</t>
  </si>
  <si>
    <t>Совок для мусора Фьюджи с резинкой</t>
  </si>
  <si>
    <t>带橡皮筋的 Fiuggi 垃圾勺</t>
  </si>
  <si>
    <t>Средство для растворения жирных загрязнений AnyDay Gloss 1 л</t>
  </si>
  <si>
    <t>AnyDay Gloss 用于溶解油渍 1 l</t>
  </si>
  <si>
    <t>Средство для быстрого растворения жирных загрязнений 500 мл</t>
  </si>
  <si>
    <t>快速溶解油渍的方法 500 毫升</t>
  </si>
  <si>
    <t>Свечи в гильзе белые 100 шт</t>
  </si>
  <si>
    <t>白色袖子蜡烛 100 支</t>
  </si>
  <si>
    <t>Антисептик для обработки рук Септаль 1 л</t>
  </si>
  <si>
    <t>用于治疗手部的防腐剂 Septal 1 l</t>
  </si>
  <si>
    <t>Стиральный порошок Tide Автомат Color 3 кг</t>
  </si>
  <si>
    <t>洗衣粉潮自动上色3公斤</t>
  </si>
  <si>
    <t>Металлические губки для посуды 12 г 3 шт</t>
  </si>
  <si>
    <t>金属百洁布 12 克 3 个</t>
  </si>
  <si>
    <t>Перчатки х/б с двойным латексным покрытием</t>
  </si>
  <si>
    <t>双层乳胶涂层棉手套</t>
  </si>
  <si>
    <t>Перчатки х/б с одинарным латексным покрытием</t>
  </si>
  <si>
    <t>单层乳胶涂层棉手套</t>
  </si>
  <si>
    <t>Перчатки х/б 10 класс 4 нитки с ПВХ светлые</t>
  </si>
  <si>
    <t>手套棉 10 类 4 线与 PVC 灯</t>
  </si>
  <si>
    <t>Перчатки хозяйственные с напылением Эконом р-р M</t>
  </si>
  <si>
    <t>家用除尘手套经济解决方案 M</t>
  </si>
  <si>
    <t>Средство чистящее Пемолюкс Сода 5 Лимон 480 г</t>
  </si>
  <si>
    <t>清洁剂 Pemolux 苏打水 5 柠檬 480 克</t>
  </si>
  <si>
    <t>Перчатки латексные Умничка р-р M</t>
  </si>
  <si>
    <t>乳胶手套聪明少女解M</t>
  </si>
  <si>
    <t>Перчатки латексные Умничка р-р ХL</t>
  </si>
  <si>
    <t>乳胶手套 Umnichka 解决方案 XL</t>
  </si>
  <si>
    <t>Полироль для мебели Pronto Classic 5в1 для деревянных поверхностей Россия 250 мл</t>
  </si>
  <si>
    <t>家具上光剂 Pronto Classic 5in1 用于木制表面俄罗斯 250 毫升</t>
  </si>
  <si>
    <t>Полироль для мебели Pronto антипыль и антиаллерген 250 мл</t>
  </si>
  <si>
    <t>家具上光剂 Pronto 防尘和抗过敏原 250 毫升</t>
  </si>
  <si>
    <t>Полироль для мебели Mebelux с антистатиком 300 мл</t>
  </si>
  <si>
    <t>家具上光剂 Mebelux 抗静电剂 300 毫升</t>
  </si>
  <si>
    <t>Рулонные бумажные полотенца Zewa двухслойные 2 шт</t>
  </si>
  <si>
    <t>Zewa 双层卷纸巾 2 片</t>
  </si>
  <si>
    <t>Листовые бумажные полотенца Desna Standart v-сложения однослойные</t>
  </si>
  <si>
    <t>Desna Standart V 形折叠单层纸巾</t>
  </si>
  <si>
    <t>Рулонные бумажные полотенца Мякишко H20 2 шт</t>
  </si>
  <si>
    <t>卷纸巾 Makishko H20 2 件</t>
  </si>
  <si>
    <t>Пистолет упаковочный для скотча Klebebander 50 мм х 66 м</t>
  </si>
  <si>
    <t>胶带包装枪 Klebebander 50 mm x 66 m</t>
  </si>
  <si>
    <t>Пластиковый хомут стяжка 2,5х200 мм белый нейлон</t>
  </si>
  <si>
    <t>塑料夹箍 2.5x200 毫米白色尼龙</t>
  </si>
  <si>
    <t>Черенок для щеток 110 см оранжевый</t>
  </si>
  <si>
    <t>刷柄 110 cm 橙色</t>
  </si>
  <si>
    <t>Черенок для щеток 120 см прорезиненный</t>
  </si>
  <si>
    <t>刷柄 120 厘米，涂胶</t>
  </si>
  <si>
    <t>Черенок для щеток 110 см синий</t>
  </si>
  <si>
    <t>刷柄 110 cm 蓝色</t>
  </si>
  <si>
    <t>Черенок для щеток Эконом деревянный 120 см 1 сорт</t>
  </si>
  <si>
    <t>经济型刷柄，木质 120 厘米，1 级</t>
  </si>
  <si>
    <t>Черенок для щеток деревянный Эконом 120 см высший сорт</t>
  </si>
  <si>
    <t>木刷柄经济 120 厘米高档</t>
  </si>
  <si>
    <t>Тряпка для пола Умничка х/б 60х70 см белая</t>
  </si>
  <si>
    <t>地板抹布聪明的女人棉 60x70 厘米白色</t>
  </si>
  <si>
    <t>Тряпка для пола Умничка х/б 70х75 см белая</t>
  </si>
  <si>
    <t>地板抹布聪明的女人棉 70x75 厘米白色</t>
  </si>
  <si>
    <t>Тряпка для пола Умничка х/б 80х100 см белая</t>
  </si>
  <si>
    <t>地板抹布聪明的女人棉 80x100 厘米白色</t>
  </si>
  <si>
    <t>Тряпка для пола Умничка х/б 60х70 см серая</t>
  </si>
  <si>
    <t>地板用抹布 Clever Woman 棉 60x70 cm 灰色</t>
  </si>
  <si>
    <t>Чистящее средство Domestos Лимонная свежесть 24 ч 1 л</t>
  </si>
  <si>
    <t>Domestos 清洁剂柠檬新鲜度 24 小时 1 升</t>
  </si>
  <si>
    <t>Чистящее средство Domestos Свежесть Атлантики 24 ч 1 л</t>
  </si>
  <si>
    <t>Domestos Atlantic 新鲜清洁剂 24 小时 1 升</t>
  </si>
  <si>
    <t>Фольга для теплоизоляции Стандарт 1,2х10м 50 мкм</t>
  </si>
  <si>
    <t>隔热箔 标准 1.2x10m 50 微米</t>
  </si>
  <si>
    <t>Фольга для теплоизоляции Экстра 1,2х10м 100мкм</t>
  </si>
  <si>
    <t>隔热箔 Extra 1.2x10m 100μm</t>
  </si>
  <si>
    <t>Щетка подметальная Нова</t>
  </si>
  <si>
    <t>扫帚新星</t>
  </si>
  <si>
    <t>Щетка полотерная Наполи</t>
  </si>
  <si>
    <t>抛光刷那不勒斯</t>
  </si>
  <si>
    <t>Щетка-сметка Шробер</t>
  </si>
  <si>
    <t>扫帚刷 Schrober</t>
  </si>
  <si>
    <t>Щетка тротуарная Фоджа</t>
  </si>
  <si>
    <t>人行道刷福贾</t>
  </si>
  <si>
    <t>Щетка уличная Гардена с высокой щетиной</t>
  </si>
  <si>
    <t>户外高刷毛 Gardena 刷子</t>
  </si>
  <si>
    <t>Щетка-сметка Палермо</t>
  </si>
  <si>
    <t>巴勒莫扫帚</t>
  </si>
  <si>
    <t>Швабра отжимная Умничка нетелескопическая зеленая 110 см 1 ролик</t>
  </si>
  <si>
    <t>挤压式拖把 Umnichka 非伸缩绿色 110 厘米 1 个滚轮</t>
  </si>
  <si>
    <t>Швабра отжимная Умничка изогнутая 120 см 1 ролик</t>
  </si>
  <si>
    <t>挤压拖把 Umnichka 弯曲 120 厘米 1 个滚轮</t>
  </si>
  <si>
    <t>Швабра отжимная Умничка складная голубая 115 см</t>
  </si>
  <si>
    <t>绞干拖把 Umnichka 折叠蓝色 115 厘米</t>
  </si>
  <si>
    <t>Швабра для пола Умничка оранжевая 110 см</t>
  </si>
  <si>
    <t>地板拖把 Umnichka 橙色 110 厘米</t>
  </si>
  <si>
    <t>Швабра для пола Умничка двухсторонняя зеленая 120 см</t>
  </si>
  <si>
    <t>地板拖把 Umnichka 双面绿色 120 厘米</t>
  </si>
  <si>
    <t>Щетка для посуды Оля</t>
  </si>
  <si>
    <t>碗刷奥利亚</t>
  </si>
  <si>
    <t>Средство очищающее Санатекс 5 л</t>
  </si>
  <si>
    <t>Sanatex 洁面乳 5 升</t>
  </si>
  <si>
    <t>Средство очищающее Ферролин для ковровых покрытий 5 л</t>
  </si>
  <si>
    <t>地毯清洁剂 Ferrolin 5 l</t>
  </si>
  <si>
    <t>Средство очищающее Фрилан 5 л</t>
  </si>
  <si>
    <t>Freelan 洁面乳 5 L</t>
  </si>
  <si>
    <t>Средство очищающее Алтран 10 л</t>
  </si>
  <si>
    <t>清洁剂 Altran 10 升</t>
  </si>
  <si>
    <t>Средство туалетное AnyDay Gloss 0,75 л</t>
  </si>
  <si>
    <t>厕所意味着 AnyDay Gloss 0.75 l</t>
  </si>
  <si>
    <t>Универсальное моющее средство Крафт-Плюс 5 л</t>
  </si>
  <si>
    <t>通用洗涤剂 Kraft-Plus 5 l</t>
  </si>
  <si>
    <t>Средство для прочистки труб СуперКрот 1 л</t>
  </si>
  <si>
    <t>管道清洁剂 SuperKrot 1 升</t>
  </si>
  <si>
    <t>Средство для чистки и дезинфекции Санлит-гель 750 мл</t>
  </si>
  <si>
    <t>清洁和消毒手段 Sanlit-gel 750 毫升</t>
  </si>
  <si>
    <t>Средство для мытья посуды Благо 5 л</t>
  </si>
  <si>
    <t>洗碗液 Blago 5 l</t>
  </si>
  <si>
    <t>Средство для мытья стекол AnyDay Gloss Голубой лотос 0,5 л</t>
  </si>
  <si>
    <t>玻璃清洁剂 AnyDay Gloss Blue Lotus 0.5 l</t>
  </si>
  <si>
    <t>Средство для мытья стекол ЧистоFF Лимон 500 мл</t>
  </si>
  <si>
    <t>玻璃清洁剂 ChistoFF 柠檬 500 毫升</t>
  </si>
  <si>
    <t>Концентрированное средство для уборки помещений Квард-М 5 л</t>
  </si>
  <si>
    <t>浓缩清洁剂 Kward-M 5 l</t>
  </si>
  <si>
    <t>Средство для удаления накипи Сигма 500 мл</t>
  </si>
  <si>
    <t>除垢剂 Sigma 500 毫升</t>
  </si>
  <si>
    <t>Средство очищающее Моторлюкс 5 л</t>
  </si>
  <si>
    <t>清洁剂 Motorlux 5 l</t>
  </si>
  <si>
    <t>Средство очищающее Прималюкс 5 л</t>
  </si>
  <si>
    <t>洁面乳 Primalyux 5 l</t>
  </si>
  <si>
    <t>Концентрированное универсальное чистящее средство Эльф 5 л</t>
  </si>
  <si>
    <t>浓缩万能清洁剂 Elf 5 l</t>
  </si>
  <si>
    <t>Универсальное чистящее средство Эльф готовое к применению 500 мл</t>
  </si>
  <si>
    <t>Elf 通用清洁剂即用型 500 毫升</t>
  </si>
  <si>
    <t>Порошок чистящий универсальный ТМС 900 г</t>
  </si>
  <si>
    <t>通用清洁粉 TMC 900 克</t>
  </si>
  <si>
    <t>Сменная губка Умничка для отжимных швабр 27 см</t>
  </si>
  <si>
    <t>用于挤压拖把的替换海绵 Umnichka 27 厘米</t>
  </si>
  <si>
    <t>Сменная губка Умничка для складных швабр узкая</t>
  </si>
  <si>
    <t>用于折叠拖把窄的替换海绵 Smart</t>
  </si>
  <si>
    <t>Держатель для бумажных полотенец С440-2830</t>
  </si>
  <si>
    <t>纸巾分配器 С440-2830</t>
  </si>
  <si>
    <t>Дозатор для жидкого мыла Белпласт 500 мл</t>
  </si>
  <si>
    <t>液体肥皂分配器 Belplast 500 毫升</t>
  </si>
  <si>
    <t>Дозатор для жидкого мыла Локтевой 130205</t>
  </si>
  <si>
    <t>皂液器 Loktevoy 130205</t>
  </si>
  <si>
    <t>Ерш бутылочный А малая ручка</t>
  </si>
  <si>
    <t>瓶箍 一个小把手</t>
  </si>
  <si>
    <t>Гель для удаления известкового налета и ржавчины Чистоff 500 мл</t>
  </si>
  <si>
    <t>去除水垢和锈迹的凝胶 Chistoff 500 毫升</t>
  </si>
  <si>
    <t>Гель для чистки керамики Чистоff 500 мл</t>
  </si>
  <si>
    <t>用于清洁陶瓷的凝胶 Chistoff 500 毫升</t>
  </si>
  <si>
    <t>Гель для хромированных и металлических поверхностей Чистоff 500 мл</t>
  </si>
  <si>
    <t>用于铬和金属表面的凝胶 Chistoff 500 毫升</t>
  </si>
  <si>
    <t>Губки для посуды Умничка Maxi 10 шт</t>
  </si>
  <si>
    <t>去污海绵 Umnichka Maxi 10 件</t>
  </si>
  <si>
    <t>Губки для посуды Умничка Maxi 5 шт</t>
  </si>
  <si>
    <t>去污海绵 Umnichka Maxi 5 件</t>
  </si>
  <si>
    <t>Губка для автомобиля Good Way</t>
  </si>
  <si>
    <t>好路汽车海绵</t>
  </si>
  <si>
    <t>Мочалка для тела Умничка с массажным слоем</t>
  </si>
  <si>
    <t>带按摩层的身体磨砂膏</t>
  </si>
  <si>
    <t>Губки для посуды Умничка 145х90х40 мм 1 шт</t>
  </si>
  <si>
    <t>碟形海绵 Umnichka 145x90x40 毫米 1 件</t>
  </si>
  <si>
    <t>Коврик диэлектрический 500х500х6 мм</t>
  </si>
  <si>
    <t>电介质地毯 500x500x6 毫米</t>
  </si>
  <si>
    <t>Комплект WC Бруно белый мрамор</t>
  </si>
  <si>
    <t>WC套装布鲁诺白色大理石</t>
  </si>
  <si>
    <t>Комплект WC Эконом мини белый</t>
  </si>
  <si>
    <t>经济迷你WC套装白色</t>
  </si>
  <si>
    <t>Контейнер Супница 500 мл 25 шт</t>
  </si>
  <si>
    <t>容器盖 500 毫升 25 个</t>
  </si>
  <si>
    <t>Корзина для мусора 11 л</t>
  </si>
  <si>
    <t>垃圾篮 11 升</t>
  </si>
  <si>
    <t>Скотч канцелярский Klebebander 19 мм х 28 м</t>
  </si>
  <si>
    <t>透明胶带 Klebebander 19 mm х 28 m</t>
  </si>
  <si>
    <t>Гигиенический блок для унитаза Domestos Атлантик 40 г</t>
  </si>
  <si>
    <t>马桶盖 Domestos Atlantic 40 克</t>
  </si>
  <si>
    <t>Бумага для выпечки ADM Extra 30 см х 8 м в коробке</t>
  </si>
  <si>
    <t>烘焙纸 ADM Extra 30 cm x 8 m 盒装</t>
  </si>
  <si>
    <t>Туалетная бумага Хатнiк 150</t>
  </si>
  <si>
    <t>卫生纸 Khatnik 150</t>
  </si>
  <si>
    <t>Туалетная бумага Хатнiк 175</t>
  </si>
  <si>
    <t>卫生纸 Khatnik 175</t>
  </si>
  <si>
    <t>Туалетная бумага Мякишко Эконом 200</t>
  </si>
  <si>
    <t>卫生纸 Myakishko 经济 200</t>
  </si>
  <si>
    <t>Спрей для чистки изделий из кожи Unicum 0,5 л</t>
  </si>
  <si>
    <t>用于清洁皮革制品的喷雾 Unicum 0.5 l</t>
  </si>
  <si>
    <t>Ведро прямоугольное для краски 12 л</t>
  </si>
  <si>
    <t>矩形油漆桶 12 l</t>
  </si>
  <si>
    <t>Ведро для мусора 25 л</t>
  </si>
  <si>
    <t>垃圾桶 25 升</t>
  </si>
  <si>
    <t>Ведро строительное 16 л</t>
  </si>
  <si>
    <t>建筑桶 16 升</t>
  </si>
  <si>
    <t>Ведро строительное 20 л</t>
  </si>
  <si>
    <t>建筑桶 20 升</t>
  </si>
  <si>
    <t>Туалетная бумага Мякишко-200 VIP</t>
  </si>
  <si>
    <t>卫生纸 Myakishko-200 VIP</t>
  </si>
  <si>
    <t>Туалетная бумага Мякишко-200 для диспенсеров</t>
  </si>
  <si>
    <t>用于饮水机的卫生纸 Myakishko-200</t>
  </si>
  <si>
    <t>Туалетная бумага Мякишко Люкс 45 на втулке</t>
  </si>
  <si>
    <t>卫生纸 Myakishko Lux 45 袖子</t>
  </si>
  <si>
    <t>Туалетная бумага Мякишко Плюс 65 на втулке</t>
  </si>
  <si>
    <t>卫生纸 Myakishko Plus 65 袖子</t>
  </si>
  <si>
    <t>Туалетная бумага Мякишко-Плюс 65 без втулки</t>
  </si>
  <si>
    <t>卫生纸 Myakishko-Plus 65 无袖</t>
  </si>
  <si>
    <t>Туалетная бумага Zewa Плюс 4 шт</t>
  </si>
  <si>
    <t>Zewa Plus 卫生纸 4 片</t>
  </si>
  <si>
    <t>Вантуз 33 см диаметр 13,5 см</t>
  </si>
  <si>
    <t>柱塞 33 厘米直径 13.5 厘米</t>
  </si>
  <si>
    <t>Ведро без крышки Черное 10 л</t>
  </si>
  <si>
    <t>无盖桶黑色 10 l</t>
  </si>
  <si>
    <t>Окномойка Умничка 20 см с телескопической ручкой 120 см изумрудная</t>
  </si>
  <si>
    <t>窗户垫圈 Umnichka 20 cm 带伸缩手柄 120 cm 祖母绿</t>
  </si>
  <si>
    <t>Окномойка Умничка 20 см с телескопической ручкой 95 см изумрудная</t>
  </si>
  <si>
    <t>窗户垫圈 Umnichka 20 cm 带伸缩手柄 95 cm 祖母绿</t>
  </si>
  <si>
    <t>Окномойка Умничка 20 см с ручкой 50 см оранжевая</t>
  </si>
  <si>
    <t>窗户洗衣机 Umnichka 20 cm 带把手 50 cm 橙色</t>
  </si>
  <si>
    <t>Окномойка Умничка черная 20 см с ручкой 50 см</t>
  </si>
  <si>
    <t>窗户清洁剂 Umnichka 黑色 20 厘米，带把手 50 厘米</t>
  </si>
  <si>
    <t>Окномойка Умничка 25 см с телескопической ручкой 120 см изумрудная</t>
  </si>
  <si>
    <t>窗户垫圈 Umnichka 25 cm 带伸缩手柄 120 cm 祖母绿</t>
  </si>
  <si>
    <t>Окномойка Умничка 25 см с телескопической ручкой 120 см оранжевая</t>
  </si>
  <si>
    <t>窗户洗衣机 Umnichka 25 cm 带伸缩手柄 120 cm 橙色</t>
  </si>
  <si>
    <t>Окномойка Умничка 25 см с телескопической ручкой 95 см оранжевая</t>
  </si>
  <si>
    <t>窗户洗衣机 Umnichka 25 cm 带伸缩手柄 95 cm 橙色</t>
  </si>
  <si>
    <t>Освежитель воздуха Symphony Свежесть дождя 300 мл</t>
  </si>
  <si>
    <t>Symphony 空气清新剂 雨水清新 300 毫升</t>
  </si>
  <si>
    <t>Освежитель воздуха Symphony Антитабак 300 мл</t>
  </si>
  <si>
    <t>Symphony 空气清新剂 Antitobacco 300 毫升</t>
  </si>
  <si>
    <t>Освежитель воздуха Симфония Антитабак 300 мл</t>
  </si>
  <si>
    <t>空气清新剂 Symphony Antitobak 300 毫升</t>
  </si>
  <si>
    <t>Хозяйственное мыло 72% 200 г РФ</t>
  </si>
  <si>
    <t>洗衣皂 72% 200 克 RF</t>
  </si>
  <si>
    <t>Моющая паста для рук Мечта 400 г</t>
  </si>
  <si>
    <t>Dream 洗手膏 400 克</t>
  </si>
  <si>
    <t>Пакет майка ПНД 40х18х70 см 14 мкм белая 100 шт</t>
  </si>
  <si>
    <t>包装 T 恤 HDPE 40x18x70 厘米 14 微米白色 100 件</t>
  </si>
  <si>
    <t>Метла веерная №2 Евро резьба</t>
  </si>
  <si>
    <t>风扇扫帚 2 号欧线</t>
  </si>
  <si>
    <t>Метла полипропиленовая круглая с черенком РБ</t>
  </si>
  <si>
    <t>带柄聚丙烯圆扫帚 RB</t>
  </si>
  <si>
    <t>Мешки для строительного мусора 4Walls 55х105 см</t>
  </si>
  <si>
    <t>建筑垃圾袋 4Walls 55x105 cm</t>
  </si>
  <si>
    <t>Мешки для строительного мусора 4Walls 55х95 см</t>
  </si>
  <si>
    <t>建筑垃圾袋 4Walls 55x95 cm</t>
  </si>
  <si>
    <t>Крем-мыло Нежное 0,5 л</t>
  </si>
  <si>
    <t>奶油皂 温和 0.5 升</t>
  </si>
  <si>
    <t>Крем-мыло Роса Персик 5 л</t>
  </si>
  <si>
    <t>奶油香皂 Rosa Peach 5 l</t>
  </si>
  <si>
    <t>Крем-мыло Роса Свежесть зелени 5 л</t>
  </si>
  <si>
    <t>奶油皂罗莎新鲜的蔬菜 5 升</t>
  </si>
  <si>
    <t>Крышка PS 127 мм</t>
  </si>
  <si>
    <t>封面 PS 127 毫米</t>
  </si>
  <si>
    <t>Крышка PS 135 мм</t>
  </si>
  <si>
    <t>封面 PS 135 毫米</t>
  </si>
  <si>
    <t>Мочалка медная Умничка 10 шт</t>
  </si>
  <si>
    <t>铜海绵Clever，10个</t>
  </si>
  <si>
    <t>Мешки для мусора Mirpack ПCД Premium+ 120 л 40 мкм 10 шт</t>
  </si>
  <si>
    <t>垃圾袋 Mirpack PCD Premium + 120 l 40 微米 10 个</t>
  </si>
  <si>
    <t>Мешки для мусора Mirpack ПВД Professional 120 л 12 мкм 50 шт</t>
  </si>
  <si>
    <t>垃圾袋 Mirpack LDPE Professional 120 l 12 微米 50 个</t>
  </si>
  <si>
    <t>Мешки для мусора Mirpack ПВД Professional 240 л 35 мкм 10 шт</t>
  </si>
  <si>
    <t>垃圾袋 Mirpack LDPE Professional 240 l 35 微米 10 个</t>
  </si>
  <si>
    <t>Мешки для мусора Mirpack ПВД Professional 240 л 45 мкм 10 шт</t>
  </si>
  <si>
    <t>垃圾袋 Mirpack LDPE Professional 240 l 45 微米 10 个</t>
  </si>
  <si>
    <t>Мешки для мусора MirPack ПНД Classic 120 л 12 мкм 10 шт</t>
  </si>
  <si>
    <t>垃圾袋 MirPack HDPE Classic 120 l 12 微米 10 个</t>
  </si>
  <si>
    <t>Средство для чистки и дезинфекции Санлит-гель 5 л</t>
  </si>
  <si>
    <t>清洁和消毒手段 Sanlit-gel 5 l</t>
  </si>
  <si>
    <t>Дезинфицирующее средство с моющим эффектом Инкрасепт 10А 5 л</t>
  </si>
  <si>
    <t>具有去垢效果的消毒剂 Incrasept 10A 5 l</t>
  </si>
  <si>
    <t>Антисептик для обработки рук ДезОР 1 л</t>
  </si>
  <si>
    <t>用于治疗手的防腐剂 Dezor 1 l</t>
  </si>
  <si>
    <t>Средство для уборки помещений PRO-490 10 л</t>
  </si>
  <si>
    <t>房间清洁剂 PRO-490 10 升</t>
  </si>
  <si>
    <t>Шпагат полипропиленовый некрученый 1000 текс 5 кг (+/- 10%)</t>
  </si>
  <si>
    <t>无捻聚丙烯麻线 1000 tex 5 kg (+/- 10%)</t>
  </si>
  <si>
    <t>Пластиковый хомут стяжка 2,5х180 мм белый нейлон</t>
  </si>
  <si>
    <t>塑料夹箍 2.5x180 毫米白色尼龙</t>
  </si>
  <si>
    <t>Ветошь х/б 100% белая 10 кг</t>
  </si>
  <si>
    <t>棉抹布 100% 白色 10 公斤</t>
  </si>
  <si>
    <t>Средство очищающее Мегалюкс 5 л</t>
  </si>
  <si>
    <t>Megalux 洁面乳 5 升</t>
  </si>
  <si>
    <t>Универсальное отбеливающее средство AnyDay Gloss 1 л</t>
  </si>
  <si>
    <t>AnyDay Gloss 万能美白剂 1 l</t>
  </si>
  <si>
    <t>Средство для чистки санитарно-технических изделий AnyDay Gloss 500 мл</t>
  </si>
  <si>
    <t>AnyDay Gloss 洁具清洁剂 500 毫升</t>
  </si>
  <si>
    <t>Ведро педальное для мусора</t>
  </si>
  <si>
    <t>垃圾脚踏桶</t>
  </si>
  <si>
    <t>Хозяйственное мыло 65% 200 г РФ</t>
  </si>
  <si>
    <t>洗衣皂 65% 200 克 RF</t>
  </si>
  <si>
    <t>Стиральный порошок Tide Автомат Альпийская свежесть 3 кг</t>
  </si>
  <si>
    <t>洗衣粉潮自动机高山鲜度3公斤</t>
  </si>
  <si>
    <t>Пакет для льда Komfi 224 шарика</t>
  </si>
  <si>
    <t>冰袋 Komfi 224 球</t>
  </si>
  <si>
    <t>Черенок для граблей 3х120 см березовый 1 сорт</t>
  </si>
  <si>
    <t>耙柄 3x120 cm 桦木 1 级</t>
  </si>
  <si>
    <t>Пластиковый хомут стяжка 2,5х250 мм белый нейлон</t>
  </si>
  <si>
    <t>塑料夹箍 2.5x250 毫米白色尼龙</t>
  </si>
  <si>
    <t>Мешки для мусора Mirpack ПCД Premium+ 60 л 20 мкм 20 шт</t>
  </si>
  <si>
    <t>垃圾袋 Mirpack PCD Premium + 60 l 20 微米 20 个</t>
  </si>
  <si>
    <t>Фольга пищевая Горница Стандартная 29 см х 80 м 8 мкм</t>
  </si>
  <si>
    <t>箔食品上标准 29 cm x 80 m 8 微米</t>
  </si>
  <si>
    <t>Фольга пищевая Горница Стандартная 29 см х 100 м 8 мкм</t>
  </si>
  <si>
    <t>食品箔上层房间标准 29 cm x 100 m 8 微米</t>
  </si>
  <si>
    <t>Фольга пищевая Горница Стандартная 44 см х 80 м 8 мкм</t>
  </si>
  <si>
    <t>箔食品上标准 44 cm x 80 m 8 微米</t>
  </si>
  <si>
    <t>Фольга пищевая Горница Прочная 29 см х 100 м 11 мкм</t>
  </si>
  <si>
    <t>铝箔食品室 耐用 29 cm х 100 m 11 微米</t>
  </si>
  <si>
    <t>Пищевая пленка Десногор 30 см х 250 м белая 5,5 мкм</t>
  </si>
  <si>
    <t>Desnogor 保鲜膜 30 cm x 250 m 白色 5.5 微米</t>
  </si>
  <si>
    <t>Пищевая пленка Десногор 45 см х 250 м белая</t>
  </si>
  <si>
    <t>Desnogor 保鲜膜 45 cm x 250 m 白色</t>
  </si>
  <si>
    <t>Рукав для запекания 30 см х 3 м с клипсами</t>
  </si>
  <si>
    <t>烤套 30 cm x 3 m 带夹子</t>
  </si>
  <si>
    <t>Свеча в гильзе Paterra 100 шт</t>
  </si>
  <si>
    <t>袖子中的蜡烛 Paterra 100 件</t>
  </si>
  <si>
    <t>Таблетки для писуаров 1 кг зеленые</t>
  </si>
  <si>
    <t>小便池片 1 公斤绿色</t>
  </si>
  <si>
    <t>Средство очищающее Мегалюкс 10 л</t>
  </si>
  <si>
    <t>Megalux 清洁剂 10 升</t>
  </si>
  <si>
    <t>Пакеты полиэтиленовые прозрачные 55х80 см 65 мкм 100 шт</t>
  </si>
  <si>
    <t>透明聚乙烯袋 55x80 厘米 65 微米 100 个</t>
  </si>
  <si>
    <t>Пломба свинцовая 10 мм</t>
  </si>
  <si>
    <t>铅封 10 毫米</t>
  </si>
  <si>
    <t>Концентрированное пенное нейтральное моющее средство Мойкон 1 л</t>
  </si>
  <si>
    <t>浓缩泡沫中性洗涤剂 Moikon 1 l</t>
  </si>
  <si>
    <t>Автоматический освежитель воздуха Air Wick Сказочный сад 250 мл</t>
  </si>
  <si>
    <t>自动空气清新剂 Air Wick Fairy Garden 250 毫升</t>
  </si>
  <si>
    <t>Шпагат жгутовый ЩД П2 полированный 2-ниточный 1200 текс 1 кг</t>
  </si>
  <si>
    <t>麻线 麻线 ShchD P2 抛光 2 股 1200 tex 1 kg</t>
  </si>
  <si>
    <t>Сменный блок для освежителя воздуха Air Wick Райские цветы 250 мл</t>
  </si>
  <si>
    <t>空气清新剂 Air Wick Paradise Flowers 补充装 250 毫升</t>
  </si>
  <si>
    <t>Сменный блок для освежителя воздуха Air Wick Магнолия и цветущая вишня 250 мл</t>
  </si>
  <si>
    <t>Air Wick Air Freshener Magnolia and Cherry Blossom 补充装 250 毫升</t>
  </si>
  <si>
    <t>Сменный блок для освежителя воздуха Air Wick Лимон и женьшень 250 мл</t>
  </si>
  <si>
    <t>Air Wick 空气清新剂柠檬和人参补充装 250 毫升</t>
  </si>
  <si>
    <t>Перчатки х/б 10 класс 4 нитки светлые</t>
  </si>
  <si>
    <t>手套棉 10 类 4 线轻</t>
  </si>
  <si>
    <t>Освежитель воздуха Симфония Зеленый чай 300 мл</t>
  </si>
  <si>
    <t>空气清新剂 Symphony 绿茶 300 毫升</t>
  </si>
  <si>
    <t>Освежитель воздуха Симфония Морской бриз 300 мл</t>
  </si>
  <si>
    <t>空气清新剂 Symphony Sea Breeze 300 毫升</t>
  </si>
  <si>
    <t>Пакет для запекания Komfi 30х40 см 5 шт</t>
  </si>
  <si>
    <t>烘焙袋 Komfi 30x40 厘米 5 个</t>
  </si>
  <si>
    <t>Средство очищающее Наватекс 5 л</t>
  </si>
  <si>
    <t>Navatex 洁面乳 5 升</t>
  </si>
  <si>
    <t>Кассовая лента термочувствительная 57х30</t>
  </si>
  <si>
    <t>热敏收银机 57х30</t>
  </si>
  <si>
    <t>Концентрированное моющее для посуды Минутка 5 л</t>
  </si>
  <si>
    <t>浓缩洗洁精 Minute 5 l</t>
  </si>
  <si>
    <t>Средство для мытья стекол и окон Clin Яблоко 500 мл</t>
  </si>
  <si>
    <t>清洗眼镜和窗户的方法 Clin Apple 500 毫升</t>
  </si>
  <si>
    <t>Ведро Классика Голубое 7 л</t>
  </si>
  <si>
    <t>桶经典蓝色 7 l</t>
  </si>
  <si>
    <t>Ведро Классика Зеленое 7 л</t>
  </si>
  <si>
    <t>桶经典绿色 7 l</t>
  </si>
  <si>
    <t>Ведро Классика Красное 7 л</t>
  </si>
  <si>
    <t>桶经典红色 7 l</t>
  </si>
  <si>
    <t>Вешалка тонкая 48-50</t>
  </si>
  <si>
    <t>衣架薄48-50</t>
  </si>
  <si>
    <t>Держатель для туалетной бумаги Волна</t>
  </si>
  <si>
    <t>卫生纸架 Wave</t>
  </si>
  <si>
    <t>Метла плоская №3 38х26 см</t>
  </si>
  <si>
    <t>扫帚平号 3 38x26 厘米</t>
  </si>
  <si>
    <t>Черенок для щеток 110 см красный</t>
  </si>
  <si>
    <t>刷柄 110 cm 红色</t>
  </si>
  <si>
    <t>Ведро оцинкованное 12 л</t>
  </si>
  <si>
    <t>镀锌桶 12 升</t>
  </si>
  <si>
    <t>Крышка к контейнеру 108х82 мм И 100 шт</t>
  </si>
  <si>
    <t>容器盖 108x82 毫米和 100 个</t>
  </si>
  <si>
    <t>Средство для мытья стекол и окон Clin Лимон 500 мл</t>
  </si>
  <si>
    <t>清洗眼镜和窗户的方法 Clin Lemon 500 毫升</t>
  </si>
  <si>
    <t>Полотенце вафельное 50х95 см</t>
  </si>
  <si>
    <t>华夫格毛巾 50x95 厘米</t>
  </si>
  <si>
    <t>Губка профильная с абразивом 150х90х45 мм 1 шт</t>
  </si>
  <si>
    <t>带研磨剂的异型海绵 150x90x45 毫米 1 件</t>
  </si>
  <si>
    <t>Губка профильная с абразивом 130х65х45 мм 1 шт</t>
  </si>
  <si>
    <t>带研磨剂的异型海绵 130x65x45 毫米 1 件</t>
  </si>
  <si>
    <t>Средство для мытья посуды Fairy Нежные руки Чайное дерево и Мята 450 мл</t>
  </si>
  <si>
    <t>Fairy 洗碗液温和手部茶树薄荷 450 毫升</t>
  </si>
  <si>
    <t>Перчатки х/б 10 класс 4 нитки с ПВХ черные</t>
  </si>
  <si>
    <t>手套棉 10 类 4 线与 PVC 黑色</t>
  </si>
  <si>
    <t>Автоматический освежитель воздуха Air Wick Нежность шелка и лилии 250 мл</t>
  </si>
  <si>
    <t>自动空气清新剂 Air Wick Tenderness 丝绸和百合 250 毫升</t>
  </si>
  <si>
    <t>Рулонные бумажные полотенца Zewa Декор двухслойные 2 шт</t>
  </si>
  <si>
    <t>卷纸巾 Zewa Decor 两层 2 件</t>
  </si>
  <si>
    <t>Сменный блок для освежителя воздуха Air Wick Нежность шелка и лилии 250 мл</t>
  </si>
  <si>
    <t>补充装 Air Wick 空气清新剂 Tenderness Silk and lily 250 毫升</t>
  </si>
  <si>
    <t>Мыло жидкое с дезинфицирующим эффектом Квинтасепт 1 л</t>
  </si>
  <si>
    <t>具有消毒作用的液体肥皂 Quintasept 1 l</t>
  </si>
  <si>
    <t>Туалетная бумага Мякишко для диспенсеров 150 м</t>
  </si>
  <si>
    <t>卫生纸吸水扒 150 m</t>
  </si>
  <si>
    <t>Вантуз 25 см диаметр 10,5 см</t>
  </si>
  <si>
    <t>柱塞 25 厘米直径 10.5 厘米</t>
  </si>
  <si>
    <t>Моп Умничка лапша 42х12 см карман</t>
  </si>
  <si>
    <t>拖把 Umnichka 面条 42x12 厘米口袋</t>
  </si>
  <si>
    <t>Окномойка Умничка 25 см с ручкой 95 см изумрудная</t>
  </si>
  <si>
    <t>窗户清洁器 Umnichka 25 厘米带把手 95 厘米祖母绿</t>
  </si>
  <si>
    <t>Черенок для щеток 110 см серебристый</t>
  </si>
  <si>
    <t>刷柄 110 厘米银色</t>
  </si>
  <si>
    <t>Швабра отжимная Умничка Эконом зеленая 120 см 1 ролик</t>
  </si>
  <si>
    <t>挤压拖把 Umnichka 经济绿色 120 厘米 1 个滚轮</t>
  </si>
  <si>
    <t>Щетка автомобильная со скребком</t>
  </si>
  <si>
    <t>带刮刀的汽车刷</t>
  </si>
  <si>
    <t>Щетка подметальная Эсперанса малая</t>
  </si>
  <si>
    <t>小埃斯佩兰萨扫地刷</t>
  </si>
  <si>
    <t>Твердое мыло для гостиниц в упаковке Яблоко 12,5 г 100 шт</t>
  </si>
  <si>
    <t>酒店固体肥皂包装苹果 12.5 克 100 件</t>
  </si>
  <si>
    <t>Моющая паста для рук Прима 100 г</t>
  </si>
  <si>
    <t>洗手膏 Prima 100 克</t>
  </si>
  <si>
    <t>Моп Chain Stitch 50 см (карман)</t>
  </si>
  <si>
    <t>Chain Stitch 拖把 50 厘米（口袋）</t>
  </si>
  <si>
    <t>Подсачек для рыбы металлический без черенка</t>
  </si>
  <si>
    <t>无柄鱼用金属网</t>
  </si>
  <si>
    <t>Гель для чистки кухонных плит Чистоff 500 мл</t>
  </si>
  <si>
    <t>用于清洁厨房炉灶的凝胶 Chistoff 500 毫升</t>
  </si>
  <si>
    <t>Шпагат полипропиленоый 1000 ТЕКС 1000 м светостабилизированный</t>
  </si>
  <si>
    <t>光稳定聚丙烯麻线 1000 TEX 1000 m</t>
  </si>
  <si>
    <t>Крышки для контейнера супницы 500 мл 25 шт</t>
  </si>
  <si>
    <t>Средство чистящее для кухонных плит 500 мл</t>
  </si>
  <si>
    <t>炉灶清洁剂 500 毫升</t>
  </si>
  <si>
    <t>Металлические губки для посуды 18 г 3 шт</t>
  </si>
  <si>
    <t>金属百洁布 18 克 3 个</t>
  </si>
  <si>
    <t>Швабра деревянная усиленная 70 см</t>
  </si>
  <si>
    <t>加强木拖把 70 厘米</t>
  </si>
  <si>
    <t>Силиконовый крем для рук 100 г</t>
  </si>
  <si>
    <t>硅胶护手霜 100 克</t>
  </si>
  <si>
    <t>Ланч-бокс LB-2 100 шт</t>
  </si>
  <si>
    <t>饭盒 LB-2 100 件</t>
  </si>
  <si>
    <t>Пищевая пленка 45 см х 10 м неориентированная</t>
  </si>
  <si>
    <t>保鲜膜 45 cm x 10 m，无取向</t>
  </si>
  <si>
    <t>Средство для удаления накипи ЧистоFF Антинакипин 1 л</t>
  </si>
  <si>
    <t>除垢剂 Pure FF Antiscale 1 l</t>
  </si>
  <si>
    <t>Средство чистящее Пемолюкс Яблоко 480 г</t>
  </si>
  <si>
    <t>Pemolux 苹果清洁剂 480 克</t>
  </si>
  <si>
    <t>Щетка универсальная Римини</t>
  </si>
  <si>
    <t>万能刷子 Rimini</t>
  </si>
  <si>
    <t>Мешки для мусора MirPack ПНД Extra 30 л 12 мкм 30 шт</t>
  </si>
  <si>
    <t>垃圾袋 MirPack HDPE Extra 30 l 12 微米 30 个</t>
  </si>
  <si>
    <t>Салфетка из микрофибры для авто GoodWay 30х40 см</t>
  </si>
  <si>
    <t>车用超细纤维餐巾 GoodWay 30x40 厘米</t>
  </si>
  <si>
    <t>Швабра для пола Умничка Твист фиолетовая 130 см</t>
  </si>
  <si>
    <t>地板拖把 Umnichka Twist 紫色 130 厘米</t>
  </si>
  <si>
    <t>Щетка для рук Кассия</t>
  </si>
  <si>
    <t>手刷决明子</t>
  </si>
  <si>
    <t>Рулонные бумажные полотенца Диво двухслойные 2 шт</t>
  </si>
  <si>
    <t>卷纸巾 Divo 2 层 2 件</t>
  </si>
  <si>
    <t>Концентрированное дезинфицирующее средство Пероксин Плюс 1 л</t>
  </si>
  <si>
    <t>浓缩消毒剂 Peroxin Plus 1 l</t>
  </si>
  <si>
    <t>Средство очищающее Эколин 5 л</t>
  </si>
  <si>
    <t>Ecolin 清洁剂 5 升</t>
  </si>
  <si>
    <t>Мыло хозяйственное твердое 72% в упаковке</t>
  </si>
  <si>
    <t>洗衣固体皂 72% 包装</t>
  </si>
  <si>
    <t>Швабра деревянная усиленная 50 см</t>
  </si>
  <si>
    <t>拖把木加强 50 厘米</t>
  </si>
  <si>
    <t>Средство для автоматических посудомоечных машин 5 л</t>
  </si>
  <si>
    <t>自动洗碗机液体 5 l</t>
  </si>
  <si>
    <t>Концентрированное дезинфицирующее средство Славин-Дельта 1 л</t>
  </si>
  <si>
    <t>浓缩消毒剂 Slavin-Delta 1 l</t>
  </si>
  <si>
    <t>Спрей Unicum для чистки ванной комнаты 500 мл</t>
  </si>
  <si>
    <t>用于清洁浴室的喷雾 Unicum 500 毫升</t>
  </si>
  <si>
    <t>Средство очищающее Алтран 5 л</t>
  </si>
  <si>
    <t>清洁剂 Altran 5 l</t>
  </si>
  <si>
    <t>Пакет майка ПНД 30х16х60 см 15 мкм белая 100 шт</t>
  </si>
  <si>
    <t>包装 T 恤 HDPE 30x16x60 厘米 15 微米白色 100 件</t>
  </si>
  <si>
    <t>Средство универсальное Белизна 1 л</t>
  </si>
  <si>
    <t>意味着普遍白度 1 l</t>
  </si>
  <si>
    <t>Шпагат полипропиленовый крученый 2200 текс 5 кг</t>
  </si>
  <si>
    <t>聚丙烯绞线 2200 tex 5 kg</t>
  </si>
  <si>
    <t>Средство отбеливающее Белизна-Гель 1 л</t>
  </si>
  <si>
    <t>美白剂 Whiteness-Gel 1 l</t>
  </si>
  <si>
    <t>Перчатки кожаные силиконовые комбинированные х/б тканью р-р 10,5</t>
  </si>
  <si>
    <t>硅胶皮手套结合棉布，10.5码</t>
  </si>
  <si>
    <t>Салфетка вискозная Lemon Moon 30х38 см 3 шт</t>
  </si>
  <si>
    <t>粘胶餐巾柠檬月亮 30x38 厘米 3 件</t>
  </si>
  <si>
    <t>Средство очищающее Прималюкс 10 л</t>
  </si>
  <si>
    <t>洁面乳 Primalyux 10 l</t>
  </si>
  <si>
    <t>Ветошь х/б светлая 10 кг</t>
  </si>
  <si>
    <t>棉抹布轻10公斤</t>
  </si>
  <si>
    <t>Ведро Классика Мраморное 7 л</t>
  </si>
  <si>
    <t>桶经典大理石 7 升</t>
  </si>
  <si>
    <t>Грабли веерные Умничка раздвижные 15 зубов с черенком</t>
  </si>
  <si>
    <t>风扇耙 Umnichka 带手柄滑动 15 齿</t>
  </si>
  <si>
    <t>Губка для автомобиля Good Way прямоугольная</t>
  </si>
  <si>
    <t>汽车海绵 Good Way 长方形</t>
  </si>
  <si>
    <t>Ерш пробирочный с ручкой</t>
  </si>
  <si>
    <t>带手柄的试管箍</t>
  </si>
  <si>
    <t>Комплект WC Бруно голубой</t>
  </si>
  <si>
    <t>WC 设置布鲁诺蓝色</t>
  </si>
  <si>
    <t>Окномойка Умничка 20 см с телескопической ручкой 120 см оранжевая</t>
  </si>
  <si>
    <t>窗户洗衣机 Umnichka 20 cm 带伸缩手柄 120 cm 橙色</t>
  </si>
  <si>
    <t>Швабра отжимная Умничка зеленая 110 см 1 ролик</t>
  </si>
  <si>
    <t>挤压拖把 Umnichka 绿色 110 厘米 1 个滚轮</t>
  </si>
  <si>
    <t>Швабра отжимная Умничка зеленая 110 см 2 ролика</t>
  </si>
  <si>
    <t>挤压拖把 Umnichka 绿色 110 厘米 2 辊</t>
  </si>
  <si>
    <t>Швабра отжимная Умничка Эконом оранжевая 120 см 1 ролик</t>
  </si>
  <si>
    <t>挤压拖把 Umnichka 经济型橙色 120 厘米 1 个滚轮</t>
  </si>
  <si>
    <t>Средство очищающее Оксидан универсальное кислотное 5 л</t>
  </si>
  <si>
    <t>Oksidan 通用酸性清洁剂 5 l</t>
  </si>
  <si>
    <t>Бальзам для мытья посуды Эффект Экстра Алое Вера (1 л)</t>
  </si>
  <si>
    <t>洗碗膏 Effect Extra Aloe Vera (1 l)</t>
  </si>
  <si>
    <t>Освежитель воздуха Symphony Цитрус и инжир 300 мл</t>
  </si>
  <si>
    <t>Symphony 空气清新剂柑橘和无花果 300 毫升</t>
  </si>
  <si>
    <t>Освежитель воздуха Symphony Горный воздух 300 мл</t>
  </si>
  <si>
    <t>Symphony 空气清新剂 Mountain air 300 毫升</t>
  </si>
  <si>
    <t>Освежитель воздуха Symphony Сочные ягоды 300 мл</t>
  </si>
  <si>
    <t>Symphony 空气清新剂 多汁浆果 300 毫升</t>
  </si>
  <si>
    <t>Таблетки для писуаров 1 кг розовые</t>
  </si>
  <si>
    <t>小便池片 1 公斤粉红色</t>
  </si>
  <si>
    <t>Стяжка для пола металлическая 55 см</t>
  </si>
  <si>
    <t>金属地坪 55 厘米</t>
  </si>
  <si>
    <t>Смазочно-очистительная смесь WD-40 400 мл</t>
  </si>
  <si>
    <t>润滑和清洁混合物 WD-40 400 毫升</t>
  </si>
  <si>
    <t>Мешки для мусора ЧистоFF Ночь 120 л 10 шт</t>
  </si>
  <si>
    <t>垃圾袋 ChistoFF Night 120 l 10 个</t>
  </si>
  <si>
    <t>Мешки для мусора Суперпрочные 60 л 20 шт</t>
  </si>
  <si>
    <t>垃圾袋超强 60 升 20 个</t>
  </si>
  <si>
    <t>Туалетная бумага Мякишко 200 mini для диспенсеров</t>
  </si>
  <si>
    <t>卫生纸 Myakishko 200 迷你分配器</t>
  </si>
  <si>
    <t>Жидкое мыло AJM Econom 5 л</t>
  </si>
  <si>
    <t>液体皂 AJM Econom 5 l</t>
  </si>
  <si>
    <t>Средство для мытья посуды AJM Econom 5 л</t>
  </si>
  <si>
    <t>洗碗液 AJM Econom 5 l</t>
  </si>
  <si>
    <t>Жидкое мыло с глицерином AJM 5 л</t>
  </si>
  <si>
    <t>甘油液体皂 AJM 5 l</t>
  </si>
  <si>
    <t>Емкость для дозатора 500 мл</t>
  </si>
  <si>
    <t>分配器容量 500 毫升</t>
  </si>
  <si>
    <t>Средство для мытья стекол AJM Glass 5 л</t>
  </si>
  <si>
    <t>玻璃清洁剂 AJM Glass 5 l</t>
  </si>
  <si>
    <t>Пломба ЭкоОптима 100 шт</t>
  </si>
  <si>
    <t>密封 EcoOptima 100 件</t>
  </si>
  <si>
    <t>Средство чистящее Авко Чистая кухня 500 мл</t>
  </si>
  <si>
    <t>清洁剂 Avko Clean Kitchen 500 毫升</t>
  </si>
  <si>
    <t>Средство для мытья посуды AJM с глицерином 500 мл</t>
  </si>
  <si>
    <t>洗碗液 AJM 含甘油 500 毫升</t>
  </si>
  <si>
    <t>Белизна-гель СМ-27 1 л</t>
  </si>
  <si>
    <t>白度凝胶 CM-27 1 l</t>
  </si>
  <si>
    <t>Зубочистки индивидуальные ПП КонтинентПак 1000 шт</t>
  </si>
  <si>
    <t>单个牙签 PP ContinentPak 1000 支</t>
  </si>
  <si>
    <t>Зубочистки индивидуальные в бумаге КонтинентПак 1000 шт</t>
  </si>
  <si>
    <t>单个纸质牙签 ContinentPak 1000 支</t>
  </si>
  <si>
    <t>Средство отбеливающее Белизна 1 л</t>
  </si>
  <si>
    <t>白度增白剂 1 l</t>
  </si>
  <si>
    <t>Средство для прочистки труб Кротаран розовый 1 л</t>
  </si>
  <si>
    <t>管道清洁器 Krotaran 粉红色 1 升</t>
  </si>
  <si>
    <t>Туалетная бумага Хатнiк 300</t>
  </si>
  <si>
    <t>卫生纸 Khatnik 300</t>
  </si>
  <si>
    <t>Соусницы 50 мл 80 шт</t>
  </si>
  <si>
    <t>酱菜 50 毫升 80 件</t>
  </si>
  <si>
    <t>Ножи пластиковые белые 17 см 100 шт</t>
  </si>
  <si>
    <t>塑料刀白色 17 厘米 100 件</t>
  </si>
  <si>
    <t>Трубочки для напитков прямые Milk цветные 8х240 мм 250 шт</t>
  </si>
  <si>
    <t>饮料直吸管 牛奶色 8x240 毫米 250 件</t>
  </si>
  <si>
    <t>Палочки для шашлыка бамбуковые 20 см 100 шт</t>
  </si>
  <si>
    <t>竹烧烤棒 20 厘米 100 个</t>
  </si>
  <si>
    <t>Палочки для шашлыка бамбуковые 30 см 100 шт</t>
  </si>
  <si>
    <t>竹烧烤棒 30 厘米 100 个</t>
  </si>
  <si>
    <t>Декоративные пики Узелок 10,5 см 100 шт</t>
  </si>
  <si>
    <t>装饰峰 结 10.5 cm 100 个</t>
  </si>
  <si>
    <t>Фасовочные пакеты КонтинентПак в рулоне 24х37 см 6 мкм 100 шт</t>
  </si>
  <si>
    <t>包装袋 ContinentPack 卷装 24x37 厘米 6 微米 100 个</t>
  </si>
  <si>
    <t>Нарукавник ПНД 100 шт</t>
  </si>
  <si>
    <t>套袖 HDPE 100 件</t>
  </si>
  <si>
    <t>Одноразовые передники ПНД белые 100 шт</t>
  </si>
  <si>
    <t>一次性围裙 HDPE 白色 100 件</t>
  </si>
  <si>
    <t>Перчатки полиэтиленовые Эконом р-р L 100 шт</t>
  </si>
  <si>
    <t>聚乙烯手套经济解决方案 L 100 件</t>
  </si>
  <si>
    <t>Бумага для выпечки КонтинентПак ПП 38 см х 25 м</t>
  </si>
  <si>
    <t>烘焙纸 ContinentPack PP 38 cm x 25 m</t>
  </si>
  <si>
    <t>Рукав для запекания КонтинентПак 3 м</t>
  </si>
  <si>
    <t>烤套 ContinentPack 3 m</t>
  </si>
  <si>
    <t>Вафельное полотно 45 см х 50 м плотность 125 г/м2</t>
  </si>
  <si>
    <t>华夫格布 45 cm x 50 m 密度 125 g/m2</t>
  </si>
  <si>
    <t>Лестница стремянка Tarko 04107</t>
  </si>
  <si>
    <t>活梯梯子 Tarko 04107</t>
  </si>
  <si>
    <t>Лестница стремянка Tarko 04103</t>
  </si>
  <si>
    <t>活梯梯子 Tarko 04103</t>
  </si>
  <si>
    <t>Лестница стремянка двухсторонняя TARKO</t>
  </si>
  <si>
    <t>梯子双面梯TARKO</t>
  </si>
  <si>
    <t>Рукавицы х/б двунитка с двойными наладонниками</t>
  </si>
  <si>
    <t>双手持棉质双线连指手套</t>
  </si>
  <si>
    <t>Противогололедный реагент Нескользин 5 кг</t>
  </si>
  <si>
    <t>防冰剂 Neskolyzin 5 kg</t>
  </si>
  <si>
    <t>Штанга телескопическая 4,5 метра</t>
  </si>
  <si>
    <t>伸缩臂4.5米</t>
  </si>
  <si>
    <t>Средство для мытья твердых поверхностей AJM Белизна-Гель 1 л</t>
  </si>
  <si>
    <t>用于清洁硬表面的方法 AJM Whiteness-Gel 1 l</t>
  </si>
  <si>
    <t>Лента малярная клейкая (крепп) Klebebander 38 мм арт.015</t>
  </si>
  <si>
    <t>遮蔽胶带 (crepp) Klebebander 38 毫米 art.015</t>
  </si>
  <si>
    <t>Алюминиевая лента Klebebander 50 мм х 10 м</t>
  </si>
  <si>
    <t>铝带 Klebebander 50 mm x 10 m</t>
  </si>
  <si>
    <t>Металлизированная лента Klebebander 50 мм х 10 м</t>
  </si>
  <si>
    <t>金属化 Klebebander 胶带 50 mm x 10 m</t>
  </si>
  <si>
    <t>Фасовочные пакеты Komfi 24х37 см 10 мкм 100 шт</t>
  </si>
  <si>
    <t>包装袋 Komfi 24x37 cm 10 微米 100 个</t>
  </si>
  <si>
    <t>Моп Тафтинговый петля 50 см (карман+язык)</t>
  </si>
  <si>
    <t>拖把簇绒环 50 厘米（口袋 + 舌头）</t>
  </si>
  <si>
    <t>Мешки для мусора MirPack ПНД Extra 30 л 12 мкм 50 шт</t>
  </si>
  <si>
    <t>垃圾袋 MirPack HDPE Extra 30 l 12 微米 50 个</t>
  </si>
  <si>
    <t>Мешки для мусора Mirpack ПВД 360 л 120х160 см 60 мкм 50 шт</t>
  </si>
  <si>
    <t>垃圾袋 Mirpack LDPE 360 l 120x160 cm 60 微米 50 个</t>
  </si>
  <si>
    <t>Мешки для мусора Mirpack ПCД Premium+ 30 л 20 мкм 30 шт</t>
  </si>
  <si>
    <t>垃圾袋 Mirpack PCD Premium + 30 l 20 微米 30 个</t>
  </si>
  <si>
    <t>Мешки для мусора MirPack ПНД Extra 35 л 12 мкм 30 шт</t>
  </si>
  <si>
    <t>垃圾袋 MirPack HDPE Extra 35 l 12 微米 30 个</t>
  </si>
  <si>
    <t>Салфетка влаговпитывающая Lemon Moon 3 шт</t>
  </si>
  <si>
    <t>吸湿餐巾柠檬月亮3片</t>
  </si>
  <si>
    <t>Кондиционер для белья Vernel Свежесть Прованса 910 мл</t>
  </si>
  <si>
    <t>织物柔软剂 Vernel Freshness of Provence 910 毫升</t>
  </si>
  <si>
    <t>Средство очищающее Лайт для мытья окон 5 л</t>
  </si>
  <si>
    <t>用于清洁窗户的清洁灯 5 l</t>
  </si>
  <si>
    <t>Средство моющее Аксель 5 л</t>
  </si>
  <si>
    <t>洗涤剂 Axel 5 l</t>
  </si>
  <si>
    <t>Моп универсальный 40 см (карман)</t>
  </si>
  <si>
    <t>通用拖把 40 厘米（口袋）</t>
  </si>
  <si>
    <t>Мыло жидкое бактериостатическое фунгистатическое Грин 1 л</t>
  </si>
  <si>
    <t>抑菌抑菌液体皂 绿色 1 l</t>
  </si>
  <si>
    <t>Средство для мытья стекол AJM Glass 1 л</t>
  </si>
  <si>
    <t>玻璃清洁剂 AJM Glass 1 l</t>
  </si>
  <si>
    <t>Трубочки для напитков с гофрой черные 5х210 мм 250 шт</t>
  </si>
  <si>
    <t>黑色波纹饮料管 5x210 毫米 250 个</t>
  </si>
  <si>
    <t>Трубочки для напитков прямые черные 5х125 мм 400 шт</t>
  </si>
  <si>
    <t>用于饮料的黑色直吸管 5х125 毫米 400 支</t>
  </si>
  <si>
    <t>Трубочки для напитков прямые черные 8х240 мм 250 шт</t>
  </si>
  <si>
    <t>用于饮料的黑色直吸管 8x240 毫米 250 支</t>
  </si>
  <si>
    <t>Средство для химической стерилизации и дезинфекции Стэн 1 л</t>
  </si>
  <si>
    <t>化学杀菌消毒工具 Stan 1 l</t>
  </si>
  <si>
    <t>Ручка алюминиевая для флаундера 130 см</t>
  </si>
  <si>
    <t>用于 130 厘米比目鱼的铝制手柄</t>
  </si>
  <si>
    <t>Средство очищающее Санатекс 1 л</t>
  </si>
  <si>
    <t>Sanatex 清洁剂 1 升</t>
  </si>
  <si>
    <t>Средство чистящее для кухонных плит и духовок 750 мл</t>
  </si>
  <si>
    <t>炉灶和烤箱清洁剂 750 毫升</t>
  </si>
  <si>
    <t>Ведро Эконом Красное 10 л</t>
  </si>
  <si>
    <t>经济桶红色 10 升</t>
  </si>
  <si>
    <t>Ведро Эконом Зеленое 10 л</t>
  </si>
  <si>
    <t>经济型桶绿色 10 升</t>
  </si>
  <si>
    <t>Ведро Эконом Синее 10 л</t>
  </si>
  <si>
    <t>经济型桶蓝色 10 升</t>
  </si>
  <si>
    <t>Ведро Эконом Черное 10 л</t>
  </si>
  <si>
    <t>经济型桶黑色 10 L</t>
  </si>
  <si>
    <t>Ведро Классика Синее 7 л</t>
  </si>
  <si>
    <t>Ведро Классика с носиком Микс 8 л</t>
  </si>
  <si>
    <t>Bucket Classic 带喷嘴 Mix 8 l</t>
  </si>
  <si>
    <t>Ведро пищевое Чудо со сливом Голубое 7 л</t>
  </si>
  <si>
    <t>食品桶 Miracle 与梅花蓝色 7 l</t>
  </si>
  <si>
    <t>Ведро пищевое Чудо со сливом Желтое 7 л</t>
  </si>
  <si>
    <t>食物桶 Miracle 带排水黄色 7 l</t>
  </si>
  <si>
    <t>Ведро пищевое Чудо со сливом Зеленое 7 л</t>
  </si>
  <si>
    <t>带漏绿色食品桶 Miracle 7 l</t>
  </si>
  <si>
    <t>Коврик Влаговпитывающий ребристый 40х60 см</t>
  </si>
  <si>
    <t>地毯吸湿罗纹 40x60 厘米</t>
  </si>
  <si>
    <t>Корзина для мусора Люкс Серое 12 л</t>
  </si>
  <si>
    <t>垃圾篮 Lux 灰色 12 l</t>
  </si>
  <si>
    <t>Окномойка Умничка 20 см с телескопической ручкой 95 см оранжевая</t>
  </si>
  <si>
    <t>窗户洗衣机 Umnichka 20 cm 带伸缩手柄 95 cm 橙色</t>
  </si>
  <si>
    <t>Прищепки малые Умничка 72 мм 24 шт</t>
  </si>
  <si>
    <t>衣夹小 Umnichka 72 毫米 24 件</t>
  </si>
  <si>
    <t>Таз круглый с ручками Эконом красный 12 л</t>
  </si>
  <si>
    <t>带把手圆形盥洗盆 经济型红色 12 升</t>
  </si>
  <si>
    <t>Таз круглый с ручками Эконом салатовый 12 л</t>
  </si>
  <si>
    <t>带把手圆形盥洗盆 经济型浅绿色 12 升</t>
  </si>
  <si>
    <t>Таз круглый с ручками Эконом синий 12 л</t>
  </si>
  <si>
    <t>带把手圆形盥洗盆 经济型蓝色 12 升</t>
  </si>
  <si>
    <t>Черенок для лопат 4х120 см деревянный 1 сорт</t>
  </si>
  <si>
    <t>用于铲子的木柄 4x120 厘米 1 级</t>
  </si>
  <si>
    <t>Щетка Умничка Утюг Мини голубая</t>
  </si>
  <si>
    <t>刷 Umnichka Iron Mini 蓝色</t>
  </si>
  <si>
    <t>Флаундер NPK193 60 см c креплением карман</t>
  </si>
  <si>
    <t>比目鱼 NPK193 60 厘米，带固定口袋</t>
  </si>
  <si>
    <t>Ручка для стяжки пластиковая 2,1х130 см</t>
  </si>
  <si>
    <t>塑料领带手柄 2.1x130 厘米</t>
  </si>
  <si>
    <t>Моп Экспорт 60 см (карман)</t>
  </si>
  <si>
    <t>拖把出口 60 厘米（口袋）</t>
  </si>
  <si>
    <t>Стяжка для пола металлическая 75 см</t>
  </si>
  <si>
    <t>金属地坪 75 厘米</t>
  </si>
  <si>
    <t>Средство чистящее AJM PLUS 750 мл</t>
  </si>
  <si>
    <t>清洁剂 AJM PLUS 750 毫升</t>
  </si>
  <si>
    <t>Скребок-ледоруб металлический</t>
  </si>
  <si>
    <t>刮冰器金属</t>
  </si>
  <si>
    <t>Пластиковый хомут стяжка 3,6х250 мм белый нейлон</t>
  </si>
  <si>
    <t>塑料夹箍 3,6x250 mm 白色尼龙</t>
  </si>
  <si>
    <t>Чистящее средство Авко Чистая ванна 500 мл</t>
  </si>
  <si>
    <t>Avko 清洁剂清洁沐浴液 500 毫升</t>
  </si>
  <si>
    <t>Моп Акрил для сухой уборки 40х13 см карман</t>
  </si>
  <si>
    <t>拖把亚克力干洗 40x13 厘米口袋</t>
  </si>
  <si>
    <t>Моп Жесткий абразив из микрофибры 40 х 13 см карман+ухо</t>
  </si>
  <si>
    <t>拖把硬磨料超细纤维 40 x 13 厘米口袋 + 耳朵</t>
  </si>
  <si>
    <t>Моп Хлопок 50х15 см (карман+ухо)</t>
  </si>
  <si>
    <t>拖把棉 50x15 厘米（口袋 + 耳朵）</t>
  </si>
  <si>
    <t>Моп Акрил для сухой уборки 50х13 см карман</t>
  </si>
  <si>
    <t>拖把亚克力干洗 50x13 厘米口袋</t>
  </si>
  <si>
    <t>Термометр для духовки с зондом</t>
  </si>
  <si>
    <t>带探头的烤箱温度计</t>
  </si>
  <si>
    <t>Ажурная салфетка круглая Розочка 30 см 250 шт</t>
  </si>
  <si>
    <t>镂空餐巾圆形玫瑰花 30 厘米 250 个</t>
  </si>
  <si>
    <t>Жидкое мыло антибактериальное AJM 5 л</t>
  </si>
  <si>
    <t>抗菌皂液 AJM 5 l</t>
  </si>
  <si>
    <t>Сетка упаковочная для арбузов Белсетка Р6</t>
  </si>
  <si>
    <t>西瓜包装网 Belsetka R6</t>
  </si>
  <si>
    <t>Щепа для копчения ольховая 15 кг</t>
  </si>
  <si>
    <t>用于吸烟的桤木木片 15 公斤</t>
  </si>
  <si>
    <t>Пакет майка ПНД 30х16х60 см 15 мкм черный 100 шт</t>
  </si>
  <si>
    <t>包装 T 恤 HDPE 30x16x60 厘米 15 微米黑色 100 件</t>
  </si>
  <si>
    <t>Средство для мытья посуды Fairy Нежные руки Ромашка и витамин Е 900 мл</t>
  </si>
  <si>
    <t>Fairy 洗洁精温和洗手液洋甘菊和维生素 E 900 毫升</t>
  </si>
  <si>
    <t>Концентрированное средство для уборки помещений Квард-М 1 л</t>
  </si>
  <si>
    <t>浓缩清洁剂 Kward-M 1 l</t>
  </si>
  <si>
    <t>Насос-дозатор локтевой МИД-02</t>
  </si>
  <si>
    <t>弯头计量泵 MID-02</t>
  </si>
  <si>
    <t>Ведро Комфорт с отжимом Зеленое 16 л</t>
  </si>
  <si>
    <t>带萃取绿色的舒适桶 16 L</t>
  </si>
  <si>
    <t>Ведро Комфорт Зеленое 5 л</t>
  </si>
  <si>
    <t>桶舒适绿色 5 升</t>
  </si>
  <si>
    <t>Ведро Комфорт Красное 5 л</t>
  </si>
  <si>
    <t>桶舒适红色 5 l</t>
  </si>
  <si>
    <t>Ведро Комфорт Синее 5 л</t>
  </si>
  <si>
    <t>桶舒适蓝色 5 升</t>
  </si>
  <si>
    <t>Ведро пищевое Чудо со сливом Голубое 10 л</t>
  </si>
  <si>
    <t>食品桶 Miracle 与梅花蓝色 10 l</t>
  </si>
  <si>
    <t>Ведро пищевое Чудо со сливом Желтое 10 л</t>
  </si>
  <si>
    <t>食品桶 Miracle 带排水黄色 10 l</t>
  </si>
  <si>
    <t>Ведро пищевое Чудо со сливом Зеленое 10 л</t>
  </si>
  <si>
    <t>带漏绿色食品桶 Miracle 10 l</t>
  </si>
  <si>
    <t>Ведро пищевое Чудо со сливом Мраморное 10 л</t>
  </si>
  <si>
    <t>食品桶奇迹带排水大理石 10 升</t>
  </si>
  <si>
    <t>Комплект WC Малютка белый</t>
  </si>
  <si>
    <t>WC套装婴儿白</t>
  </si>
  <si>
    <t>Мыльница настенная Микс</t>
  </si>
  <si>
    <t>墙皂碟混合</t>
  </si>
  <si>
    <t>Таз пищевой прямоугольный с ручками Чудо зеленый 10 л</t>
  </si>
  <si>
    <t>长方形带把手食物盆 Miracle green 10 l</t>
  </si>
  <si>
    <t>Швабра отжимная Мамонтенок Чистолюб 120 см 1 ролик</t>
  </si>
  <si>
    <t>挤压式拖把 Mammoth Chistolyub 120 厘米 1 个滚轮</t>
  </si>
  <si>
    <t>Пергаментная бумага марки П 84 х 62 см 10 кг</t>
  </si>
  <si>
    <t>羊皮纸，P 级 84 х 62 cm 10 kg</t>
  </si>
  <si>
    <t>Мешки для мусора MirPack ПНД Classic 30 л 7 мкм 20 шт</t>
  </si>
  <si>
    <t>垃圾袋 MirPack HDPE Classic 30 l 7 微米 20 个</t>
  </si>
  <si>
    <t>Совок для сыпучих продуктов малый</t>
  </si>
  <si>
    <t>散装产品的小勺子</t>
  </si>
  <si>
    <t>Кондиционер для белья Vernel Ароматерапия Вдохновения Дикий Гибискус и Масло Розы 910 мл</t>
  </si>
  <si>
    <t>Vernel 织物柔软剂芳香疗法灵感野生芙蓉和玫瑰油 910 毫升</t>
  </si>
  <si>
    <t>Перчатки рабочие трикотажные с нитриловым покрытием</t>
  </si>
  <si>
    <t>丁腈涂层针织工作手套</t>
  </si>
  <si>
    <t>Сетка для писсуаров Cool Mint</t>
  </si>
  <si>
    <t>Cool Mint 小便池网格</t>
  </si>
  <si>
    <t>Средство для мытья посуды Fairy Зеленое яблоко 900 мл</t>
  </si>
  <si>
    <t>洗碗液仙青苹果 900 毫升</t>
  </si>
  <si>
    <t>Средство моющее нейтральное Мойкон для посуды 5 л</t>
  </si>
  <si>
    <t>洗涤剂中性洗碗机 5 l</t>
  </si>
  <si>
    <t>МОП Мягкий абразив из микрофибры 40 х 13 см карман+ухо</t>
  </si>
  <si>
    <t>MOP 软磨料超细纤维 40 x 13 厘米口袋 + 耳朵</t>
  </si>
  <si>
    <t>Моющая жидкость для полов и стен Mr.Proper Лавандовое спокойствие 1 л</t>
  </si>
  <si>
    <t>Mr.Proper Lavender Calm 地板和墙壁洗涤液 1 l</t>
  </si>
  <si>
    <t>Моющая жидкость для пола и стен Mr. Proper Океан 1 л</t>
  </si>
  <si>
    <t>用于地板和墙壁的洗涤液 Mr. 适当的海洋 1 升</t>
  </si>
  <si>
    <t>Средство для обезжиривания твердых поверхностей AJM Антижир 1 л</t>
  </si>
  <si>
    <t>硬表面脱脂方法 AJM Anti-grease 1 l</t>
  </si>
  <si>
    <t>Свеча в гильзе Paterra 50 шт</t>
  </si>
  <si>
    <t>袖子中的蜡烛 Paterra 50 件</t>
  </si>
  <si>
    <t>Мочалка из нержавеющей стали Спираль 40 г 1 шт</t>
  </si>
  <si>
    <t>不锈钢洗涤器螺旋 40 克 1 件</t>
  </si>
  <si>
    <t>Металлические губки для посуды Плетенка оцинкованная 1 шт</t>
  </si>
  <si>
    <t>餐具用金属海绵 镀锌编织物 1 件</t>
  </si>
  <si>
    <t>Фольга пищевая Горница Прочная 29 см х 80 м 11 мкм</t>
  </si>
  <si>
    <t>铝箔食品室 耐用 29 cm x 80 m 11 微米</t>
  </si>
  <si>
    <t>Фольга пищевая Горница Прочная 44 см х 100 м 11 мкм</t>
  </si>
  <si>
    <t>铝箔食品室 耐用 44 cm х 100 m 11 微米</t>
  </si>
  <si>
    <t>Фольга пищевая Горница Стандартная 44 см х 100 м 8 мкм</t>
  </si>
  <si>
    <t>箔食品上标准 44 cm x 100 m 8 微米</t>
  </si>
  <si>
    <t>Фольга пищевая Горница Суперпрочная 44 см х 100 м 14 мкм</t>
  </si>
  <si>
    <t>铝箔食品 Upper Superstrong 44 cm x 100 m 14 微米</t>
  </si>
  <si>
    <t>Форма алюминиевая Горница прямоугольная</t>
  </si>
  <si>
    <t>形成铝上部矩形</t>
  </si>
  <si>
    <t>Перчатки виниловые неопудренные Aviora р-р L 100 шт</t>
  </si>
  <si>
    <t>无粉乙烯基手套 Aviora solution L 100 件</t>
  </si>
  <si>
    <t>Перчатки виниловые неопудренные Aviora р-р M 100 шт</t>
  </si>
  <si>
    <t>乙烯基手套，无粉 Aviora，溶液 M，100 件</t>
  </si>
  <si>
    <t>Перчатки резиновые Aviora 5 звезд особо прочные р-р L</t>
  </si>
  <si>
    <t>橡胶手套 Aviora 5 星超耐用解决方案 L</t>
  </si>
  <si>
    <t>Перчатки резиновые Aviora 5 звезд особо прочные р-р M</t>
  </si>
  <si>
    <t>橡胶手套 Aviora 5 星超耐用解决方案 M</t>
  </si>
  <si>
    <t>Нарукавники полиэтиленовые Aviora 100 шт</t>
  </si>
  <si>
    <t>聚乙烯臂章 Aviora 100 件</t>
  </si>
  <si>
    <t>Одноразовые покрытия на унитаз Paterra 1/4 сложение 100 шт</t>
  </si>
  <si>
    <t>一次性马桶盖 Paterra 1/4 增加 100 件</t>
  </si>
  <si>
    <t>Одноразовые фартуки Aviora 70х110 см полиэтилен 100 шт</t>
  </si>
  <si>
    <t>一次性围裙 Aviora 70x110 cm 聚乙烯 100 件</t>
  </si>
  <si>
    <t>Зубочистки Бамбуковые Aviora в бумажной упаковке 1000 шт</t>
  </si>
  <si>
    <t>Aviora 竹牙签纸包装 1000 件</t>
  </si>
  <si>
    <t>Зубочистки Бамбуковые Aviora в ПП упаковке 1000 шт</t>
  </si>
  <si>
    <t>Aviora 竹牙签 PP 包装 1000 支</t>
  </si>
  <si>
    <t>Зубочистки Бамбуковые Aviora Ментоловые в ПП упаковке 1000 шт</t>
  </si>
  <si>
    <t>Aviora 竹牙签薄荷 PP 包装 1000 件</t>
  </si>
  <si>
    <t>Ажурная салфетка круглая Горница бумажная 10 см 250 шт</t>
  </si>
  <si>
    <t>镂空餐巾纸圆形面纸 10 厘米 250 张</t>
  </si>
  <si>
    <t>Ажурная салфетка круглая Горница бумажная 14 см 250 шт</t>
  </si>
  <si>
    <t>圆形镂空餐巾纸 14 厘米 250 张</t>
  </si>
  <si>
    <t>Ажурная салфетка круглая Горница бумажная 20 см 250 шт</t>
  </si>
  <si>
    <t>圆形镂空餐巾纸 20 厘米 250 张</t>
  </si>
  <si>
    <t>Ажурная салфетка круглая Горница бумажная 30 см 250 шт</t>
  </si>
  <si>
    <t>圆形镂空餐巾纸 30 厘米 250 张</t>
  </si>
  <si>
    <t>Декоративные пики Красный рубин 100 шт</t>
  </si>
  <si>
    <t>装饰峰红宝石 100 个</t>
  </si>
  <si>
    <t>Декоративные пики Aviora Завитки 90 мм</t>
  </si>
  <si>
    <t>装饰峰 Aviora 卷发 90 毫米</t>
  </si>
  <si>
    <t>Декоративные пики Зонтики 100 шт</t>
  </si>
  <si>
    <t>装饰峰伞100支</t>
  </si>
  <si>
    <t>Пищевая пленка Aviora 30 см х 20 м желтая 8 мкм</t>
  </si>
  <si>
    <t>Aviora 保鲜膜 30 cm х 20 m 黄色 8 微米</t>
  </si>
  <si>
    <t>Пищевая пленка Десногор 30 см х 200 м белая 7 мкм</t>
  </si>
  <si>
    <t>Desnogor 保鲜膜 30 cm x 200 m 白色 7 微米</t>
  </si>
  <si>
    <t>Пищевая пленка Десногор Особопрочная 45 см х 200 м белая 7 мкм</t>
  </si>
  <si>
    <t>Desnogor 保鲜膜 特强 45 cm x 200 m 白色 7 微米</t>
  </si>
  <si>
    <t>Средство для ручной чистки ковров Авко 500 мл</t>
  </si>
  <si>
    <t>手动清洁地毯 Avko 500 毫升的方法</t>
  </si>
  <si>
    <t>Концентрированное универсальное чистящее средство Эльф 1 л</t>
  </si>
  <si>
    <t>浓缩万能清洁剂 Elf 1 l</t>
  </si>
  <si>
    <t>Гофрокороб 4470х175х340 мм</t>
  </si>
  <si>
    <t>瓦楞纸箱 4470x175x340 毫米</t>
  </si>
  <si>
    <t>Средство очищающее Дескам универсальное кислотное 5,5 кг</t>
  </si>
  <si>
    <t>Dekam 通用酸性清洁剂 5.5 公斤</t>
  </si>
  <si>
    <t>Перчатки полиэтиленовые Aviora р-р L 100 шт</t>
  </si>
  <si>
    <t>聚乙烯手套 Aviora solution L 100 件</t>
  </si>
  <si>
    <t>Липкая лента от мух Aviora</t>
  </si>
  <si>
    <t>Fly Tape Aviora</t>
  </si>
  <si>
    <t>Средство для мытья посуды AJM Econom 500 мл</t>
  </si>
  <si>
    <t>洗碗液 AJM Econom 500 毫升</t>
  </si>
  <si>
    <t>Бумага для заметок с липким слоем желтая 76х76 мм 80 л</t>
  </si>
  <si>
    <t>便签纸黄色 76x76 毫米 80 升</t>
  </si>
  <si>
    <t>Спрей для мытья стекол, пластика и зеркал Unicum 500 мл</t>
  </si>
  <si>
    <t>用于清洗眼镜、塑料和镜子的喷雾 Unicum 500 毫升</t>
  </si>
  <si>
    <t>Средство очищающее МСК универсальное 5 л</t>
  </si>
  <si>
    <t>MSC 通用清洁剂 5 升</t>
  </si>
  <si>
    <t>Кондиционер для белья Vernel Свежесть летнего утра 910 мл</t>
  </si>
  <si>
    <t>Vernel 护发素夏季早晨清新 910 毫升</t>
  </si>
  <si>
    <t>Кондиционер для белья Vernel Свежий бриз 910 мл</t>
  </si>
  <si>
    <t>织物柔软剂 Vernel 清新微风 910 毫升</t>
  </si>
  <si>
    <t>Мешки для мусора Mirpack ПВД 120 л 70х110 см 70 мкм 10 шт</t>
  </si>
  <si>
    <t>垃圾袋 Mirpack LDPE 120 l 70x110 cm 70 微米 10 个</t>
  </si>
  <si>
    <t>Моп Шубка из микрофибры белый 40х13 см карман+ухо</t>
  </si>
  <si>
    <t>拖把超细纤维皮草大衣白色 40x13 厘米口袋 + 耳朵</t>
  </si>
  <si>
    <t>Зеркало для ванной Белпласт Мини белый с382-2830</t>
  </si>
  <si>
    <t>浴室镜 Belplast Mini 白色 s382-2830</t>
  </si>
  <si>
    <t>Бумага Svetocopy А4</t>
  </si>
  <si>
    <t>Svetocopy A4纸</t>
  </si>
  <si>
    <t>Ведро пищевое Чудо со сливом Мраморное 7 л</t>
  </si>
  <si>
    <t>食品桶 Miracle 带排水大理石 7 l</t>
  </si>
  <si>
    <t>Корзина универсальная Микс</t>
  </si>
  <si>
    <t>篮子通用组合</t>
  </si>
  <si>
    <t>Лейка в ассортименте 1,8 л</t>
  </si>
  <si>
    <t>各种 1.8 升的喷壶</t>
  </si>
  <si>
    <t>Таз пищевой прямоугольный с ручками ЧУДО голубой 10 л</t>
  </si>
  <si>
    <t>带把手的矩形食物盆 CHUDO 蓝色 10 l</t>
  </si>
  <si>
    <t>Таз пищевой прямоугольный с ручками ЧУДО желтый 10 л</t>
  </si>
  <si>
    <t>长方形带把手的食物盆 CHUDO 黄色 10 l</t>
  </si>
  <si>
    <t>Таз пищевой прямоугольный с ручками ЧУДО мрамор 10 л</t>
  </si>
  <si>
    <t>长方形带把手 CHUDO 大理石餐具盆 10 升</t>
  </si>
  <si>
    <t>Таз пищевой прямоугольный с ручками ЧУДО голубой 14 л</t>
  </si>
  <si>
    <t>带把手的矩形食物盆 CHUDO 蓝色 14 l</t>
  </si>
  <si>
    <t>Таз пищевой прямоугольный с ручками ЧУДО зеленый 14 л</t>
  </si>
  <si>
    <t>长方形带把手 CHUDO 绿色 14 l 食物盆</t>
  </si>
  <si>
    <t>Таз пищевой прямоугольный с ручками ЧУДО зеленый 18 л</t>
  </si>
  <si>
    <t>长方形带把手 CHUDO 绿色 18 l 食物盆</t>
  </si>
  <si>
    <t>Листовые бумажные полотенца влагопрочные Хатнiк v-сложения</t>
  </si>
  <si>
    <t>防潮纸巾 Khatnik v-fold</t>
  </si>
  <si>
    <t>Ведро Clean Красное 8 л</t>
  </si>
  <si>
    <t>清洁桶红色 8 升</t>
  </si>
  <si>
    <t>Упаковочная сетка Белсетка 500 м (Ф3)</t>
  </si>
  <si>
    <t>填料网 Belseta 500 m (Ф3)</t>
  </si>
  <si>
    <t>Стаканы одноразовые 500 мл 50 шт</t>
  </si>
  <si>
    <t>一次性眼镜 500 ml 50 个</t>
  </si>
  <si>
    <t>Освежитель воздуха Symphony Морской бриз 300 мл</t>
  </si>
  <si>
    <t>Symphony 空气清新剂海风 300 毫升</t>
  </si>
  <si>
    <t>Освежитель воздуха Symphony Лаванда и грейпфрут 300 мл</t>
  </si>
  <si>
    <t>Symphony 空气清新剂薰衣草和葡萄柚 300 毫升</t>
  </si>
  <si>
    <t>Сувенирный термометр СТ-8/10 для холодильника</t>
  </si>
  <si>
    <t>供冰箱使用的纪念品温度计 CT-8/10</t>
  </si>
  <si>
    <t>Рулонные бумажные полотенца Zewa двухслойные 4 шт</t>
  </si>
  <si>
    <t>Zewa 双层卷筒纸巾 4 片</t>
  </si>
  <si>
    <t>Полироль для мебели Mebelux для любых поверхностей 500 мл</t>
  </si>
  <si>
    <t>适用于所有表面的家具上光剂 Mebelux 500 毫升</t>
  </si>
  <si>
    <t>Средство чистящее (шампунь) для ручной чистки ковров 100 мл</t>
  </si>
  <si>
    <t>清洁剂（洗发水），用于手动地毯清洁 100 毫升</t>
  </si>
  <si>
    <t>Сменный блок для освежителя воздуха Air Wick Дикий гранат 250 мл</t>
  </si>
  <si>
    <t>Air Wick 空气清新剂野生石榴补充装 250 毫升</t>
  </si>
  <si>
    <t>Туалетная бумага Focus Economic двухслойная 8 шт</t>
  </si>
  <si>
    <t>Focus 经济型两层卫生纸 8 张</t>
  </si>
  <si>
    <t>Туалетная бумага Хатнiк 150 Профи</t>
  </si>
  <si>
    <t>卫生纸 Khatnik 150 Profi</t>
  </si>
  <si>
    <t>Туалетная бумага Focus Jumbo Eko для диспенсеров 200 м</t>
  </si>
  <si>
    <t>用于饮水机的 Focus Jumbo Eko 卫生纸 200 m</t>
  </si>
  <si>
    <t>Вафельное полотно 45 см плотность 150 г/м2</t>
  </si>
  <si>
    <t>华夫格布 45 厘米密度 150 克/平方米</t>
  </si>
  <si>
    <t>Дождевик ПЭ с капюшоном и застежками голубой 70х118 см</t>
  </si>
  <si>
    <t>带兜帽和搭扣的雨衣 PE 蓝色 70x118 厘米</t>
  </si>
  <si>
    <t>Удалитель следов клея и клейких лент Милен Антиклей 210 мл</t>
  </si>
  <si>
    <t>去除胶水和胶带痕迹 Mylene Antikley 210 毫升</t>
  </si>
  <si>
    <t>Пакет майка ПНД 28х14х50 см 14 мкм белый 100 шт</t>
  </si>
  <si>
    <t>包装 T 恤 HDPE 28x14x50 厘米 14 微米白色 100 件</t>
  </si>
  <si>
    <t>Спирали от комаров Nadzor 10 шт</t>
  </si>
  <si>
    <t>蚊子螺旋 Nadzor 10 件</t>
  </si>
  <si>
    <t>Пакет майка ПНД 30х14х60 см 14 мкм белая 100 шт</t>
  </si>
  <si>
    <t>包装 T 恤 HDPE 30x14x60 厘米 14 微米白色 100 件</t>
  </si>
  <si>
    <t>Перчатки виниловые неопудренные Aviora р-р S 100 шт</t>
  </si>
  <si>
    <t>乙烯基手套，无粉 Aviora，solution S，100 件</t>
  </si>
  <si>
    <t>Одноразовые покрытия на унитаз Paterra 1/2 сложение 235 шт</t>
  </si>
  <si>
    <t>一次性马桶盖 Paterra 1/2 加 235 件</t>
  </si>
  <si>
    <t>Перчатки хозяйственные Aviora резиновые р-р M</t>
  </si>
  <si>
    <t>家用手套 Aviora 橡胶溶液 M</t>
  </si>
  <si>
    <t>Перчатки хозяйственные Aviora резиновые р-р L</t>
  </si>
  <si>
    <t>家用手套 Aviora 橡胶溶液 L</t>
  </si>
  <si>
    <t>Твердое мыло Классическое Настоящее 100 г</t>
  </si>
  <si>
    <t>香皂 Classic Real 100 克</t>
  </si>
  <si>
    <t>Держатель для туалетной бумаги Solinne 665086</t>
  </si>
  <si>
    <t>卫生纸架 Solinne 665086</t>
  </si>
  <si>
    <t>Лестница стремянка двухсторонняя TARKO 04203</t>
  </si>
  <si>
    <t>梯子双面TARKO 04203</t>
  </si>
  <si>
    <t>Моющая жидкость для пола и стен Mr. Proper Лимон 1 л</t>
  </si>
  <si>
    <t>用于地板和墙壁的洗涤液 Mr. 适当的柠檬 1 升</t>
  </si>
  <si>
    <t>Чековая лента термочувствительная</t>
  </si>
  <si>
    <t>热敏收据胶带</t>
  </si>
  <si>
    <t>Твердое мыло для гостиниц в упаковке 200 шт</t>
  </si>
  <si>
    <t>酒店用固体肥皂，200 件。</t>
  </si>
  <si>
    <t>Этикет-пистолет MX-5500NEW</t>
  </si>
  <si>
    <t>礼仪枪 MX-5500NEW</t>
  </si>
  <si>
    <t>Салфетки универсальные Премиум v-сложения 140 мм 200 л двухслойные</t>
  </si>
  <si>
    <t>通用餐巾纸高级 V 形折叠 140 毫米 200 升两层</t>
  </si>
  <si>
    <t>Отбеливающий порошок Бос-Плюс Max 600 г</t>
  </si>
  <si>
    <t>美白粉 Bos-Plus Max 600 g</t>
  </si>
  <si>
    <t>Металлические губки для посуды Lemon Moon 2 шт</t>
  </si>
  <si>
    <t>Lemon Moon 金属百洁布 2 件</t>
  </si>
  <si>
    <t>Бумажные полотенца Мякишко v-сложения однослойные 23х23 см целлюлоза</t>
  </si>
  <si>
    <t>纸巾 V 形折叠单层 23x23 厘米纤维素</t>
  </si>
  <si>
    <t>Мешки для мусора MirPack ПНД Extra 60 л 12 мкм 30 шт</t>
  </si>
  <si>
    <t>垃圾袋 MirPack HDPE Extra 60 l 12 微米 30 个</t>
  </si>
  <si>
    <t>Мешки для мусора MirPack ПНД Extra 60 л 12 мкм 50 шт</t>
  </si>
  <si>
    <t>垃圾袋 MirPack HDPE Extra 60 l 12 微米 50 个</t>
  </si>
  <si>
    <t>Средство для мытья стекол AnyDay Gloss Зеленое яблоко 500 мл</t>
  </si>
  <si>
    <t>玻璃清洁剂 AnyDay Gloss 青苹果 500 毫升</t>
  </si>
  <si>
    <t>Тарелки пластиковые десертные с печатью 165 мм 100 шт</t>
  </si>
  <si>
    <t>带印刷的甜点塑料盘子 165 毫米 100 个</t>
  </si>
  <si>
    <t>Средство для мытья посуды AJM с глицерином 5 л</t>
  </si>
  <si>
    <t>含甘油的洗碗液 AJM 5 l</t>
  </si>
  <si>
    <t>Листовые бумажные полотенца Хатнiк v-сложения</t>
  </si>
  <si>
    <t>Khatnik V 型折叠纸巾</t>
  </si>
  <si>
    <t>Уголь древесный из лиственных пород 1 сорт 10 кг</t>
  </si>
  <si>
    <t>硬木炭 1 级 10 公斤</t>
  </si>
  <si>
    <t>Перчатки х/б 10 класс с ПВХ светлые 5/132-нитка</t>
  </si>
  <si>
    <t>手套棉 10 类与 PVC 光 5/132 线</t>
  </si>
  <si>
    <t>Средство для экстренной дезинфекции Роса-Спрей 5 л</t>
  </si>
  <si>
    <t>紧急消毒 Rosa-Spray 5 l 方法</t>
  </si>
  <si>
    <t>Средство для мытья твердых поверхностей AJM Universal 1 л</t>
  </si>
  <si>
    <t>用于清洁硬表面的方法 AJM Universal 1 l</t>
  </si>
  <si>
    <t>Корзина для мусора Хапс Мраморное 15 л</t>
  </si>
  <si>
    <t>垃圾篮 Haps 大理石 15 升</t>
  </si>
  <si>
    <t>Контейнер для мусора Свинг Мраморное 50 л</t>
  </si>
  <si>
    <t>垃圾桶 Swing Marble 50 l</t>
  </si>
  <si>
    <t>Ведро для мусора 90 л</t>
  </si>
  <si>
    <t>垃圾桶 90 升</t>
  </si>
  <si>
    <t>Ведро строительное 14 л</t>
  </si>
  <si>
    <t>施工桶 14 升</t>
  </si>
  <si>
    <t>Коврик Травка черно-зеленый 41х54 см</t>
  </si>
  <si>
    <t>地毯草黑绿色 41x54 厘米</t>
  </si>
  <si>
    <t>Поднос Микс 39х27 см</t>
  </si>
  <si>
    <t>混合托盘 39x27 厘米</t>
  </si>
  <si>
    <t>Щетка для одежды Катания</t>
  </si>
  <si>
    <t>卡塔尼亚衣服刷</t>
  </si>
  <si>
    <t>Контейнер из вспененного полистирола 50 шт</t>
  </si>
  <si>
    <t>发泡聚苯乙烯容器 50 个</t>
  </si>
  <si>
    <t>Хозяйственное мыло Лимон 72% отбеливающее 200 г</t>
  </si>
  <si>
    <t>洗衣皂柠檬 72% 美白 200 克</t>
  </si>
  <si>
    <t>Совок мусорный с вертикальной ручкой РФ</t>
  </si>
  <si>
    <t>带垂直手柄 RF 的垃圾桶</t>
  </si>
  <si>
    <t>Бумажные салфетки в пачке неокрашенные 100 шт</t>
  </si>
  <si>
    <t>一包未上漆的餐巾纸 100 张</t>
  </si>
  <si>
    <t>Средство моющее для транспорта Эколин-фро 5 л</t>
  </si>
  <si>
    <t>Ecolin-fro 车用清洁剂 5 升</t>
  </si>
  <si>
    <t>Жироудалитель Unicum для чистки стеклокерамических плит 500 мл</t>
  </si>
  <si>
    <t>用于玻璃陶瓷炉灶的除油剂 Unicum 500 毫升</t>
  </si>
  <si>
    <t>Средство по уходу за домом Аист ЖМС 950 мл</t>
  </si>
  <si>
    <t>家庭护理产品 Stork ZhMS 950 毫升</t>
  </si>
  <si>
    <t>Стиральный порошок Вера Автомат 3 кг</t>
  </si>
  <si>
    <t>Vera 自动洗衣粉 3 公斤</t>
  </si>
  <si>
    <t>Стиральный порошок Виксан Автомат Цветущая Лаванда 2,4 кг</t>
  </si>
  <si>
    <t>洗衣粉 Vixan 自动开花薰衣草 2.4 公斤</t>
  </si>
  <si>
    <t>Ажурная салфетка круглая КонтинентПак 30 см 250 шт</t>
  </si>
  <si>
    <t>圆形镂空餐巾 ContinentPak 30 厘米 250 片</t>
  </si>
  <si>
    <t>Ажурная салфетка овальная КонтинентПак 27х35 см 250 шт</t>
  </si>
  <si>
    <t>椭圆形镂空餐巾 ContinentPack 27x35 厘米 250 个</t>
  </si>
  <si>
    <t>Ажурная салфетка прямоугольная КонтинентПак 18х30 см 250 шт</t>
  </si>
  <si>
    <t>镂空长方形餐巾 ContinentPack 18x30 厘米 250 个</t>
  </si>
  <si>
    <t>Крышка для горячих напитков 90 мм с питейником белая 100 шт</t>
  </si>
  <si>
    <t>热饮热盖 90 毫米，带白色 100 件</t>
  </si>
  <si>
    <t>Крышка для горячих напитков 90 мм с питейником черная 100 шт</t>
  </si>
  <si>
    <t>黑色热饮盖 90 毫米带托儿所 100 件</t>
  </si>
  <si>
    <t>Стакан 250 мл для горячих напитков Crocodile 50 шт</t>
  </si>
  <si>
    <t>一杯 250 毫升的热饮 Crocodile 50 件</t>
  </si>
  <si>
    <t>Средство для удаления жира Unicum Gold 750 мл</t>
  </si>
  <si>
    <t>Unicum Gold 脂肪去除剂 750 毫升</t>
  </si>
  <si>
    <t>Чистящее средство Санокс 750 мл</t>
  </si>
  <si>
    <t>Sanox 清洁剂 750 毫升</t>
  </si>
  <si>
    <t>Чистящее средство Санокс-Гель 750 мл</t>
  </si>
  <si>
    <t>Sanox-Gel 清洁剂 750 毫升</t>
  </si>
  <si>
    <t>Средство чистящее Пемоксоль-М Лимон 400 г</t>
  </si>
  <si>
    <t>清洁剂 Pemoxol-M 柠檬 400 克</t>
  </si>
  <si>
    <t>Средство чистящее Пемоксоль-М Яблоко 400 г</t>
  </si>
  <si>
    <t>清洁剂 Pemoxol-M 苹果 400 克</t>
  </si>
  <si>
    <t>Соусницы 30 мл 80 шт</t>
  </si>
  <si>
    <t>酱菜 30 毫升 80 件</t>
  </si>
  <si>
    <t>Контейнер 108х82 мм 250 г 100 шт</t>
  </si>
  <si>
    <t>容器 108x82 毫米 250 克 100 个</t>
  </si>
  <si>
    <t>Контейнер 108х82 мм 500 г 100 шт</t>
  </si>
  <si>
    <t>容器 108x82 毫米 500 克 100 个</t>
  </si>
  <si>
    <t>Крышка к контейнеру 108х82 мм ДП 50 шт</t>
  </si>
  <si>
    <t>容器盖 108x82 毫米 DP 50 件</t>
  </si>
  <si>
    <t>Вилки Компакт пластиковые белые 16,5 см 100 шт</t>
  </si>
  <si>
    <t>紧凑型塑料叉子白色 16.5 厘米 100 个</t>
  </si>
  <si>
    <t>Ложки чайные пластиковые белые 12,5 см 100 шт</t>
  </si>
  <si>
    <t>茶匙，塑料，白色，12.5 厘米，100 个</t>
  </si>
  <si>
    <t>Трубочки для напитков с гофрой полосатые 5х210 мм 250 шт</t>
  </si>
  <si>
    <t>带波纹的条纹饮料吸管 5x210 毫米 250 支</t>
  </si>
  <si>
    <t>Суповая тарелка 500 мл 50 шт</t>
  </si>
  <si>
    <t>汤盘 500 ml 50 个</t>
  </si>
  <si>
    <t>Палочки для суши 23 см в бумажной упаковке 100 шт</t>
  </si>
  <si>
    <t>寿司棒 23 厘米纸盒装 100 个</t>
  </si>
  <si>
    <t>Палочки для шашлыка бамбуковые 25 см 100 шт</t>
  </si>
  <si>
    <t>竹烧烤棒 25 厘米 100 个</t>
  </si>
  <si>
    <t>Декоративные пики Узелок 6 см 100 шт</t>
  </si>
  <si>
    <t>装饰峰 结 6 厘米 100 个</t>
  </si>
  <si>
    <t>Размешиватель бамбуковый 18 см 1000 шт</t>
  </si>
  <si>
    <t>搅拌器竹 18 厘米 1000 件</t>
  </si>
  <si>
    <t>Пакет майка ПНД 30х16х60 см 16 мкм черная 100 шт</t>
  </si>
  <si>
    <t>包装 T 恤 HDPE 30x16x60 厘米 16 微米黑色 100 件</t>
  </si>
  <si>
    <t>Фасовочные пакеты Евро 10х8х27 см 8 мкм 1000 шт</t>
  </si>
  <si>
    <t>包装袋 Euro 10x8x27 cm 8 微米 1000 个</t>
  </si>
  <si>
    <t>Фасовочные пакеты ПНД 24х37 см 10 мкм 250 шт</t>
  </si>
  <si>
    <t>包装袋 HDPE 24x37 cm 10 微米 250 个</t>
  </si>
  <si>
    <t>Клейкая лента (скотч) 48 мм х 66 м прозрачный 40 мкм</t>
  </si>
  <si>
    <t>胶带（透明胶带） 48 mm х 66 m 透明 40 微米</t>
  </si>
  <si>
    <t>Пакеты полиэтиленовые зеленые 55 х 95 см 100 шт</t>
  </si>
  <si>
    <t>绿色聚乙烯袋 55 x 95 厘米 100 个</t>
  </si>
  <si>
    <t>Бахилы ПНД голубые 100 шт</t>
  </si>
  <si>
    <t>鞋套 HDPE 蓝色 100 件</t>
  </si>
  <si>
    <t>Бахилы ПНД прочные на 2-х резинках голубые 100 шт</t>
  </si>
  <si>
    <t>鞋套 HDPE 强力 2 条松紧带蓝色 100 件</t>
  </si>
  <si>
    <t>Халат посетителя на липучке, рукав на резинке р-р XL белый</t>
  </si>
  <si>
    <t>魔术贴访客长袍，袖子有松紧带 XL 码白色</t>
  </si>
  <si>
    <t>Металлические губки для посуды КонтинентПак Макси 1 шт</t>
  </si>
  <si>
    <t>餐具用金属海绵 ContinentPak Maxi 1 件</t>
  </si>
  <si>
    <t>Салфетка из микрофибры 29х29 см бирюзовая</t>
  </si>
  <si>
    <t>超细纤维餐巾纸 29x29 厘米绿松石</t>
  </si>
  <si>
    <t>Салфетка из микрофибры 29x29 см голубая</t>
  </si>
  <si>
    <t>超细纤维布 29x29 cm 蓝色</t>
  </si>
  <si>
    <t>Салфетка из микрофибры 29х29 см красная</t>
  </si>
  <si>
    <t>超细纤维餐巾纸 29x29 cm 红色</t>
  </si>
  <si>
    <t>Салфетка из микрофибры 29х29 оранжевая</t>
  </si>
  <si>
    <t>超细纤维餐巾纸 29x29 橙色</t>
  </si>
  <si>
    <t>Салфетка из микрофибры 29х29 см фиолетовая</t>
  </si>
  <si>
    <t>超细纤维餐巾 29x29 厘米紫色</t>
  </si>
  <si>
    <t>Вафельное полотно 40 см х 50 м плотность 110 г/м2</t>
  </si>
  <si>
    <t>华夫格布 40 cm x 50 m 密度 110 g/m2</t>
  </si>
  <si>
    <t>Холсто-прошивочное полотно 80 см х 50 м цветное</t>
  </si>
  <si>
    <t>缝纫织物 80 厘米 x 50 米颜色</t>
  </si>
  <si>
    <t>Стаканы одноразовые 100 мл 100 шт</t>
  </si>
  <si>
    <t>一次性眼镜 100 ml 100 个</t>
  </si>
  <si>
    <t>Тарелки пластиковые десертные 170 мм 50 шт</t>
  </si>
  <si>
    <t>甜点塑料盘子 170 毫米 50 件</t>
  </si>
  <si>
    <t>Стиральный порошок Лотос-М Автомат 20 кг</t>
  </si>
  <si>
    <t>洗衣粉 Lotos-M 自动机 20 公斤</t>
  </si>
  <si>
    <t>Стиральный порошок Лотос-М Автомат 400 г</t>
  </si>
  <si>
    <t>Lotos-M 自动洗衣粉 400 克</t>
  </si>
  <si>
    <t>Стиральный порошок Лотос-М Универсал 20 кг</t>
  </si>
  <si>
    <t>Lotos-M 通用洗衣粉 20 公斤</t>
  </si>
  <si>
    <t>Стиральный порошок Лотос-М Универсал 400 г</t>
  </si>
  <si>
    <t>Lotos-M 通用洗衣粉 400 克</t>
  </si>
  <si>
    <t>Метла синтетическая Ecotec 80 см щетина 7 см</t>
  </si>
  <si>
    <t>合成扫帚 Ecotec 80 厘米刷毛 7 厘米</t>
  </si>
  <si>
    <t>Моп для влажной уборки Кентукки TORZAL 350 г обработанный край</t>
  </si>
  <si>
    <t>湿式清洁拖把 Kentucky TORZAL 350 g 成品边缘</t>
  </si>
  <si>
    <t>Гигрометр ВИТ-2 поверка до 03.2022</t>
  </si>
  <si>
    <t>湿度计 VIT-2 验证至 03.2022</t>
  </si>
  <si>
    <t>Большая разделочная доска Трапеция 25х35 см</t>
  </si>
  <si>
    <t>大砧板梯形 25x35 厘米</t>
  </si>
  <si>
    <t>Метла синтетическая Ecotec 50 см щетина 7 см</t>
  </si>
  <si>
    <t>合成扫帚 Ecotec 50 厘米刷毛 7 厘米</t>
  </si>
  <si>
    <t>Ведро Комфорт Красное 12 л</t>
  </si>
  <si>
    <t>桶舒适红色 12 升</t>
  </si>
  <si>
    <t>Ведро Комфорт Салатовое 12 л</t>
  </si>
  <si>
    <t>Bucket Comfort 浅绿色 12 l</t>
  </si>
  <si>
    <t>Ведро Комфорт Синее 12 л</t>
  </si>
  <si>
    <t>桶舒适蓝色 12 升</t>
  </si>
  <si>
    <t>Окномойка Мамонтенок Чистолюб 25 см с телескопической ручкой 120 см голубая</t>
  </si>
  <si>
    <t>窗户清洗器 Mammoth Chistolyub 25 cm 带伸缩手柄 120 cm 蓝色</t>
  </si>
  <si>
    <t>Щетка автомобильная Люкс Мини со скребком</t>
  </si>
  <si>
    <t>汽车刷 Lux Mini 带刮刀</t>
  </si>
  <si>
    <t>Щетка автомобильная Люкс с держателем и скребком</t>
  </si>
  <si>
    <t>带支架和刮刀的汽车刷 Lux</t>
  </si>
  <si>
    <t>Бумага для выпечки силиконизированная Горница 38 см х 50 м</t>
  </si>
  <si>
    <t>硅化烘焙纸 上部 38 cm х 50 m</t>
  </si>
  <si>
    <t>Вакуумный пакет Aviora 40х60 см</t>
  </si>
  <si>
    <t>Aviora 真空袋 40x60 厘米</t>
  </si>
  <si>
    <t>Мешки для мусора Mirpack ПСД Professional 120 л 20 мкм 50 шт</t>
  </si>
  <si>
    <t>垃圾袋 Mirpack PSD Professional 120 l 20 微米 50 个</t>
  </si>
  <si>
    <t>Мешки для мусора Mirpack ПВД Extra Black 240 л 55 мкм 10 шт</t>
  </si>
  <si>
    <t>垃圾袋 Mirpack LDPE Extra Black 240 l 55 微米 10 个</t>
  </si>
  <si>
    <t>Двусторонняя клейкая лента Klebebander 38 мм х 10 м</t>
  </si>
  <si>
    <t>双面胶带 Klebebander 38 mm x 10 m</t>
  </si>
  <si>
    <t>Самоклеящиеся крючки Милен 3х8 см 2 шт</t>
  </si>
  <si>
    <t>自粘挂钩 Milen 3x8 厘米 2 件</t>
  </si>
  <si>
    <t>Двусторонняя монтажная лента Милен черная 12 мм х 5 м</t>
  </si>
  <si>
    <t>双面安装胶带 Mylene black 12 mm x 5 m</t>
  </si>
  <si>
    <t>Двусторонняя монтажная лента Милен черная 19 мм х 5 м</t>
  </si>
  <si>
    <t>双面安装胶带 Mylene 黑色 19 mm x 5 m</t>
  </si>
  <si>
    <t>Кондиционер для белья Vernel Сенситив Алоэ Вера и Миндаль 910 мл</t>
  </si>
  <si>
    <t>织物柔软剂 Vernel Sensitive 芦荟和杏仁 910 毫升</t>
  </si>
  <si>
    <t>Средство для мытья окон и зеркал Clin Кристалл 500 мл</t>
  </si>
  <si>
    <t>清洗窗户和镜子的方法 Clin Crystal 500 毫升</t>
  </si>
  <si>
    <t>Сувенирный термометр СТ-5/20 комнатный</t>
  </si>
  <si>
    <t>纪念品温度计 ST-5/20 房间</t>
  </si>
  <si>
    <t>Листовые бумажные полотенца Мякишко v-сложения серые</t>
  </si>
  <si>
    <t>V 形折叠灰色单张纸巾</t>
  </si>
  <si>
    <t>Туалетная бумага Стандарт Семейная 175</t>
  </si>
  <si>
    <t>卫生纸标准家庭175</t>
  </si>
  <si>
    <t>Мешки для мусора Mirpack ПВД Professional 160 л 30 мкм 20 шт</t>
  </si>
  <si>
    <t>垃圾袋 Mirpack LDPE Professional 160 l 30 微米 20 个</t>
  </si>
  <si>
    <t>Мешки для мусора Mirpack ПВД Professional 180 л 30 мкм 10 шт</t>
  </si>
  <si>
    <t>垃圾袋 Mirpack LDPE Professional 180 l 30 微米 10 个</t>
  </si>
  <si>
    <t>Туалетная бумага однослойная 65 м</t>
  </si>
  <si>
    <t>单层卫生纸 65 m</t>
  </si>
  <si>
    <t>Влажные детские салфетки Pure Мягкое прикосновение</t>
  </si>
  <si>
    <t>湿婴儿湿巾纯柔软触感</t>
  </si>
  <si>
    <t>Сода Виксан кальцинированная с добавлением метасиликата натрия 500 г</t>
  </si>
  <si>
    <t>添加偏硅酸钠的纯碱 Vixan 500 g</t>
  </si>
  <si>
    <t>Листовые бумажные полотенца Стандарт Плюс v-сложения однослойные</t>
  </si>
  <si>
    <t>Standard Plus V 形折叠单层纸巾</t>
  </si>
  <si>
    <t>Листовые бумажные полотенца Комфорт Плюс v-сложения однослойные</t>
  </si>
  <si>
    <t>Comfort Plus V 形折叠单层纸巾</t>
  </si>
  <si>
    <t>Рулонные бумажные полотенца Veta Pop Art двухслойные 2 шт</t>
  </si>
  <si>
    <t>Veta 波普艺术双层卷纸巾 2 件</t>
  </si>
  <si>
    <t>Перчатки виниловые неопудренные Aviora р-р XL 100 шт</t>
  </si>
  <si>
    <t>乙烯基手套，无粉 Aviora，XL 溶液，100 件</t>
  </si>
  <si>
    <t>Пищевая пленка Десногор 30 см х 200 м белая 5,5 мкм</t>
  </si>
  <si>
    <t>Desnogor 保鲜膜 30 cm x 200 m 白色 5.5 微米</t>
  </si>
  <si>
    <t>Пищевая пленка Десногор 45 см х 200 м белая 5,5 мкм</t>
  </si>
  <si>
    <t>Desnogor 保鲜膜 45 cm x 200 m 白色 5.5 微米</t>
  </si>
  <si>
    <t>Бумажные салфетки белые 100 шт</t>
  </si>
  <si>
    <t>白色餐巾纸 100 片</t>
  </si>
  <si>
    <t>Шпагат полипропиленовый некрученый 1000 текс 5 кг</t>
  </si>
  <si>
    <t>无捻聚丙烯麻线 1000 tex 5 kg</t>
  </si>
  <si>
    <t>Сменный блок для освежителя воздуха Glade Automatic Свежесть утра 269 мл</t>
  </si>
  <si>
    <t>空气清新剂补充装置 Glade 自动早晨清新 269 毫升</t>
  </si>
  <si>
    <t>Сменный блок для освежителя воздуха Glade Automatic Японский сад 269 мл</t>
  </si>
  <si>
    <t>Glade 自动空气清新剂日本花园补充装 269 毫升</t>
  </si>
  <si>
    <t>Сменный блок для освежителя воздуха Air Wick Сказочный сад 250 мл</t>
  </si>
  <si>
    <t>Air Wick 空气清新剂 Fairy Garden 补充装 250 毫升</t>
  </si>
  <si>
    <t>Ведро оцинкованное 9 л</t>
  </si>
  <si>
    <t>镀锌桶 9 l</t>
  </si>
  <si>
    <t>Автоматический освежитель воздуха Glade Automatic Свежесть утра 269 мл</t>
  </si>
  <si>
    <t>Glade 自动空气清新剂自动早晨清新 269 毫升</t>
  </si>
  <si>
    <t>Автоматический освежитель воздуха Glade Automatic Яблоко и корица 269 мл</t>
  </si>
  <si>
    <t>自动空气清新剂 Glade Automatic 苹果和肉桂 269 毫升</t>
  </si>
  <si>
    <t>Туалетная бумага Zewa Плюс 12 шт</t>
  </si>
  <si>
    <t>Zewa Plus 卫生纸 12 片</t>
  </si>
  <si>
    <t>Сетка для писсуаров голубая</t>
  </si>
  <si>
    <t>小便器格蓝色</t>
  </si>
  <si>
    <t>Туалетная бумага Комфорт Maxi 100</t>
  </si>
  <si>
    <t>卫生纸 Comfort Maxi 100</t>
  </si>
  <si>
    <t>Рулонные бумажные полотенца Премиум 2 шт</t>
  </si>
  <si>
    <t>卷纸巾 Premium 2 件</t>
  </si>
  <si>
    <t>Флаундер 40 см c креплением карман</t>
  </si>
  <si>
    <t>比目鱼 40 厘米，带固定口袋</t>
  </si>
  <si>
    <t>Плашки 10 мм</t>
  </si>
  <si>
    <t>模具 10 毫米</t>
  </si>
  <si>
    <t>Упаковочная сетка Белсетка 500 м Ф2</t>
  </si>
  <si>
    <t>填料网 Belseta 500 m Ф2</t>
  </si>
  <si>
    <t>Губки для посуды Lemon Moon 96х64х42 мм 5 шт</t>
  </si>
  <si>
    <t>去污海绵柠檬月亮 96x64x42 毫米 5 件</t>
  </si>
  <si>
    <t>Средство очищающее Дангостат 5 л</t>
  </si>
  <si>
    <t>洁面乳 Dangostat 5 l</t>
  </si>
  <si>
    <t>Средство для мытья стекол AJM Glass 700 мл</t>
  </si>
  <si>
    <t>玻璃清洁剂 AJM Glass 700 毫升</t>
  </si>
  <si>
    <t>Моп Хлопок бежевый 40х15 см (карман+ухо)</t>
  </si>
  <si>
    <t>拖把棉米色 40x15 厘米（口袋 + 耳朵）</t>
  </si>
  <si>
    <t>Моп Хлопок Эко бежевый 50х15 см (карман+ухо)</t>
  </si>
  <si>
    <t>拖把棉生态米色 50x15 厘米（口袋 + 耳朵）</t>
  </si>
  <si>
    <t>Диспенсер для бумажных полотенец z-сложения</t>
  </si>
  <si>
    <t>Z 形折叠纸巾分配器</t>
  </si>
  <si>
    <t>Диспенсер для салфеток европейского стандарта</t>
  </si>
  <si>
    <t>欧标餐巾纸分配器</t>
  </si>
  <si>
    <t>Сменное лезвие для напольного скребка</t>
  </si>
  <si>
    <t>地板刮板更换刀片</t>
  </si>
  <si>
    <t>Ручка для флаундера алюминиевая 140 см</t>
  </si>
  <si>
    <t>比目鱼手柄铝 140 厘米</t>
  </si>
  <si>
    <t>Флаундер Hunt для сухой уборки 60 см c креплением карман</t>
  </si>
  <si>
    <t>比目鱼狩猎干洗 60 厘米，带固定口袋</t>
  </si>
  <si>
    <t>Флаундер Эконом 50 см (карман)</t>
  </si>
  <si>
    <t>比目鱼经济 50 厘米（口袋）</t>
  </si>
  <si>
    <t>Тележка Хром 1 ведро 25 л с насадкой для отжима</t>
  </si>
  <si>
    <t>Trolley Chrome 1 桶 25 l 带旋转附件</t>
  </si>
  <si>
    <t>Тележка для уборки ведро 25 л с насадкой для отжима</t>
  </si>
  <si>
    <t>带提取器的 25 升桶清洁推车</t>
  </si>
  <si>
    <t>Держатель для шубки Hunt пластиковый 35 см</t>
  </si>
  <si>
    <t>Hunt 塑料大衣架 35 厘米</t>
  </si>
  <si>
    <t>Сменная резина для скребка 35 см</t>
  </si>
  <si>
    <t>35 cm 刮刀的替换橡胶</t>
  </si>
  <si>
    <t>Сменная резина для скребка 45 см</t>
  </si>
  <si>
    <t>45 cm 刮刀的替换橡胶</t>
  </si>
  <si>
    <t>Ручка телескопическая 2 м двухсекционная v.2</t>
  </si>
  <si>
    <t>伸缩手柄 2 m 两件式 v.2</t>
  </si>
  <si>
    <t>Ручка телескопическая 3 м двухсекционная v.2</t>
  </si>
  <si>
    <t>伸缩手柄 3 m 两节 v.2</t>
  </si>
  <si>
    <t>Шубка для мытья окон 35 см</t>
  </si>
  <si>
    <t>用于清洗窗户的毛皮大衣 35 厘米</t>
  </si>
  <si>
    <t>Ведро прямоугольное без крышки 22 л</t>
  </si>
  <si>
    <t>无盖矩形桶 22 l</t>
  </si>
  <si>
    <t>Уголь из лиственных пород 1 сорт 3 кг</t>
  </si>
  <si>
    <t>硬木煤 1 级 3 公斤</t>
  </si>
  <si>
    <t>Черенок для щеток 110 см лайм</t>
  </si>
  <si>
    <t>刷柄 110 厘米石灰</t>
  </si>
  <si>
    <t>Стиральный порошок Виксан-универсал Автомат 3 кг</t>
  </si>
  <si>
    <t>洗衣粉 Viksan 旅行车自动机 3 公斤</t>
  </si>
  <si>
    <t>Спички-коробки Модель КО-303</t>
  </si>
  <si>
    <t>火柴盒 型号 KO-303</t>
  </si>
  <si>
    <t>Бумага для выпечки силиконизированная Горница 38 см х 100 м</t>
  </si>
  <si>
    <t>硅化烘焙纸 上部 38 cm х 100 m</t>
  </si>
  <si>
    <t>Зубочистки Бамбуковые Aviora в бумажной упаковке 500 шт</t>
  </si>
  <si>
    <t>竹牙签 Aviora 纸包装 500 件</t>
  </si>
  <si>
    <t>Ажурная салфетка круглая Горница бумажная 28 см 250 шт</t>
  </si>
  <si>
    <t>镂空餐巾纸圆形 上层纸 28 厘米 250 张</t>
  </si>
  <si>
    <t>Декоративные пики Зонтик 300 шт</t>
  </si>
  <si>
    <t>装饰峰伞300支</t>
  </si>
  <si>
    <t>Средство дезинфицирующее таблетированное Ди-Хлор-Экстра 1 кг</t>
  </si>
  <si>
    <t>Di-Chlor-Extra 消毒剂片剂 1 kg</t>
  </si>
  <si>
    <t>Мешки для мусора MirPack ПНД Classic 30 л 6 мкм 50 шт</t>
  </si>
  <si>
    <t>垃圾袋 MirPack HDPE Classic 30 l 6 微米 50 个</t>
  </si>
  <si>
    <t>Мешки для мусора MirPack ПНД Classic 60 л 6 мкм 20 шт</t>
  </si>
  <si>
    <t>垃圾袋 MirPack HDPE Classic 60 l 6 微米 20 个</t>
  </si>
  <si>
    <t>Мешки для мусора Mirpack ПВД Extra Black 120 л 50 мкм 10 шт</t>
  </si>
  <si>
    <t>垃圾袋 Mirpack LDPE Extra Black 120 l 50 微米 10 个</t>
  </si>
  <si>
    <t>Фасовочные пакеты в ролике без втулки 24х37 см 7 мкм 100 шт</t>
  </si>
  <si>
    <t>无袖卷装袋 24x37 厘米 7 微米 100 个</t>
  </si>
  <si>
    <t>Жидкость для розжига EuroFire 1 л</t>
  </si>
  <si>
    <t>液体点火 EuroFire 1 l</t>
  </si>
  <si>
    <t>Диспенсер для бумажных полотенец с центральной вытяжкой</t>
  </si>
  <si>
    <t>中央抽屉手巾分配器</t>
  </si>
  <si>
    <t>Моп Стандарт 40 см ухо</t>
  </si>
  <si>
    <t>拖把标准40厘米耳</t>
  </si>
  <si>
    <t>Держатель для шубки Bayersan 45 см</t>
  </si>
  <si>
    <t>Bayersan 大衣架 45 厘米</t>
  </si>
  <si>
    <t>Метла синтетическая Ecotec 60 см щетина 7 см</t>
  </si>
  <si>
    <t>合成扫帚 Ecotec 60 厘米刷毛 7 厘米</t>
  </si>
  <si>
    <t>Сменный канал для скребка 35 см</t>
  </si>
  <si>
    <t>可更换刮刀通道 35 cm</t>
  </si>
  <si>
    <t>Сменный канал для скребка с резинкой 45 см</t>
  </si>
  <si>
    <t>带松紧带的可更换刮刀槽 45 cm</t>
  </si>
  <si>
    <t>Шубка для мытья окон 45 см</t>
  </si>
  <si>
    <t>用于清洗窗户的毛皮大衣 45 厘米</t>
  </si>
  <si>
    <t>Бейдж Silwerhof 95х56 мм</t>
  </si>
  <si>
    <t>徽章 Silwerhof 95x56 毫米</t>
  </si>
  <si>
    <t>Рулонные бумажные полотенца с центральной вытяжкой Комфорт 100 м. 1 шт</t>
  </si>
  <si>
    <t>带中央风帽的卷纸巾 Comfort 100 m. 1 件</t>
  </si>
  <si>
    <t>Окномойка Мамонтенок чистолюб 20см с ручкой 44 см голубая</t>
  </si>
  <si>
    <t>窗户洗衣机猛犸象雄心勃勃的 20 厘米，带把手 44 厘米蓝色</t>
  </si>
  <si>
    <t>Вакуумный пакет 60х80 см</t>
  </si>
  <si>
    <t>真空袋 60x80 厘米</t>
  </si>
  <si>
    <t>Вафельное полотно 45 см плотность 120 г/м2</t>
  </si>
  <si>
    <t>华夫格布 45 厘米密度 120 克/平方米</t>
  </si>
  <si>
    <t>Шампур деревянный березовый Komfi 20 см 100 шт</t>
  </si>
  <si>
    <t>串木桦木 Komfi 20 厘米 100 件</t>
  </si>
  <si>
    <t>Шампур деревянный березовый Komfi 30 см 100 шт</t>
  </si>
  <si>
    <t>串木桦木 Komfi 30 厘米 100 件</t>
  </si>
  <si>
    <t>Пакет с защелкой Masterbag Extra 12-17 см 100 шт</t>
  </si>
  <si>
    <t>按扣包 Masterbag Extra 12-17 cm 100 个</t>
  </si>
  <si>
    <t>Гель для мытья посуды AnyDay Gloss Цветущий май 500 мл</t>
  </si>
  <si>
    <t>AnyDay Gloss Dishwashing Gel Blossoming May 500 毫升</t>
  </si>
  <si>
    <t>Вилки Премиум пластиковые прозрачные 18 см 100 шт</t>
  </si>
  <si>
    <t>叉 优质塑料透明 18 厘米 100 件</t>
  </si>
  <si>
    <t>Стретч пленка 500х17мкм экстра</t>
  </si>
  <si>
    <t>拉伸膜 500x17μm 额外</t>
  </si>
  <si>
    <t>Таз пищевой прямоугольный с ручками ЧУДО мрамор 18 л</t>
  </si>
  <si>
    <t>长方形带把手 CHUDO 大理石餐具盆 18 升</t>
  </si>
  <si>
    <t>Термометр ТС-7АМК для холодильников и морозильных камер -35 +50 гр</t>
  </si>
  <si>
    <t>用于冰箱和冰柜的温度计 TS-7AMK -35 +50 g</t>
  </si>
  <si>
    <t>Сода кальцинированная СМ-2360 400 г</t>
  </si>
  <si>
    <t>纯碱 SM-2360 400 克</t>
  </si>
  <si>
    <t>Контейнер 108х82 мм 350 г 100 шт</t>
  </si>
  <si>
    <t>容器 108x82 毫米 350 克 100 个</t>
  </si>
  <si>
    <t>Крышка к контейнеру 108х82 мм СТ И 50 шт</t>
  </si>
  <si>
    <t>容器盖 108x82 mm ST I 50 个</t>
  </si>
  <si>
    <t>Стакан ПЭТ 200 мл прозрачный 50 шт</t>
  </si>
  <si>
    <t>玻璃 PET 200 ml 透明 50 件</t>
  </si>
  <si>
    <t>Стакан ПЭТ 500 мл прозрачный 50 шт</t>
  </si>
  <si>
    <t>玻璃 PET 500 ml 透明 50 件</t>
  </si>
  <si>
    <t>Ложки столовые пластиковые белые 17 см 100 шт</t>
  </si>
  <si>
    <t>塑料汤匙白色 17 厘米 100 件</t>
  </si>
  <si>
    <t>Трубочки для напитков прямые Milk черные 8х240 мм 250 шт</t>
  </si>
  <si>
    <t>饮料直吸管 牛奶黑 8x240 毫米 250 件</t>
  </si>
  <si>
    <t>Декоративные пики Гольф 15 см 100 шт</t>
  </si>
  <si>
    <t>装饰峰高尔夫 15 厘米 100 件</t>
  </si>
  <si>
    <t>Размешиватель бамбуковый 14 см 1000 шт</t>
  </si>
  <si>
    <t>搅拌器竹 14 厘米 1000 件</t>
  </si>
  <si>
    <t>Пакет майка ПНД 30х16х60 см 16 мкм белая 100 шт</t>
  </si>
  <si>
    <t>包装 T 恤 HDPE 30x16x60 厘米 16 微米白色 100 件</t>
  </si>
  <si>
    <t>Фасовочные пакеты ПНД 25х40 см 8 мкм рулон 500 шт</t>
  </si>
  <si>
    <t>包装袋 HDPE 25x40 cm 8 微米卷 500 个</t>
  </si>
  <si>
    <t>Пищевая пленка 30 см х 250 м</t>
  </si>
  <si>
    <t>保鲜膜 30 cm x 250 m</t>
  </si>
  <si>
    <t>Шапочка-берет Шарлотта 500-704 белая нетканая 100 шт</t>
  </si>
  <si>
    <t>贝雷帽 Charlotte 500-704 白色无纺布 100 件</t>
  </si>
  <si>
    <t>Бумага для выпечки КонтинентПак ПП 38 см х 10 м</t>
  </si>
  <si>
    <t>烘焙纸 ContinentPack PP 38 cm х 10 m</t>
  </si>
  <si>
    <t>Бумага для выпечки КонтинентПак ПП 30 см х 25 м</t>
  </si>
  <si>
    <t>烘焙纸 ContinentPack PP 30 cm x 25 m</t>
  </si>
  <si>
    <t>Бумага для выпечки силиконизированная Bakery Line 38 см х 25 м</t>
  </si>
  <si>
    <t>硅化烘焙纸 Bakery Line 38 cm х 25 m</t>
  </si>
  <si>
    <t>Металлические губки для посуды КонтинентПак в сетке 10 шт</t>
  </si>
  <si>
    <t>用于餐具 ContinentPak 网格的金属海绵 10 件</t>
  </si>
  <si>
    <t>Металлические губки для посуды КонтинентПак в сетке 3 шт</t>
  </si>
  <si>
    <t>用于餐具 ContinentPak 网格的金属海绵 3 件</t>
  </si>
  <si>
    <t>Тряпка для пола Эко Хлопок 50х60 см</t>
  </si>
  <si>
    <t>地布生态棉 50x60 厘米</t>
  </si>
  <si>
    <t>Вафельное полотно 40 см х 50 м плотность 125 г/м2</t>
  </si>
  <si>
    <t>华夫格布 40 cm x 50 m 密度 125 g/m2</t>
  </si>
  <si>
    <t>Неткол 80 см 100% хлопок плотность 120 г/м2</t>
  </si>
  <si>
    <t>Netcol 80 厘米 100%棉密度 120 g/m2</t>
  </si>
  <si>
    <t>Холсто-прошивочное полотно 80 см х 50 м белое</t>
  </si>
  <si>
    <t>缝纫织物 80 cm x 50 m 白色</t>
  </si>
  <si>
    <t>Стакан ПЭТ 300 мл прозрачный 50 шт</t>
  </si>
  <si>
    <t>PET 玻璃 300 ml 透明 50 件</t>
  </si>
  <si>
    <t>Стакан ПЭТ 400 мл прозрачный 50 шт</t>
  </si>
  <si>
    <t>玻璃 PET 400 ml 透明 50 件</t>
  </si>
  <si>
    <t>Маска трехслойная с носовым фиксатором голубая 50 шт</t>
  </si>
  <si>
    <t>带鼻托的三层口罩，蓝色 50片</t>
  </si>
  <si>
    <t>Стакан ПЭТ 200 мл Силикон прозрачный 50 шт</t>
  </si>
  <si>
    <t>玻璃 PET 200 ml 硅胶透明 50 件</t>
  </si>
  <si>
    <t>Стакан 250 мл для горячих напитков Крафт 50 шт</t>
  </si>
  <si>
    <t>玻璃 250 毫升热饮卡夫 50 件</t>
  </si>
  <si>
    <t>Упаковочная сетка Белсетка для защиты от птиц 2х5 м MR</t>
  </si>
  <si>
    <t>用于防鸟的包装网 Belnet 2x5 m MR</t>
  </si>
  <si>
    <t>Сетка упаковочная Белсетка MR 2х10 м для защиты от птиц</t>
  </si>
  <si>
    <t>包装网 Belnet MR 2x10 米，用于鸟类保护</t>
  </si>
  <si>
    <t>Прорезиненный фартук КЩС 83х110 см</t>
  </si>
  <si>
    <t>橡胶围裙 KShchS 83x110 厘米</t>
  </si>
  <si>
    <t>Средство для мытья посуды AJM с глицерином 1 л</t>
  </si>
  <si>
    <t>含甘油的洗碗液 AJM 1 l</t>
  </si>
  <si>
    <t>Средство очищающее Дескам универсальное кислотное 11 кг</t>
  </si>
  <si>
    <t>Dekam 通用酸性清洁剂 11 公斤</t>
  </si>
  <si>
    <t>Чековая лента термочувствительная 80х12х60 мм</t>
  </si>
  <si>
    <t>热敏收据胶带 80x12x60 毫米</t>
  </si>
  <si>
    <t>Губки сетчатые пластиковые 3 шт</t>
  </si>
  <si>
    <t>塑料网海绵 3个</t>
  </si>
  <si>
    <t>Перчатки резиновые Aviora 5 звезд особо прочные р-р S</t>
  </si>
  <si>
    <t>橡胶手套 Aviora 5 星超耐用解决方案 S</t>
  </si>
  <si>
    <t>Перчатки полиэтиленовые Aviora на подвесе, р-р L 100 шт</t>
  </si>
  <si>
    <t>衣架上的聚乙烯手套 Aviora，溶液 L 100 件</t>
  </si>
  <si>
    <t>Трубочки для напитков прямые цветные 8х240 мм 250 шт</t>
  </si>
  <si>
    <t>用于饮料的直色管 8x240 毫米 250 个</t>
  </si>
  <si>
    <t>Распылитель под Тайгета F-307 700 мл</t>
  </si>
  <si>
    <t>Taygeta F-307 喷雾器 700 毫升</t>
  </si>
  <si>
    <t>Распылитель под Тайгета К-205 700 мл</t>
  </si>
  <si>
    <t>Taygeta K-205 喷雾器 700 毫升</t>
  </si>
  <si>
    <t>Концентрированное универсальное моющее средство Тайгета H101 1 л</t>
  </si>
  <si>
    <t>浓缩通用洗涤剂 Taygeta H101 1 l</t>
  </si>
  <si>
    <t>Концентрированное универсальное моющее средство Тайгета H101 5 л</t>
  </si>
  <si>
    <t>浓缩通用洗涤剂 Taygeta H101 5 l</t>
  </si>
  <si>
    <t>Сильнодействующее средство для удаления нагара Тайгета К206 5 л</t>
  </si>
  <si>
    <t>强力去除积碳剂 Taygeta K206 5 l</t>
  </si>
  <si>
    <t>Хлорсодержащее щелочное средство Тайгета К215 для уборки (кухня) 5 л</t>
  </si>
  <si>
    <t>用于清洁（厨房）的氯碱性清洁剂 Taygeta K215 5 l</t>
  </si>
  <si>
    <t>Универсальное обезжиривающее средство Тайгета К205 (SafeLink) 5 л</t>
  </si>
  <si>
    <t>通用脱脂剂 Taygeta K205 (SafeLink) 5 l</t>
  </si>
  <si>
    <t>Моющее средство Тайгета F307 для глянцевых полов и стекла 5 л</t>
  </si>
  <si>
    <t>清洁剂 Taygeta F307 用于光面地板和玻璃 5 l</t>
  </si>
  <si>
    <t>Средство для ручного мытья посуды Тайгета К211 2 л</t>
  </si>
  <si>
    <t>手洗餐具 Taygeta K211 2 l</t>
  </si>
  <si>
    <t>Низкопенное кислотное моющее средство Тайгета H109 1 л</t>
  </si>
  <si>
    <t>低泡酸性洗涤剂 Taygeta H109 1 l</t>
  </si>
  <si>
    <t>Универсальное обезжиривающее средство Тайгета К205 1 л</t>
  </si>
  <si>
    <t>Taygeta K205通用脱脂剂1升</t>
  </si>
  <si>
    <t>Сильнодействующее средство для удаления нагара Тайгета К206 1 л</t>
  </si>
  <si>
    <t>强力除碳剂 Taygeta K206 1 l</t>
  </si>
  <si>
    <t>Хлорсодержащее щелочное средство Тайгета К215 для уборки (кухня) 1 л</t>
  </si>
  <si>
    <t>用于清洁（厨房）的氯碱性清洁剂 Taygeta K215 1 l</t>
  </si>
  <si>
    <t>Моющее средство Тайгета F307 для глянцевых полов и стекла 1 л</t>
  </si>
  <si>
    <t>清洁剂 Taygeta F307 用于光面地板和玻璃 1 l</t>
  </si>
  <si>
    <t>Распылитель под Тайгета K-206 вспенивающий химстойкий 700 мл</t>
  </si>
  <si>
    <t>Taygeta K-206 发泡耐化学性喷雾剂 700 毫升</t>
  </si>
  <si>
    <t>Концентрированное средство для ручного мытья посуды Тайгета К-213 1 л</t>
  </si>
  <si>
    <t>用于手洗餐具的浓缩洗涤剂 Taygeta K-213 1 l</t>
  </si>
  <si>
    <t>Концентрированное средство для ручного мытья посуды Тайгета К213 5 л</t>
  </si>
  <si>
    <t>浓缩洗洁精 Taygeta K213 5 l</t>
  </si>
  <si>
    <t>Губки для посуды Lemon Moon 96х64х27 мм 5 шт</t>
  </si>
  <si>
    <t>去污海绵柠檬月亮 96x64x27 毫米 5 件</t>
  </si>
  <si>
    <t>Губки для посуды Lemon Moon 87х58х27 мм 5 шт</t>
  </si>
  <si>
    <t>去污海绵柠檬月亮 87x58x27 毫米 5 件</t>
  </si>
  <si>
    <t>Губки для посуды Lemon Moon ретикулированные 96х64х33 мм 4 шт</t>
  </si>
  <si>
    <t>去污海绵柠檬月亮网状 96x64x33 毫米 4 件</t>
  </si>
  <si>
    <t>Салфетка вискозная Lemon Moon 34х38 см 10 шт</t>
  </si>
  <si>
    <t>粘胶餐巾柠檬月亮 34x38 厘米 10 片</t>
  </si>
  <si>
    <t>Контейнер для мусора Свинг Бежевый мрамор 50 л</t>
  </si>
  <si>
    <t>垃圾桶 Swing 米色大理石 50 l</t>
  </si>
  <si>
    <t>Стиральный порошок Vera универсальный 3 кг</t>
  </si>
  <si>
    <t>Vera 通用洗衣粉 3 公斤</t>
  </si>
  <si>
    <t>Мешки для мусора ПНД 35х42 см 200 шт</t>
  </si>
  <si>
    <t>垃圾袋 HDPE 35x42 cm 200 个</t>
  </si>
  <si>
    <t>Полироль для мебели Pronto 5в1 Алое Вера 500 мл</t>
  </si>
  <si>
    <t>家具上光剂 Pronto 5 合 1 芦荟 500 毫升</t>
  </si>
  <si>
    <t>Диспенсер для рулонной туалетной бумаги 24 см</t>
  </si>
  <si>
    <t>卫生纸分配器 24 厘米</t>
  </si>
  <si>
    <t>Диспенсер сидений для унитаза</t>
  </si>
  <si>
    <t>马桶座分配器</t>
  </si>
  <si>
    <t>Закладки с клеевым краем пластиковые неон 12х45 мм 5 блоков</t>
  </si>
  <si>
    <t>带胶边塑料霓虹灯书签 12x45 毫米 5 块</t>
  </si>
  <si>
    <t>Моп Премиум Универсальный 40 см (карман+ухо)</t>
  </si>
  <si>
    <t>拖把高级通用 40 厘米（口袋 + 耳朵）</t>
  </si>
  <si>
    <t>Флаундер Эконом 40 см c креплением карман</t>
  </si>
  <si>
    <t>比目鱼经济 40 厘米，带固定口袋</t>
  </si>
  <si>
    <t>Флаундер Эконом 50 см c креплением карман</t>
  </si>
  <si>
    <t>比目鱼经济 50 厘米，带固定口袋</t>
  </si>
  <si>
    <t>Тележка для уборки ведро 25 л + 25 л с насадкой для отжима</t>
  </si>
  <si>
    <t>清洁推车 25 l + 25 l 桶，带提取器</t>
  </si>
  <si>
    <t>Ручка телескопическая 2 м двухсекционная</t>
  </si>
  <si>
    <t>伸缩手柄 2 m 两件式</t>
  </si>
  <si>
    <t>Ручка телескопическая 3 м двухсекционная</t>
  </si>
  <si>
    <t>伸缩手柄 3 m 两件式</t>
  </si>
  <si>
    <t>Скребок для стеклянных поверхностей Hunt 35 см</t>
  </si>
  <si>
    <t>玻璃刮刀亨特 35 厘米</t>
  </si>
  <si>
    <t>Вилки Кукурузный Крахмал биоразлагаемые бежевые 17,6 см 50 шт</t>
  </si>
  <si>
    <t>Forks 玉米淀粉可生物降解米色 17.6 厘米 50 件</t>
  </si>
  <si>
    <t>Вилки Кукурузный Крахмал биоразлагаемые зеленые 17,6 см 50 шт</t>
  </si>
  <si>
    <t>叉子玉米淀粉可生物降解绿色 17.6 厘米 50 件</t>
  </si>
  <si>
    <t>Вилки Кукурузный Крахмал биоразлагаемые зеленые 15 см 50 шт</t>
  </si>
  <si>
    <t>叉子玉米淀粉可生物降解绿色 15 厘米 50 件</t>
  </si>
  <si>
    <t>Ложки Кукурузный Крахмал биоразлагаемые бежевые 14,6 см 50 шт</t>
  </si>
  <si>
    <t>勺子玉米淀粉可生物降解米色 14.6 厘米 50 件</t>
  </si>
  <si>
    <t>Ложки Кукурузный Крахмал биоразлагаемые зеленые 14,6 см 50 шт</t>
  </si>
  <si>
    <t>勺子玉米淀粉可生物降解绿色 14.6 厘米 50 件</t>
  </si>
  <si>
    <t>Ножи Кукурузный Крахмал биоразлагаемые зеленые 16 см 50 шт</t>
  </si>
  <si>
    <t>可生物降解的绿色玉米淀粉刀 16 厘米 50 件</t>
  </si>
  <si>
    <t>Суповая тарелка биоразлагаемая Сахарный Тростник 480 мл 50 шт</t>
  </si>
  <si>
    <t>可生物降解的汤盘甘蔗 480 毫升 50 件</t>
  </si>
  <si>
    <t>Тарелка биоразлагаемая Сахарный тросник 180 мм 50 шт</t>
  </si>
  <si>
    <t>可生物降解板甘蔗 180 毫米 50 件</t>
  </si>
  <si>
    <t>Тарелка биоразлагаемая Сахарный тросник 230 мм 50 шт</t>
  </si>
  <si>
    <t>可生物降解板甘蔗 230 毫米 50 件</t>
  </si>
  <si>
    <t>Стакан 180 мл для горячих напитков Зарядись цветной 50 шт</t>
  </si>
  <si>
    <t>热饮玻璃杯 180 毫升 充电颜色 50 件</t>
  </si>
  <si>
    <t>Стакан 250 мл для горячих напитков Модерн Бежевый 50 шт</t>
  </si>
  <si>
    <t>玻璃 250 毫升热饮现代米色 50 件</t>
  </si>
  <si>
    <t>Тарелка бумажная круглая 225 мм 100 шт</t>
  </si>
  <si>
    <t>圆形纸盘 225 毫米，100 个</t>
  </si>
  <si>
    <t>Чистящее средство Санокс 5 л</t>
  </si>
  <si>
    <t>Sanox 清洁剂 5 升</t>
  </si>
  <si>
    <t>Контейнер 108х82 мм 125 г 100 шт</t>
  </si>
  <si>
    <t>容器 108x82 毫米 125 克 100 个</t>
  </si>
  <si>
    <t>Ланч-бокс 2-х секционный 100 шт</t>
  </si>
  <si>
    <t>饭盒2节100个</t>
  </si>
  <si>
    <t>Ланч-бокс 3-х секционный 100 шт</t>
  </si>
  <si>
    <t>饭盒三件套100个</t>
  </si>
  <si>
    <t>Ланч-бокс без секций 100 шт</t>
  </si>
  <si>
    <t>饭盒无节100个</t>
  </si>
  <si>
    <t>Крышка ПЭТ 95 купольная с отверстием 50 шт</t>
  </si>
  <si>
    <t>圆顶盖 PET 95 带孔 50 个</t>
  </si>
  <si>
    <t>Зубочистки с банке Жесткий Эконом 100 шт</t>
  </si>
  <si>
    <t>硬质经济型牙签 100 支</t>
  </si>
  <si>
    <t>Палочки для суши 23 см в прозрочной упаковке 100 шт</t>
  </si>
  <si>
    <t>寿司棒 23 厘米透明包装 100 个</t>
  </si>
  <si>
    <t>Фасовочные пакеты ПНД Эконом Евроупак для диспенсера 24х37 см 8 мкм 1000 шт</t>
  </si>
  <si>
    <t>用于分配器的 HDPE 经济型 Europack 包装袋 24x37 厘米 8 微米 1000 件</t>
  </si>
  <si>
    <t>Скатерть Флис КонтинентПак белая 110-140</t>
  </si>
  <si>
    <t>桌布抓绒 ContinentPak 白色 110-140</t>
  </si>
  <si>
    <t>Скатерть Флис КонтинентПак салатовая 110-140</t>
  </si>
  <si>
    <t>桌布抓绒 ContinentPak 浅绿色 110-140</t>
  </si>
  <si>
    <t>Мешок кондитерский Н-45 100шт</t>
  </si>
  <si>
    <t>糖果袋 H-45 100pcs</t>
  </si>
  <si>
    <t>Тряпка для пола Эко Хлопок 60х80 см</t>
  </si>
  <si>
    <t>地布生态棉 60x80 厘米</t>
  </si>
  <si>
    <t>Салфетка из микрофибры 29х29 см зеленая</t>
  </si>
  <si>
    <t>超细纤维餐巾纸 29x29 厘米绿色</t>
  </si>
  <si>
    <t>Комбинезон нетканый защитный с капюшоном</t>
  </si>
  <si>
    <t>带兜帽的无纺布防护工作服</t>
  </si>
  <si>
    <t>Защитные очки F1 Fiberon Профи</t>
  </si>
  <si>
    <t>F1 Fiberon Pro 护目镜</t>
  </si>
  <si>
    <t>Дихлофос Nadzor №1</t>
  </si>
  <si>
    <t>敌敌畏 1 号</t>
  </si>
  <si>
    <t>Средство для мытья посуды Fairy Зеленое яблоко 450 мл</t>
  </si>
  <si>
    <t>洗碗液仙青苹果 450 毫升</t>
  </si>
  <si>
    <t>Средство для мытья посуды Fairy Сочный Лимон 450 мл</t>
  </si>
  <si>
    <t>Fairy Juicy Lemon 洗碗液 450 毫升</t>
  </si>
  <si>
    <t>Перчатки нитриловые неопудренные Aviora черные р-р XL 100 шт</t>
  </si>
  <si>
    <t>无粉丁腈手套 Aviora black solution XL 100 件</t>
  </si>
  <si>
    <t>Палочки для суши 23 см бамбук в бумажной упаковке 100 шт</t>
  </si>
  <si>
    <t>寿司棒 23 厘米竹纸盒装 100 个</t>
  </si>
  <si>
    <t>Бумага для выпечки силиконизированная 57 х 78 см белая 500 л</t>
  </si>
  <si>
    <t>硅化烘焙纸 57 х 78 cm 白色 500 l</t>
  </si>
  <si>
    <t>Вилки Премиум пластиковые прозрачные 18 см 50 шт</t>
  </si>
  <si>
    <t>叉子优质塑料透明 18 厘米 50 件</t>
  </si>
  <si>
    <t>Ложки Премиум столовые пластиковые прозрачные 18 см 50 шт</t>
  </si>
  <si>
    <t>塑料汤匙，透明，18 厘米，50 个。</t>
  </si>
  <si>
    <t>Вилки Премиум пластиковые черные 18 см 50 шт</t>
  </si>
  <si>
    <t>优质塑料黑色插头 18 厘米 50 个</t>
  </si>
  <si>
    <t>Ложки Премиум столовые пластиковые черные 18 см 50 шт</t>
  </si>
  <si>
    <t>黑色塑料汤匙高级 18 厘米 50 件</t>
  </si>
  <si>
    <t>Ножи Премиум пластиковые прозрачные 18 см 50 шт</t>
  </si>
  <si>
    <t>优质塑料透明刀具 18 厘米 50 件</t>
  </si>
  <si>
    <t>Шпагат полипропиленовый некрученый 1000 ТЕКС 5 кг</t>
  </si>
  <si>
    <t>无捻聚丙烯麻线 1000 TEX 5 kg</t>
  </si>
  <si>
    <t>Моп Умничка Бархат оранжевый/мята 44х14 см карман</t>
  </si>
  <si>
    <t>拖把 Umnichka 天鹅绒橙色/薄荷色 44x14 厘米口袋</t>
  </si>
  <si>
    <t>Моп Умничка Бархат оранжевый/салатовый 44х14 см карман</t>
  </si>
  <si>
    <t>拖把 Umnichka 天鹅绒橙色/浅绿色 44x14 厘米口袋</t>
  </si>
  <si>
    <t>Моп Умничка Люкс желто-зеленая полоска 44х15 см карман</t>
  </si>
  <si>
    <t>Mop Umnichka Lux 黄绿色条 44x15 厘米口袋</t>
  </si>
  <si>
    <t>Трубочки для напитков с гофрой цветные 5х210 мм 250 шт</t>
  </si>
  <si>
    <t>带波纹的饮料用彩色管 5x210 毫米 250 个</t>
  </si>
  <si>
    <t>Рулонные бумажные полотенца Familia Радуга двухслойные 2 шт</t>
  </si>
  <si>
    <t>Familia Rainbow 双层纸巾卷 2 件</t>
  </si>
  <si>
    <t>Бумажные трубочки 6х197 мм бело-красные полосы 250 шт</t>
  </si>
  <si>
    <t>纸管 6x197 毫米白红条纹 250 个</t>
  </si>
  <si>
    <t>Бумажные трубочки 6х197 мм бело-синие полоски 250 шт</t>
  </si>
  <si>
    <t>纸管 6x197 毫米白蓝条纹 250 个</t>
  </si>
  <si>
    <t>Бумажные трубочки 8х240 мм бело-красные полоски 250 шт</t>
  </si>
  <si>
    <t>纸管 8x240 毫米白红条纹 250 个</t>
  </si>
  <si>
    <t>Шапочка-берет Шарлотта белая 100 шт</t>
  </si>
  <si>
    <t>贝雷帽 Charlotte 白色 100 件</t>
  </si>
  <si>
    <t>Тряпка из микрофибры Стандарт 60 х 80 см 250 пл голубая</t>
  </si>
  <si>
    <t>超细纤维布 标准 60 x 80 cm 250 pl 蓝色</t>
  </si>
  <si>
    <t>Листовые бумажные полотенца Interpaper v-сложения</t>
  </si>
  <si>
    <t>Interpaper V 形折叠纸巾</t>
  </si>
  <si>
    <t>Туалетная бумага Focus Premium V Fold</t>
  </si>
  <si>
    <t>Focus Premium V 折卫生纸</t>
  </si>
  <si>
    <t>Веник хозяйственный трехпрошивной</t>
  </si>
  <si>
    <t>家用扫帚，三针</t>
  </si>
  <si>
    <t>Ланч-бокс LB-1 белый 100 шт</t>
  </si>
  <si>
    <t>午餐盒 LB-1 白色 100 件</t>
  </si>
  <si>
    <t>Перчатки х/б 13 класс с одинарным латексным покрытием</t>
  </si>
  <si>
    <t>单层乳胶涂层棉手套 13 级</t>
  </si>
  <si>
    <t>Средство для очистки и полировки поверхностей из нержавеющей стали Тайгета H104 0,65 л</t>
  </si>
  <si>
    <t>清洁和抛光不锈钢表面的工具 Taygeta H104 0.65 l</t>
  </si>
  <si>
    <t>Концентрированное дезинфицирующее средство Тайгета К214 5 л</t>
  </si>
  <si>
    <t>浓缩消毒剂 Taygeta K214 5 l</t>
  </si>
  <si>
    <t>Дозатор Тайгета Топфит Эксклюзив 1 л</t>
  </si>
  <si>
    <t>Taygeta Topfit Exclusive 饮水机 1 l</t>
  </si>
  <si>
    <t>Средство дезинфицирующее-кожный антисептик Тайгета Р505 1 л</t>
  </si>
  <si>
    <t>手段消毒剂皮肤防腐剂 Taygeta P505 1 l</t>
  </si>
  <si>
    <t>Антибактериальное пенное мыло Тайгета Деолин-П Р506 1 л</t>
  </si>
  <si>
    <t>抗菌泡沫肥皂 Taygeta Deolin-P P506 1 l</t>
  </si>
  <si>
    <t>Концентрированное дезинфицирующее средство Тайгета Десон Ультра К-214 1 л</t>
  </si>
  <si>
    <t>浓缩消毒剂 Taygeta Deson Ultra K-214 1 l</t>
  </si>
  <si>
    <t>Бумага Снегурочка А3, 500л, 80г/м2</t>
  </si>
  <si>
    <t>纸 Snegurochka A3, 500l, 80g / m2</t>
  </si>
  <si>
    <t>Веник Сорго с черенком</t>
  </si>
  <si>
    <t>带柄高粱扫帚</t>
  </si>
  <si>
    <t>Средство для мытья посуды Виксан Эконом Ромашка 5 л</t>
  </si>
  <si>
    <t>洗碗液 Vixan 经济洋甘菊 5 升</t>
  </si>
  <si>
    <t>Гигрометр ВИТ-1 поверка до 03.2023</t>
  </si>
  <si>
    <t>湿度计 VIT-1 验证至 03.2023</t>
  </si>
  <si>
    <t>Жидкое мыло Смартикон 5 л</t>
  </si>
  <si>
    <t>液体肥皂 Smarticon 5 l</t>
  </si>
  <si>
    <t>Крем-мыло Смартикон 5 л</t>
  </si>
  <si>
    <t>奶油皂 Smartcon 5 l</t>
  </si>
  <si>
    <t>Нарукавники полиэтиленовые одноразовые 100 шт</t>
  </si>
  <si>
    <t>一次性聚乙烯套袖 100 件</t>
  </si>
  <si>
    <t>Перчатки черные из полиэстра с нитриловым покрытием р-р 10</t>
  </si>
  <si>
    <t>手套，黑色，由聚酯制成，带有丁腈涂层，尺寸 10</t>
  </si>
  <si>
    <t>Средство очищающее МСК универсальное 11 кг</t>
  </si>
  <si>
    <t>MSC 通用清洁剂 11 公斤</t>
  </si>
  <si>
    <t>Стакан 250 мл для горячих напитков Black 50 шт</t>
  </si>
  <si>
    <t>250 毫升热饮玻璃杯 黑色 50 件</t>
  </si>
  <si>
    <t>Стакан 250 мл для горячих напитков Red 50 шт</t>
  </si>
  <si>
    <t>250 毫升热饮玻璃杯 红色 50 件</t>
  </si>
  <si>
    <t>Стакан 250 мл для горячих напитков Yellow 50 шт</t>
  </si>
  <si>
    <t>250 毫升热饮玻璃杯 黄色 50 件</t>
  </si>
  <si>
    <t>Стакан 250 мл для горячих напитков Турецкий кофе 50 шт</t>
  </si>
  <si>
    <t>250 毫升玻璃热饮土耳其咖啡 50 件</t>
  </si>
  <si>
    <t>Тарелка бумажная круглая 185 мм 100 шт</t>
  </si>
  <si>
    <t>圆形纸盘 185 毫米，100 个</t>
  </si>
  <si>
    <t>Освежитель воздуха Toilex Вечерняя прохлада 300 мл</t>
  </si>
  <si>
    <t>Toilex 空气清新剂晚间凉爽 300 毫升</t>
  </si>
  <si>
    <t>Освежитель воздуха Toilex Вишня с миндалем 300 мл</t>
  </si>
  <si>
    <t>空气清新剂 Toilex Cherry 杏仁 300 毫升</t>
  </si>
  <si>
    <t>Освежитель воздуха Toilex Зеленое яблоко 300 мл</t>
  </si>
  <si>
    <t>空气清新剂 Toilex 青苹果 300 毫升</t>
  </si>
  <si>
    <t>Освежитель воздуха Toilex Лесная ягода 300 мл</t>
  </si>
  <si>
    <t>Toilex 空气清新剂 Forest berry 300 毫升</t>
  </si>
  <si>
    <t>Освежитель воздуха Toilex Морской бриз 300 мл</t>
  </si>
  <si>
    <t>空气清新剂 Toilex 海风 300 毫升</t>
  </si>
  <si>
    <t>Освежитель воздуха Toilex Небесная Линия 300 мл</t>
  </si>
  <si>
    <t>空气清新剂 Toilex Sky Line 300 毫升</t>
  </si>
  <si>
    <t>Освежитель воздуха Toilex Хвойный 300 мл</t>
  </si>
  <si>
    <t>空气清新剂 Toilex 针叶树 300 毫升</t>
  </si>
  <si>
    <t>Освежитель воздуха Toilex Цитрус 300 мл</t>
  </si>
  <si>
    <t>空气清新剂 Toilex 柑橘 300 毫升</t>
  </si>
  <si>
    <t>Касссовая лента 57х12х17 TR</t>
  </si>
  <si>
    <t>收银机胶带 57х12х17 TR</t>
  </si>
  <si>
    <t>Стаканы одноразовые 200 мл 100 шт</t>
  </si>
  <si>
    <t>一次性眼镜 200 ml 100 个</t>
  </si>
  <si>
    <t>Чашки кофейные коричневые 180 мл 70 шт</t>
  </si>
  <si>
    <t>棕色咖啡杯 180 毫升 70 个</t>
  </si>
  <si>
    <t>Чашки кофейные бело-коричневые 200 мл 50 шт</t>
  </si>
  <si>
    <t>咖啡杯 白棕色 200 毫升 50 个</t>
  </si>
  <si>
    <t>Тарелки пластиковые 220 мм 50 шт</t>
  </si>
  <si>
    <t>塑料板 220 毫米 50 件</t>
  </si>
  <si>
    <t>Перчатки хозяйственные Лотос КонтинентПак р-р S</t>
  </si>
  <si>
    <t>家用手套 Lotus Continent Pak solution S</t>
  </si>
  <si>
    <t>Вилки Элит пластиковые прозрачные 18 см 100 шт</t>
  </si>
  <si>
    <t>Elite 塑料叉子透明 18 厘米 100 件</t>
  </si>
  <si>
    <t>Ножи Элит пластиковые прозрачные 18 см 100 шт</t>
  </si>
  <si>
    <t>Elite 塑料透明刀具 18 厘米 100 件</t>
  </si>
  <si>
    <t>Ложки Элит столовые пластиковые прозрачные 18 см 100 шт</t>
  </si>
  <si>
    <t>塑料汤匙精英透明 18 厘米 100 件</t>
  </si>
  <si>
    <t>Бумажные полотенца Focus Extra v-сложения однослойные 24х21,5 см целлюлоза</t>
  </si>
  <si>
    <t>纸巾 Focus Extra V 型折叠单层 24x21.5 厘米纤维素</t>
  </si>
  <si>
    <t>Декоративные пики Футбольный мяч 70 шт</t>
  </si>
  <si>
    <t>装饰山峰足球 70 个</t>
  </si>
  <si>
    <t>Декоративные пики Гольф mini 15 см 100 шт</t>
  </si>
  <si>
    <t>装饰山峰高尔夫迷你 15 厘米 100 件</t>
  </si>
  <si>
    <t>Декоративные пики Алое сердце 100 шт</t>
  </si>
  <si>
    <t>装饰峰猩红色心形 100 件</t>
  </si>
  <si>
    <t>Декоративные пики Жемчужина ассорти 100 шт</t>
  </si>
  <si>
    <t>装饰峰珍珠什锦100个</t>
  </si>
  <si>
    <t>Метла синтетическая Ecotec 50 см щетина 5,5 см</t>
  </si>
  <si>
    <t>合成扫帚 Ecotec 50 厘米刷毛 5.5 厘米</t>
  </si>
  <si>
    <t>Губка профильная с абразивом 85х65х41 мм 5 шт</t>
  </si>
  <si>
    <t>带磨料的型材海绵 85x65x41 毫米 5 件</t>
  </si>
  <si>
    <t>Трубочки для напитков с гофрой прозрачные 5х210 мм 250 шт</t>
  </si>
  <si>
    <t>带波纹的透明饮料管 5x210 毫米 250 个</t>
  </si>
  <si>
    <t>Моп универвальный 50 см (карман+ухо)</t>
  </si>
  <si>
    <t>万能拖把50厘米（口袋+耳朵）</t>
  </si>
  <si>
    <t>Бумажные полотенца Veiro Professional Basic v-сложения 250 л</t>
  </si>
  <si>
    <t>纸巾 Veiro Professional Basic v-fold 250 l</t>
  </si>
  <si>
    <t>Карандаш-корректор Faber-Castell 2 шт</t>
  </si>
  <si>
    <t>铅笔校正器 Faber-Castell 2 件</t>
  </si>
  <si>
    <t>Спецнабор художественных предметов Faber-Castell 11 предметов</t>
  </si>
  <si>
    <t>Faber-Castell 特制艺术品套装 11 件</t>
  </si>
  <si>
    <t>Мешки для мусора 35 л 50 шт</t>
  </si>
  <si>
    <t>垃圾袋 35 l 50 个</t>
  </si>
  <si>
    <t>Средство для мытья стекол BIGZZ Лимон 500 мл</t>
  </si>
  <si>
    <t>玻璃清洁剂 BIGZZ 柠檬 500 毫升</t>
  </si>
  <si>
    <t>Ткань х/б вафельная отбеленная 95 см мер.вес</t>
  </si>
  <si>
    <t>棉漂白华夫格织物 95 厘米测量重量</t>
  </si>
  <si>
    <t>Ткань х/б вафельная отбеленная 95 см мер.мерн</t>
  </si>
  <si>
    <t>棉华夫格漂白织物 95 厘米测量</t>
  </si>
  <si>
    <t>Туалетная бумага Хатнiк Эко 180 м</t>
  </si>
  <si>
    <t>卫生纸 Khatnik Eco 180 m</t>
  </si>
  <si>
    <t>Трубочки для напитков прямые прозрачные 5х125 мм 400 шт</t>
  </si>
  <si>
    <t>直式透明饮料吸管 5х125 毫米 400 支</t>
  </si>
  <si>
    <t>Ведро Комфорт Фиолетовое 12 л</t>
  </si>
  <si>
    <t>桶舒适紫 12 升</t>
  </si>
  <si>
    <t>Ведро Крепыш с крышкой 13 л</t>
  </si>
  <si>
    <t>带盖的桶 Krepysh 13 升</t>
  </si>
  <si>
    <t>Ерш бутылочный с губкой Умничка</t>
  </si>
  <si>
    <t>带海绵的瓶箍 Smart</t>
  </si>
  <si>
    <t>Пятновыводитель Тайгета C-405 для удаления клея, битума и жвачки 0,65 л</t>
  </si>
  <si>
    <t>Taygeta C-405 去污剂，用于去除胶水、沥青和口香糖 0.65 升</t>
  </si>
  <si>
    <t>Средство чистящее AJM PLUS 5 л</t>
  </si>
  <si>
    <t>清洁剂 AJM PLUS 5 l</t>
  </si>
  <si>
    <t>Перчатки виниловые неопудренные ADM р-р M 100 шт</t>
  </si>
  <si>
    <t>乙烯基手套，无粉 ADM，溶液 M，100 件</t>
  </si>
  <si>
    <t>Перчатки виниловые неопудренные ADM р-р L 100 шт</t>
  </si>
  <si>
    <t>乙烯基手套，无粉 ADM 溶液 L，100 件</t>
  </si>
  <si>
    <t>Туалетная бумага для диспенсеров 150 м</t>
  </si>
  <si>
    <t>饮水机卫生纸 150 m</t>
  </si>
  <si>
    <t>Средство чистящее (шампунь) для ручной стирки ковров Vanish Gold 750 мл</t>
  </si>
  <si>
    <t>用于手洗地毯的清洁剂（洗发水） Vanish Gold 750 毫升</t>
  </si>
  <si>
    <t>Чистящее средство CIF Легкость чистоты для ванной 500 мл</t>
  </si>
  <si>
    <t>清洁剂 CIF 易于清洁的浴室 500 毫升</t>
  </si>
  <si>
    <t>Перчатки нитриловые неопудренные Aviora черные р-р M 100 шт</t>
  </si>
  <si>
    <t>无粉丁腈手套 Aviora black solution M 100 件</t>
  </si>
  <si>
    <t>Перчатки нитриловые неопудренные Aviora черные р-р L 100 шт</t>
  </si>
  <si>
    <t>无粉丁腈手套 Aviora black solution L 100 件</t>
  </si>
  <si>
    <t>Средство для мытья посуды Fairy Апельсин и лимон 450 мл</t>
  </si>
  <si>
    <t>Fairy 橙柠檬洗碗液 450 毫升</t>
  </si>
  <si>
    <t>Мыло туалетное твердое Липовый цвет 100 г</t>
  </si>
  <si>
    <t>洁厕皂固体菩提树色 100 克</t>
  </si>
  <si>
    <t>Мыло туалетное твердое Цветочное 100 г</t>
  </si>
  <si>
    <t>香皂固体花 100 克</t>
  </si>
  <si>
    <t>Бумажные полотенца Мякишко v-сложения однослойные 23х23 см макулатура</t>
  </si>
  <si>
    <t>纸巾皱巴巴的 v 折单层 23x23 厘米废纸</t>
  </si>
  <si>
    <t>Средство чистящее Пемолюкс Сода 5 Extra Ослепительно белый 480 г</t>
  </si>
  <si>
    <t>清洁剂 Pemolux 苏打水 5 超炫白 480 克</t>
  </si>
  <si>
    <t>Средство для очистки керамических покрытий Кераблеск 5 л</t>
  </si>
  <si>
    <t>用于清洁陶瓷涂层的方法 Kerablesk 5 l</t>
  </si>
  <si>
    <t>Освежитель воздуха Lis Relax Горный воздух 300 мл</t>
  </si>
  <si>
    <t>空气清新剂 Lis Relax Mountain 空气 300 毫升</t>
  </si>
  <si>
    <t>Освежитель воздуха Lis Relax Лес после дождя 300 мл</t>
  </si>
  <si>
    <t>雨后空气清新剂 Lis Relax Forest 300 毫升</t>
  </si>
  <si>
    <t>Освежитель воздуха Lis Relax Скошенная трава 300 мл</t>
  </si>
  <si>
    <t>空气清新剂 Lis Relax Cut 草 300 毫升</t>
  </si>
  <si>
    <t>Хозяйственное мыло Хозяюшка 65% Сияющая белизна 200 г</t>
  </si>
  <si>
    <t>洗衣皂女主人 65% 闪亮白度 200 克</t>
  </si>
  <si>
    <t>Ажурная салфетка круглая КонтинентПак 12 см 250 шт</t>
  </si>
  <si>
    <t>圆形镂空餐巾 ContinentPak 12 厘米 250 个</t>
  </si>
  <si>
    <t>Ажурная салфетка круглая КонтинентПак 16 см 250 шт</t>
  </si>
  <si>
    <t>圆形镂空餐巾 ContinentPak 16 厘米 250 片</t>
  </si>
  <si>
    <t>Ажурная салфетка круглая КонтинентПак 18 см 250 шт</t>
  </si>
  <si>
    <t>圆形镂空餐巾 ContinentPak 18 厘米 250 片</t>
  </si>
  <si>
    <t>Крышка для горячих напитков 80 мм с клапаном белая 100 шт</t>
  </si>
  <si>
    <t>热盖 80 毫米带阀门白色 100 件</t>
  </si>
  <si>
    <t>Крышка для горячих напитков 80 мм с клапаном черная 100 шт</t>
  </si>
  <si>
    <t>黑色热饮盖 80 毫米带阀门 100 件</t>
  </si>
  <si>
    <t>Крышка для горячих напитков 90 мм с клапаном черная 100 шт</t>
  </si>
  <si>
    <t>黑色热饮盖 90 毫米带阀门 100 件</t>
  </si>
  <si>
    <t>Суповая бумажная банка с крышкой 445 мл 25 шт</t>
  </si>
  <si>
    <t>带盖汤纸罐 445 毫升 25 个</t>
  </si>
  <si>
    <t>Бумажный контейнер с пластиковой крышкой 350 мл 50 шт</t>
  </si>
  <si>
    <t>带塑料盖的纸容器 350 毫升 50 个</t>
  </si>
  <si>
    <t>Чаша для холодных и горячих продуктов белая 330 мл 50 шт</t>
  </si>
  <si>
    <t>白色冷热食碗 330 ml 50 个</t>
  </si>
  <si>
    <t>Средство для удаления жира Unicum Gold 500 мл</t>
  </si>
  <si>
    <t>Unicum Gold 脂肪去除剂 500 毫升</t>
  </si>
  <si>
    <t>Контейнер 108х82 мм 200 г 100 шт</t>
  </si>
  <si>
    <t>容器 108x82 毫米 200 克 100 个</t>
  </si>
  <si>
    <t>Суповая тарелка 600 мл 50 шт</t>
  </si>
  <si>
    <t>汤盘 600 ml 50 个</t>
  </si>
  <si>
    <t>Трубочки для напитков прямые прозрачные 8х240 мм 250 шт</t>
  </si>
  <si>
    <t>用于饮料的直式透明吸管 8x240 毫米 250 支</t>
  </si>
  <si>
    <t>Халат посетителя на кнопках, рукав на резинке р-р XL белый</t>
  </si>
  <si>
    <t>带纽扣的访客长袍，带松紧带的袖子 XL 码白色</t>
  </si>
  <si>
    <t>Кондитерский мешок Н-35 100 шт</t>
  </si>
  <si>
    <t>糖果袋 Н-35 100 个</t>
  </si>
  <si>
    <t>Ажурная салфетка круглая КонтинентПак 14 см 250 шт</t>
  </si>
  <si>
    <t>圆形镂空餐巾 ContinentPak 14 厘米 250 片</t>
  </si>
  <si>
    <t>Мешки для мусора Mirpack ПВД 120 л 70х110 см 50 мкм 50 шт</t>
  </si>
  <si>
    <t>垃圾袋 Mirpack LDPE 120 l 70x110 cm 50 微米 50 个</t>
  </si>
  <si>
    <t>Мешки для мусора Mirpack ПВД 120 л 70х110 см 60 мкм 50 шт</t>
  </si>
  <si>
    <t>垃圾袋 Mirpack LDPE 120 l 70х110 cm 60 微米 50 个</t>
  </si>
  <si>
    <t>Мешки для мусора Mirpack ПВД 360 л 120х160 см 50 мкм 50 шт</t>
  </si>
  <si>
    <t>垃圾袋 Mirpack LDPE 360 l 120x160 cm 50 微米 50 个</t>
  </si>
  <si>
    <t>Мешки для мусора Mirpack ПВД 120 л 70х110 см 35 мкм 10 шт</t>
  </si>
  <si>
    <t>垃圾袋 Mirpack LDPE 120 l 70x110 cm 35 微米 10 个</t>
  </si>
  <si>
    <t>Мешки для мусора Mirpack ПВД 120 л 70х110 см 40 мкм 10 шт</t>
  </si>
  <si>
    <t>垃圾袋 Mirpack LDPE 120 l 70x110 cm 40 微米 10 个</t>
  </si>
  <si>
    <t>Перчатки нитриловые неопудренные Aviora черные р-р S 100 шт</t>
  </si>
  <si>
    <t>无粉丁腈手套 Aviora black solution S 100 件</t>
  </si>
  <si>
    <t>Ажурная салфетка круглая Aviora бумажная 24 cм 250 шт</t>
  </si>
  <si>
    <t>镂空餐巾圆形 Aviora 纸 24 厘米 250 张</t>
  </si>
  <si>
    <t>Сильнодействующее средство для удаления нагара К206 2 л</t>
  </si>
  <si>
    <t>强力除碳剂 K206 2 l</t>
  </si>
  <si>
    <t>Средство чистящее Пемолюкс Морской бриз 480 г</t>
  </si>
  <si>
    <t>Pemolux 海风清洁剂 480 克</t>
  </si>
  <si>
    <t>Диспенсер для полотенец с центральной вытяжкой</t>
  </si>
  <si>
    <t>带中央气流的毛巾分配器</t>
  </si>
  <si>
    <t>Тележка Хром 2 ведра 25 л с насадкой для отжима</t>
  </si>
  <si>
    <t>Trolley Chrome 2 桶 25 l 带旋转附件</t>
  </si>
  <si>
    <t>Держатель для шубки 35 см</t>
  </si>
  <si>
    <t>35 厘米皮草外套支架</t>
  </si>
  <si>
    <t>Ручка телескопическая 4 м двухсекционная v.2</t>
  </si>
  <si>
    <t>伸缩手柄 4 m 两件式 v.2</t>
  </si>
  <si>
    <t>Скребок для стеклянных поверхностей Премиум 35 см</t>
  </si>
  <si>
    <t>玻璃刮刀 Premium 35 cm</t>
  </si>
  <si>
    <t>Скребок для стеклянных поверхностей Премиум 45 см</t>
  </si>
  <si>
    <t>玻璃刮刀 Premium 45 cm</t>
  </si>
  <si>
    <t>Шубка для мытья окон 35 см v.2</t>
  </si>
  <si>
    <t>用于清洗窗户的毛皮大衣 35 厘米 v. 2</t>
  </si>
  <si>
    <t>Фольга пищевая Горница Прочная 44 см х 80 м 11 мкм</t>
  </si>
  <si>
    <t>铝箔食品室 耐用 44 cm x 80 m 11 微米</t>
  </si>
  <si>
    <t>Освежитель воздуха Symphony Хрустальная свежесть 300 мл</t>
  </si>
  <si>
    <t>Symphony 空气清新剂水晶清新 300 毫升</t>
  </si>
  <si>
    <t>Освежитель воздуха Symphony Чарующая магнолия 300 мл</t>
  </si>
  <si>
    <t>Symphony 空气清新剂 迷人玉兰 300 毫升</t>
  </si>
  <si>
    <t>Освежитель воздуха Symphony Жемчужная лагуна 300 мл</t>
  </si>
  <si>
    <t>Symphony 空气清新剂 Pearl Lagoon 300 毫升</t>
  </si>
  <si>
    <t>Халат белый Эконом одноразовый XYBL012 на кнопках 5 шт</t>
  </si>
  <si>
    <t>睡袍白色经济一次性 XYBL012 带纽扣 5 件</t>
  </si>
  <si>
    <t>Перчатки виниловые неопудренные ADM р-р XL 100 шт</t>
  </si>
  <si>
    <t>乙烯基手套无粉 ADM 溶液 XL 100 件</t>
  </si>
  <si>
    <t>Перчатки х/б 10 класс с ПВХ черные 5/132-нитка</t>
  </si>
  <si>
    <t>手套棉 10 级与 PVC 黑色 5/132 线</t>
  </si>
  <si>
    <t>Антисептик для обработки рук Септаль 100 мл с распылителем</t>
  </si>
  <si>
    <t>用于处理手部的防腐剂 100 毫升喷雾</t>
  </si>
  <si>
    <t>Дезинфицирующее средство с моющим эффектом Инкрасепт 10А 1 л</t>
  </si>
  <si>
    <t>具有洗涤效果的消毒剂 Incrasept 10A 1 l</t>
  </si>
  <si>
    <t>Стакан 330 мл для горячих напитков Белый 50 шт</t>
  </si>
  <si>
    <t>玻璃 330 毫升热饮白色 50 件</t>
  </si>
  <si>
    <t>Декоративные пики Карта 400 шт</t>
  </si>
  <si>
    <t>装饰峰卡400张</t>
  </si>
  <si>
    <t>Декоративные пики Меч 500 шт</t>
  </si>
  <si>
    <t>装饰钉剑 500 件</t>
  </si>
  <si>
    <t>Перчатки хозяйственные КонтинентПак р-р S</t>
  </si>
  <si>
    <t>家用手套 ContinentPack solution S</t>
  </si>
  <si>
    <t>Тряпка для пола ХПП 80х100 см белая</t>
  </si>
  <si>
    <t>地板用抹布 HPP 80x100 cm 白色</t>
  </si>
  <si>
    <t>Салфетка из микрофибры Ultra 29х29 см желтая</t>
  </si>
  <si>
    <t>超细纤维餐巾纸 Ultra 29x29 cm 黄色</t>
  </si>
  <si>
    <t>Салфетка из микрофибры Ultra 29х29 см зеленая</t>
  </si>
  <si>
    <t>Салфетка из микрофибры Ultra 29х29 см красная</t>
  </si>
  <si>
    <t>超细纤维餐巾纸 Ultra 29x29 cm 红色</t>
  </si>
  <si>
    <t>Салфетка из микрофибры 30х30 см для оптики и стекла фиолетовая</t>
  </si>
  <si>
    <t>用于光学和玻璃的超细纤维餐巾 30x30 厘米，紫色</t>
  </si>
  <si>
    <t>Автоматический освежитель воздуха Air Wick Сочный манго 250 мл</t>
  </si>
  <si>
    <t>自动空气清新剂 Air Wick 多汁芒果 250 毫升</t>
  </si>
  <si>
    <t>Веник Сорго 3-х прошивной ЛЮКС-2</t>
  </si>
  <si>
    <t>高粱扫帚3针LUX-2</t>
  </si>
  <si>
    <t>Перчатки эластомер Aviora р-р М 100 шт</t>
  </si>
  <si>
    <t>手套弹性体 Aviora solution M 100 件</t>
  </si>
  <si>
    <t>Перчатки эластомер Aviora р-р L 100 шт</t>
  </si>
  <si>
    <t>手套弹性体 Aviora 解决方案 L 100 件</t>
  </si>
  <si>
    <t>Чистящее средство Domestos Свежесть Атлантики 1 л</t>
  </si>
  <si>
    <t>Domestos Atlantic 新鲜清洁剂 1 升</t>
  </si>
  <si>
    <t>Ткань х/б вафельная отбеленная 95 см мер.полномер</t>
  </si>
  <si>
    <t>棉漂白华夫格面料 95 厘米</t>
  </si>
  <si>
    <t>Средство для мытья стекол CIF Легкость чистоты 500 мл</t>
  </si>
  <si>
    <t>玻璃清洁剂 CIF 易于清洁 500 毫升</t>
  </si>
  <si>
    <t>Высококонцентрированное дезинфицирующее средство с моющими свойствами Изапин 5 л</t>
  </si>
  <si>
    <t>具有洗涤剂特性的高浓度消毒剂 Izapine 5 l</t>
  </si>
  <si>
    <t>Туалетная бумага Мякишко-200 Maxi для диспенсеров</t>
  </si>
  <si>
    <t>用于饮水机的卫生纸 Myakishko-200 Maxi</t>
  </si>
  <si>
    <t>Мешки для мусора Mirpack ПCД Premium+ 60 л 20 мкм 10 шт</t>
  </si>
  <si>
    <t>垃圾袋 Mirpack PCD Premium + 60 l 20 微米 10 个</t>
  </si>
  <si>
    <t>Мешки для мусора Mirpack ПВД 180 л 90х110 см 45 мкм 50 шт</t>
  </si>
  <si>
    <t>垃圾袋 Mirpack LDPE 180 l 90x110 cm 45 微米 50 个</t>
  </si>
  <si>
    <t>Мешки для мусора Mirpack ПВД 180 л 90х110 см 50 мкм 50 шт</t>
  </si>
  <si>
    <t>垃圾袋 Mirpack LDPE 180 l 90x110 cm 50 微米 50 个</t>
  </si>
  <si>
    <t>Мешки для мусора Mirpack ПВД 240 л 90х125 см 50 мкм 50 шт</t>
  </si>
  <si>
    <t>垃圾袋 Mirpack LDPE 240 l 90x125 cm 50 微米 50 个</t>
  </si>
  <si>
    <t>Мешки для мусора Mirpack ПВД 240 л 90х125 см 70 мкм 50 шт</t>
  </si>
  <si>
    <t>垃圾袋 Mirpack LDPE 240 l 90x125 cm 70 微米 50 个</t>
  </si>
  <si>
    <t>Антисептик для обработки рук ЭСТАДЕЗ С322 нейтральный 5 л</t>
  </si>
  <si>
    <t>处理手的防腐剂 ESTADEZ S322 中性 5 l</t>
  </si>
  <si>
    <t>Моп УльтраСпин мини белый</t>
  </si>
  <si>
    <t>拖把 UltraSpin 迷你白</t>
  </si>
  <si>
    <t>Веерные грабли 13 зубов без черенка</t>
  </si>
  <si>
    <t>13齿无柄风扇耙</t>
  </si>
  <si>
    <t>Жидкое мыло ЧистоFF Антибактериальное 300 мл</t>
  </si>
  <si>
    <t>液体肥皂 ChistoFF 抗菌 300 毫升</t>
  </si>
  <si>
    <t>Жидкое мыло ЧистоFF Семмейное 500 мл</t>
  </si>
  <si>
    <t>ChistoFF Semmeynoe 液体肥皂 500 毫升</t>
  </si>
  <si>
    <t>Ткань упаковочная 01С3-ШР 110 см</t>
  </si>
  <si>
    <t>包装面料 01S3-SHR 110 厘米</t>
  </si>
  <si>
    <t>Ткань упаковочная 4С79-ШР 110 см</t>
  </si>
  <si>
    <t>包装面料 4S79-SHR 110 厘米</t>
  </si>
  <si>
    <t>Веник Сорго 3-х прошивной ЛЮКС-3</t>
  </si>
  <si>
    <t>高粱扫帚3针LUX-3</t>
  </si>
  <si>
    <t>Чистящее средство Санокс-Ультра 750 мл</t>
  </si>
  <si>
    <t>Sanox 超级清洁剂 750 毫升</t>
  </si>
  <si>
    <t>Дезинфицирующее средство Висхлор пенный 10 л</t>
  </si>
  <si>
    <t>消毒剂 Vishlor 泡沫 10 升</t>
  </si>
  <si>
    <t>Дезинфицирующее средство Висхлор пенный 5 л</t>
  </si>
  <si>
    <t>消毒剂 Vischlor 泡沫 5 升</t>
  </si>
  <si>
    <t>Бахилы Max S на двух резинках голубые 100 шт</t>
  </si>
  <si>
    <t>鞋套 Max S 有两条松紧带蓝色 100 件</t>
  </si>
  <si>
    <t>Крышка для горячих напитков 90 мм с клапаном белая 100 шт</t>
  </si>
  <si>
    <t>热饮热盖 90 毫米带阀门白色 100 件</t>
  </si>
  <si>
    <t>Стакан 250 мл для горячих напитков Белый ИП 50 шт</t>
  </si>
  <si>
    <t>用于热饮的玻璃 250 毫升白色 IP 50 件</t>
  </si>
  <si>
    <t>Освежитель воздуха Toilex После дождя 300 мл</t>
  </si>
  <si>
    <t>Toilex 空气清新剂雨后 300 毫升</t>
  </si>
  <si>
    <t>Контейнер Упакс-Юнити 108х82 мм 500 г 100 шт</t>
  </si>
  <si>
    <t>集装箱 Upax-Unity 108x82 mm 500 g 100 件</t>
  </si>
  <si>
    <t>Крышка к контейнеру Упакс-Юнити 108х82 мм 50 шт</t>
  </si>
  <si>
    <t>容器盖 Upax-Unity 108x82 mm 50 pcs</t>
  </si>
  <si>
    <t>Тарелки пластиковые 205 мм 50 шт</t>
  </si>
  <si>
    <t>塑料板 205 毫米 50 件</t>
  </si>
  <si>
    <t>Фасовочные пакеты ПНД Эконом Евроупак для диспенсера 25х40 см 10 мкм 1000 шт</t>
  </si>
  <si>
    <t>包装袋 HDPE 经济型 Europack 分配器 25x40 厘米 10 微米 1000 件</t>
  </si>
  <si>
    <t>Тряпка из микрофибры 50х60 см бирюзовая</t>
  </si>
  <si>
    <t>超细纤维布 50x60 厘米绿松石</t>
  </si>
  <si>
    <t>Тряпка из микрофибры 50х80 см зеленая</t>
  </si>
  <si>
    <t>超细纤维布 50x80 cm 绿色</t>
  </si>
  <si>
    <t>Моющее средство с дезинфицирующим эффектом Деосил 20 5 л</t>
  </si>
  <si>
    <t>Deosil 20 消毒洗涤剂 5 升</t>
  </si>
  <si>
    <t>Моющее средство с дезинфицирующим эффектом Деосил 20 1 л</t>
  </si>
  <si>
    <t>Deosil 20 消毒清洁剂 1 升</t>
  </si>
  <si>
    <t>Моющее средство Тресинол 8 1 л</t>
  </si>
  <si>
    <t>洗涤剂 Tresinol 8 1 l</t>
  </si>
  <si>
    <t>Моющее средство Тресинол 8 5 л</t>
  </si>
  <si>
    <t>洗涤剂 Tresinol 8 5 l</t>
  </si>
  <si>
    <t>Средство для мытья посуды Бависнаб 5 л</t>
  </si>
  <si>
    <t>洗碗液 Bavisnab 5 l</t>
  </si>
  <si>
    <t>Бумажные полотенца V-сложения Grite Professional Economy EXTRA однослойные серые</t>
  </si>
  <si>
    <t>Grite Professional Economy EXTRA V 形折叠单层灰色纸巾</t>
  </si>
  <si>
    <t>Сменный блок для освежителя воздуха Glade Automatic Нежность кашем и Сандал 269 мл</t>
  </si>
  <si>
    <t>格莱德自动空气清新剂柔情粥和檀香的补充装 269 毫升</t>
  </si>
  <si>
    <t>Автоматический освежитель воздуха Glade Automatic Свежесть белья 269 мл</t>
  </si>
  <si>
    <t>自动空气清新剂 Glade 自动清新亚麻 269 毫升</t>
  </si>
  <si>
    <t>Автоматический освежитель воздуха Glade Automatic Клубничный Хит 269 мл</t>
  </si>
  <si>
    <t>自动空气清新剂 Glade Automatic Strawberry Hit 269 毫升</t>
  </si>
  <si>
    <t>Автоматический освежитель воздуха Glade Automatic Пряный лаунж 269 мл</t>
  </si>
  <si>
    <t>Glade 自动空气清新剂 Spicy Lounge 269 毫升</t>
  </si>
  <si>
    <t>Средство для мытья посуды Fairy Сочный Лимон 900 мл</t>
  </si>
  <si>
    <t>Fairy Juicy Lemon 洗碗液 900 毫升</t>
  </si>
  <si>
    <t>Средство чистящее Пемолюкс Ароматерапия масло лаванды 480 г</t>
  </si>
  <si>
    <t>Pemolux 芳香疗法清洁剂薰衣草油 480 克</t>
  </si>
  <si>
    <t>Шапочка-берет Шарлотта голубая 100 шт</t>
  </si>
  <si>
    <t>贝雷帽夏洛特蓝 100 件</t>
  </si>
  <si>
    <t>Освежитель воздуха Lis Relax Морской прибой 300 мл</t>
  </si>
  <si>
    <t>空气清新剂 Lis 放松海浪 300 毫升</t>
  </si>
  <si>
    <t>Лента упаковочная 66 х 48</t>
  </si>
  <si>
    <t>包装胶带 66 x 48</t>
  </si>
  <si>
    <t>Средство для мытья посуды Sorti Глицерин 900 мл</t>
  </si>
  <si>
    <t>餐具洗涤剂 Sorti 甘油 900 毫升</t>
  </si>
  <si>
    <t>Жидкое мыло У Хату 5 л</t>
  </si>
  <si>
    <t>液体肥皂 U Hatu 5 l</t>
  </si>
  <si>
    <t>Клейкая лента Berlingo 19 мм х 33 м прозрачная</t>
  </si>
  <si>
    <t>Berlingo 胶带 19 mm x 33 m 透明</t>
  </si>
  <si>
    <t>Концентрированный ополаскиватель для белья Frosch Миндальное молочко 750 мл</t>
  </si>
  <si>
    <t>Frosch 浓缩织物冲洗杏仁奶 750 毫升</t>
  </si>
  <si>
    <t>Дождевик Komfi EVA с капюшоном на кнопках зеленый</t>
  </si>
  <si>
    <t>Komfi EVA 雨衣连帽带纽扣绿色</t>
  </si>
  <si>
    <t>Дождевик Komfi EVA с капюшоном на кнопках синий</t>
  </si>
  <si>
    <t>Komfi EVA 雨衣连帽带纽扣蓝色</t>
  </si>
  <si>
    <t>Концентрированный ополаскиватель для белья Frosch Свежесть 750 мл</t>
  </si>
  <si>
    <t>浓缩织物柔软剂 Frosch Freshness 750 毫升</t>
  </si>
  <si>
    <t>Концентрированный ополаскиватель для белья Frosch Алоэ Вера 750 мл</t>
  </si>
  <si>
    <t>Frosch 芦荟浓缩织物漂洗液 750 毫升</t>
  </si>
  <si>
    <t>Контейнер для мусора с педалью Бежевый Мрамор 19 л</t>
  </si>
  <si>
    <t>带踏板的垃圾桶米色大理石 19 l</t>
  </si>
  <si>
    <t>Пакеты полиэтиленовые зеленые 55 х 80 см 65 мкм 100 шт</t>
  </si>
  <si>
    <t>绿色聚乙烯袋 55 x 80 厘米 65 微米 100 个</t>
  </si>
  <si>
    <t>Ведро Эконом Фиолетовое 10 л</t>
  </si>
  <si>
    <t>经济型桶紫 10 L</t>
  </si>
  <si>
    <t>Ведро Классика с носиком 11 л</t>
  </si>
  <si>
    <t>Bucket Classic 带喷嘴 11 l</t>
  </si>
  <si>
    <t>Ведро Комфорт Розовое 5 л</t>
  </si>
  <si>
    <t>桶舒适粉红色 5 l</t>
  </si>
  <si>
    <t>Ёрш унитазный Микс</t>
  </si>
  <si>
    <t>马桶刷混合</t>
  </si>
  <si>
    <t>Комплект WC Капля белый</t>
  </si>
  <si>
    <t>WC 设置滴白</t>
  </si>
  <si>
    <t>Комплект WC Квадрат белый</t>
  </si>
  <si>
    <t>WC套装方白</t>
  </si>
  <si>
    <t>Комплект WC Колокольчик белый</t>
  </si>
  <si>
    <t>WC 设置贝尔白色</t>
  </si>
  <si>
    <t>Металлические губки для посуды Мамонтенок чистолюб Спираль 2 шт</t>
  </si>
  <si>
    <t>用于菜肴的金属海绵猛犸雄心螺旋 2 件</t>
  </si>
  <si>
    <t>Щетка Утюг большая</t>
  </si>
  <si>
    <t>刷铁大</t>
  </si>
  <si>
    <t>Щетка Утюжок</t>
  </si>
  <si>
    <t>刷铁</t>
  </si>
  <si>
    <t>Щетка подметальная Агата</t>
  </si>
  <si>
    <t>扫帚阿加塔</t>
  </si>
  <si>
    <t>Щетка подметальная Крыло</t>
  </si>
  <si>
    <t>扫地刷翼</t>
  </si>
  <si>
    <t>Щетка подметальная Леди Брук</t>
  </si>
  <si>
    <t>扫帚夫人布鲁克</t>
  </si>
  <si>
    <t>Щетка подметальная Моника</t>
  </si>
  <si>
    <t>扫地刷莫妮卡</t>
  </si>
  <si>
    <t>Щетка полотерная Шробер</t>
  </si>
  <si>
    <t>抛光刷 Schrober</t>
  </si>
  <si>
    <t>Щетка подметальная Элисса</t>
  </si>
  <si>
    <t>扫帚Elissa</t>
  </si>
  <si>
    <t>Щетка-сметка Большая</t>
  </si>
  <si>
    <t>猪鬃刷大</t>
  </si>
  <si>
    <t>Мешки для мусора Ночь 120 л 10 шт</t>
  </si>
  <si>
    <t>垃圾袋 Night 120 l 10 个</t>
  </si>
  <si>
    <t>Чистящее средство Cif Сила природы для кухни 500 мл</t>
  </si>
  <si>
    <t>Cleaner Cif 厨房的自然力量 500 毫升</t>
  </si>
  <si>
    <t>Тарелка бумажная прямоугольная 200 x 130 x 10 мм 100 шт</t>
  </si>
  <si>
    <t>矩形纸盘 200 x 130 x 10 毫米 100 个</t>
  </si>
  <si>
    <t>Соусницы 80 мл 80 шт</t>
  </si>
  <si>
    <t>酱汁 80 毫升 80 个</t>
  </si>
  <si>
    <t>Салфетка из микрофибры 29х29 см коралловая</t>
  </si>
  <si>
    <t>超细纤维餐巾 29x29 厘米珊瑚</t>
  </si>
  <si>
    <t>Салфетка из микрофибры 29х29 см металл</t>
  </si>
  <si>
    <t>超细纤维布 29x29 cm 金属</t>
  </si>
  <si>
    <t>Салфетка из микрофибры 29х29 см мята</t>
  </si>
  <si>
    <t>超细纤维餐巾纸 29x29 厘米薄荷色</t>
  </si>
  <si>
    <t>Салфетка из микрофибры 29х29 см зеленая cупервпитывающая</t>
  </si>
  <si>
    <t>超细纤维餐巾纸 29x29 厘米超吸水绿色</t>
  </si>
  <si>
    <t>Салфетка из микрофибры 30х30 см для оптики и стекла бирюзовая</t>
  </si>
  <si>
    <t>用于光学和玻璃绿松石的超细纤维餐巾 30x30 厘米</t>
  </si>
  <si>
    <t>Ножи Премиум пластиковые черные 18 см 50 шт</t>
  </si>
  <si>
    <t>优质塑料黑色刀具 18 厘米 50 件</t>
  </si>
  <si>
    <t>Палочки для суши 20 см в прозрочной упаковке 100 шт</t>
  </si>
  <si>
    <t>寿司棒 20 厘米透明包装 100 件</t>
  </si>
  <si>
    <t>Мыло жидкое AJM Econom 500 мл с пуш-пулом</t>
  </si>
  <si>
    <t>液体肥皂 AJM Econom 500 毫升推拉</t>
  </si>
  <si>
    <t>Сменный блок для освежителя воздуха Glade Automatic Пряный лаунж 269 мл</t>
  </si>
  <si>
    <t>Glade 自动空气清新剂 Spicy Lounge 补充装 269 毫升</t>
  </si>
  <si>
    <t>Держатель для туалетной бумаги с крышкой</t>
  </si>
  <si>
    <t>带盖厕纸架</t>
  </si>
  <si>
    <t>Полироль для мебели Mebelux с воском 300 мл</t>
  </si>
  <si>
    <t>家具上光剂 Mebelux 蜡 300 毫升</t>
  </si>
  <si>
    <t>Чистящий спрей Cif для Дачи для мангалов и решетки 500 мл</t>
  </si>
  <si>
    <t>用于烤架和烤架的夏季小屋清洁喷雾 Cif 500 毫升</t>
  </si>
  <si>
    <t>Чистящее средство Cif Сила природы для сантехникки 500 мл</t>
  </si>
  <si>
    <t>水管工清洁剂 Cif Power of Nature 500 毫升</t>
  </si>
  <si>
    <t>Чистящий гель Cif для всех видов поверхностей Бодрящий цитрус 750 мл</t>
  </si>
  <si>
    <t>Cif 清洁凝胶，适用于所有类型的表面活力柑橘 750 毫升</t>
  </si>
  <si>
    <t>Чистящий гель Cif для всех видов поверхностей Прованская лаванда 750 мл</t>
  </si>
  <si>
    <t>适用于所有类型表面的 Cif 清洁凝胶 薰衣草普罗旺斯 750 毫升</t>
  </si>
  <si>
    <t>Чистящий гель Cif для всех видов поверхностей Цветочный букет 750 мл</t>
  </si>
  <si>
    <t>适用于所有类型表面的 Cif 清洁凝胶 花束 750 毫升</t>
  </si>
  <si>
    <t>Чистящее средство Domestos Лимонная свежесть 1 л</t>
  </si>
  <si>
    <t>Domestos 清洁剂柠檬新鲜度 1 升</t>
  </si>
  <si>
    <t>Средство для экстренной дезинфекции Роса-Спрей 0,75 л</t>
  </si>
  <si>
    <t>紧急消毒 Rosa-Spray 0.75 l 的方法</t>
  </si>
  <si>
    <t>Дезинфицирующее-моющее средство Анасепт 1 л</t>
  </si>
  <si>
    <t>消毒剂-洗涤剂 Anasept 1 l</t>
  </si>
  <si>
    <t>Туалетная бумага Zewa Deluxe без аромата 4 шт</t>
  </si>
  <si>
    <t>Zewa 无香型豪华卫生纸 4 片</t>
  </si>
  <si>
    <t>Гелеобразное концентрированное пенное кислотное моющее средство Унисан 1 л</t>
  </si>
  <si>
    <t>凝胶状浓缩泡沫酸性洗涤剂 Unisan 1 l</t>
  </si>
  <si>
    <t>Диспенсер бумажных полотенец Puff-5125 белый</t>
  </si>
  <si>
    <t>纸巾分配器 Puff-5125 白色</t>
  </si>
  <si>
    <t>Сеточка для писсуаров COOL MINT</t>
  </si>
  <si>
    <t>小便斗网 COOL MINT</t>
  </si>
  <si>
    <t>Средство чистящее AJM Plus 1 л</t>
  </si>
  <si>
    <t>清洁剂 AJM Plus 1 l</t>
  </si>
  <si>
    <t>Средство для мытья посуды Sorti Бальзам с витамином Е 900 мл</t>
  </si>
  <si>
    <t>含维生素 E 的洗碗液 Sorti Balm 900 毫升</t>
  </si>
  <si>
    <t>Клейкая лента (скотч) 48 мм х 66 м прозрачный 45 мкм</t>
  </si>
  <si>
    <t>胶带（透明胶带） 48 mm х 66 m 透明 45 微米</t>
  </si>
  <si>
    <t>Крафт-пакет на вынос, 220 x 120 x 290 мм, прямоугольное дно 1000 шт</t>
  </si>
  <si>
    <t>外卖工艺袋，220 x 120 x 290 毫米，矩形底部 1000 个</t>
  </si>
  <si>
    <t>Крафт-пакеты для картошки фри 175 х 110 + 50 мм жиростойкие с печатью 100 шт</t>
  </si>
  <si>
    <t>薯条用牛皮纸袋 175 х 110 + 50 毫米防油，印刷 100 个</t>
  </si>
  <si>
    <t>Халат посетителя на кнопках, белый XYBL012</t>
  </si>
  <si>
    <t>带纽扣访客长袍, 白色 XYBL012</t>
  </si>
  <si>
    <t>Средство чистящее Пемолюкс Ослепительно белый 480 г</t>
  </si>
  <si>
    <t>Pemolux 清洁剂炫白 480 克</t>
  </si>
  <si>
    <t>Тарелка биоразлагаемая Сахарный тросник 260 мм 50 шт</t>
  </si>
  <si>
    <t>可生物降解板甘蔗 260 毫米 50 件</t>
  </si>
  <si>
    <t>Стакан 180 мл для горячих напитков белый 50 шт</t>
  </si>
  <si>
    <t>玻璃 180 毫升热饮白色 50 件</t>
  </si>
  <si>
    <t>Стакан 350 мл для горячих напитков Белый 50 шт</t>
  </si>
  <si>
    <t>热饮杯 350 毫升 白色 50 件</t>
  </si>
  <si>
    <t>Стакан 350 мл для горячих напитков Латте 50 шт</t>
  </si>
  <si>
    <t>350 毫升玻璃杯热饮拿铁 50 件</t>
  </si>
  <si>
    <t>Стакан 350 мл для горячих напитков Модерн Беж 50 шт</t>
  </si>
  <si>
    <t>玻璃 350 毫升热饮现代米色 50 件</t>
  </si>
  <si>
    <t>Стакан 350 мл для горячих напитков Черный 50 шт</t>
  </si>
  <si>
    <t>热饮杯 350 毫升 黑色 50 件</t>
  </si>
  <si>
    <t>Суповая тарелка 230 мм глубина 18 мм 100шт</t>
  </si>
  <si>
    <t>汤盘 230 毫米，深 18 毫米 100 个</t>
  </si>
  <si>
    <t>Чаша для холодных и горячих продуктов 500 мл 50 шт</t>
  </si>
  <si>
    <t>冷热食品碗 500 毫升 50 件</t>
  </si>
  <si>
    <t>Декоративные пики Гольф 12 см 100 шт</t>
  </si>
  <si>
    <t>装饰峰高尔夫 12 厘米 100 件</t>
  </si>
  <si>
    <t>Декоративные пики Гольф 18 см 100 шт</t>
  </si>
  <si>
    <t>装饰峰高尔夫 18 厘米 100 件</t>
  </si>
  <si>
    <t>Перчатки хозяйственные КонтинентПак р-р L</t>
  </si>
  <si>
    <t>家用手套 ContinentPack solution L</t>
  </si>
  <si>
    <t>Бумажные трубочки 6 х 197 мм бело-красный зигзаг 100 шт</t>
  </si>
  <si>
    <t>纸管 6 x 197 毫米白红色锯齿形 100 个</t>
  </si>
  <si>
    <t>Насадка из микроволокна УльтраСпин Мини VILEDA 531141/152901</t>
  </si>
  <si>
    <t>超细纤维喷嘴 UltraSpin Mini VILEDA 531141/152901</t>
  </si>
  <si>
    <t>Полотно нетканое ХПП прошивное 2,5 мм 160 см плотность 180 г/м2 белое</t>
  </si>
  <si>
    <t>无纺布 HPP 缝合 2.5 毫米 160 厘米密度 180 克/平方米白色</t>
  </si>
  <si>
    <t>Листовые бумажные полотенца GRITE Economy V-сложение 250 шт</t>
  </si>
  <si>
    <t>GRITE 经济型 V 折纸巾 250 片</t>
  </si>
  <si>
    <t>Пакет майка ПНД 28х55 см 13 мкм прозрачные 3570 шт</t>
  </si>
  <si>
    <t>包装 T 恤 HDPE 28x55 厘米 13 微米透明 3570 件</t>
  </si>
  <si>
    <t>Пакет майка ПНД 35х65 см 14 мкм прозрачные 1690 шт</t>
  </si>
  <si>
    <t>包装 T 恤 HDPE 35x65 厘米 14 微米透明 1690 件</t>
  </si>
  <si>
    <t>Туалетная бумага Стандарт эконом 150</t>
  </si>
  <si>
    <t>卫生纸标准经济 150</t>
  </si>
  <si>
    <t>Туалетная бумага Хатнiк 100</t>
  </si>
  <si>
    <t>卫生纸 Khatnik 100</t>
  </si>
  <si>
    <t>Моп Шубка белая желтая полоса 50 х 15 см карман+ухо ТВ-50-15</t>
  </si>
  <si>
    <t>拖把皮草外套白色黄色条纹 50 x 15 厘米口袋 + 耳朵 TV-50-15</t>
  </si>
  <si>
    <t>Перчатки нитриловые усиленные с длинной манжетой р-р M 50 шт</t>
  </si>
  <si>
    <t>带长袖口的加固丁腈手套，M 码 50 件</t>
  </si>
  <si>
    <t>Перчатки нитриловые усиленные с длинной манжетой р-р L 50 шт</t>
  </si>
  <si>
    <t>长袖口加固丁腈手套，L 码 50 件</t>
  </si>
  <si>
    <t>Перчатки нитриловые усиленные с длинной манжетой р-р XL 50 шт</t>
  </si>
  <si>
    <t>带长袖口的加固丁腈手套 XL 50 件</t>
  </si>
  <si>
    <t>Клейкая лента Klebebander 48 мм красная 40 мкм</t>
  </si>
  <si>
    <t>Klebebander 胶带 48 毫米 红色 40 微米</t>
  </si>
  <si>
    <t>Клейкая лента Klebebander 50 мм белая 40 мкм</t>
  </si>
  <si>
    <t>胶带 Klebebander 50 mm 白色 40 微米</t>
  </si>
  <si>
    <t>Лента малярная клейкая (крепп) Klebebander 38 мм арт.010</t>
  </si>
  <si>
    <t>遮蔽胶带 (crepp) Klebebander 38 毫米 art.010</t>
  </si>
  <si>
    <t>Лента малярная клейкая (крепп)Klebebander 48 мм х 20 м</t>
  </si>
  <si>
    <t>遮蔽胶带（绉纱） Klebebander 48 mm х 20 m</t>
  </si>
  <si>
    <t>Шнур полипропиленовый 4 мм х 20 м ассорти</t>
  </si>
  <si>
    <t>聚丙烯绳 4 mm x 20 m 各种</t>
  </si>
  <si>
    <t>Бумага для выпечки Extra 300 х 8 бурая в термоусадке</t>
  </si>
  <si>
    <t>烘焙纸 Extra 300 х 8 棕色，收缩包装</t>
  </si>
  <si>
    <t>Гель шприц от тараканов 20 мл NADZOR</t>
  </si>
  <si>
    <t>蟑螂凝胶注射器 20 毫升 NADZOR</t>
  </si>
  <si>
    <t>Стиральный порошок Tide Автомат color с ароматом сибирских трав 3 кг</t>
  </si>
  <si>
    <t>西伯利亚香草香型自动上色洗衣粉 3 公斤</t>
  </si>
  <si>
    <t>Вешалка для верхней одежды р 52-54 черная</t>
  </si>
  <si>
    <t>外套衣架 p 52-54 黑色</t>
  </si>
  <si>
    <t>Водосгон Good Way с резинкой 25 см МИКС S-01</t>
  </si>
  <si>
    <t>喷水器 Good Way 带松紧带 25 cm MIX S-01</t>
  </si>
  <si>
    <t>Губка для посуды в оплетке Мамонтенок чистолюб Блеск 2 шт</t>
  </si>
  <si>
    <t>编织盘海绵猛犸雄心闪耀 2 件</t>
  </si>
  <si>
    <t>Контейнер для СВЧ и заморозки 500 мл квадратный МИКС</t>
  </si>
  <si>
    <t>微波炉和冷冻容器 500 毫升方形混合</t>
  </si>
  <si>
    <t>Контейнер для СВЧ и заморозки 900 мл квадратный МИКС</t>
  </si>
  <si>
    <t>微波炉和冷冻容器 900 毫升方形混合</t>
  </si>
  <si>
    <t>Контейнер для СВЧ и заморозки 1,5 л квадратный МИКС</t>
  </si>
  <si>
    <t>微波炉和冷冻容器 1.5 升方形混合</t>
  </si>
  <si>
    <t>Перчатки латексные Умничка р-р L</t>
  </si>
  <si>
    <t>乳胶手套 Umnichka 溶液 L</t>
  </si>
  <si>
    <t>Швабра для пола Мамонтенок чистолюб голубая моп желтый</t>
  </si>
  <si>
    <t>地拖猛犸象雄心勃勃的蓝色拖把黄色</t>
  </si>
  <si>
    <t>Швабра для пола Умничка 120 см зеленая с прорезиненным черенком</t>
  </si>
  <si>
    <t>地板拖把 Umnichka 120 厘米绿色带橡胶手柄</t>
  </si>
  <si>
    <t>Щетка Утюг макси Мамонтенок чистолюб</t>
  </si>
  <si>
    <t>刷铁马克西猛犸象雄心勃勃</t>
  </si>
  <si>
    <t>Изолента ПВХ 15 мм 20 м желтая</t>
  </si>
  <si>
    <t>PVC 绝缘胶带 15 mm 20 m 黄色</t>
  </si>
  <si>
    <t>Изолента ПВХ 15 мм 20 м белая</t>
  </si>
  <si>
    <t>PVC 绝缘胶带 15 mm 20 m 白色</t>
  </si>
  <si>
    <t>Изолента ПВХ 15 мм 20 м синяя</t>
  </si>
  <si>
    <t>PVC 绝缘胶带 15 mm 20 m 蓝色</t>
  </si>
  <si>
    <t>Изолента ПВХ 15 мм 20 м черная</t>
  </si>
  <si>
    <t>PVC 绝缘胶带 15 mm 20 m 黑色</t>
  </si>
  <si>
    <t>Ложки Кукурузный Крахмал биоразлагаемые бежевые 15 см 50 шт</t>
  </si>
  <si>
    <t>勺子玉米淀粉可生物降解米色 15 厘米 50 件</t>
  </si>
  <si>
    <t>Стакан 250 мл для горячих напитков Coffee time 50 шт</t>
  </si>
  <si>
    <t>250 毫升热饮玻璃杯咖啡时间 50 件</t>
  </si>
  <si>
    <t>Стакан 250 мл для горячих напитков Green 50 шт</t>
  </si>
  <si>
    <t>250 毫升热饮玻璃杯 绿色 50 件</t>
  </si>
  <si>
    <t>Стакан 250 мл для горячих напитков Веселая панда микс 50 шт</t>
  </si>
  <si>
    <t>250 毫升玻璃杯热饮 Merry panda mix 50 件</t>
  </si>
  <si>
    <t>Стакан 250 мл для горячих напитков Загрузка 50 шт</t>
  </si>
  <si>
    <t>玻璃杯 250 毫升热饮装 50 件</t>
  </si>
  <si>
    <t>Стакан 250 мл для горячих напитков Раннее утро 50 шт</t>
  </si>
  <si>
    <t>250 毫升玻璃杯热饮 清晨 50 件</t>
  </si>
  <si>
    <t>Освежитель воздуха Toilex Мятный грейп 300 мл</t>
  </si>
  <si>
    <t>Toilex 空气清新剂薄荷葡萄 300 毫升</t>
  </si>
  <si>
    <t>Лента декоративная 5 мм 500 ярдов белая</t>
  </si>
  <si>
    <t>装饰胶带 5 毫米 500 码白色</t>
  </si>
  <si>
    <t>Лента декоративная 5 мм 500 ярдов красная</t>
  </si>
  <si>
    <t>装饰胶带5毫米500码红色</t>
  </si>
  <si>
    <t>Трубочки для напитков с гофрой прозрачные 5х210 250 шт</t>
  </si>
  <si>
    <t>带波纹的透明饮料管 5x210 250 个</t>
  </si>
  <si>
    <t>Сменная насадка для швабры 50 см х/б</t>
  </si>
  <si>
    <t>可更换拖把头 50 厘米棉</t>
  </si>
  <si>
    <t>Средство для чистки канализационных стоков Вещь 55 г</t>
  </si>
  <si>
    <t>下水道清洁剂 55 g</t>
  </si>
  <si>
    <t>Антисептик для обработки рук Септаль с дисктопом 0,09 л</t>
  </si>
  <si>
    <t>0.09 升 0.09 升圆盘式手部消毒剂</t>
  </si>
  <si>
    <t>Антисептик для обработки рук Септаль 5 л</t>
  </si>
  <si>
    <t>用于治疗手部的防腐剂 Septal 5 l</t>
  </si>
  <si>
    <t>Изолента ПВХ 15 мм 20 м красная</t>
  </si>
  <si>
    <t>PVC 绝缘胶带 15 mm 20 m 红色</t>
  </si>
  <si>
    <t>Шапочка Шарлотта AVIORA нетканая белая 100 шт</t>
  </si>
  <si>
    <t>帽子 Charlotte AVIORA 无纺布白色 100 件</t>
  </si>
  <si>
    <t>Маски трехслойные одноразовые с носовым фиксатором 50 шт</t>
  </si>
  <si>
    <t>一次性三层鼻固定口罩50片</t>
  </si>
  <si>
    <t>Пакет майка ПНД 28х55 см 13 мкм прозрачный 100 шт</t>
  </si>
  <si>
    <t>包汗衫 HDPE 28x55 厘米 13 微米透明 100 件</t>
  </si>
  <si>
    <t>Пакет майка ПНД 35х65 см 14 мкм прозрачный 100 шт</t>
  </si>
  <si>
    <t>包汗衫 HDPE 35x65 厘米 14 微米透明 100 件</t>
  </si>
  <si>
    <t>Перчатки виниловые одноразовые р-р M 100 шт</t>
  </si>
  <si>
    <t>一次性乙烯基手套，溶液 M，100 件</t>
  </si>
  <si>
    <t>Перчатки виниловые одноразовые р-р L 100 шт</t>
  </si>
  <si>
    <t>一次性乙烯基手套，L 溶液，100 件</t>
  </si>
  <si>
    <t>Метла на черенке Сорго</t>
  </si>
  <si>
    <t>手柄上的扫帚 高粱</t>
  </si>
  <si>
    <t>Чайник электрический HOME ELEMENT HE-KT180</t>
  </si>
  <si>
    <t>电热水壶 HOME ELEMENT HE-KT180</t>
  </si>
  <si>
    <t>Салфетка из микрофибры 29х29 см зеленая LM200Е1</t>
  </si>
  <si>
    <t>超细纤维餐巾纸 29x29 厘米绿色 LM200E1</t>
  </si>
  <si>
    <t>Средство чистящее Санклин Термит 5 л</t>
  </si>
  <si>
    <t>Sanklin Termit 清洁剂 5 l</t>
  </si>
  <si>
    <t>Средство для чистки санитарно-технических изделий Domi 750 мл</t>
  </si>
  <si>
    <t>Domi 洁具清洁剂 750 毫升</t>
  </si>
  <si>
    <t>Мешки для мусора Mirpack ПВД 120 л 70х110 см 25 мкм 50 шт</t>
  </si>
  <si>
    <t>垃圾袋 Mirpack LDPE 120 l 70x110 cm 25 微米 50 个</t>
  </si>
  <si>
    <t>Сменный блок для освежителя воздуха Glade Automatic Пион и сочные ягоды 269 мл</t>
  </si>
  <si>
    <t>Glade 自动空气清新剂牡丹和多汁浆果补充装 269 毫升</t>
  </si>
  <si>
    <t>Лента полимерная сигнальная для ограждений 50 мм х 200 м бело-красная неклейкая</t>
  </si>
  <si>
    <t>用于围栏的聚合物信号胶带 50 mm x 200 m 白红色非粘性</t>
  </si>
  <si>
    <t>Двухсторонняя лента полипропиленовая Klebebander 50 мм х 5 м</t>
  </si>
  <si>
    <t>双面聚丙烯胶带 Klebebander 50 mm x 5 m</t>
  </si>
  <si>
    <t>Лента полимерная разметочная с липким слоем 50 мм x 25 м бело-красная клейкая</t>
  </si>
  <si>
    <t>带有粘性层的聚合物标记带 50 mm x 25 m 白红色粘合剂</t>
  </si>
  <si>
    <t>Бахилы АДМ голубые 100 шт</t>
  </si>
  <si>
    <t>鞋套 ADM 蓝色 100 个</t>
  </si>
  <si>
    <t>Маски трехслайные однразовые ADM 50 шт</t>
  </si>
  <si>
    <t>三线一次性口罩ADM 50片</t>
  </si>
  <si>
    <t>Клей A.D.M. Супер 3 г</t>
  </si>
  <si>
    <t>ADM 强力胶 3 克</t>
  </si>
  <si>
    <t>Бумага для выпечки ADM Extra 30 см х 8 м в термоусадке</t>
  </si>
  <si>
    <t>烘焙纸 ADM Extra 30 cm x 8 m 收缩包装</t>
  </si>
  <si>
    <t>Перчатки латексные неопудренные GLoves р-р S 50 шт</t>
  </si>
  <si>
    <t>无粉乳胶手套 Gloves solution S 50 件</t>
  </si>
  <si>
    <t>Перчатки латексные опудренные р-р S 100 шт OPD050S</t>
  </si>
  <si>
    <t>有粉乳胶手套，溶液 S，100 件 OPD050S</t>
  </si>
  <si>
    <t>Перчатки х/б 10 класс с ПВХ светлые 5/132 7,5</t>
  </si>
  <si>
    <t>手套棉 10 类与 PVC 灯 5/132 7.5</t>
  </si>
  <si>
    <t>Крышка для горячих напитков 90 мм с клапаном-заглушкой прозрачная 50 шт</t>
  </si>
  <si>
    <t>热饮盖子 90 mm 带旋塞阀 透明 50 件</t>
  </si>
  <si>
    <t>Крышка для горячих напитков 90 мм с клапаном-заглушкой белая 50 шт</t>
  </si>
  <si>
    <t>热饮盖 90 毫米，带盲阀，白色 50 件</t>
  </si>
  <si>
    <t>Крышка для горячих напитков 90 мм с клапаном-заглушкой черная 50 шт</t>
  </si>
  <si>
    <t>热饮盖 90 毫米带旋塞阀黑色 50 件</t>
  </si>
  <si>
    <t>Стакан 250 мл для горячих напитков Blue 50 шт</t>
  </si>
  <si>
    <t>250 毫升热饮玻璃杯 蓝色 50 件</t>
  </si>
  <si>
    <t>Суповая бумажная банка с крышкой 340 мл 25 шт</t>
  </si>
  <si>
    <t>带盖汤纸罐 340 毫升 25 个</t>
  </si>
  <si>
    <t>Бумажный контейнер с пластиковой крышкой 500 мл 50 шт</t>
  </si>
  <si>
    <t>带塑料盖的纸容器 500 毫升 50 个</t>
  </si>
  <si>
    <t>Крышка для чаши 330 мл d-114 мм 50 шт</t>
  </si>
  <si>
    <t>碗盖 330 毫升 d-114 毫米 50 个</t>
  </si>
  <si>
    <t>Крышка для чаши 500 мл d-121 мм 50 шт</t>
  </si>
  <si>
    <t>碗盖 500 毫升 d-121 毫米 50 个</t>
  </si>
  <si>
    <t>Уголок бумажный 140-160 жиростойкий 2500 шт</t>
  </si>
  <si>
    <t>角纸140-160防油2500张</t>
  </si>
  <si>
    <t>Размешиватель деревянный 18 см 1000 шт</t>
  </si>
  <si>
    <t>搅拌器木制 18 厘米 1000 件</t>
  </si>
  <si>
    <t>Салфетка из микрофибры 30х30 см для оптики и стекла морская волна</t>
  </si>
  <si>
    <t>用于光学和玻璃海浪的超细纤维餐巾 30x30 厘米</t>
  </si>
  <si>
    <t>Тряпка из микрофибры Стандарт 40 х 60 см 250 пл голубая</t>
  </si>
  <si>
    <t>超细纤维布 标准 40 x 60 cm 250 pl 蓝色</t>
  </si>
  <si>
    <t>Тряпка из микрофибры Стандарт 40 х 60 см 250 пл зеленая</t>
  </si>
  <si>
    <t>超细纤维布 标准 40 x 60 cm 250 pl 绿色</t>
  </si>
  <si>
    <t>Тряпка из микрофибры Стандарт 40 х 60 см 250 пл красная</t>
  </si>
  <si>
    <t>超细纤维布 标准 40 x 60 cm 250 pl 红色</t>
  </si>
  <si>
    <t>Тряпка из микрофибры 60 х 80 см 250 пл фиолетовая</t>
  </si>
  <si>
    <t>超细纤维布 60 x 80 cm 250 pl 紫色</t>
  </si>
  <si>
    <t>Тряпка из микрофибры 80 х 100 см 250 пл голубая</t>
  </si>
  <si>
    <t>超细纤维布 80 x 100 cm 250 pl 蓝色</t>
  </si>
  <si>
    <t>Тряпка из микрофибры 80 х 100 см 250 пл оранжевая</t>
  </si>
  <si>
    <t>超细纤维布 80 x 100 cm 250 pl 橙色</t>
  </si>
  <si>
    <t>Держатель для двух стаканов 150 шт</t>
  </si>
  <si>
    <t>两个眼镜架 150 个</t>
  </si>
  <si>
    <t>Жидкость незамерзающая стеклоомывающая ???</t>
  </si>
  <si>
    <t>防冻挡风玻璃清洗液？？？</t>
  </si>
  <si>
    <t>Средство для удаления жира Unicum Gold 3 л</t>
  </si>
  <si>
    <t>去除脂肪 Unicum Gold 3 l 的方法</t>
  </si>
  <si>
    <t>Шпагат хлопчатобумажный 2,5 кг</t>
  </si>
  <si>
    <t>棉线 2.5 公斤</t>
  </si>
  <si>
    <t>Лопата для снега 3-х бортная 46 х 35 см с алюминиевой планкой 1,5 мм без черенка</t>
  </si>
  <si>
    <t>3 面雪铲 46 x 35 厘米，带 1.5 毫米铝条，不带手柄</t>
  </si>
  <si>
    <t>Лопата для снега 3-х бортная 46 х 35 см лист 0,8 мм без черенка</t>
  </si>
  <si>
    <t>雪铲 3 面 46 x 35 厘米片 0.8 毫米不带手柄</t>
  </si>
  <si>
    <t>Крем чистящий CIF Лиловая Свежесть 500 мл</t>
  </si>
  <si>
    <t>清洁霜 CIF 淡紫色清新 500 毫升</t>
  </si>
  <si>
    <t>Крем чистящий CIF Ультра Уайт 450 мл</t>
  </si>
  <si>
    <t>清洁霜 CIF 超白 450 毫升</t>
  </si>
  <si>
    <t>Метла круглая Стандарт с черенком</t>
  </si>
  <si>
    <t>圆扫帚标准带柄</t>
  </si>
  <si>
    <t>Дозатор для дезсредств Ksitex DD-6010 1 л</t>
  </si>
  <si>
    <t>Ksitex DD-6010 消毒剂分配器 1 l</t>
  </si>
  <si>
    <t>Освежитель воздуха Lis Relax Фруктовый лед 300 мл</t>
  </si>
  <si>
    <t>空气清新剂 Lis Relax 水果冰 300 毫升</t>
  </si>
  <si>
    <t>Изолента ПВХ 15 мм 20 м зеленая</t>
  </si>
  <si>
    <t>PVC 绝缘胶带 15 mm 20 m 绿色</t>
  </si>
  <si>
    <t>Веник Сорго 6-ти прошивной</t>
  </si>
  <si>
    <t>高粱扫帚6针</t>
  </si>
  <si>
    <t>Мыло жидкое бактериостатическое фунгистатическое Грин 5 л</t>
  </si>
  <si>
    <t>抑菌抑菌液体皂 绿色 5 l</t>
  </si>
  <si>
    <t>Перчатки кожаные спилковые красные на подкладке 35 см р-р 14</t>
  </si>
  <si>
    <t>带衬里的红色二层皮手套 35 厘米，尺寸 14</t>
  </si>
  <si>
    <t>Листовые бумажные полотенца lasla Econom v-сложения однослойные</t>
  </si>
  <si>
    <t>Lasla Econom V 型折叠单层纸巾</t>
  </si>
  <si>
    <t>Перчатки из полиэстра с нитриловым покрытием Цветочек TR-800</t>
  </si>
  <si>
    <t>丁腈涂层涤纶手套 Flower TR-800</t>
  </si>
  <si>
    <t>Перчатки х/б белые из полиэстра с ПУ покрытием TR-540 р-р 9</t>
  </si>
  <si>
    <t>白色棉质手套由聚酯制成，带有 PU 涂层 TR-540，尺寸 9</t>
  </si>
  <si>
    <t>Перчатки х/б желные с оранжевым вспененным покрытием TR-794 р-р 9</t>
  </si>
  <si>
    <t>棉质手套，黄色，橙色泡沫涂层 TR-794，尺寸 9</t>
  </si>
  <si>
    <t>Перчатки из полиэстра с латексным покрытем TR-311</t>
  </si>
  <si>
    <t>乳胶涂层聚酯手套 TR-311</t>
  </si>
  <si>
    <t>Перчатки х/б с покрытием из желтого нитрила TR-507</t>
  </si>
  <si>
    <t>涂有黄色丁腈 TR-507 的棉手套</t>
  </si>
  <si>
    <t>Перчатки кожаные спилковые 35 см TR-707 р-р 14</t>
  </si>
  <si>
    <t>分体皮手套 35 厘米 TR-707 尺寸 14</t>
  </si>
  <si>
    <t>Перчатки трикотажные с полным красным ПВХ покрытием TR-302</t>
  </si>
  <si>
    <t>全红色PVC涂层针织手套TR-302</t>
  </si>
  <si>
    <t>Деревянный ящик 530 х 220 х 68 мм</t>
  </si>
  <si>
    <t>木箱 530 x 220 x 68 毫米</t>
  </si>
  <si>
    <t>Деревянный ящик 260 х 220 х 68 мм</t>
  </si>
  <si>
    <t>木箱 260 x 220 x 68 毫米</t>
  </si>
  <si>
    <t>Деревянный ящик 310 х 250 х 65 мм</t>
  </si>
  <si>
    <t>木箱 310 x 250 x 65 毫米</t>
  </si>
  <si>
    <t>Деревянный ящик 430 х 280 х 65 мм</t>
  </si>
  <si>
    <t>木箱 430 x 280 x 65 毫米</t>
  </si>
  <si>
    <t>Деревянный ящик 520 х 210 х 65 мм</t>
  </si>
  <si>
    <t>木箱 520 x 210 x 65 毫米</t>
  </si>
  <si>
    <t>Моп NZS029-WP 50 см карман+ухо</t>
  </si>
  <si>
    <t>拖把 NZS029-WP 50 厘米口袋 + 耳朵</t>
  </si>
  <si>
    <t>Крем-мыло Нежное 5 л</t>
  </si>
  <si>
    <t>温和的奶油皂 5 升</t>
  </si>
  <si>
    <t>Средство для удаление напики со стиральных и посудомоечных машин Сигма-М 500 мл</t>
  </si>
  <si>
    <t>适用于洗衣机和洗碗机的除蜡剂 Sigma-M 500 毫升</t>
  </si>
  <si>
    <t>Жидкое мыло антибактериальное AJM 500 мл</t>
  </si>
  <si>
    <t>抗菌皂液 AJM 500 毫升</t>
  </si>
  <si>
    <t>Салфетка из микрофибры 29х29 см желтая</t>
  </si>
  <si>
    <t>超细纤维餐巾纸 29x29 cm 黄色</t>
  </si>
  <si>
    <t>Перчатки технические кислотощелочестойкие (КЩС), тип 2, р-р 10</t>
  </si>
  <si>
    <t>工业耐酸碱手套 (KShchS)，2 型，10 码</t>
  </si>
  <si>
    <t>Перчатки технические кислотощелочестойкие (КЩС) тип 2 р-р 8</t>
  </si>
  <si>
    <t>工业耐酸碱手套 (KShchS) 2 型解决方案 8</t>
  </si>
  <si>
    <t>Перчатки технические кислотощелочестойкие (КЩС) тип 2 р-р 9</t>
  </si>
  <si>
    <t>工业耐酸碱手套 (KShchS) 2 型解决方案 9</t>
  </si>
  <si>
    <t>Перчатки технические кислотощелочестойкие (КЩС) тип 1 р-р 1</t>
  </si>
  <si>
    <t>工业耐酸碱手套 (KShchS) 1 型解决方案 1</t>
  </si>
  <si>
    <t>Освежитель воздуха Symphony Душистая сирень 300 мл</t>
  </si>
  <si>
    <t>空气清新剂 Symphony Fragrant lilac 300 毫升</t>
  </si>
  <si>
    <t>Автоматический освежитель воздуха Glade Automatic Лазурная волна и магнолия 269 мл</t>
  </si>
  <si>
    <t>Glade 自动空气清新剂 Azure Wave 和 Magnolia 269 毫升</t>
  </si>
  <si>
    <t>Чистящее средство для сантехники Sanfor Универсал Лимонная свежесть 1 л</t>
  </si>
  <si>
    <t>Sanfor 万能洁具清洁剂柠檬清新 1 L</t>
  </si>
  <si>
    <t>Ложки Кукурузный Крахмал биоразлагаемые белые 14,5 см 50 шт</t>
  </si>
  <si>
    <t>勺子玉米淀粉可生物降解白色 14.5 厘米 50 件</t>
  </si>
  <si>
    <t>Крышка для бумажного стакана для супа 390 мл 50 шт</t>
  </si>
  <si>
    <t>汤纸杯盖 390 毫升 50 个</t>
  </si>
  <si>
    <t>Вилки Кукурузный Крахмал биоразлагаемые белые 15,8 см 50 шт</t>
  </si>
  <si>
    <t>叉子玉米淀粉可生物降解白色 15.8 厘米 50 件</t>
  </si>
  <si>
    <t>Дозатор локтевой универсальный 1000 мл</t>
  </si>
  <si>
    <t>弯头分配器通用 1000 毫升</t>
  </si>
  <si>
    <t>Средство дезинфицирующее Р508 кожный антисептик картридж 1 л</t>
  </si>
  <si>
    <t>消毒剂 P508 皮肤消毒盒 1 升</t>
  </si>
  <si>
    <t>Автоматический освежитель воздуха Glade Automatic Пион и сочные ягоды 269 мл</t>
  </si>
  <si>
    <t>自动空气清新剂 Glade 自动牡丹和多汁浆果 269 毫升</t>
  </si>
  <si>
    <t>Салфетка для стеклол и зеркал Горница из микрофибры 35 х 35 см</t>
  </si>
  <si>
    <t>玻璃布和镜子布 超细纤维鞋面 35 x 35 厘米</t>
  </si>
  <si>
    <t>Салфетка Горница из микрофибры голубая 35 х 35 см</t>
  </si>
  <si>
    <t>餐巾上部超细纤维蓝色 35 x 35 厘米</t>
  </si>
  <si>
    <t>Салфетка вискозная 30 х 38 см жёлтая без упаковки</t>
  </si>
  <si>
    <t>粘胶餐巾纸 30 x 38 厘米黄色未包装</t>
  </si>
  <si>
    <t>Фасовочные пакеты Aviora Экстра 24 х 37 см 500 шт</t>
  </si>
  <si>
    <t>包装袋 Aviora Extra 24 x 37 厘米 500 个</t>
  </si>
  <si>
    <t>Фасовочные пакеты Aviora Экстра 25 х 40 см 500 шт</t>
  </si>
  <si>
    <t>包装袋 Aviora Extra 25 х 40 厘米 500 个</t>
  </si>
  <si>
    <t>Жироудалитель Unicum Гризли 500 мл</t>
  </si>
  <si>
    <t>除油剂 Unicum Grizzly 500 毫升</t>
  </si>
  <si>
    <t>Губки для посуды Мамонтенок чистолюб MAXI 5 шт</t>
  </si>
  <si>
    <t>盘海绵猛犸象纯种 MAXI 5 件</t>
  </si>
  <si>
    <t>Губки для посуды Умничка MINI 5 шт</t>
  </si>
  <si>
    <t>碟形海绵 Umnichka MINI 5 件</t>
  </si>
  <si>
    <t>Лопата для снега 42 х 40 х 11 см с металлической кромкой и черенком</t>
  </si>
  <si>
    <t>雪铲 42 x 40 x 11 厘米，带金属边缘和手柄</t>
  </si>
  <si>
    <t>Скатерть полиэтиленовая Good Way 120 х 220 см микс цветов</t>
  </si>
  <si>
    <t>聚乙烯桌布 Good Way 120 x 220 厘米混合颜色</t>
  </si>
  <si>
    <t>Совок для мусора MPG7440</t>
  </si>
  <si>
    <t>垃圾铲 MPG7440</t>
  </si>
  <si>
    <t>Щетка для посуды Умничка</t>
  </si>
  <si>
    <t>洗碗刷 Umnichka</t>
  </si>
  <si>
    <t>Складная щетка и совок Ленивка</t>
  </si>
  <si>
    <t>折叠刷和勺 Lenivka</t>
  </si>
  <si>
    <t>Тарелки для супа из сахарного тросника 350 мл d-130 мм глубина 60 мм 50 шт</t>
  </si>
  <si>
    <t>甘蔗汤碗 350 毫升 d-130 毫米深度 60 毫米 50 件</t>
  </si>
  <si>
    <t>Ланч-бокс 3-х секционный 230 x 228 x 85 мм из сахарного тросника 50 шт</t>
  </si>
  <si>
    <t>甘蔗饭盒 3 节 230 x 228 x 85 毫米 50 个</t>
  </si>
  <si>
    <t>Банка для супа с крышкой DoEco 445 мл Eco Soup 16W 75 х 100 мм 25 шт</t>
  </si>
  <si>
    <t>带盖汤罐 DoEco 445 ml Eco Soup 16W 75 х 100 mm 25 pcs</t>
  </si>
  <si>
    <t>Бумажные трубочки 8 х 195 мм Мелкий горошек красно-белые 250 шт</t>
  </si>
  <si>
    <t>纸管 8 x 195 毫米小豌豆红白色 250 个</t>
  </si>
  <si>
    <t>Контейнер из вспененного полистирола 500 мл 50 шт</t>
  </si>
  <si>
    <t>发泡聚苯乙烯容器 500 毫升 50 个</t>
  </si>
  <si>
    <t>Концентрированный ополаскиватель для белья Frosch Шиповник 750 мл</t>
  </si>
  <si>
    <t>浓缩织物柔软剂 Frosch 玫瑰果 750 毫升</t>
  </si>
  <si>
    <t>Мыло-пена для рук мягкое TORK картридж 1 л</t>
  </si>
  <si>
    <t>手用泡沫肥皂 TORK 温和墨盒 1 升</t>
  </si>
  <si>
    <t>Пленка пищевая стрейч 8 мкм 30 см</t>
  </si>
  <si>
    <t>食品拉伸膜 8 微米 30 厘米</t>
  </si>
  <si>
    <t>Стакан бумажный для супа 390 мл крафт 50 шт</t>
  </si>
  <si>
    <t>汤用纸杯 390 毫升牛皮纸 50 个</t>
  </si>
  <si>
    <t>Лопата снеговая 9 пластиковая 410 х 460 мм с черенком и V-ручкой</t>
  </si>
  <si>
    <t>雪铲 9 塑料 410 х 460 mm 带手柄和 V 形手柄</t>
  </si>
  <si>
    <t>Жидкое мыло пенящееся Merida Bali Plus банановое 700 мл</t>
  </si>
  <si>
    <t>泡沫皂液 Merida Bali Plus 香蕉 700 毫升</t>
  </si>
  <si>
    <t>Лопата снеговая 3-х бортная оцинкованная 480 х 340 мм</t>
  </si>
  <si>
    <t>雪铲，3 面镀锌 480 x 340 毫米</t>
  </si>
  <si>
    <t>Лопата оцинкованная 1-бортная 500 х 375 мм</t>
  </si>
  <si>
    <t>镀锌铲单面 500 x 375 毫米</t>
  </si>
  <si>
    <t>Ножи Кукурузный Крахмал биоразлагаемые бежевые 18,6 см 50 шт</t>
  </si>
  <si>
    <t>刀具玉米淀粉可生物降解米色 18.6 厘米 50 件</t>
  </si>
  <si>
    <t>Бумажные трубочки 6 х 197 мм крафт 100 шт</t>
  </si>
  <si>
    <t>牛皮纸管 6 x 197 毫米 100 个</t>
  </si>
  <si>
    <t>Бумажные трубочки 6 х 197 мм черные 100 шт</t>
  </si>
  <si>
    <t>黑色纸管 6 x 197 毫米 100 个</t>
  </si>
  <si>
    <t>Бумажные трубочки 6 х 197 мм звезды 250 шт</t>
  </si>
  <si>
    <t>纸管 6 x 197 毫米星星 250 个</t>
  </si>
  <si>
    <t>Бумажные трубочки 6 х 197 мм синий зигзаг 250 шт</t>
  </si>
  <si>
    <t>蓝色锯齿形纸管 6 x 197 毫米 250 个</t>
  </si>
  <si>
    <t>Бумажные трубочки 8 х 240 мм золотые полосы 250 шт</t>
  </si>
  <si>
    <t>纸管 8 x 240 毫米金色条纹 250 个</t>
  </si>
  <si>
    <t>Бумажные трубочки 8 х 240 мм черные 250 шт</t>
  </si>
  <si>
    <t>黑色纸管 8 x 240 毫米 250 个</t>
  </si>
  <si>
    <t>Крышка для горячих напитков 80 мм с клапаном-заглушкой прозрачная 100 шт</t>
  </si>
  <si>
    <t>热饮盖 80 毫米，带旋塞阀，透明 100 个</t>
  </si>
  <si>
    <t>Крышка для горячих напитков 80 мм с клапаном-заглушкой черная 50 шт</t>
  </si>
  <si>
    <t>热盖 80 毫米带旋塞阀黑色 50 件</t>
  </si>
  <si>
    <t>Стакан 250 мл для горячих напитков Try our cofee 50 шт</t>
  </si>
  <si>
    <t>用于热饮的 250 毫升玻璃杯试试我们的咖啡 50 件</t>
  </si>
  <si>
    <t>Стакан 400 мл для горячих напитков Черный 50 шт</t>
  </si>
  <si>
    <t>玻璃 400 毫升热饮黑色 50 件</t>
  </si>
  <si>
    <t>Бумажный контейнер с пластиковой крышкой 400 мл Black Edition 50 шт</t>
  </si>
  <si>
    <t>带塑料盖的纸容器 400 毫升黑色版 50 个</t>
  </si>
  <si>
    <t>Чаша для холодных и горячих продуктов крафт 330 мл 50 шт</t>
  </si>
  <si>
    <t>冷热产品碗牛皮纸 330 毫升 50 件</t>
  </si>
  <si>
    <t>Тарелки пластиковые 205 мм 100 шт</t>
  </si>
  <si>
    <t>塑料板 205 毫米 100 件</t>
  </si>
  <si>
    <t>Скатерть полиэтиленовая 120 х 150 см в ассортименте 26 мкм</t>
  </si>
  <si>
    <t>聚乙烯桌布 120 x 150 厘米，分类 26 微米</t>
  </si>
  <si>
    <t>Ланч-бокс 3-х секционный из сахарного тросника 50 шт</t>
  </si>
  <si>
    <t>甘蔗三节饭盒50个</t>
  </si>
  <si>
    <t>Ножи Кукурузный Крахмал биоразлагаемые зеленые 18,6 см 50 шт</t>
  </si>
  <si>
    <t>刀具玉米淀粉可生物降解绿色 18.6 厘米 50 件</t>
  </si>
  <si>
    <t>Пленка пищевая стрейч 8 мкм 45 см</t>
  </si>
  <si>
    <t>食品拉伸膜 8 微米 45 厘米</t>
  </si>
  <si>
    <t>Средство для мытья посуды Благо 500 мл</t>
  </si>
  <si>
    <t>洗碗液 Blago 500 毫升</t>
  </si>
  <si>
    <t>Крем-мыло Роса Весенний букет фиалка и молоко 5 л</t>
  </si>
  <si>
    <t>奶油皂罗莎春天花束紫罗兰和牛奶 5 l</t>
  </si>
  <si>
    <t>Туалетное мыло Детское 90 г</t>
  </si>
  <si>
    <t>婴儿香皂 90 克</t>
  </si>
  <si>
    <t>Жидкое мыло AJM Econom 500 мл</t>
  </si>
  <si>
    <t>液体肥皂 AJM 经济 500 毫升</t>
  </si>
  <si>
    <t>Салфетка из микрофибры 29х29 см голубая LM200Е2</t>
  </si>
  <si>
    <t>超细纤维餐巾纸 29x29 cm 蓝色 LM200E2</t>
  </si>
  <si>
    <t>Вискозные салфетки в рулоне 25 х 25 см 50 шт</t>
  </si>
  <si>
    <t>一卷粘胶餐巾纸 25 x 25 厘米 50 片</t>
  </si>
  <si>
    <t>Средство моющее Макси-4</t>
  </si>
  <si>
    <t>洗涤剂 Maxi-4</t>
  </si>
  <si>
    <t>Рукоятка 140 х 22 в ассортименте синяя</t>
  </si>
  <si>
    <t>把手 140 x 22 什锦蓝色</t>
  </si>
  <si>
    <t>Черенок металлический 21 х 1200 мм пластик с резьбой</t>
  </si>
  <si>
    <t>金属手柄 21 x 1200 mm 塑料带螺纹</t>
  </si>
  <si>
    <t>Бумажные полотенца Мякишко v-сложения однослойные 23х23 см 25 г/м целлюлоза</t>
  </si>
  <si>
    <t>纸巾 V 形折叠单层 23x23 厘米 25 克/平方米纤维素</t>
  </si>
  <si>
    <t>Чистящее средство для кухни Sanitar 1 минута 500 мл</t>
  </si>
  <si>
    <t>Sanitar 厨房清洁剂 1 分钟 500 毫升</t>
  </si>
  <si>
    <t>Средство очищающее Мегалюкс-С 5 л</t>
  </si>
  <si>
    <t>Megalux-S 清洁剂 5 升</t>
  </si>
  <si>
    <t>Лопата снегоуборочная пластиковая ЛСП-4</t>
  </si>
  <si>
    <t>塑料雪铲 LSP-4</t>
  </si>
  <si>
    <t>Контейнер универсальный FoodToGo с окном 1400 мл 250 х 150 х 40 мм 150 шт</t>
  </si>
  <si>
    <t>带窗口的通用容器 FoodToGo 1400 ml 250 х 150 х 40 mm 150 pcs</t>
  </si>
  <si>
    <t>Бумажная тарелка прямоугольная 220 х 140 х 20 мм 50 шт</t>
  </si>
  <si>
    <t>矩形纸盘 220 x 140 x 20 毫米 50 个</t>
  </si>
  <si>
    <t>Контейнер универсальный FoodToGo с окном 300 мл 100 х 80 х 35 мм 100 шт</t>
  </si>
  <si>
    <t>FoodToGo 带窗通用容器 300 ml 100 х 80 х 35 mm 100 pcs</t>
  </si>
  <si>
    <t>Контейнер универсальный FoodToGo с окном 1000 мл 200 х 120 х 40 мм 50 шт</t>
  </si>
  <si>
    <t>FoodToGo 带窗口的通用容器 1000 毫升 200 х 120 х 40 毫米 50 件</t>
  </si>
  <si>
    <t>Контейнер универсальный FoodToGo с окном 1200 мл 150 х 100 х 70 мм 50 шт</t>
  </si>
  <si>
    <t>带窗口的通用容器 FoodToGo 1200 ml 150 х 100 х 70 mm 50 pcs</t>
  </si>
  <si>
    <t>Контейнер универсальный FoodToGo с окном 1500 мл 200 х 200 х 40 мм 100 шт</t>
  </si>
  <si>
    <t>FoodToGo 带窗口的通用容器 1500 ml 200 х 200 х 40 mm 100 pcs</t>
  </si>
  <si>
    <t>Бумажная тарелка круглая крафт 180 мм 100 шт</t>
  </si>
  <si>
    <t>圆形牛皮纸盘 180 毫米 100 个</t>
  </si>
  <si>
    <t>Контейнер универсальный FoodToGo с окном 1000 мл выдвижной 200 х 120 х 40 мм 150 шт</t>
  </si>
  <si>
    <t>带窗口的通用容器 FoodToGo 1000 毫升拉出式 200 х 120 х 40 毫米 150 件</t>
  </si>
  <si>
    <t>Салатник c крышкой 450 мл крафт/белый 145 х 98 х 45 мм 50 шт</t>
  </si>
  <si>
    <t>带盖沙拉碗 450 毫升牛皮纸/白色 145 х 98 х 45 毫米 50 件</t>
  </si>
  <si>
    <t>Салатник c крышкой 450 мл крафт/черный 145 х 98 х 45 мм 50 шт</t>
  </si>
  <si>
    <t>带盖沙拉碗 450 毫升牛皮纸/黑色 145 х 98 х 45 毫米 50 件</t>
  </si>
  <si>
    <t>Салатник c крышкой 850 мл крафт/белый 170 х 135 х 48 мм 50 шт</t>
  </si>
  <si>
    <t>带盖沙拉碗 850 毫升牛皮纸/白色 170 х 135 х 48 毫米 50 件</t>
  </si>
  <si>
    <t>Салатник c крышкой 850 мл крафт/черный 170 х 135 х 48 мм 50 шт</t>
  </si>
  <si>
    <t>带盖沙拉碗 850 毫升牛皮纸/黑色 170 х 135 х 48 毫米 50 件</t>
  </si>
  <si>
    <t>Ажурная салфетка круглая Горница 26 см 250 шт</t>
  </si>
  <si>
    <t>镂空餐巾圆形上层 26 厘米 250 个</t>
  </si>
  <si>
    <t>Изолента TDM ПВХ 0,13 х 15 мм Черная 20 м</t>
  </si>
  <si>
    <t>绝缘胶带 TDM PVC 0.13 x 15 mm 黑色 20 m</t>
  </si>
  <si>
    <t>Колпачок КВП 2-28 белый</t>
  </si>
  <si>
    <t>帽 KVP 2-28 白色</t>
  </si>
  <si>
    <t>Диспенсерные салфетки Focus Optium 250 л</t>
  </si>
  <si>
    <t>分配器餐巾 Focus Optium 250 l</t>
  </si>
  <si>
    <t>Дозатор для жидкого мылаа Solinne 1628 380 мл</t>
  </si>
  <si>
    <t>皂液器 Solinne 1628 380 毫升</t>
  </si>
  <si>
    <t>Кондиционер для белья Vernel Пион и Белый чай 910 мл</t>
  </si>
  <si>
    <t>Vernel 织物柔软剂牡丹和白茶 910 毫升</t>
  </si>
  <si>
    <t>Средство для мытья посуды Fairy Нежные руки Ромашка и витамин Е 450 мл</t>
  </si>
  <si>
    <t>Fairy 洗洁精温和洗手液洋甘菊和维生素 E 450 毫升</t>
  </si>
  <si>
    <t>Моп NMZ-8240 40 см карман</t>
  </si>
  <si>
    <t>拖把 NMZ-8240 40 厘米口袋</t>
  </si>
  <si>
    <t>Тарелка из сахарного тросника 172 x 17 мм 50 шт</t>
  </si>
  <si>
    <t>甘蔗盘 172 x 17 毫米 50 个</t>
  </si>
  <si>
    <t>Стакан 500 мл для горячих напитков белый 50 шт</t>
  </si>
  <si>
    <t>500 毫升热饮玻璃杯 白色 50 件</t>
  </si>
  <si>
    <t>Отбеливатель Belle кислородсодержащий 500 г</t>
  </si>
  <si>
    <t>漂白剂 Belle 含氧 500 克</t>
  </si>
  <si>
    <t>Метла березовая</t>
  </si>
  <si>
    <t>桦木扫帚</t>
  </si>
  <si>
    <t>Средство очищающее Моторлюкс 10 л</t>
  </si>
  <si>
    <t>清洁剂 Motorlux 10 升</t>
  </si>
  <si>
    <t>Держатель для мопа 40 см универсальный NPK195 карман и уши</t>
  </si>
  <si>
    <t>拖把架 40 厘米通用 NPK195 口袋和耳朵</t>
  </si>
  <si>
    <t>Метла синтетическая Ecotec 100 см щетина 7 см</t>
  </si>
  <si>
    <t>合成扫帚 Ecotec 100 cm 刷毛 7 cm</t>
  </si>
  <si>
    <t>Сменный блок для освежителя воздуха Glade Automatic Океанский оазис 269 мл</t>
  </si>
  <si>
    <t>Glade 自动空气清新剂 Ocean Oasis 补充装 269 毫升</t>
  </si>
  <si>
    <t>Бумажный суповой контейнер с пластиковой крышкой 480 мл 50 шт</t>
  </si>
  <si>
    <t>带塑料盖的纸质汤容器 480 毫升 50 个</t>
  </si>
  <si>
    <t>Бумажные трубочки 8 х 240 мм черные 150 шт</t>
  </si>
  <si>
    <t>黑色纸管 8 x 240 毫米 150 个</t>
  </si>
  <si>
    <t>Стиральный порошок Виксан-универсал Автомат 500 г</t>
  </si>
  <si>
    <t>洗衣粉 Viksan 旅行车自动 500 克</t>
  </si>
  <si>
    <t>Гранулированное средство для удаления засоров Unicum Торнадо 600 г</t>
  </si>
  <si>
    <t>颗粒堵塞去除剂 Unicum Tornado 600 克</t>
  </si>
  <si>
    <t>Жироудалитель Unicum Gold 500 мл</t>
  </si>
  <si>
    <t>除油剂 Unicum Gold 500 毫升</t>
  </si>
  <si>
    <t>Жироудалитель Unicum Gold 750 мл</t>
  </si>
  <si>
    <t>除油剂 Unicum Gold 750 毫升</t>
  </si>
  <si>
    <t>Средство для удаления плесени и грибка Unicum 500 мл</t>
  </si>
  <si>
    <t>去除霉菌和霉菌的方法 Unicum 500 毫升</t>
  </si>
  <si>
    <t>Средство для чистки акриловых ванн и душевых кабин Unicum 500 мл</t>
  </si>
  <si>
    <t>亚克力浴缸和淋浴房清洁剂 Unicum 500 毫升</t>
  </si>
  <si>
    <t>Средство для чистки сантехники Unicum 500 мл</t>
  </si>
  <si>
    <t>水暖清洁剂 Unicum 500 毫升</t>
  </si>
  <si>
    <t>Средство от ржавчины и известкового налета Unicum 500 мл</t>
  </si>
  <si>
    <t>Unicum 铁锈和水垢去除剂 500 毫升</t>
  </si>
  <si>
    <t>Автоматический освежитель воздуха Air Wick Цветущая вишня 250 мл</t>
  </si>
  <si>
    <t>自动空气清新剂 Air Wick 樱花 250 毫升</t>
  </si>
  <si>
    <t>Автоматический освежитель воздуха Air Wick Голубая лагуна 250 мл</t>
  </si>
  <si>
    <t>自动空气清新剂 Air Wick Blue Lagoon 250 毫升</t>
  </si>
  <si>
    <t>Сменный блок для освежителя воздуха Air Wick Антитабак Апельсин и Бергамот 250 мл</t>
  </si>
  <si>
    <t>Air Wick 空气清新剂 Antitobacco Orange 和佛手柑 250 毫升的更换装置</t>
  </si>
  <si>
    <t>Сменный блок для освежителя воздуха Air Wick Воздушная свежесть 250 мл</t>
  </si>
  <si>
    <t>Air Wick 空气清新剂的补充装空气清新剂 250 毫升</t>
  </si>
  <si>
    <t>Сменный блок для освежителя воздуха Air Wick Голубая лагуна 250 мл</t>
  </si>
  <si>
    <t>Air Wick 空气清新剂 Blue Lagoon 补充装 250 毫升</t>
  </si>
  <si>
    <t>Сменный блок для освежителя воздуха Air Wick Райское наслаждение 250 мл</t>
  </si>
  <si>
    <t>Air Wick 空气清新剂天堂喜悦补充装 250 毫升</t>
  </si>
  <si>
    <t>Сменный блок для освежителя воздуха Air Wick Свежесть водопада 250 мл</t>
  </si>
  <si>
    <t>Air Wick 空气清新剂 Waterfall Freshness 补充装 250 毫升</t>
  </si>
  <si>
    <t>Средство чистящее для ванной Cillit Bang Активная пена 600 мл</t>
  </si>
  <si>
    <t>Cillit Bang 沐浴清洁剂活性泡沫 600 毫升</t>
  </si>
  <si>
    <t>Средство чистящее для удаления ржавчины Cillit 450 мл</t>
  </si>
  <si>
    <t>Cillit 除锈剂 450 毫升</t>
  </si>
  <si>
    <t>Освежитель воздуха RIO Антитабак 300 мл</t>
  </si>
  <si>
    <t>空气清新剂 RIO Antitobak 300 毫升</t>
  </si>
  <si>
    <t>Освежитель воздуха RIO Водопад 300 мл</t>
  </si>
  <si>
    <t>空气清新剂 RIO Waterfall 300 毫升</t>
  </si>
  <si>
    <t>Освежитель воздуха RIO Горная свежесть 300 мл</t>
  </si>
  <si>
    <t>空气清新剂 RIO Mountain 清新 300 毫升</t>
  </si>
  <si>
    <t>Освежитель воздуха RIO Зеленое яблоко 300 мл</t>
  </si>
  <si>
    <t>空气清新剂 RIO 青苹果 300 毫升</t>
  </si>
  <si>
    <t>Освежитель воздуха RIO Лимон 300 мл</t>
  </si>
  <si>
    <t>空气清新剂 RIO 柠檬 300 毫升</t>
  </si>
  <si>
    <t>Освежитель воздуха RIO Морская свежесть 300 мл</t>
  </si>
  <si>
    <t>空气清新剂 RIO 海洋清新 300 毫升</t>
  </si>
  <si>
    <t>Освежитель воздуха RIO Свежесть росы 300 мл</t>
  </si>
  <si>
    <t>空气清新剂 RIO Fresh 露 300 毫升</t>
  </si>
  <si>
    <t>Освежитель воздуха RIO Хвойный лес 300 мл</t>
  </si>
  <si>
    <t>空气清新剂 RIO 针叶林 300 毫升</t>
  </si>
  <si>
    <t>Кондиционер для белья Lenor Детский 1 л</t>
  </si>
  <si>
    <t>Lenor 婴儿织物柔软剂 1 升</t>
  </si>
  <si>
    <t>Кондиционер для белья Lenor Масло Ши 1 л</t>
  </si>
  <si>
    <t>Lenor 织物柔软剂乳木果油 1 升</t>
  </si>
  <si>
    <t>Кондиционер для белья Lenor Скандинавская весна 1 л</t>
  </si>
  <si>
    <t>Lenor 斯堪的纳维亚春季织物柔软剂 1 升</t>
  </si>
  <si>
    <t>Средство для мытья посуды Fairy Апельсин и лимон 900 мл</t>
  </si>
  <si>
    <t>Fairy 橙柠檬洗碗液 900 毫升</t>
  </si>
  <si>
    <t>Средство для мытья посуды Fairy Розовый жасмин и Алоэ Вера 450 мл</t>
  </si>
  <si>
    <t>Fairy 洗洁精 粉色茉莉和芦荟 450 毫升</t>
  </si>
  <si>
    <t>Средство для мытья посуды Fairy Нежные руки Чайное дерево и Мята 900 мл</t>
  </si>
  <si>
    <t>Fairy 洗碗液温和手部茶树薄荷 900 毫升</t>
  </si>
  <si>
    <t>Средство для мытья посуды Fairy Сочный лимон 900 мл</t>
  </si>
  <si>
    <t>Fairy Juicy 柠檬洗碗液 900 毫升</t>
  </si>
  <si>
    <t>Средство чистящее для стекол Mr. Muscle Эконом с нашатырным спиртом 500 мл</t>
  </si>
  <si>
    <t>玻璃清洁工先生 Muscle Economy 氨水 500 毫升</t>
  </si>
  <si>
    <t>Жидкий отбеливатель БОС-плюс 1,2 л</t>
  </si>
  <si>
    <t>液体漂白剂 BOS-plus 1.2 升</t>
  </si>
  <si>
    <t>Средство чистящее Санокс гель 750 мл</t>
  </si>
  <si>
    <t>Sanox 凝胶清洁剂 750 毫升</t>
  </si>
  <si>
    <t>Средство чистящее Санокс от ржавчины 750 мл</t>
  </si>
  <si>
    <t>Sanox 除锈清洁剂 750 毫升</t>
  </si>
  <si>
    <t>Средство чистящее Санокс Ультра 750 мл</t>
  </si>
  <si>
    <t>Жидкое средство для полов Аист Зеленый бриз 950 мл</t>
  </si>
  <si>
    <t>用于地板的液体清洁剂 Stork Green Breeze 950 毫升</t>
  </si>
  <si>
    <t>Жидкое средство для полов Аист Лепестки розы в белую ночь 950 мл</t>
  </si>
  <si>
    <t>白夜 Stork Rose 花瓣地板清洁剂 950 毫升</t>
  </si>
  <si>
    <t>Жидкое средство для полов Аист Сиреневый туман 950 мл</t>
  </si>
  <si>
    <t>用于地板的液体剂 Stork 丁香雾 950 毫升</t>
  </si>
  <si>
    <t>Спрей Санэлит Антиплесень 500 мл</t>
  </si>
  <si>
    <t>喷雾 Sanelit 防霉 500 毫升</t>
  </si>
  <si>
    <t>Сода кальцинированная Флора 600 г</t>
  </si>
  <si>
    <t>纯碱植物群 600 克</t>
  </si>
  <si>
    <t>Чистящее средство для сантехники Sanfor Универсал Летний дождь 1 л</t>
  </si>
  <si>
    <t>Sanfor 万能洁具清洁剂 夏雨 1 L</t>
  </si>
  <si>
    <t>Чистящее средство для сантехники Sanfor Универсал Морской бриз 1 л</t>
  </si>
  <si>
    <t>Sanfor 万能洁具清洁剂 Sea Breeze 1 L</t>
  </si>
  <si>
    <t>Мешки для мусора Mirpack ПВД 60 л 45 мкм 20 шт</t>
  </si>
  <si>
    <t>垃圾袋 Mirpack LDPE 60 l 45 微米 20 个</t>
  </si>
  <si>
    <t>Флаундер 40 х 11 см c креплением карман NP191</t>
  </si>
  <si>
    <t>比目鱼 40 x 11 厘米，带固定口袋 NP191</t>
  </si>
  <si>
    <t>Флаундер 60 х 15 см c креплением карман NP193</t>
  </si>
  <si>
    <t>比目鱼 60 x 15 厘米，带固定口袋 NP193</t>
  </si>
  <si>
    <t>Ручка-палка алюминиевая 130 см d-22 мм без резьбы</t>
  </si>
  <si>
    <t>铝棒柄 130 cm d-22 mm 无螺纹</t>
  </si>
  <si>
    <t>Блок для очищения унитаза Domestos POWER 5 Кристальная чистота 55 г</t>
  </si>
  <si>
    <t>马桶清洁装置 Domestos POWER 5 水晶净度 55 克</t>
  </si>
  <si>
    <t>Блок для очищения унитаза Domestos POWER 5 Лаванда 55 г</t>
  </si>
  <si>
    <t>马桶清洁装置 Domestos POWER 5 Lavender 55 g</t>
  </si>
  <si>
    <t>Блок для очищения унитаза Domestos POWER 5 Ледяная лавина 55 г</t>
  </si>
  <si>
    <t>马桶清洁装置 Domestos POWER 5 Ice avalanche 55 g</t>
  </si>
  <si>
    <t>Блок для очищения унитаза Domestos POWER 5 Ледяная магнолия 55 г</t>
  </si>
  <si>
    <t>马桶清洁装置 Domestos POWER 5 Ice magnolia 55 g</t>
  </si>
  <si>
    <t>Подвеска для унитаза Domestos Атлантик 40 г</t>
  </si>
  <si>
    <t>马桶挂件 Domestos Atlantic 40 克</t>
  </si>
  <si>
    <t>Чистящее средство для ванной Cif Легкость чистоты 500 мл</t>
  </si>
  <si>
    <t>Cif 沐浴清洁剂 易于清洁 500 毫升</t>
  </si>
  <si>
    <t>Чистящее средство для кухни Cif Легкость чистоты 500 мл</t>
  </si>
  <si>
    <t>Cif 厨房清洁剂 易于清洁 500 毫升</t>
  </si>
  <si>
    <t>Чистящее средство для стекла Cif Блестящий эффект 500 мл</t>
  </si>
  <si>
    <t>玻璃清洁剂 Cif 闪光效果 500 毫升</t>
  </si>
  <si>
    <t>Читящий крем Cif Лиловая свежесть 500 мл</t>
  </si>
  <si>
    <t>阅读霜 Cif 丁香清新 500 毫升</t>
  </si>
  <si>
    <t>Читящий крем Cif Нормал (Актив Фреш) 250 мл</t>
  </si>
  <si>
    <t>阅读霜 Cif Normal (Active Fresh) 250 ml</t>
  </si>
  <si>
    <t>Читящий спрей универсальный Cif Антибактериальный 500 мл</t>
  </si>
  <si>
    <t>阅读喷雾通用 Cif 抗菌 500 毫升</t>
  </si>
  <si>
    <t>Читящий спрей универсальный Cif Ультра Быстрый 500 мл</t>
  </si>
  <si>
    <t>阅读喷雾通用 Cif 超快速 500 毫升</t>
  </si>
  <si>
    <t>Крем для рук Бархатные ручки Защитный 80 мл</t>
  </si>
  <si>
    <t>护手霜天鹅绒保护手柄 80 毫升</t>
  </si>
  <si>
    <t>Крем для рук Бархатные ручки Питательный 80 мл</t>
  </si>
  <si>
    <t>护手霜天鹅绒处理滋养 80 毫升</t>
  </si>
  <si>
    <t>Перчатки трикотажные без ПВХ серые 10 кл. 4-нити</t>
  </si>
  <si>
    <t>无 PVC 灰色针织手套 10 cl。4股</t>
  </si>
  <si>
    <t>Бахилы gолиэтиленовые Стандарт 40 х 15 см голубые 100 шт</t>
  </si>
  <si>
    <t>鞋套聚乙烯标准 40 x 15 厘米蓝色 100 件</t>
  </si>
  <si>
    <t>Перчатки хозяйственные латексные Komfi Биколор р-р S</t>
  </si>
  <si>
    <t>乳胶家用手套 Komfi Bicolor solution S</t>
  </si>
  <si>
    <t>Перчатки хозяйственные латексные Komfi Биколор р-р XL</t>
  </si>
  <si>
    <t>乳胶家用手套 Komfi Bicolor solution XL</t>
  </si>
  <si>
    <t>Перчатки хозяйственные латексные Komfi Биколор сверхпрочные р-р S</t>
  </si>
  <si>
    <t>乳胶家用手套 Komfi Bicolor 重型解决方案 S</t>
  </si>
  <si>
    <t>Перчатки хозяйственные латексные Komfi Биколор сверхпрочные р-р M</t>
  </si>
  <si>
    <t>乳胶家用手套 Komfi Bicolor 重型解决方案 M</t>
  </si>
  <si>
    <t>Перчатки хозяйственные латексные Komfi Биколор сверхпрочные р-р L</t>
  </si>
  <si>
    <t>乳胶家用手套 Komfi Bicolor 重型溶液 L</t>
  </si>
  <si>
    <t>Перчатки хозяйственные латексные Komfi Биколор сверхпрочные р-р XL</t>
  </si>
  <si>
    <t>乳胶家用手套 Komfi Bicolor 超强溶液 XL</t>
  </si>
  <si>
    <t>Освежитель воздуха Symphony Магнолия и Ваниль 300 мл</t>
  </si>
  <si>
    <t>Symphony 空气清新剂 Magnolia and Vanilla 300 毫升</t>
  </si>
  <si>
    <t>Металлическая губка для посуды Paterra Спираль 16 г 1 шт</t>
  </si>
  <si>
    <t>盘子用金属海绵 Paterra 螺旋 16 克 1 件</t>
  </si>
  <si>
    <t>Двусторонняя клейкая лента Klebebander 50 мм х 5 м</t>
  </si>
  <si>
    <t>双面胶带 Klebebander 50 mm x 5 m</t>
  </si>
  <si>
    <t>Мешки для мусора Смартикон 35 л 6 мкм 50 шт</t>
  </si>
  <si>
    <t>垃圾袋 Smartikon 35 l 6 微米 50 个</t>
  </si>
  <si>
    <t>Мешки для мусора Смартикон 60 л 9 мкм 20 шт</t>
  </si>
  <si>
    <t>垃圾袋 Smarticon 60 l 9 微米 20 个</t>
  </si>
  <si>
    <t>Мешки для мусора Mirpack ПВД Эконом 120 л 8 мкм 10 шт</t>
  </si>
  <si>
    <t>垃圾袋 Mirpack LDPE 经济型 120 l 8 微米 10 个</t>
  </si>
  <si>
    <t>Мыло туалетное твердое Земляника 100 г</t>
  </si>
  <si>
    <t>马桶皂固体草莓 100 克</t>
  </si>
  <si>
    <t>Мыло туалетное твердое Сирень 100 г</t>
  </si>
  <si>
    <t>香皂固体丁香 100 克</t>
  </si>
  <si>
    <t>Таблетки для мытья посуды в ПММ Finish All in 1 Мах Лимон 65 шт</t>
  </si>
  <si>
    <t>PMM Finish All in 1 Max Lemon 65 片洗碗片</t>
  </si>
  <si>
    <t>Держатель мопов Кентукки 17 см IM210</t>
  </si>
  <si>
    <t>拖把架 Kentucky 17 厘米 IM210</t>
  </si>
  <si>
    <t>Моп Кентукки 350 г Ken-350</t>
  </si>
  <si>
    <t>肯塔基拖把 350g Ken-350</t>
  </si>
  <si>
    <t>Жидкое мыло Domi с экстрактом зеленого чая 500 мл</t>
  </si>
  <si>
    <t>Domi 绿茶提取物液体皂 500 毫升</t>
  </si>
  <si>
    <t>Бутылка ПЭТ 500 мл под триггер</t>
  </si>
  <si>
    <t>PET 瓶 500 毫升触发</t>
  </si>
  <si>
    <t>Нить (шпагат) полипропиленовый некрученый 1000 ТЕКС на шпуле 5 кг ( +/- 10%)</t>
  </si>
  <si>
    <t>无捻聚丙烯线（麻线） 1000 TEX 线轴 5 kg (+/- 10%)</t>
  </si>
  <si>
    <t>Метла круглая бытовая с черенком Эконом</t>
  </si>
  <si>
    <t>带柄经济型圆形家用扫帚</t>
  </si>
  <si>
    <t>Грабли веерные металлические проволочные с черенком</t>
  </si>
  <si>
    <t>带柄耙式风扇金属线</t>
  </si>
  <si>
    <t>Держатель для туалетной бумаги Puff-7120</t>
  </si>
  <si>
    <t>卫生纸架 Puff-7120</t>
  </si>
  <si>
    <t>Ложки Кукурузный Крахмал биоразлагаемые зеленые 14,5 см 50 шт</t>
  </si>
  <si>
    <t>勺子玉米淀粉可生物降解绿色 14.5 厘米 50 件</t>
  </si>
  <si>
    <t>Салатник c крышкой 800 мл крафт/белый 207 х 127 х 55 мм 50 шт</t>
  </si>
  <si>
    <t>带盖沙拉碗 800 毫升牛皮纸/白色 207 х 127 х 55 毫米 50 件</t>
  </si>
  <si>
    <t>Салатник c крышкой 900 мл крафт/белый 150 х 150 х 50 мм 50 шт</t>
  </si>
  <si>
    <t>带盖沙拉碗 900 毫升牛皮纸/白色 150 х 150 х 50 毫米 50 件</t>
  </si>
  <si>
    <t>Коробка для гамбургера 120 х 120 х 70 мм крафт 100 шт</t>
  </si>
  <si>
    <t>汉堡盒 120 х 120 х 70 毫米工艺 100 个</t>
  </si>
  <si>
    <t>Уголок бумажный 175 х 175 мм жиростойкий 2500 шт</t>
  </si>
  <si>
    <t>纸角 175 х 175 mm 防油 2500 pcs</t>
  </si>
  <si>
    <t>Мыло хозяйственное 72% Калужский блеск 150 г</t>
  </si>
  <si>
    <t>洗衣皂 72% Kaluga 光泽 150 克</t>
  </si>
  <si>
    <t>Пластиковая банка суповая 500 мл с крышкой 400 шт</t>
  </si>
  <si>
    <t>汤塑料罐 500 毫升带盖 400 个</t>
  </si>
  <si>
    <t>Соусницы 50 мл Упакс-юнити 50 шт</t>
  </si>
  <si>
    <t>酱菜 50 ml Upax-unit 50 pcs</t>
  </si>
  <si>
    <t>Соусницы 80 мл Упакс-юнити 50 шт</t>
  </si>
  <si>
    <t>酱菜 80 ml Upax-unit 50 pcs</t>
  </si>
  <si>
    <t>Палочки для еды 21 см в ПП упаковке 100 шт</t>
  </si>
  <si>
    <t>筷子 21 厘米 PP 包装 100 支</t>
  </si>
  <si>
    <t>Палочки для еды 23 см в ПП упаковке 100 шт</t>
  </si>
  <si>
    <t>筷子 23 厘米 PP 包装 100 支</t>
  </si>
  <si>
    <t>Перчатки резиновые Practi Extra Dry р-р M</t>
  </si>
  <si>
    <t>橡胶手套 Practi Extra Dry solution M</t>
  </si>
  <si>
    <t>Салфетка из микрофибры Ultra 25х25 см желтая</t>
  </si>
  <si>
    <t>超细纤维餐巾纸 Ultra 25x25 cm 黄色</t>
  </si>
  <si>
    <t>Салфетка из микрофибры Ultra 25х25 см зеленая</t>
  </si>
  <si>
    <t>超细纤维餐巾纸 25x25 厘米绿色</t>
  </si>
  <si>
    <t>Салфетка из микрофибры Ultra 25х25 см красная</t>
  </si>
  <si>
    <t>超细纤维餐巾纸超 25x25 厘米红色</t>
  </si>
  <si>
    <t>Салфетка из микрофибры 29х29 см белая</t>
  </si>
  <si>
    <t>超细纤维餐巾纸 29x29 厘米白色</t>
  </si>
  <si>
    <t>Бумажные тарелки глубокие на 500 мл</t>
  </si>
  <si>
    <t>500毫升深纸盘</t>
  </si>
  <si>
    <t>Сетка полиэтиленовая мелкоячеистая на шпуле 500 м красная</t>
  </si>
  <si>
    <t>线轴上的细网聚乙烯网 500 m 红色</t>
  </si>
  <si>
    <t>Средство чистящее Пемолюкс Эвкалипт и Пихта 480 г</t>
  </si>
  <si>
    <t>清洁剂 Pemolux 桉树和冷杉 480 克</t>
  </si>
  <si>
    <t>Полироль для мебели Mebelux для любых поверхностей 300 мл</t>
  </si>
  <si>
    <t>适用于所有表面的家具上光剂 Mebelux 300 毫升</t>
  </si>
  <si>
    <t>Лопата штыковая прямоугольная ЛКП-4-950 с черенком</t>
  </si>
  <si>
    <t>铲刀刺刀矩形 LKP-4-950 带手柄</t>
  </si>
  <si>
    <t>Черенок деревянный d-30 мм шлифованный</t>
  </si>
  <si>
    <t>木柄 d-30 毫米抛光</t>
  </si>
  <si>
    <t>Перчатки нитриловые Household Gloves р-р M 100 шт</t>
  </si>
  <si>
    <t>手套丁腈家用手套溶液 M 100 件</t>
  </si>
  <si>
    <t>Перчатки нитриловые Household Gloves р-р S 100 шт</t>
  </si>
  <si>
    <t>手套丁腈家用手套溶液 S 100 pcs</t>
  </si>
  <si>
    <t>Жидкое мыло ТОП с экстрактом Алоэ Вера 5 л</t>
  </si>
  <si>
    <t>含芦荟提取物的液体肥皂 TOP 5 l</t>
  </si>
  <si>
    <t>Совок хозяйственный 220 х 310 мм</t>
  </si>
  <si>
    <t>家用勺 220 x 310 毫米</t>
  </si>
  <si>
    <t>Держатель для стакана Eco Cup Keeper 50 шт</t>
  </si>
  <si>
    <t>环保杯托 50 件</t>
  </si>
  <si>
    <t>Стакан 165 мл для горячих напитков Белый 50 шт</t>
  </si>
  <si>
    <t>热饮杯 165 毫升 白色 50 件</t>
  </si>
  <si>
    <t>Жидкое мыло пенящееся Merida Bali Plus миндально-вишневое 700 мл</t>
  </si>
  <si>
    <t>Merida Bali Plus 泡沫皂杏仁樱桃 700 毫升</t>
  </si>
  <si>
    <t>Средство для мытья посуды Sorti Бальзам с Алоэ Вера 900 мл</t>
  </si>
  <si>
    <t>洗洁精 Sorti Balm with Aloe Vera 900 毫升</t>
  </si>
  <si>
    <t>Держатель для туалетной бумаги Solinne 16052 хром</t>
  </si>
  <si>
    <t>卫生纸架 Solinne 16052 镀铬</t>
  </si>
  <si>
    <t>Ведро Комфорт 16 л с отжимом синее MPG5903</t>
  </si>
  <si>
    <t>舒适桶 16 l 带提取蓝色 MPG5903</t>
  </si>
  <si>
    <t>Мочалка Мамонтенок чистолюб металл 2шт MPM6788</t>
  </si>
  <si>
    <t>洗涤器猛犸象雄心勃勃的金属 2 件 MPM6788</t>
  </si>
  <si>
    <t>Совок с длинной ручкой Палермо</t>
  </si>
  <si>
    <t>巴勒莫长柄勺</t>
  </si>
  <si>
    <t>Стакан 400 мл для горячих напитков Белый 50 шт</t>
  </si>
  <si>
    <t>玻璃 400 毫升热饮白色 50 件</t>
  </si>
  <si>
    <t>Стакан 100 мл прозрачный 100 шт</t>
  </si>
  <si>
    <t>玻璃 100 ml 透明 100 pcs</t>
  </si>
  <si>
    <t>Средство для мытья посуды AJM концентрат с пуш-пулом 1 л</t>
  </si>
  <si>
    <t>推拉式洗碗精 AJM 浓缩液 1 升</t>
  </si>
  <si>
    <t>Палочки для суши 23 см бамбук в ПП упаковке 100 шт</t>
  </si>
  <si>
    <t>寿司棒 23 厘米竹制 PP 包装 100 个</t>
  </si>
  <si>
    <t>Совок с крышкой и щеткой цветной KAF300B/KAF300R</t>
  </si>
  <si>
    <t>带盖勺和彩刷 KAF300B / KAF300R</t>
  </si>
  <si>
    <t>Нить (шпагат) полипропиленовый 1000 ТЕКС окрашенный НФЗО на шпуле</t>
  </si>
  <si>
    <t>线轴上的线（麻线）聚丙烯 1000 TEX 染色 NFZO</t>
  </si>
  <si>
    <t>Бумага туалетная Zewa Плюс желтая аромат Ромашки 4 шт</t>
  </si>
  <si>
    <t>卫生纸 Zewa Plus 黄色香气洋甘菊 4 片</t>
  </si>
  <si>
    <t>Черенок деревянный d-40 мм шлифованный</t>
  </si>
  <si>
    <t>木柄 d-40 毫米抛光</t>
  </si>
  <si>
    <t>МОП 80 см акрил разрезной карман OR80/ORH80</t>
  </si>
  <si>
    <t>MOP 80 厘米亚克力开合口袋 OR80 / ORH80</t>
  </si>
  <si>
    <t>МОП 80 см акрил разрезной карман MAL-80</t>
  </si>
  <si>
    <t>MOP 80 厘米亚克力分体口袋 MAL-80</t>
  </si>
  <si>
    <t>Средство для мытья различных поверхностей Clin Мультиблеск 500 мл</t>
  </si>
  <si>
    <t>清洁各种表面的方法 Clin Multi-gloss 500 毫升</t>
  </si>
  <si>
    <t>Ножи Кукурузный Крахмал биоразлагаемые зеленые 18,5 см 50 шт</t>
  </si>
  <si>
    <t>刀具玉米淀粉可生物降解绿色 18.5 厘米 50 件</t>
  </si>
  <si>
    <t>Метла синтетическая Ecotec 50 см щетина 6 см</t>
  </si>
  <si>
    <t>合成扫帚 Ecotec 50 厘米刷毛 6 厘米</t>
  </si>
  <si>
    <t>Гель QUICK для стирки белья универсал 5,5 л</t>
  </si>
  <si>
    <t>QUICK 洗布草通用凝胶 5.5 升</t>
  </si>
  <si>
    <t>Гель QUICK для стирки цветного белья универсал 5,5 л</t>
  </si>
  <si>
    <t>QUICK 凝胶洗彩色衣服旅行车 5.5 升</t>
  </si>
  <si>
    <t>Перчатки латексные Household GLoves повышенной прочности р-р M 50 шт</t>
  </si>
  <si>
    <t>乳胶手套家用手套强度增加，溶液 M 50 件</t>
  </si>
  <si>
    <t>Перчатки латексные Household GLoves повышенной прочности р-р L 50 шт</t>
  </si>
  <si>
    <t>乳胶手套家用手套增加强度，解决方案 L 50 件</t>
  </si>
  <si>
    <t>Антибактериальное мыло для рук SYNERGETIC биоразлагаемое АНТИЗАПАХ Лемонграсс и мята 500 мл</t>
  </si>
  <si>
    <t>SYNERGETIC 抗菌洗手皂可生物降解 ANTISAPACH 柠檬草和薄荷 500 毫升</t>
  </si>
  <si>
    <t>Антибактериальное мыло для рук SYNERGETIC биоразлагаемое Имбирь и бергамот 1 л</t>
  </si>
  <si>
    <t>SYNERGETIC 抗菌洗手液可生物降解生姜和佛手柑 1 l</t>
  </si>
  <si>
    <t>Концентрированное универсальное средство для пола биоразлагаемое SYNERGETIC 1 л</t>
  </si>
  <si>
    <t>可生物降解的浓缩通用地板清洁剂 SYNERGETIC 1 l</t>
  </si>
  <si>
    <t>Антибактериальный гель SYNERGETIC для сантехники Чайное дерево и эвкалипт 700 мл</t>
  </si>
  <si>
    <t>SYNERGETIC 洁具抗菌凝胶茶树和桉树 700 毫升</t>
  </si>
  <si>
    <t>Средство биоразлагаемое для мытья окон и зеркал SYNERGETIC 500 мл</t>
  </si>
  <si>
    <t>SYNERGETIC 可生物降解的窗户和镜子清洁剂 500 毫升</t>
  </si>
  <si>
    <t>Антибактериальный гель SYNERGETIC для мытья посуды и детских игрушек Сочный апельсин 500 мл</t>
  </si>
  <si>
    <t>SYNERGETIC 抗菌凝胶，用于洗碗和儿童玩具多汁橙 500 毫升</t>
  </si>
  <si>
    <t>Биоразлагаемое средство для плит от жира и нагара SYNERGETIC 1 л</t>
  </si>
  <si>
    <t>SYNERGETIC，可生物降解的防油脂和碳去除剂，用于板坯 1 l</t>
  </si>
  <si>
    <t>Биоразлагаемый концентрированный порошок для стирки SYNERGETIC 20 стиков</t>
  </si>
  <si>
    <t>SYNERGETIC 可生物降解浓缩洗衣粉 20 支</t>
  </si>
  <si>
    <t>Кислородосодержащий бесхлорный отбеливатель SYNERGETIC для белья и поверхностей 1 л</t>
  </si>
  <si>
    <t>SYNERGETIC 无氯含氧洗衣和表面漂白剂 1 升</t>
  </si>
  <si>
    <t>Универсальный пятновыводитель SYNERGETIC 1 л</t>
  </si>
  <si>
    <t>SYNERGETIC 通用去污剂 1 l</t>
  </si>
  <si>
    <t>Биоразлагаемый гипоаллергенный гель SYNERGETIC для стирки цветного белья 2,75 л</t>
  </si>
  <si>
    <t>用于彩色衣物的可生物降解的低过敏性 SYNERGETIC 凝胶 2.75 升</t>
  </si>
  <si>
    <t>Освежитель воздуха До-Ре-Ми Премиум Зеленое яблоко 250 мл</t>
  </si>
  <si>
    <t>空气清新剂 Do-Re-Mi Premium 青苹果 250 毫升</t>
  </si>
  <si>
    <t>Средство универсальное Аэробелизна-гель 1 л</t>
  </si>
  <si>
    <t>手段普遍 Aerobelizna-gel 1 l</t>
  </si>
  <si>
    <t>Изолента TDM ПВХ 0,15 х 19 мм Желтая 20 м</t>
  </si>
  <si>
    <t>绝缘胶带 TDM PVC 0,15 x 19 mm 黄色 20 m</t>
  </si>
  <si>
    <t>Бумажные трубочки 6 х 197 мм зеленые полосы 25 шт</t>
  </si>
  <si>
    <t>纸管 6 x 197 毫米绿色条纹 25 件</t>
  </si>
  <si>
    <t>Бумажные трубочки 6 х 197 мм фиолетовые 25 шт</t>
  </si>
  <si>
    <t>紫色纸管 6 x 197 毫米 25 个</t>
  </si>
  <si>
    <t>Стакан 250 мл для горячих напитков Coffee flavor 50 шт</t>
  </si>
  <si>
    <t>250 毫升杯装热饮 咖啡味 50 件</t>
  </si>
  <si>
    <t>Стакан 250 мл для горячих напитков Emoji желтый 50 шт</t>
  </si>
  <si>
    <t>Emoji 热饮杯 250 ml 黄色 50 个</t>
  </si>
  <si>
    <t>Стакан 250 мл для горячих напитков Emoji зеленый 50 шт</t>
  </si>
  <si>
    <t>250 毫升热饮玻璃杯 Emoji 绿色 50 件</t>
  </si>
  <si>
    <t>Стакан 250 мл для горячих напитков Premium Qualiti 50 шт</t>
  </si>
  <si>
    <t>用于热饮的 250 毫升玻璃杯 Premium Qualiti 50 件</t>
  </si>
  <si>
    <t>Стакан 250 мл для горячих напитков Take the best 50 шт</t>
  </si>
  <si>
    <t>250 毫升热饮玻璃杯 最好的 50 件</t>
  </si>
  <si>
    <t>Стакан 250 мл для горячих напитков Д-City красный 50 шт</t>
  </si>
  <si>
    <t>玻璃杯 250 毫升热饮 D-City 红色 50 件</t>
  </si>
  <si>
    <t>Стакан 250 мл для горячих напитков Д-City зеленый 50 шт</t>
  </si>
  <si>
    <t>玻璃杯 250 毫升热饮 D-City 绿色 50 件</t>
  </si>
  <si>
    <t>Стакан 250 мл для горячих напитков Д-Coffee in any weather 50 шт</t>
  </si>
  <si>
    <t>一杯 250 毫升的热饮 D-Coffee 任何天气 50 件</t>
  </si>
  <si>
    <t>Стакан 250 мл для горячих напитков Д-Coffee tea 50 шт</t>
  </si>
  <si>
    <t>一杯 250 毫升热饮 D-Coffee 茶 50 件</t>
  </si>
  <si>
    <t>Стакан 250 мл для горячих напитков Меню 50 шт</t>
  </si>
  <si>
    <t>250 毫升玻璃杯热饮 菜单 50 件</t>
  </si>
  <si>
    <t>Стакан 250 мл для горячих напитков Синий 50 шт</t>
  </si>
  <si>
    <t>热饮杯 250 ml 蓝色 50 件</t>
  </si>
  <si>
    <t>Стакан 250 мл для горячих напитков Д-Фреш 50 шт</t>
  </si>
  <si>
    <t>玻璃 250 毫升热饮 D-Fresh 50 件</t>
  </si>
  <si>
    <t>Стакан 250 мл для горячих напитков Хорошее настроение 50 шт</t>
  </si>
  <si>
    <t>250 毫升热饮玻璃杯 好心情 50 件</t>
  </si>
  <si>
    <t>Стакан 350 мл для горячих напитков Coffee flavor 50 шт</t>
  </si>
  <si>
    <t>350 毫升杯装热饮 咖啡味 50 件</t>
  </si>
  <si>
    <t>Стакан 350 мл для горячих напитков Emoji желтый 50 шт</t>
  </si>
  <si>
    <t>杯 350 毫升热饮表情符号黄色 50 件</t>
  </si>
  <si>
    <t>Стакан 350 мл для горячих напитков Emoji зеленый 50 шт</t>
  </si>
  <si>
    <t>热饮杯 350 毫升 表情符号绿色 50 件</t>
  </si>
  <si>
    <t>Стакан 350 мл для горячих напитков Premium Qualiti 50 шт</t>
  </si>
  <si>
    <t>350 毫升热饮玻璃杯 Premium Qualiti 50 件</t>
  </si>
  <si>
    <t>Контейнер универсальный бумажный без окна 1000 мл 190 х 150/170 х 130 мм h-50 мм 50 шт</t>
  </si>
  <si>
    <t>无窗通用纸容器 1000 ml 190 x 150/170 x 130 mm h-50 mm 50 个</t>
  </si>
  <si>
    <t>Контейнер универсальный бумажный без окна 600 мл 150 х 115/130 х 95 мм h-50 мм 50 шт</t>
  </si>
  <si>
    <t>无窗通用纸容器 600 ml 150 х 115/130 х 95 mm h-50 mm 50 pcs</t>
  </si>
  <si>
    <t>Контейнер универсальный бумажный без окна 1000 мл 200 х 120 х 45 мм 50 шт</t>
  </si>
  <si>
    <t>无窗通用纸容器 1000 ml 200 х 120 х 45 mm 50 pcs</t>
  </si>
  <si>
    <t>Чашки кофейные бело-коричневые Упак-Юнити 200 мл 50 шт</t>
  </si>
  <si>
    <t>咖啡杯白棕色 Upak-Unity 200 毫升 50 件</t>
  </si>
  <si>
    <t>Ложка столовая Компакт 16,5 см ПС 100 шт</t>
  </si>
  <si>
    <t>小汤匙 紧凑型 16.5 厘米 PS 100 件</t>
  </si>
  <si>
    <t>Тарелка пластиковая 165 мм десертная 100 шт</t>
  </si>
  <si>
    <t>甜点盘 165 毫米，100 个</t>
  </si>
  <si>
    <t>Кондитерский мешок H-65 100 шт</t>
  </si>
  <si>
    <t>糕点袋 H-65 100 个</t>
  </si>
  <si>
    <t>Термометр для холодильника АЙСБЕРГ</t>
  </si>
  <si>
    <t>冰箱温度计 ICEBERG</t>
  </si>
  <si>
    <t>Салфетки бумажные двухслойные 33 х 33 см 200 л</t>
  </si>
  <si>
    <t>双层餐巾纸 33 х 33 cm 200 l</t>
  </si>
  <si>
    <t>Средство для мытья посуды Яблоко 5 л</t>
  </si>
  <si>
    <t>洗碗液 Apple 5 l</t>
  </si>
  <si>
    <t>Веник Сорго 3-х прошивной ЛЮКС</t>
  </si>
  <si>
    <t>高粱扫帚 3 针 LUX</t>
  </si>
  <si>
    <t>Перчатки нитриловые Household Gloves р-р L 100 шт</t>
  </si>
  <si>
    <t>手套丁腈家用手套溶液 L 100 件</t>
  </si>
  <si>
    <t>Перчатки нитриловые Household Gloves черные р-р XL 100 шт</t>
  </si>
  <si>
    <t>手套丁腈家用手套黑色溶液 XL 100 件</t>
  </si>
  <si>
    <t>Мешки для мусора Mirpack ПВД 300 л 120х140 см 50 мкм 50 шт</t>
  </si>
  <si>
    <t>垃圾袋 Mirpack LDPE 300 l 120x140 cm 50 微米 50 个</t>
  </si>
  <si>
    <t>Средство для мытья посуды Sorti Бальзам с Экстрактом Ромашки 900 мл</t>
  </si>
  <si>
    <t>含洋甘菊提取物的洗碗精 Sorti Balm 900 毫升</t>
  </si>
  <si>
    <t>Перчатки трикотажные с ПВХ серые 10 кл. 5 нитей</t>
  </si>
  <si>
    <t>PVC 灰色针织手套 10 cl。5 股</t>
  </si>
  <si>
    <t>Перчатки нейлоновые Цветочек с силиконовым покрытием</t>
  </si>
  <si>
    <t>带硅胶涂层的尼龙花手套</t>
  </si>
  <si>
    <t>Жидкое мыло Белый хлопок 1 л</t>
  </si>
  <si>
    <t>液体肥皂 白棉 1 l</t>
  </si>
  <si>
    <t>Туалетное мыло Авакс Фруктовое 90 г</t>
  </si>
  <si>
    <t>Avaks 水果香皂 90 克</t>
  </si>
  <si>
    <t>Туалетная бумага Джамбо на втулке целлюлоза однослойная 180 м</t>
  </si>
  <si>
    <t>Jumbo 卫生纸卷筒纤维素单层 180 m</t>
  </si>
  <si>
    <t>Тележка для уборки TK722 металл одно ведро 25 л</t>
  </si>
  <si>
    <t>清洁推车 TK722 金属一桶 25 升</t>
  </si>
  <si>
    <t>Перчатки нитриловые Household Gloves черные р-р M 100 шт</t>
  </si>
  <si>
    <t>手套丁腈家用手套黑色溶液 M 100 件</t>
  </si>
  <si>
    <t>Перчатки нитриловые Household Gloves черные р-р L 100 шт</t>
  </si>
  <si>
    <t>手套丁腈家用手套黑色溶液 L 100 件</t>
  </si>
  <si>
    <t>Перчатки латексные Household GLoves повышенной прочности р-р S 50 шт</t>
  </si>
  <si>
    <t>乳胶手套家用手套强度增加，解决方案 S 50 件</t>
  </si>
  <si>
    <t>Жидкое мыло Белый хлопок 5 л</t>
  </si>
  <si>
    <t>液体肥皂 白棉 5 l</t>
  </si>
  <si>
    <t>Термометр кухонный для пищи с ЖК SiPL AG254B</t>
  </si>
  <si>
    <t>带 LCD SiPL AG254B 食品厨房温度计</t>
  </si>
  <si>
    <t>Бумажные полотенца V-сложения Lasla econom 200 л</t>
  </si>
  <si>
    <t>Lasla econom V 型折叠纸巾 200 升</t>
  </si>
  <si>
    <t>Салфетка из микрофибры 35х35 см для оптики и стекла фиолетовая М200G1</t>
  </si>
  <si>
    <t>超细纤维餐巾 35x35 厘米，用于光学和玻璃紫色 М200G1</t>
  </si>
  <si>
    <t>Перчатки хозяйственные КонтинентПак, р-р M (1 пара)</t>
  </si>
  <si>
    <t>家用手套 ContinentPack，解决方案 M（1 对）</t>
  </si>
  <si>
    <t>Дозатор для антисептика 500 мл</t>
  </si>
  <si>
    <t>防腐剂分配器 500 毫升</t>
  </si>
  <si>
    <t>Стакан 350 мл для горячих напитков Крафт 50 шт</t>
  </si>
  <si>
    <t>玻璃 350 毫升热饮卡夫 50 件</t>
  </si>
  <si>
    <t>Концентрированный ополаскиватель для белья Сенсетив Frosch Zero 750 мл</t>
  </si>
  <si>
    <t>浓缩织物柔软剂 Sensitive Frosch 零 750 毫升</t>
  </si>
  <si>
    <t>Перчатки хозяйственные Komfi Для деликатной убоки с х/б напылением L желтые DGL018L</t>
  </si>
  <si>
    <t>家用手套 Komfi 适合精致穿着，带棉布除尘 L 黄色 DGL018L</t>
  </si>
  <si>
    <t>Детские влажные салфетки TONE 64 шт</t>
  </si>
  <si>
    <t>婴儿湿巾 TONE 64 片</t>
  </si>
  <si>
    <t>Диспенсер для бумаги V-сложения Ksitex TH-5823 SSN</t>
  </si>
  <si>
    <t>V折纸分配器 Ksitex TH-5823 SSN</t>
  </si>
  <si>
    <t>Диспенсер для полотенец с центральной вытяжкой для больших рулонов OG1</t>
  </si>
  <si>
    <t>用于大卷 OG1 的带中央提取的毛巾分配器</t>
  </si>
  <si>
    <t>Тарелка плоская 180 мм целлюлоза</t>
  </si>
  <si>
    <t>平板 180 毫米纤维素</t>
  </si>
  <si>
    <t>Тарелка плоская 225 мм целлюлоза</t>
  </si>
  <si>
    <t>平板 225 毫米纤维素</t>
  </si>
  <si>
    <t>Освежитель воздуха SKY Морская свежесть 300 мл</t>
  </si>
  <si>
    <t>空气清新剂 SKY 海洋清新 300 毫升</t>
  </si>
  <si>
    <t>Ведро Комфорт синее 15 л</t>
  </si>
  <si>
    <t>舒适桶蓝色 15 升</t>
  </si>
  <si>
    <t>Ведро Комфорт красное 15 л</t>
  </si>
  <si>
    <t>舒适桶红色 15 升</t>
  </si>
  <si>
    <t>Ведро Комфорт салатовое 15 л</t>
  </si>
  <si>
    <t>舒适桶浅绿色 15 升</t>
  </si>
  <si>
    <t>Ёрш бутылочный с губкой Умничка 25см D-5см SM-25</t>
  </si>
  <si>
    <t>带海绵 Umnichka 25cm D-5cm SM-25 的瓶箍</t>
  </si>
  <si>
    <t>Опрыскиватель Умничка 450 мл ракушка МИКС MPU-222</t>
  </si>
  <si>
    <t>喷雾器 Umnichka 450 毫升壳混合 MPU-222</t>
  </si>
  <si>
    <t>Опрыскиватель Умничка 750 мл конус МИКС MPU-2076</t>
  </si>
  <si>
    <t>喷雾器 Umnichka 750 毫升锥混合 MPU-2076</t>
  </si>
  <si>
    <t>Комплект совок + щетка-сметка Эконом</t>
  </si>
  <si>
    <t>勺子套装 + 扫帚刷经济</t>
  </si>
  <si>
    <t>Таз круглый с ручками Эконом фиолетовый 12 л</t>
  </si>
  <si>
    <t>带把手圆形盥洗盆 经济型紫色 12 升</t>
  </si>
  <si>
    <t>Щетка подметальная Леди Каролина</t>
  </si>
  <si>
    <t>清扫刷卡罗莱纳夫人</t>
  </si>
  <si>
    <t>Туалетные стики Утенок Стикер чистоты Морской</t>
  </si>
  <si>
    <t>马桶贴小鸭纯度贴纸海洋</t>
  </si>
  <si>
    <t>Мусорный ящик VARIO черный/оранжевый 110 л</t>
  </si>
  <si>
    <t>垃圾桶 VARIO 黑色/橙色 110 l</t>
  </si>
  <si>
    <t>Мусорный ящик VARIO черный/синий 110 л</t>
  </si>
  <si>
    <t>垃圾桶 VARIO 黑色/蓝色 110 l</t>
  </si>
  <si>
    <t>Мусорный ящик VARIO черный/зеленый 110 л</t>
  </si>
  <si>
    <t>垃圾桶 VARIO 黑色/绿色 110 l</t>
  </si>
  <si>
    <t>Ведро Классика желтое 7 л</t>
  </si>
  <si>
    <t>桶经典黄色 7 l</t>
  </si>
  <si>
    <t>Моющая жидкость для полов и стен Mr.Proper Горный ручей и прохлада 1 л</t>
  </si>
  <si>
    <t>Mr.Proper 山地溪流和凉爽 1 升地板和墙壁洗涤液</t>
  </si>
  <si>
    <t>Дозатор для жидкого мыла 500 мл белый S2</t>
  </si>
  <si>
    <t>皂液器 500 毫升白色 S2</t>
  </si>
  <si>
    <t>Бумажная тарелка белая 180 мм 50 шт</t>
  </si>
  <si>
    <t>白纸盘 180 毫米 50 件</t>
  </si>
  <si>
    <t>Бумажная тарелка белая 230 мм 50 шт</t>
  </si>
  <si>
    <t>白纸盘 230 毫米 50 个</t>
  </si>
  <si>
    <t>Гель для удаления засоров UNICUM Торнадо Delicat 500 мл</t>
  </si>
  <si>
    <t>清除堵塞的凝胶 UNICUM Tornado Delicat 500 毫升</t>
  </si>
  <si>
    <t>Спрей для чистки плитки и плиточных швов Unicum 500 мл</t>
  </si>
  <si>
    <t>用于清洁瓷砖和瓷砖接缝的喷雾剂 Unicum 500 毫升</t>
  </si>
  <si>
    <t>Соусницы 50 мл СТ 100 шт</t>
  </si>
  <si>
    <t>酱菜 50 ml CT 100 pcs</t>
  </si>
  <si>
    <t>Тряпка из микрофибры 50 х 60 см 250 пл зеленая</t>
  </si>
  <si>
    <t>超细纤维布 50 x 60 cm 250 pl 绿色</t>
  </si>
  <si>
    <t>Тряпка из микрофибры 50 х 60 см 250 пл красная</t>
  </si>
  <si>
    <t>超细纤维布 50 x 60 cm 250 pl 红色</t>
  </si>
  <si>
    <t>Стакан 200 мл ПП Белые 100 шт</t>
  </si>
  <si>
    <t>玻璃 200 毫升 PP 白色 100 件</t>
  </si>
  <si>
    <t>Перчатки х/б желные с оранжевым вспененным покрытием TR-794 р-р 10</t>
  </si>
  <si>
    <t>带橙色泡沫涂层的棉黄色手套 TR-794，尺寸 10</t>
  </si>
  <si>
    <t>Перчатки хозяйственные латексные Komfi Биколор р-р M</t>
  </si>
  <si>
    <t>乳胶家用手套 Komfi Bicolor solution M</t>
  </si>
  <si>
    <t>Перчатки хозяйственные латексные Komfi Биколор р-р L</t>
  </si>
  <si>
    <t>乳胶家用手套 Komfi Bicolor solution L</t>
  </si>
  <si>
    <t>Перчатки полиэтиленовые Libry Лайт р-р L 100 шт</t>
  </si>
  <si>
    <t>聚乙烯手套 Libry Light solution L 100 件</t>
  </si>
  <si>
    <t>Нитровиниловые перчатки Libry р-р L 100 шт</t>
  </si>
  <si>
    <t>Libry 硝基乙烯基手套溶液 L 100 件</t>
  </si>
  <si>
    <t>Лента ПВХ для разметки US200 желто-черная 50 мм х 33 м</t>
  </si>
  <si>
    <t>用于标记 US200 黄黑色 50 mm х 33 m 的 PVC 胶带</t>
  </si>
  <si>
    <t>Сменный блок для освежителя воздуха Glade Automatic Гавайский бриз 269 мл</t>
  </si>
  <si>
    <t>空气清新剂补充装 Glade 自动夏威夷微风 269 毫升</t>
  </si>
  <si>
    <t>Шпагат полипропиленовый некрученый 1000 ТЕКС</t>
  </si>
  <si>
    <t>无捻聚丙烯麻线 1000 TEKS</t>
  </si>
  <si>
    <t>Термометр комнатный ТСК-7</t>
  </si>
  <si>
    <t>室温计 TSK-7</t>
  </si>
  <si>
    <t>Термометр цифровой кухонный</t>
  </si>
  <si>
    <t>数字厨房温度计</t>
  </si>
  <si>
    <t>Средство чистящее Суржа-Ультра 500 г</t>
  </si>
  <si>
    <t>清洁剂 Surzha-Ultra 500 克</t>
  </si>
  <si>
    <t>Средство чистящее для сантехники Sanfor Универсал Лимонная свежесть 750 г</t>
  </si>
  <si>
    <t>Sanfor 万能洁具清洁剂 Lemon Fresh 750 克</t>
  </si>
  <si>
    <t>Бумага туалетная Zewa Deluxe белая pure wite 4 шт</t>
  </si>
  <si>
    <t>卫生纸 Zewa Deluxe 白色纯白色 4 片</t>
  </si>
  <si>
    <t>Пакет-майка ПНД 45 x 18х68х22 тип 2 белая</t>
  </si>
  <si>
    <t>T 恤包 PND 45 x 18x68x22 type 2 白色</t>
  </si>
  <si>
    <t>Салфетки бумажные Protissue С229 белые 100 шт</t>
  </si>
  <si>
    <t>餐巾纸 Protissue С229 白色 100 片</t>
  </si>
  <si>
    <t>Бумага туалетная НОВИНКА для диспенсеров 180 м</t>
  </si>
  <si>
    <t>用于饮水机的新卫生纸 180 m</t>
  </si>
  <si>
    <t>Размешиватель деревянный 140 х 5 х 1,35 1000 шт</t>
  </si>
  <si>
    <t>搅拌器木制 140 х 5 х 1.35 1000 件</t>
  </si>
  <si>
    <t>Размешиватель деревянный 178 х 6 х 1,6 1000 шт</t>
  </si>
  <si>
    <t>木制搅拌器 178 x 6 x 1.6 1000 个</t>
  </si>
  <si>
    <t>Термометр для холодильных и морозильных камер ТС-7АМ</t>
  </si>
  <si>
    <t>冷藏室和冷冻室温度计 TS-7AM</t>
  </si>
  <si>
    <t>Средство для труб СуперКрот 5 л</t>
  </si>
  <si>
    <t>管道 SuperKrot 5 l 方法</t>
  </si>
  <si>
    <t>Шампунь для ручной стирки ковров Vanish 450 мл</t>
  </si>
  <si>
    <t>Vanish 地毯洗手洗发水 450 毫升</t>
  </si>
  <si>
    <t>Держатель мопа крепление карман 50 см NPK192</t>
  </si>
  <si>
    <t>拖把支架安装口袋 50 厘米 NPK192</t>
  </si>
  <si>
    <t>Пика AVIORA Булава 400 шт в ПВХ упаковке</t>
  </si>
  <si>
    <t>Pica AVIORA Mace 400 件 PVC 包装</t>
  </si>
  <si>
    <t>Средство для мытья посуды Бависнаб 1 л</t>
  </si>
  <si>
    <t>洗碗液 Bavisnab 1 升</t>
  </si>
  <si>
    <t>Средство для мытья полов и стен WISE в ассортименте 1 л</t>
  </si>
  <si>
    <t>清洁地板和墙壁的装置 WISE，1 升</t>
  </si>
  <si>
    <t>Лезвие к скребку для пола YJ494</t>
  </si>
  <si>
    <t>地板刮刀 YJ494</t>
  </si>
  <si>
    <t>Салфетки бумажные Комфорт 100 шт</t>
  </si>
  <si>
    <t>餐巾纸 Comfort 100 片</t>
  </si>
  <si>
    <t>Автоматический освежитель воздуха Glade Automatic Пряное настроение 269 мл</t>
  </si>
  <si>
    <t>Glade 自动空气清新剂 Spicy Mood 269 毫升</t>
  </si>
  <si>
    <t>Моп Трио УльтраСпид Про 40 см</t>
  </si>
  <si>
    <t>Mop Trio UltraSpeed Pro 40 厘米</t>
  </si>
  <si>
    <t>Маски 3-х слойные AnSo 50 шт</t>
  </si>
  <si>
    <t>口罩 3 层 AnSo 50 片</t>
  </si>
  <si>
    <t>Перчатки резиновые Practi Extra Dry р-р S</t>
  </si>
  <si>
    <t>橡胶手套 Practi Extra Dry solution S</t>
  </si>
  <si>
    <t>Щетка-утюжок большая Щ400</t>
  </si>
  <si>
    <t>大铁刷SCH400</t>
  </si>
  <si>
    <t>Миска биоразлагаемая 480 мл целлюлозное волокно 50 шт</t>
  </si>
  <si>
    <t>可生物降解碗 480 毫升纤维素纤维 50 件</t>
  </si>
  <si>
    <t>Тарелка биоразлагаемая 180 мм целлюлозное волокно 50 шт</t>
  </si>
  <si>
    <t>可生物降解板 180 毫米纤维素纤维 50 个</t>
  </si>
  <si>
    <t>Тарелка биоразлагаемая 230 мм целлюлозное волокно 50 шт</t>
  </si>
  <si>
    <t>可生物降解板 230 毫米纤维素纤维 50 个</t>
  </si>
  <si>
    <t>Лоток для хот-догов 165 х 70 х 40 мм 600 шт</t>
  </si>
  <si>
    <t>热狗托盘 165 x 70 x 40 毫米 600 个</t>
  </si>
  <si>
    <t>Мыло туалетное Банное без упаковки 100 г</t>
  </si>
  <si>
    <t>马桶皂浴无包装 100 克</t>
  </si>
  <si>
    <t>Ведро 1 л прозрачное с крышкой h-120 d-130 270 шт</t>
  </si>
  <si>
    <t>透明桶 1 l 带盖 h-120 d-130 270 个</t>
  </si>
  <si>
    <t>Мочалка для посуды металлическая 12 шт на блистере</t>
  </si>
  <si>
    <t>洗碗机，金属 12 件装在泡罩上</t>
  </si>
  <si>
    <t>Контейнер черный К-144 375 мл СТ 50 шт</t>
  </si>
  <si>
    <t>黑色容器 K-144 375 ml CT 50 pcs</t>
  </si>
  <si>
    <t>Крышка для контейнера К-144 К СТ 50 шт</t>
  </si>
  <si>
    <t>容器盖 K-144 K ST 50 个</t>
  </si>
  <si>
    <t>Пакет-майка ПНД 28х14х50 белая 8 мк 100 шт</t>
  </si>
  <si>
    <t>T 恤包 PND 28x14x50 白色 8 马克 100 件</t>
  </si>
  <si>
    <t>Бумага для выпекания силиконизированная в листах 40 х 60 см</t>
  </si>
  <si>
    <t>硅化烘焙纸 40 x 60 厘米</t>
  </si>
  <si>
    <t>Жидкое мыло AJM STANDART 5 л</t>
  </si>
  <si>
    <t>液体皂 AJM STANDART 5 l</t>
  </si>
  <si>
    <t>Сменный блок для освежителя воздуха Air Wick Королевский Десерт 250 мл</t>
  </si>
  <si>
    <t>Air Wick 空气清新剂皇家甜点补充装 250 毫升</t>
  </si>
  <si>
    <t>Мыло жидкое SYNERGETIC биоразлагаемое Миндальное молочко 500 мл</t>
  </si>
  <si>
    <t>SYNERGETIC 液体皂可生物降解杏仁奶 500 毫升</t>
  </si>
  <si>
    <t>Мыло жидкое SYNERGETIC биоразлагаемое Полевые цветы 500 мл</t>
  </si>
  <si>
    <t>SYNERGETIC 液体皂可生物降解野花 500 毫升</t>
  </si>
  <si>
    <t>Мыло жидкое SYNERGETIC биоразлагаемое Фруктовый микс 500 мл</t>
  </si>
  <si>
    <t>SYNERGETIC 液体皂可生物降解水果混合 500 毫升</t>
  </si>
  <si>
    <t>Кондиционер для белья SYNERGETIC Миндальное молочко 1 л</t>
  </si>
  <si>
    <t>SYNERGETIC 织物柔软剂杏仁奶 1L</t>
  </si>
  <si>
    <t>Кондиционер для белья SYNERGETIC Цитрусовая фантазия 1 л</t>
  </si>
  <si>
    <t>SYNERGETIC 织物柔软剂 Citrus Fantasy 1 L</t>
  </si>
  <si>
    <t>Стиральный порошок SYNERGETIC в стиках 4 стирки</t>
  </si>
  <si>
    <t>SYNERGETIC 洗衣粉棒 4 次洗涤</t>
  </si>
  <si>
    <t>Пятновыводитель-отбеливатель SYNERGETIC с активным кислородом 4 стирки</t>
  </si>
  <si>
    <t>SYNERGETIC 活性氧漂白去污剂 4 次洗涤</t>
  </si>
  <si>
    <t>Средство для пола SYNERGETIC Сила океана 1 л</t>
  </si>
  <si>
    <t>SYNERGETIC 地板清洁剂 Ocean Power 1 L</t>
  </si>
  <si>
    <t>Средство для пола SYNERGETIC Цитрусовая свежесть1 л</t>
  </si>
  <si>
    <t>SYNERGETIC 地板清洁剂柑橘清新 1 L</t>
  </si>
  <si>
    <t>Средство для мытья посуды SYNERGETIC Апельсин 1 л</t>
  </si>
  <si>
    <t>SYNERGETIC 橙色洗碗液 1 L</t>
  </si>
  <si>
    <t>Средство для мытья посуды SYNERGETIC Арбуз 1 л</t>
  </si>
  <si>
    <t>SYNERGETIC 西瓜洗碗液 1 L</t>
  </si>
  <si>
    <t>Средство для мытья посуды SYNERGETIC Лимон 1 л</t>
  </si>
  <si>
    <t>SYNERGETIC 洗碗液柠檬 1 L</t>
  </si>
  <si>
    <t>Антибактериальный гель SYNERGETIC для сантехники Сказочная чистота 700 мл</t>
  </si>
  <si>
    <t>SYNERGETIC 洁具抗菌凝胶 极好的纯度 700 毫升</t>
  </si>
  <si>
    <t>Перчатки латексные Household Gloves р-р L 100 шт</t>
  </si>
  <si>
    <t>乳胶手套家用手套解决方案 L 100 件</t>
  </si>
  <si>
    <t>Перчатки полиэтиленовые Libry Лайт р-р M 100 шт</t>
  </si>
  <si>
    <t>聚乙烯手套 Libry Light solution M 100 件</t>
  </si>
  <si>
    <t>Перчатки латексные Household GLoves повышенной прочности р-р XL 50 шт</t>
  </si>
  <si>
    <t>乳胶手套家用手套增加强度，解决方案 XL 50 件</t>
  </si>
  <si>
    <t>Перчатки Libry Household Gloves нитровиниловые р-р XL 100 шт</t>
  </si>
  <si>
    <t>Libry 家用手套，硝基乙烯基，XL 溶液，100 件</t>
  </si>
  <si>
    <t>Освежитель воздуха До-Ре-Ми Премиум Клубника со сливками 250 мл</t>
  </si>
  <si>
    <t>空气清新剂 Do-Re-Mi 优质草莓奶油 250 毫升</t>
  </si>
  <si>
    <t>Освежитель воздуха До-Ре-Ми Премиум Грейпфрукт фреш 250 мл</t>
  </si>
  <si>
    <t>空气清新剂 Do-Re-Mi 优质葡萄柚新鲜 250 毫升</t>
  </si>
  <si>
    <t>Мешки для мусора Mirpack ПВД Premium+ 180 л 35 мкм 10 шт</t>
  </si>
  <si>
    <t>垃圾袋 Mirpack LDPE Premium + 180 l 35 微米 10 个</t>
  </si>
  <si>
    <t>Сетевой фильтр Pilot 5bites SP5B-118 5S 1.8 м</t>
  </si>
  <si>
    <t>电涌保护器 Pilot 5bites SP5B-118 5S 1.8 m</t>
  </si>
  <si>
    <t>Сетевой фильтр Pilot 5bites SP5B-130 5S 3 м</t>
  </si>
  <si>
    <t>电涌保护器 Pilot 5bites SP5B-130 5S 3 m</t>
  </si>
  <si>
    <t>Сетевой фильтр Pilot 5bites SP5B-150 5S 5 м</t>
  </si>
  <si>
    <t>电涌保护器 Pilot 5bites SP5B-150 5S 5 m</t>
  </si>
  <si>
    <t>Крем-мыло Смартикон 500 мл</t>
  </si>
  <si>
    <t>奶油皂 Smartcon 500 毫升</t>
  </si>
  <si>
    <t>Сменный блок для освежителя воздуха Air Wick Утро в лесу 250 мл</t>
  </si>
  <si>
    <t>Air Wick 空气清新剂 Morning in the Forest 补充装 250 毫升</t>
  </si>
  <si>
    <t>Покрытия одноразовые PATERRA на унитаз 1/2 сложения 250 шт</t>
  </si>
  <si>
    <t>一次性覆盖物 PATERRA 马桶 1/2 附加 250 件</t>
  </si>
  <si>
    <t>Гель QUICK для стирки белья универсал 3 л</t>
  </si>
  <si>
    <t>QUICK 洗衣服手推车凝胶 3 升</t>
  </si>
  <si>
    <t>Гель QUICK для стирки белья универсал 1,5 л</t>
  </si>
  <si>
    <t>QUICK 凝胶用于洗衣车 1,5 升</t>
  </si>
  <si>
    <t>Антисептик для обработки рук Септаль с дозатором 500 мл</t>
  </si>
  <si>
    <t>用分配器 500 毫升处理手隔膜的防腐剂</t>
  </si>
  <si>
    <t>Бумага туалетная Veiro Professional Premium Т309 3-сл 8 рул</t>
  </si>
  <si>
    <t>卫生纸 Veiro Professional Premium T309 3-sl 8 卷</t>
  </si>
  <si>
    <t>Бумага туалетная Veiro Professional Comfort Т201 1-сл</t>
  </si>
  <si>
    <t>卫生纸 Veiro Professional Comfort T201 1-cl</t>
  </si>
  <si>
    <t>Бумага туалетная в средних рулонах Veiro Professional Comfort Т206 2-сл</t>
  </si>
  <si>
    <t>中卷卫生纸 Veiro Professional Comfort T206 2-sl</t>
  </si>
  <si>
    <t>Бумага туалетная 50 м сэз28</t>
  </si>
  <si>
    <t>卫生纸 50 m sez28</t>
  </si>
  <si>
    <t>Крем-мыло Роса Весенний букет фиалка и молоко 500 мл</t>
  </si>
  <si>
    <t>奶油皂罗莎春天花束紫罗兰和牛奶 500 毫升</t>
  </si>
  <si>
    <t>Средство для мытья посуды Frosch Зеленый лимон 500 мл</t>
  </si>
  <si>
    <t>洗碗液 Frosch Green 柠檬 500 毫升</t>
  </si>
  <si>
    <t>Средство чистящее WC-GEL для туалетных и ванных комнат 750 мл</t>
  </si>
  <si>
    <t>厕所和浴室清洁剂 WC-GEL 750 毫升</t>
  </si>
  <si>
    <t>Перчатки нитриловы Semperguard Sapphire р-р M голубые 200 шт</t>
  </si>
  <si>
    <t>Semperguard 蓝宝石丁腈手套，M 溶液，蓝色 200 件</t>
  </si>
  <si>
    <t>Перчатки нитриловы Semperguard Sapphire р-р XL голубые 160 шт</t>
  </si>
  <si>
    <t>丁腈手套 Semperguard Sapphire XL 溶液蓝色 160 件</t>
  </si>
  <si>
    <t>Средство для мытья полов и стен WISE Frosty fresh 1 л</t>
  </si>
  <si>
    <t>清洁地板和墙壁的方法 WISE Frosty fresh 1 l</t>
  </si>
  <si>
    <t>Средство для мытья полов и стен WISE Lavender fresh 1 л</t>
  </si>
  <si>
    <t>清洁地板和墙壁的方法 WISE Lavender fresh 1 l</t>
  </si>
  <si>
    <t>Клейкая лента Klebebander 50 мм прозрачная 40 мкм</t>
  </si>
  <si>
    <t>Klebebander 胶带 50 毫米透明 40 微米</t>
  </si>
  <si>
    <t>Зубочистки Komfi в банке 500 шт</t>
  </si>
  <si>
    <t>一罐 500 件装的牙签 Komfi</t>
  </si>
  <si>
    <t>Toothpicks Komfi in a can of 500 pieces</t>
  </si>
  <si>
    <t>Рулетка измерительная 5м 19 мм желтая 2 фиксатора, корпус SoftTouch</t>
  </si>
  <si>
    <t>卷尺 5 m 19 mm 黄色 2 个夹子，SoftTouch 主体</t>
  </si>
  <si>
    <t>Measuring tape 5 m 19 mm yellow 2 clips, SoftTouch body</t>
  </si>
  <si>
    <t>Light-stabilized polypropylene twine 1000 TEX 1000 m</t>
  </si>
  <si>
    <t>Сетка упаковочная для ёлок Белсетка Р6</t>
  </si>
  <si>
    <t>圣诞树包装网 Belsetka R6</t>
  </si>
  <si>
    <t>Packing net for Christmas trees Belsetka R6</t>
  </si>
  <si>
    <t>Кондиционер для белья Vernel Ароматерапия Вдохновения Белый Пион и Масло Хлопка 910 мл</t>
  </si>
  <si>
    <t>Vernel 织物柔软剂香薰灵感白牡丹和棉油 910 毫升</t>
  </si>
  <si>
    <t>Vernel Fabric Softener Aromatherapy Inspiration White Peony &amp; Cotton Oil 910 ml</t>
  </si>
  <si>
    <t>Одноразовые кондитерские мешки Komfi для крема 10 шт</t>
  </si>
  <si>
    <t>一次性糕点袋 Komfi 奶油 10 件</t>
  </si>
  <si>
    <t>Disposable pastry bags Komfi for cream 10 pcs</t>
  </si>
  <si>
    <t>Держатель для мопов 50 см карман NP192</t>
  </si>
  <si>
    <t>拖把架 50 厘米口袋 NP192</t>
  </si>
  <si>
    <t>Mop holder 50 cm pocket NP192</t>
  </si>
  <si>
    <t>Чехлы для одежды Komfi 60х145 см 5 шт</t>
  </si>
  <si>
    <t>Komfi 衣服套 60x145 厘米 5 件</t>
  </si>
  <si>
    <t>Covers for Komfi clothes 60x145 cm 5 pieces</t>
  </si>
  <si>
    <t>Веник Сорго 3-х прошивной</t>
  </si>
  <si>
    <t>高粱扫帚3针</t>
  </si>
  <si>
    <t>Sorghum broom 3-stitched</t>
  </si>
  <si>
    <t>Перчатки виниловые неопудренные 5Assist Vinyl р-р L 100 шт</t>
  </si>
  <si>
    <t>无粉乙烯基手套 5Assist Vinyl solution L 100 件</t>
  </si>
  <si>
    <t>Powder-free vinyl gloves 5Assist Vinyl solution L 100 pcs</t>
  </si>
  <si>
    <t>Packaging fabric 01S3-SHR 110 cm</t>
  </si>
  <si>
    <t>Vinyl gloves, disposable, solution L, 100 pieces</t>
  </si>
  <si>
    <t>Держатель для мопа УльтраСпин Мини Vilenda синий</t>
  </si>
  <si>
    <t>拖把架 UltraSpin Mini Vilenda 蓝色</t>
  </si>
  <si>
    <t>Mop holder UltraSpin Mini Vilenda blue</t>
  </si>
  <si>
    <t>Сменный блок для освежителя воздуха Glade Automatic Свежесть белья 269 мл</t>
  </si>
  <si>
    <t>格莱德自动空气清新剂补充装置 衣物清新度 269 毫升</t>
  </si>
  <si>
    <t>Refill unit for Glade Automatic air freshener Freshness of laundry 269 ml</t>
  </si>
  <si>
    <t>Крышка для горячих напитков 90 мм с клапаном-заглушкой прозрачная 100 шт</t>
  </si>
  <si>
    <t>热饮热盖 90 毫米带旋塞阀，透明 100 件</t>
  </si>
  <si>
    <t>Hot lid for hot drinks 90 mm with plug valve, transparent 100 pcs</t>
  </si>
  <si>
    <t>Крышка для горячих напитков 90 мм с клапаном-заглушкой белая 100 шт</t>
  </si>
  <si>
    <t>热饮热盖 90 毫米，带截止阀，白色 100 件</t>
  </si>
  <si>
    <t>Hot lid for hot drinks 90 mm with blanking valve white 100 pcs</t>
  </si>
  <si>
    <t>Жидкость незамерзающая стеклоомывающая 5 л</t>
  </si>
  <si>
    <t>防冻挡风玻璃清洗液 5 l</t>
  </si>
  <si>
    <t>Anti-freeze windshield washer fluid 5 l</t>
  </si>
  <si>
    <t>Перчатки трикотажные 10 класс с ПВХ черные 5/150-нитка</t>
  </si>
  <si>
    <t>10 级 PVC 黑色 5/150 线针织手套</t>
  </si>
  <si>
    <t>Knitted gloves grade 10 with PVC black 5/150-thread</t>
  </si>
  <si>
    <t>Non-twisted polypropylene thread (twine) 1000 TEX on a spool 5 kg (+/- 10%)</t>
  </si>
  <si>
    <t>Thread (twine) polypropylene 1000 TEX dyed NFZO on a spool</t>
  </si>
  <si>
    <t>Dishwashing liquid Apple 5 l</t>
  </si>
  <si>
    <t>Контейнер для супа 500 мл из сахарного тростника 50 шт</t>
  </si>
  <si>
    <t>甘蔗汤容器 500 毫升 50 个</t>
  </si>
  <si>
    <t>Sugarcane soup container 500 ml 50 pcs</t>
  </si>
  <si>
    <t>Cleaning agent Surzha-Ultra 500 g</t>
  </si>
  <si>
    <t>Диспенсер для полотенец с центральной вытяжкой Vialli белый</t>
  </si>
  <si>
    <t>Vialli 中央吸水毛巾架 白色</t>
  </si>
  <si>
    <t>Vialli central draft towel dispenser white</t>
  </si>
  <si>
    <t>Салфетка из микрофибры 29х29 см черная</t>
  </si>
  <si>
    <t>超细纤维餐巾纸 29x29 厘米黑色</t>
  </si>
  <si>
    <t>Microfiber napkin 29x29 cm black</t>
  </si>
  <si>
    <t>Тряпка из микрофибры Стандарт 60 х 80 см 250 пл красная</t>
  </si>
  <si>
    <t>超细纤维布 标准 60 x 80 cm 250 pl 红色</t>
  </si>
  <si>
    <t>Microfiber cloth Standard 60 x 80 cm 250 pl red</t>
  </si>
  <si>
    <t>Тряпка из микрофибры Стандарт 60 х 80 см желтая</t>
  </si>
  <si>
    <t>超细纤维布 标准 60 x 80 cm 黄色</t>
  </si>
  <si>
    <t>Microfiber cloth Standard 60 x 80 cm yellow</t>
  </si>
  <si>
    <t>Ручка гелевая Attache Economy 0,5 мм черный стержень</t>
  </si>
  <si>
    <t>中性笔经济型 0.5 毫米黑色笔芯</t>
  </si>
  <si>
    <t>Gel pen Attache Economy 0.5 mm black refill</t>
  </si>
  <si>
    <t>Тряпка из микрофибры Lemon Moon 50 х 60 см 250 г/м2 голубая M250F3</t>
  </si>
  <si>
    <t>Lemon Moon 超细纤维布 50 х 60 cm 250 g/m2 蓝色 M250F3</t>
  </si>
  <si>
    <t>Lemon Moon microfiber cloth 50 х 60 cm 250 g / m2 blue M250F3</t>
  </si>
  <si>
    <t>Мешки для мусора Властелин Мешков сверхпрочные 240 л 10 шт</t>
  </si>
  <si>
    <t>垃圾袋 Lord of Bags 重型 240 升 10 个</t>
  </si>
  <si>
    <t>Garbage bags Lord of Bags heavy-duty 240 l 10 pcs</t>
  </si>
  <si>
    <t>Мыло туалетное Ординарное нейтральное 100 г</t>
  </si>
  <si>
    <t>香皂普通中性100克</t>
  </si>
  <si>
    <t>Toilet soap ordinary neutral 100 g</t>
  </si>
  <si>
    <t>Папка-регистратор 50 мм ПВХ ЭКО А4 темно-зеленый</t>
  </si>
  <si>
    <t>文件夹 50 毫米 PVC ECO A4 深绿色</t>
  </si>
  <si>
    <t>File folder 50 mm PVC ECO A4 dark green</t>
  </si>
  <si>
    <t>Папка-регистратор 50 мм ПВХ ЭКО А4 ярко-синяя</t>
  </si>
  <si>
    <t>文件夹 50 毫米 PVC ECO A4 亮蓝色</t>
  </si>
  <si>
    <t>File folder 50 mm PVC ECO A4 bright blue</t>
  </si>
  <si>
    <t>Папка-регистратор 75 мм ПВХ ЭКО А4 фиолетовая</t>
  </si>
  <si>
    <t>Registrar 75 毫米 PVC ECO A4 紫色</t>
  </si>
  <si>
    <t>Registrar 75 mm PVC ECO A4 purple</t>
  </si>
  <si>
    <t>Ручка шариковая Luxor Ranger 1 мм стержень синий корпус прозрачный</t>
  </si>
  <si>
    <t>圆珠笔 Luxor Ranger 1 毫米笔芯蓝色笔身透明</t>
  </si>
  <si>
    <t>Ballpoint pen Luxor Ranger 1 mm refill blue body transparent</t>
  </si>
  <si>
    <t>Карандаш чернографитный Attache НВ зеленый</t>
  </si>
  <si>
    <t>黑色铅笔随员 HB 绿色</t>
  </si>
  <si>
    <t>Black lead pencil Attache HB green</t>
  </si>
  <si>
    <t>Маркер перманентный Attache Economy черный 2-3 мм</t>
  </si>
  <si>
    <t>永久性记号笔 Attache Economy 黑色 2-3 毫米</t>
  </si>
  <si>
    <t>Permanent marker Attache Economy black 2-3 mm</t>
  </si>
  <si>
    <t>Папка-скоросшиватель OfficeSpace А4 120 мкм зеленая</t>
  </si>
  <si>
    <t>活页夹 OfficeSpace A4 120 微米 绿色</t>
  </si>
  <si>
    <t>Binder folder OfficeSpace A4 120 microns green</t>
  </si>
  <si>
    <t>Дырокол RAION 600G NEW 22 листа линейка черный</t>
  </si>
  <si>
    <t>Puncher RAION 600G 全新 22 张直尺黑色</t>
  </si>
  <si>
    <t>Puncher RAION 600G NEW 22 sheets ruler black</t>
  </si>
  <si>
    <t>Скобы Raion 10-1М 1000 шт</t>
  </si>
  <si>
    <t>Raion 10-1M 订书钉 1000 件</t>
  </si>
  <si>
    <t>Raion 10-1M staples 1000 pieces</t>
  </si>
  <si>
    <t>Зажимы для бумаг 32 мм Attache Economy черные 12 шт</t>
  </si>
  <si>
    <t>活页夹 32 毫米附件经济型黑色 12 个</t>
  </si>
  <si>
    <t>Binder clips 32 mm Attache Economy black 12 pcs</t>
  </si>
  <si>
    <t>Зажимы для бумаг 51 мм Attache Economy черные 12 шт</t>
  </si>
  <si>
    <t>活页夹 51 毫米附件经济型黑色 12 个</t>
  </si>
  <si>
    <t>Binder clips 51 mm Attache Economy black 12 pcs</t>
  </si>
  <si>
    <t>Самоклеящийся блок OfficeSpace зеленый 76х76 мм 100 л</t>
  </si>
  <si>
    <t>自粘块办公空间绿色 76x76 毫米 100 升</t>
  </si>
  <si>
    <t>Self-adhesive block OfficeSpace green 76x76 mm 100 l</t>
  </si>
  <si>
    <t>Флажки-закладки бумажные Attache 4 цвета 12х50 мм х 25 л</t>
  </si>
  <si>
    <t>旗帜书签纸随员 4 种颜色 12x50 毫米 x 25 升</t>
  </si>
  <si>
    <t>Flags-bookmarks paper Attache 4 colors 12x50 mm x 25 l</t>
  </si>
  <si>
    <t>Тетрадь А4 96 л клетка OfficeSpace бумвинил эконом</t>
  </si>
  <si>
    <t>笔记本 A4 96 l OfficeSpace 笼 bumvinit 经济</t>
  </si>
  <si>
    <t>Notebook A4 96 l OfficeSpace cage bumvinit economy</t>
  </si>
  <si>
    <t>Тетрадь А5 48 л клетка Королевские акулы в ассортименте</t>
  </si>
  <si>
    <t>笔记本 A5 48 升笼王鲨分类</t>
  </si>
  <si>
    <t>Notebook A5 48 l cage King sharks in assortment</t>
  </si>
  <si>
    <t>Ежедневник недатированный A5 128 л синий Attache Economy</t>
  </si>
  <si>
    <t>日记未注明日期 A5 128 l 蓝色随员经济</t>
  </si>
  <si>
    <t>Diary undated A5 128 l blue Attache Economy</t>
  </si>
  <si>
    <t>Клей ПВА Attache Economy 85 г</t>
  </si>
  <si>
    <t>PVA 胶水附加经济 85 克</t>
  </si>
  <si>
    <t>PVA glue Attache Economy 85 g</t>
  </si>
  <si>
    <t>Клейкая лента Berlingo 19 мм х 33 м 38 мкм</t>
  </si>
  <si>
    <t>Berlingo 胶带 19 mm х 33 m 38 微米</t>
  </si>
  <si>
    <t>Berlingo adhesive tape 19 mm х 33 m 38 microns</t>
  </si>
  <si>
    <t>Точилка пластиковая ArtSpace 1 отверстие с контейнером ассорти</t>
  </si>
  <si>
    <t>塑料磨刀器 ArtSpace 1 孔带容器什锦</t>
  </si>
  <si>
    <t>Plastic sharpener ArtSpace 1 hole with container assorted</t>
  </si>
  <si>
    <t>Ластик Attache Economy каучук термопластичный 25х17х6 мм прямоугольный белый</t>
  </si>
  <si>
    <t>随员经济橡皮擦热塑性橡胶 25x17x6 毫米矩形白色</t>
  </si>
  <si>
    <t>Attache Economy eraser thermoplastic rubber 25x17x6 mm rectangular white</t>
  </si>
  <si>
    <t>Ножницы 19,5 см Attache с эргономичными ручками</t>
  </si>
  <si>
    <t>剪刀 19.5 厘米附件，带符合人体工程学的手柄</t>
  </si>
  <si>
    <t>Scissors 19.5 cm Attache with ergonomic handles</t>
  </si>
  <si>
    <t>Нож канцелярский Attache 18 мм с фиксатором и направляющими</t>
  </si>
  <si>
    <t>文具刀附件 18 毫米，带锁和导轨</t>
  </si>
  <si>
    <t>Stationery knife Attache 18 mm with a lock and guides</t>
  </si>
  <si>
    <t>Лезвия для ножей Attache Эконом 18 мм</t>
  </si>
  <si>
    <t>经济型 18 mm 随附刀具刀片</t>
  </si>
  <si>
    <t>Blades for Attache knives Economy 18 mm</t>
  </si>
  <si>
    <t>Калькулятор 12р Attache ATC-888-12F черный настольный полноразмерный</t>
  </si>
  <si>
    <t>12p 附件 ATC-888-12F 计算器黑色桌面全尺寸</t>
  </si>
  <si>
    <t>12p Attache ATC-888-12F calculator black desktop full-size</t>
  </si>
  <si>
    <t>Линейка School пластиковая 20 см желтая</t>
  </si>
  <si>
    <t>Ruler School 塑料 20 cm 黄色</t>
  </si>
  <si>
    <t>Ruler School plastic 20 cm yellow</t>
  </si>
  <si>
    <t>Ручка шариковая автоматическая Luxor Micra X2 0,7 мм стержень синий корпус ассорти</t>
  </si>
  <si>
    <t>圆珠笔自动 Luxor Micra X2 0.7 毫米笔芯蓝色身体各式</t>
  </si>
  <si>
    <t>Ballpoint pen automatic Luxor Micra X2 0.7 mm refill blue body assorted</t>
  </si>
  <si>
    <t>Скобы Raion 24/6-1М 1000 шт</t>
  </si>
  <si>
    <t>Raion 订书钉 24 / 6-1M 1000 件</t>
  </si>
  <si>
    <t>Raion staples 24 / 6-1M 1000 pieces</t>
  </si>
  <si>
    <t>Самоклеящийся блок OfficeSpace голубой 76х76 мм 100 л</t>
  </si>
  <si>
    <t>自粘块 OfficeSpace 蓝色 76x76 毫米 100 升</t>
  </si>
  <si>
    <t>Self-adhesive block OfficeSpace blue 76x76 mm 100 l</t>
  </si>
  <si>
    <t>Антистеплер RAION MOD-SRL-45 зеленый</t>
  </si>
  <si>
    <t>去钉器 RAION MOD-SRL-45 绿色</t>
  </si>
  <si>
    <t>Staple remover RAION MOD-SRL-45 green</t>
  </si>
  <si>
    <t>Дырокол RAION 600G NEW 22 листа линейка синий</t>
  </si>
  <si>
    <t>Puncher RAION 600G 全新 22 张尺子蓝色</t>
  </si>
  <si>
    <t>Puncher RAION 600G NEW 22 sheets ruler blue</t>
  </si>
  <si>
    <t>Линейка Attache Economy пластиковая 30 см черная</t>
  </si>
  <si>
    <t>经济型塑料直尺 30 厘米黑色</t>
  </si>
  <si>
    <t>Attache Economy plastic ruler 30 cm black</t>
  </si>
  <si>
    <t>Ножницы 16,9 см Attache с эргономичными ручками</t>
  </si>
  <si>
    <t>剪刀 16.9 厘米附件，带符合人体工程学的手柄</t>
  </si>
  <si>
    <t>Scissors 16.9 cm Attache with ergonomic handles</t>
  </si>
  <si>
    <t>Ножницы 21,5 см Attache с эргономичными ручками</t>
  </si>
  <si>
    <t>剪刀 21.5 厘米附件，带符合人体工程学的手柄</t>
  </si>
  <si>
    <t>Scissors 21.5 cm Attache with ergonomic handles</t>
  </si>
  <si>
    <t>Нож канцелярский Attache Economy 18 мм с фиксатором</t>
  </si>
  <si>
    <t>文具刀 Attache Economy 18 毫米带锁</t>
  </si>
  <si>
    <t>Stationery knife Attache Economy 18 mm with a lock</t>
  </si>
  <si>
    <t>Ручка гелевая Attache Economy 0,5 мм красный стержень</t>
  </si>
  <si>
    <t>中性笔随员经济 0.5 毫米红色笔芯</t>
  </si>
  <si>
    <t>Gel pen Attache Economy 0.5 mm red refill</t>
  </si>
  <si>
    <t>Ручка гелевая Attache 0,5 мм синий стержень</t>
  </si>
  <si>
    <t>中性笔附件 0.5 毫米蓝色杆</t>
  </si>
  <si>
    <t>Gel pen Attache 0.5 mm blue rod</t>
  </si>
  <si>
    <t>Степлер RAION HDZ-45 на 30 л зеленый неон</t>
  </si>
  <si>
    <t>订书机 RAION HDZ-45 30 l 霓虹绿</t>
  </si>
  <si>
    <t>Stapler RAION HDZ-45 30 l neon green</t>
  </si>
  <si>
    <t>Степлер RAION HDZ-45 на 30 л черный</t>
  </si>
  <si>
    <t>订书机 RAION HDZ-45 30 l 黑色</t>
  </si>
  <si>
    <t>Stapler RAION HDZ-45 30 l black</t>
  </si>
  <si>
    <t>Зажимы для бумаг 19 мм Attache Economy черные 12 шт</t>
  </si>
  <si>
    <t>活页夹 19 毫米附件经济型黑色 12 个</t>
  </si>
  <si>
    <t>Binder clips 19 mm Attache Economy black 12 pcs</t>
  </si>
  <si>
    <t>Средство для мытья твердых поверхностей AJM Белизна-гель 5 л</t>
  </si>
  <si>
    <t>用于清洁硬表面的方法 AJM Whiteness-gel 5 l</t>
  </si>
  <si>
    <t>Means for cleaning hard surfaces AJM Whiteness-gel 5 l</t>
  </si>
  <si>
    <t>Ведро строительное круглое 16 л</t>
  </si>
  <si>
    <t>圆形建筑桶 16 升</t>
  </si>
  <si>
    <t>Round construction bucket 16 l</t>
  </si>
  <si>
    <t>Ведро строительное круглое 20 л</t>
  </si>
  <si>
    <t>圆形建筑桶 20 升</t>
  </si>
  <si>
    <t>Round construction bucket 20 l</t>
  </si>
  <si>
    <t>Ерш туалетный микс MPG961291</t>
  </si>
  <si>
    <t>Ruff 马桶组合 MPG961291</t>
  </si>
  <si>
    <t>Ruff toilet mix MPG961291</t>
  </si>
  <si>
    <t>Черенок для щеток 130 см серебристый</t>
  </si>
  <si>
    <t>刷柄 130 厘米银色</t>
  </si>
  <si>
    <t>Brush handle 130 cm silver</t>
  </si>
  <si>
    <t>Черенок для щеток 130 см синий</t>
  </si>
  <si>
    <t>刷柄 130 cm 蓝色</t>
  </si>
  <si>
    <t>Brush handle 130 cm blue</t>
  </si>
  <si>
    <t>Лезвия к скребку для пола</t>
  </si>
  <si>
    <t>地板刮板刀片</t>
  </si>
  <si>
    <t>Blades for floor scraper</t>
  </si>
  <si>
    <t>Листовые бумажные полотенца Interpaper v-сложения 100% целлюлоза 200 л</t>
  </si>
  <si>
    <t>Interpaper 单张纸巾 V 形折叠 100% 纤维素 200 升</t>
  </si>
  <si>
    <t>Interpaper sheet paper towels v-fold 100% cellulose 200 l</t>
  </si>
  <si>
    <t>Освежитель воздуха До-Ре-Ми Сухое распыление Грейпфрут фреш в ассортименте 330 мл</t>
  </si>
  <si>
    <t>空气清新剂 Do-Re-Mi Dry Spray 葡萄柚新鲜什锦 330 毫升</t>
  </si>
  <si>
    <t>Air freshener Do-Re-Mi Dry spray Grapefruit fresh assorted 330 ml</t>
  </si>
  <si>
    <t>Чистящее средство для сантехники Sanfor Универсал Морской бриз 750 мл</t>
  </si>
  <si>
    <t>Sanfor 万能洁具清洁剂 Sea Breeze 750 毫升</t>
  </si>
  <si>
    <t>Sanfor Universal Sanitary Ware Cleaner Sea Breeze 750 ml</t>
  </si>
  <si>
    <t>Дырокол RAION 600G NEW 22 листа линейка оранжевый</t>
  </si>
  <si>
    <t>Puncher RAION 600G 全新 22 张直尺橙色</t>
  </si>
  <si>
    <t>Puncher RAION 600G NEW 22 sheets ruler orange</t>
  </si>
  <si>
    <t>Корректирующая жидкость OfficeSpace Optimum 15 мл с кисточкой</t>
  </si>
  <si>
    <t>OfficeSpace Optimum Correction Fluid 15 ml 带刷子</t>
  </si>
  <si>
    <t>OfficeSpace Optimum Correction Fluid 15 ml with brush</t>
  </si>
  <si>
    <t>Держатель для четырех стаканов 130 шт</t>
  </si>
  <si>
    <t>四个眼镜架 130 个</t>
  </si>
  <si>
    <t>Holder for four glasses 130 pcs</t>
  </si>
  <si>
    <t>Манжета для стакана 250-500 мл крафт 50 шт</t>
  </si>
  <si>
    <t>用于 250-500 毫升玻璃的袖口，可制作 50 件</t>
  </si>
  <si>
    <t>Cuff for 250-500 ml glass, craft 50 pcs</t>
  </si>
  <si>
    <t>Стакан 250 мл для горячих напитков Желтый В 50 шт</t>
  </si>
  <si>
    <t>玻璃 250 毫升热饮黄色 B 50 件</t>
  </si>
  <si>
    <t>Glass 250 ml for hot drinks Yellow B 50 pcs</t>
  </si>
  <si>
    <t>Стакан 250 мл для горячих напитков Салатовый С 50 шт</t>
  </si>
  <si>
    <t>250 毫升热饮玻璃杯 浅绿色 C 50 件</t>
  </si>
  <si>
    <t>250 ml glass for hot drinks Light green C 50 pcs</t>
  </si>
  <si>
    <t>Стакан 350 мл для горячих напитков Белый В 50 шт</t>
  </si>
  <si>
    <t>热饮杯 350 毫升白色 B 50 件</t>
  </si>
  <si>
    <t>Cup 350 ml for hot drinks White B 50 pcs</t>
  </si>
  <si>
    <t>Стакан 350 мл для горячих напитков Зеленый В 50 шт</t>
  </si>
  <si>
    <t>玻璃 350 毫升热饮绿色 B 50 件</t>
  </si>
  <si>
    <t>Glass 350 ml for hot drinks Green B 50 pcs</t>
  </si>
  <si>
    <t>Стакан 400 мл для горячих напитков Крафт С 50 шт</t>
  </si>
  <si>
    <t>玻璃 400 毫升热饮卡夫 C 50 件</t>
  </si>
  <si>
    <t>Glass 400 ml for hot drinks Kraft C 50 pcs</t>
  </si>
  <si>
    <t>Салфетка из микрофибры Ultra 25х25 см 180 пл зеленая</t>
  </si>
  <si>
    <t>超细纤维餐巾纸 25x25 厘米 180 pl 绿色</t>
  </si>
  <si>
    <t>Microfiber napkin Ultra 25x25 cm 180 pl green</t>
  </si>
  <si>
    <t>Салфетка из микрофибры Ultra 25х25 см 180 пл красная</t>
  </si>
  <si>
    <t>超细纤维餐巾纸 25x25 厘米 180 pl 红色</t>
  </si>
  <si>
    <t>Microfiber napkin Ultra 25x25 cm 180 pl red</t>
  </si>
  <si>
    <t>Ластик City style Berlingo каучук натуральный 42х14х8 мм скошенный комбинированный</t>
  </si>
  <si>
    <t>城市风格橡皮擦 Berlingo 天然橡胶 42x14x8 毫米斜面组合</t>
  </si>
  <si>
    <t>City style eraser Berlingo natural rubber 42x14x8 mm beveled combined</t>
  </si>
  <si>
    <t>Линейка Attache Economy пластиковая 30 см ассорти</t>
  </si>
  <si>
    <t>Line Attache 经济塑料 30 厘米什锦</t>
  </si>
  <si>
    <t>Line Attache Economy plastic 30 cm assorted</t>
  </si>
  <si>
    <t>Перчатки с двойным латексным покрытием защита от минимальных рисков</t>
  </si>
  <si>
    <t>双层乳胶涂层手套保护最小风险</t>
  </si>
  <si>
    <t>Double latex coated gloves protection against minimal risks</t>
  </si>
  <si>
    <t>Держатель для веревочных мопов</t>
  </si>
  <si>
    <t>绳拖把架</t>
  </si>
  <si>
    <t>Rope mop holder</t>
  </si>
  <si>
    <t>Диспенсер для бумажных полотенец mini Z-V сложения AEHB905</t>
  </si>
  <si>
    <t>迷你 ZV 折叠纸巾分配器 AEHB905</t>
  </si>
  <si>
    <t>Mini Z-V fold paper towel dispenser AEHB905</t>
  </si>
  <si>
    <t>Полотенца бумажные Zewa с цветным тиснением белые 2 рулона</t>
  </si>
  <si>
    <t>Zewa 白色压花纸巾 2 卷</t>
  </si>
  <si>
    <t>Zewa paper towels with color embossing white 2 rolls</t>
  </si>
  <si>
    <t>Сменный блок для освежителя воздуха Glade Automatic Пряное настроение 269 мл</t>
  </si>
  <si>
    <t>Glade 自动空气清新剂 Spicy Mood 补充装 269 毫升</t>
  </si>
  <si>
    <t>Refill unit for Glade air freshener Automatic Spicy Mood 269 ml</t>
  </si>
  <si>
    <t>Пакет для льда Komfi 192 кубика в ПП упаковке</t>
  </si>
  <si>
    <t>PP 袋中的冰袋 Komfi 192 个立方体</t>
  </si>
  <si>
    <t>Ice bag Komfi 192 cubes in a PP bag</t>
  </si>
  <si>
    <t>Вакуумная упаковка Komfy для продуктов питания 4 шт с ручным насосом</t>
  </si>
  <si>
    <t>真空包装 Komfy 食品 4 件，带手动泵</t>
  </si>
  <si>
    <t>Vacuum packaging Komfy for food 4 pcs with hand pump</t>
  </si>
  <si>
    <t>Klebebander adhesive tape 50 mm transparent 40 microns</t>
  </si>
  <si>
    <t>Средство чистящее Comet Океан 475 г</t>
  </si>
  <si>
    <t>清洁彗星海洋 475 克</t>
  </si>
  <si>
    <t>Cleaner Comet Ocean 475 g</t>
  </si>
  <si>
    <t>Средство для мытья полов и стен WISE Green fresh 1 л</t>
  </si>
  <si>
    <t>清洁地板和墙壁的方法 WISE Green fresh 1 l</t>
  </si>
  <si>
    <t>Means for cleaning floors and walls WISE Green fresh 1 l</t>
  </si>
  <si>
    <t>Бумажные салфетки белые СПП 100 шт</t>
  </si>
  <si>
    <t>白色餐巾纸 SPP 100 片</t>
  </si>
  <si>
    <t>White paper napkins SPP 100 pcs</t>
  </si>
  <si>
    <t>Бумага туалетная вторсырье на втулке Стандарт Премиум 130 90 г</t>
  </si>
  <si>
    <t>卫生纸可在袖子上回收 Standard Premium 130 90 g</t>
  </si>
  <si>
    <t>Toilet paper recyclable on the sleeve Standard Premium 130 90 g</t>
  </si>
  <si>
    <t>Освежитель воздуха До-Ре-Ми Премиум Дыхание моря 250 мл</t>
  </si>
  <si>
    <t>空气清新剂 Do-Re-Mi Premium Breath of the sea 250 毫升</t>
  </si>
  <si>
    <t>Air freshener Do-Re-Mi Premium Breath of the sea 250 ml</t>
  </si>
  <si>
    <t>Cтиральный порошок Persil Color 3 кг</t>
  </si>
  <si>
    <t>Persil 彩色洗衣粉 3 公斤</t>
  </si>
  <si>
    <t>Persil Color Washing Powder 3 kg</t>
  </si>
  <si>
    <t>Жидкое средство для стирки Persil Color 2,6 л</t>
  </si>
  <si>
    <t>Persil Color 液体洗涤剂 2.6 升</t>
  </si>
  <si>
    <t>Persil Color liquid detergent 2.6 l</t>
  </si>
  <si>
    <t>Лопата совковая из рельсовой стали</t>
  </si>
  <si>
    <t>铁轨钢铲</t>
  </si>
  <si>
    <t>Shovel shovel made of rail steel</t>
  </si>
  <si>
    <t>Лопата штыковая Острокон из рельсовой стали</t>
  </si>
  <si>
    <t>铁轨钢铲式刺刀</t>
  </si>
  <si>
    <t>Shovel bayonet from rail steel</t>
  </si>
  <si>
    <t>Перчатки трикотажные 10 класс с ПВХ черные 5 ниток</t>
  </si>
  <si>
    <t>10 级 PVC 黑色 5 线针织手套</t>
  </si>
  <si>
    <t>Knitted gloves grade 10 with PVC black 5 threads</t>
  </si>
  <si>
    <t>Жидкое мыло У ХАТУ 500 мл</t>
  </si>
  <si>
    <t>液体肥皂 U HATU 500 毫升</t>
  </si>
  <si>
    <t>Liquid soap U HATU 500 ml</t>
  </si>
  <si>
    <t>Мешки для мусора ANNA ZARADNA очень прочные ПВД 120 л 10 шт</t>
  </si>
  <si>
    <t>垃圾袋 ANNA ZARADNA 非常耐用 LDPE 120 l 10 个</t>
  </si>
  <si>
    <t>Garbage bags ANNA ZARADNA very durable LDPE 120 l 10 pcs</t>
  </si>
  <si>
    <t>Моп 40 см хлопок-полиэстер H40M карман</t>
  </si>
  <si>
    <t>拖把 40 厘米棉涤纶 H40M 口袋</t>
  </si>
  <si>
    <t>Mop 40 cm cotton-polyester H40M pocket</t>
  </si>
  <si>
    <t>Таблетки для мытья посуды в ПММ Finish All in 1 50 шт</t>
  </si>
  <si>
    <t>PMM Finish All in 1 50 片洗碗片</t>
  </si>
  <si>
    <t>Tablets for washing dishes in PMM Finish All in 1 50 pcs</t>
  </si>
  <si>
    <t>Ежедневник недатированный A5 160 л черный OfficeSpace</t>
  </si>
  <si>
    <t>日记无日期 A5 160 l 黑色 办公空间</t>
  </si>
  <si>
    <t>Diary undated A5 160 l black OfficeSpace</t>
  </si>
  <si>
    <t>Самоклеящийся блок OfficeSpace желтый 50х50 мм 100 л</t>
  </si>
  <si>
    <t>自粘块办公空间黄色 50x50 毫米 100 升</t>
  </si>
  <si>
    <t>Self-adhesive block OfficeSpace yellow 50x50 mm 100 l</t>
  </si>
  <si>
    <t>Самоклеящийся блок OfficeSpace зеленый 50х50 мм 100 л</t>
  </si>
  <si>
    <t>自粘块办公空间绿色 50x50 毫米 100 升</t>
  </si>
  <si>
    <t>Self-adhesive block OfficeSpace green 50x50 mm 100 l</t>
  </si>
  <si>
    <t>Самоклеящийся блок OfficeSpace розовый 50х50 мм 100 л</t>
  </si>
  <si>
    <t>自粘块 OfficeSpace 粉红色 50x50 毫米 100 升</t>
  </si>
  <si>
    <t>Self-adhesive block OfficeSpace pink 50x50 mm 100 l</t>
  </si>
  <si>
    <t>Блок для записей без склейки ATTACHE цветной 80х80 мм 300 л</t>
  </si>
  <si>
    <t>无需胶水的便签块 ATTACHE color 80x80 mm 300 l</t>
  </si>
  <si>
    <t>Block for notes without gluing ATTACHE color 80x80 mm 300 l</t>
  </si>
  <si>
    <t>Самоклеящийся блок Berlingo Ultra Sticky желтая пастель 50х40 мм 12 блоков по 100 л</t>
  </si>
  <si>
    <t>自粘块 Berlingo Ultra Sticky 黄色粉彩 50x40 毫米 12 块，每块 100 升</t>
  </si>
  <si>
    <t>Self-adhesive block Berlingo Ultra Sticky yellow pastel 50x40 mm 12 blocks of 100 liters each</t>
  </si>
  <si>
    <t>Самоклеящийся блок OfficeSpace розовый 76х76 мм 80 л</t>
  </si>
  <si>
    <t>自粘块 OfficeSpace 粉红色 76x76 毫米 80 升</t>
  </si>
  <si>
    <t>Self-adhesive block OfficeSpace pink 76x76 mm 80 l</t>
  </si>
  <si>
    <t>Тетрадь А5 96 л клетка Attache Лимоны</t>
  </si>
  <si>
    <t>笔记本 A5 96 l 附件笼柠檬</t>
  </si>
  <si>
    <t>Notebook A5 96 l Attache cage Lemons</t>
  </si>
  <si>
    <t>Визитница настольная на 96 визиток 110х190 мм в 3 рядаOfficeSpace синий</t>
  </si>
  <si>
    <t>桌面名片夹，可容纳 96 张名片 110x190 毫米，3 排 OfficeSpace 蓝色</t>
  </si>
  <si>
    <t>Desktop business card holder for 96 business cards 110x190 mm in 3 rows OfficeSpace blue</t>
  </si>
  <si>
    <t>Ножницы 19 см Attache с эллиптическими ручками</t>
  </si>
  <si>
    <t>剪刀 19 厘米随附椭圆形手柄</t>
  </si>
  <si>
    <t>Scissors 19 cm Attache with elliptical handles</t>
  </si>
  <si>
    <t>Лопата Метель 2 черная с оцинкованной планкой</t>
  </si>
  <si>
    <t>Shovel Blizzard 2 黑色带镀锌条</t>
  </si>
  <si>
    <t>Shovel Blizzard 2 black with a galvanized strip</t>
  </si>
  <si>
    <t>Средство для удаления накипи Сигма 5 л</t>
  </si>
  <si>
    <t>除垢剂 Sigma 5 l</t>
  </si>
  <si>
    <t>Descaling agent Sigma 5 l</t>
  </si>
  <si>
    <t>Шпагат полимерный 2500-5С</t>
  </si>
  <si>
    <t>聚合物麻线 2500-5C</t>
  </si>
  <si>
    <t>Polymer twine 2500-5C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</si>
</sst>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color rgb="FF000000"/>
      <name val="Calibri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sz val="14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3" fillId="2" fontId="2" numFmtId="0" xfId="0" applyAlignment="1" applyBorder="1" applyFont="1">
      <alignment horizontal="center" readingOrder="0" vertical="bottom"/>
    </xf>
    <xf borderId="2" fillId="2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shrinkToFit="0" wrapText="1"/>
    </xf>
    <xf borderId="1" fillId="3" fontId="5" numFmtId="0" xfId="0" applyAlignment="1" applyBorder="1" applyFill="1" applyFont="1">
      <alignment readingOrder="0" shrinkToFit="0" vertical="bottom" wrapText="1"/>
    </xf>
    <xf borderId="1" fillId="4" fontId="5" numFmtId="0" xfId="0" applyAlignment="1" applyBorder="1" applyFill="1" applyFont="1">
      <alignment readingOrder="0" shrinkToFit="0" vertical="bottom" wrapText="1"/>
    </xf>
    <xf borderId="3" fillId="5" fontId="6" numFmtId="0" xfId="0" applyAlignment="1" applyBorder="1" applyFill="1" applyFont="1">
      <alignment readingOrder="0" vertical="bottom"/>
    </xf>
    <xf borderId="1" fillId="4" fontId="4" numFmtId="0" xfId="0" applyAlignment="1" applyBorder="1" applyFont="1">
      <alignment shrinkToFit="0" wrapText="1"/>
    </xf>
    <xf borderId="0" fillId="5" fontId="7" numFmtId="0" xfId="0" applyAlignment="1" applyFont="1">
      <alignment readingOrder="0"/>
    </xf>
    <xf borderId="1" fillId="4" fontId="4" numFmtId="0" xfId="0" applyAlignment="1" applyBorder="1" applyFont="1">
      <alignment readingOrder="0" shrinkToFit="0" wrapText="1"/>
    </xf>
    <xf borderId="0" fillId="5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  <col customWidth="1" min="2" max="2" width="48.71"/>
    <col customWidth="1" min="3" max="3" width="66.14"/>
    <col customWidth="1" min="4" max="4" width="39.14"/>
    <col customWidth="1" min="5" max="5" width="66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4</v>
      </c>
      <c r="C2" s="8" t="s">
        <v>5</v>
      </c>
      <c r="D2" s="9" t="str">
        <f>IFERROR(__xludf.DUMMYFUNCTION("GOOGLETRANSLATE(A2,""ru"",""en"")"),"Paper Napkins Meakshko Economy White 100 pcs")</f>
        <v>Paper Napkins Meakshko Economy White 100 pcs</v>
      </c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6</v>
      </c>
      <c r="B3" s="7" t="s">
        <v>6</v>
      </c>
      <c r="C3" s="8" t="s">
        <v>7</v>
      </c>
      <c r="D3" s="9" t="str">
        <f>IFERROR(__xludf.DUMMYFUNCTION("GOOGLETRANSLATE(A3,""ru"",""en"")"),"Vanish Oxi Action Tissue Stifted 1 L")</f>
        <v>Vanish Oxi Action Tissue Stifted 1 L</v>
      </c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8</v>
      </c>
      <c r="B4" s="7" t="s">
        <v>8</v>
      </c>
      <c r="C4" s="8" t="s">
        <v>9</v>
      </c>
      <c r="D4" s="9" t="str">
        <f>IFERROR(__xludf.DUMMYFUNCTION("GOOGLETRANSLATE(A4,""ru"",""en"")"),"Vanish Oxi Action Crystal White Watch")</f>
        <v>Vanish Oxi Action Crystal White Watch</v>
      </c>
      <c r="E4" s="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10</v>
      </c>
      <c r="B5" s="7" t="s">
        <v>10</v>
      </c>
      <c r="C5" s="8" t="s">
        <v>11</v>
      </c>
      <c r="D5" s="9" t="str">
        <f>IFERROR(__xludf.DUMMYFUNCTION("GOOGLETRANSLATE(A5,""ru"",""en"")"),"Sleeve for baking komfi 30 cm x 3 m")</f>
        <v>Sleeve for baking komfi 30 cm x 3 m</v>
      </c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12</v>
      </c>
      <c r="B6" s="7" t="s">
        <v>12</v>
      </c>
      <c r="C6" s="8" t="s">
        <v>13</v>
      </c>
      <c r="D6" s="9" t="str">
        <f>IFERROR(__xludf.DUMMYFUNCTION("GOOGLETRANSLATE(A6,""ru"",""en"")"),"Means for washing and disinfection Slavin 1 l")</f>
        <v>Means for washing and disinfection Slavin 1 l</v>
      </c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14</v>
      </c>
      <c r="B7" s="7" t="s">
        <v>14</v>
      </c>
      <c r="C7" s="8" t="s">
        <v>15</v>
      </c>
      <c r="D7" s="9" t="str">
        <f>IFERROR(__xludf.DUMMYFUNCTION("GOOGLETRANSLATE(A7,""ru"",""en"")"),"Scoop for garbage Multiplast")</f>
        <v>Scoop for garbage Multiplast</v>
      </c>
      <c r="E7" s="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16</v>
      </c>
      <c r="B8" s="7" t="s">
        <v>16</v>
      </c>
      <c r="C8" s="8" t="s">
        <v>17</v>
      </c>
      <c r="D8" s="9" t="str">
        <f>IFERROR(__xludf.DUMMYFUNCTION("GOOGLETRANSLATE(A8,""ru"",""en"")"),"Scoop for garbage with a long handle Mix 80 cm")</f>
        <v>Scoop for garbage with a long handle Mix 80 cm</v>
      </c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18</v>
      </c>
      <c r="B9" s="7" t="s">
        <v>18</v>
      </c>
      <c r="C9" s="8" t="s">
        <v>19</v>
      </c>
      <c r="D9" s="9" t="str">
        <f>IFERROR(__xludf.DUMMYFUNCTION("GOOGLETRANSLATE(A9,""ru"",""en"")"),"Scoop for garbage premium with rubber band")</f>
        <v>Scoop for garbage premium with rubber band</v>
      </c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20</v>
      </c>
      <c r="B10" s="7" t="s">
        <v>20</v>
      </c>
      <c r="C10" s="8" t="s">
        <v>21</v>
      </c>
      <c r="D10" s="9" t="str">
        <f>IFERROR(__xludf.DUMMYFUNCTION("GOOGLETRANSLATE(A10,""ru"",""en"")"),"Scoop for garbage FiUge with rubber band")</f>
        <v>Scoop for garbage FiUge with rubber band</v>
      </c>
      <c r="E10" s="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22</v>
      </c>
      <c r="B11" s="7" t="s">
        <v>22</v>
      </c>
      <c r="C11" s="8" t="s">
        <v>23</v>
      </c>
      <c r="D11" s="9" t="str">
        <f>IFERROR(__xludf.DUMMYFUNCTION("GOOGLETRANSLATE(A11,""ru"",""en"")"),"Means for dissolving fatty pollution Anyday GLOSS 1 l")</f>
        <v>Means for dissolving fatty pollution Anyday GLOSS 1 l</v>
      </c>
      <c r="E11" s="8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24</v>
      </c>
      <c r="B12" s="7" t="s">
        <v>24</v>
      </c>
      <c r="C12" s="8" t="s">
        <v>25</v>
      </c>
      <c r="D12" s="9" t="str">
        <f>IFERROR(__xludf.DUMMYFUNCTION("GOOGLETRANSLATE(A12,""ru"",""en"")"),"Means for rapid dissolution of fatty contaminants 500 ml")</f>
        <v>Means for rapid dissolution of fatty contaminants 500 ml</v>
      </c>
      <c r="E12" s="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26</v>
      </c>
      <c r="B13" s="7" t="s">
        <v>26</v>
      </c>
      <c r="C13" s="8" t="s">
        <v>27</v>
      </c>
      <c r="D13" s="9" t="str">
        <f>IFERROR(__xludf.DUMMYFUNCTION("GOOGLETRANSLATE(A13,""ru"",""en"")"),"Candles in sleeve white 100 pieces")</f>
        <v>Candles in sleeve white 100 pieces</v>
      </c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28</v>
      </c>
      <c r="B14" s="7" t="s">
        <v>28</v>
      </c>
      <c r="C14" s="8" t="s">
        <v>29</v>
      </c>
      <c r="D14" s="9" t="str">
        <f>IFERROR(__xludf.DUMMYFUNCTION("GOOGLETRANSLATE(A14,""ru"",""en"")"),"Antiseptic for hand processing septal 1 l")</f>
        <v>Antiseptic for hand processing septal 1 l</v>
      </c>
      <c r="E14" s="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30</v>
      </c>
      <c r="B15" s="7" t="s">
        <v>30</v>
      </c>
      <c r="C15" s="8" t="s">
        <v>31</v>
      </c>
      <c r="D15" s="9" t="str">
        <f>IFERROR(__xludf.DUMMYFUNCTION("GOOGLETRANSLATE(A15,""ru"",""en"")"),"Washing powder Tide machine Color 3 kg")</f>
        <v>Washing powder Tide machine Color 3 kg</v>
      </c>
      <c r="E15" s="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32</v>
      </c>
      <c r="B16" s="7" t="s">
        <v>32</v>
      </c>
      <c r="C16" s="8" t="s">
        <v>33</v>
      </c>
      <c r="D16" s="9" t="str">
        <f>IFERROR(__xludf.DUMMYFUNCTION("GOOGLETRANSLATE(A16,""ru"",""en"")"),"Metal sponges for dishes 12 g 3 pcs")</f>
        <v>Metal sponges for dishes 12 g 3 pcs</v>
      </c>
      <c r="E16" s="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34</v>
      </c>
      <c r="B17" s="7" t="s">
        <v>34</v>
      </c>
      <c r="C17" s="8" t="s">
        <v>35</v>
      </c>
      <c r="D17" s="9" t="str">
        <f>IFERROR(__xludf.DUMMYFUNCTION("GOOGLETRANSLATE(A17,""ru"",""en"")"),"X / B Gloves with Double Latex Coating")</f>
        <v>X / B Gloves with Double Latex Coating</v>
      </c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36</v>
      </c>
      <c r="B18" s="7" t="s">
        <v>36</v>
      </c>
      <c r="C18" s="8" t="s">
        <v>37</v>
      </c>
      <c r="D18" s="9" t="str">
        <f>IFERROR(__xludf.DUMMYFUNCTION("GOOGLETRANSLATE(A18,""ru"",""en"")"),"Gloves x / b with single latex coating")</f>
        <v>Gloves x / b with single latex coating</v>
      </c>
      <c r="E18" s="8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34</v>
      </c>
      <c r="B19" s="7" t="s">
        <v>34</v>
      </c>
      <c r="C19" s="8" t="s">
        <v>35</v>
      </c>
      <c r="D19" s="9" t="str">
        <f>IFERROR(__xludf.DUMMYFUNCTION("GOOGLETRANSLATE(A19,""ru"",""en"")"),"X / B Gloves with Double Latex Coating")</f>
        <v>X / B Gloves with Double Latex Coating</v>
      </c>
      <c r="E19" s="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38</v>
      </c>
      <c r="B20" s="7" t="s">
        <v>38</v>
      </c>
      <c r="C20" s="8" t="s">
        <v>39</v>
      </c>
      <c r="D20" s="9" t="str">
        <f>IFERROR(__xludf.DUMMYFUNCTION("GOOGLETRANSLATE(A20,""ru"",""en"")"),"CH / B Gloves 10 Class 4 Threads with PVC Bright")</f>
        <v>CH / B Gloves 10 Class 4 Threads with PVC Bright</v>
      </c>
      <c r="E20" s="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40</v>
      </c>
      <c r="B21" s="7" t="s">
        <v>40</v>
      </c>
      <c r="C21" s="8" t="s">
        <v>41</v>
      </c>
      <c r="D21" s="9" t="str">
        <f>IFERROR(__xludf.DUMMYFUNCTION("GOOGLETRANSLATE(A21,""ru"",""en"")"),"Economic gloves with spraying economy rr M")</f>
        <v>Economic gloves with spraying economy rr M</v>
      </c>
      <c r="E21" s="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42</v>
      </c>
      <c r="B22" s="7" t="s">
        <v>42</v>
      </c>
      <c r="C22" s="8" t="s">
        <v>43</v>
      </c>
      <c r="D22" s="9" t="str">
        <f>IFERROR(__xludf.DUMMYFUNCTION("GOOGLETRANSLATE(A22,""ru"",""en"")"),"Means Cleaning Peumolux Soda 5 Lemon 480 g")</f>
        <v>Means Cleaning Peumolux Soda 5 Lemon 480 g</v>
      </c>
      <c r="E22" s="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44</v>
      </c>
      <c r="B23" s="7" t="s">
        <v>44</v>
      </c>
      <c r="C23" s="8" t="s">
        <v>45</v>
      </c>
      <c r="D23" s="9" t="str">
        <f>IFERROR(__xludf.DUMMYFUNCTION("GOOGLETRANSLATE(A23,""ru"",""en"")"),"Latex Gloves Small PR")</f>
        <v>Latex Gloves Small PR</v>
      </c>
      <c r="E23" s="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46</v>
      </c>
      <c r="B24" s="7" t="s">
        <v>46</v>
      </c>
      <c r="C24" s="8" t="s">
        <v>47</v>
      </c>
      <c r="D24" s="9" t="str">
        <f>IFERROR(__xludf.DUMMYFUNCTION("GOOGLETRANSLATE(A24,""ru"",""en"")"),"Latex gloves Small PR XL")</f>
        <v>Latex gloves Small PR XL</v>
      </c>
      <c r="E24" s="8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48</v>
      </c>
      <c r="B25" s="7" t="s">
        <v>48</v>
      </c>
      <c r="C25" s="8" t="s">
        <v>49</v>
      </c>
      <c r="D25" s="9" t="str">
        <f>IFERROR(__xludf.DUMMYFUNCTION("GOOGLETRANSLATE(A25,""ru"",""en"")"),"Polyrol For Furniture Pronto Classic 5B1 for Wooden Surfaces Russia 250 ml")</f>
        <v>Polyrol For Furniture Pronto Classic 5B1 for Wooden Surfaces Russia 250 ml</v>
      </c>
      <c r="E25" s="8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50</v>
      </c>
      <c r="B26" s="7" t="s">
        <v>50</v>
      </c>
      <c r="C26" s="8" t="s">
        <v>51</v>
      </c>
      <c r="D26" s="9" t="str">
        <f>IFERROR(__xludf.DUMMYFUNCTION("GOOGLETRANSLATE(A26,""ru"",""en"")"),"Polyrol for furniture Pronto Antipl and Anti-Allergen 250 ml")</f>
        <v>Polyrol for furniture Pronto Antipl and Anti-Allergen 250 ml</v>
      </c>
      <c r="E26" s="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52</v>
      </c>
      <c r="B27" s="7" t="s">
        <v>52</v>
      </c>
      <c r="C27" s="8" t="s">
        <v>53</v>
      </c>
      <c r="D27" s="9" t="str">
        <f>IFERROR(__xludf.DUMMYFUNCTION("GOOGLETRANSLATE(A27,""ru"",""en"")"),"MEBELUX furniture polyrolol with antistatic 300 ml")</f>
        <v>MEBELUX furniture polyrolol with antistatic 300 ml</v>
      </c>
      <c r="E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54</v>
      </c>
      <c r="B28" s="7" t="s">
        <v>54</v>
      </c>
      <c r="C28" s="8" t="s">
        <v>55</v>
      </c>
      <c r="D28" s="9" t="str">
        <f>IFERROR(__xludf.DUMMYFUNCTION("GOOGLETRANSLATE(A28,""ru"",""en"")"),"Rolled Paper Towels Zewa Two-Layer 2 Pieces")</f>
        <v>Rolled Paper Towels Zewa Two-Layer 2 Pieces</v>
      </c>
      <c r="E28" s="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56</v>
      </c>
      <c r="B29" s="7" t="s">
        <v>56</v>
      </c>
      <c r="C29" s="8" t="s">
        <v>57</v>
      </c>
      <c r="D29" s="9" t="str">
        <f>IFERROR(__xludf.DUMMYFUNCTION("GOOGLETRANSLATE(A29,""ru"",""en"")"),"Sheet Paper Towels Desna Standart V-Addition Single-Line")</f>
        <v>Sheet Paper Towels Desna Standart V-Addition Single-Line</v>
      </c>
      <c r="E29" s="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58</v>
      </c>
      <c r="B30" s="7" t="s">
        <v>58</v>
      </c>
      <c r="C30" s="8" t="s">
        <v>59</v>
      </c>
      <c r="D30" s="9" t="str">
        <f>IFERROR(__xludf.DUMMYFUNCTION("GOOGLETRANSLATE(A30,""ru"",""en"")"),"Rolled Paper Towels Meakshko H20 2 pcs")</f>
        <v>Rolled Paper Towels Meakshko H20 2 pcs</v>
      </c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60</v>
      </c>
      <c r="B31" s="7" t="s">
        <v>60</v>
      </c>
      <c r="C31" s="8" t="s">
        <v>61</v>
      </c>
      <c r="D31" s="9" t="str">
        <f>IFERROR(__xludf.DUMMYFUNCTION("GOOGLETRANSLATE(A31,""ru"",""en"")"),"Packaging pistol for Klebebander 50 mm x 66 m")</f>
        <v>Packaging pistol for Klebebander 50 mm x 66 m</v>
      </c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62</v>
      </c>
      <c r="B32" s="7" t="s">
        <v>62</v>
      </c>
      <c r="C32" s="8" t="s">
        <v>63</v>
      </c>
      <c r="D32" s="9" t="str">
        <f>IFERROR(__xludf.DUMMYFUNCTION("GOOGLETRANSLATE(A32,""ru"",""en"")"),"Plastic clamp screed 2,5х200 mm white nylon")</f>
        <v>Plastic clamp screed 2,5х200 mm white nylon</v>
      </c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64</v>
      </c>
      <c r="B33" s="7" t="s">
        <v>64</v>
      </c>
      <c r="C33" s="8" t="s">
        <v>65</v>
      </c>
      <c r="D33" s="9" t="str">
        <f>IFERROR(__xludf.DUMMYFUNCTION("GOOGLETRANSLATE(A33,""ru"",""en"")"),"Brush cuttings 110 cm orange")</f>
        <v>Brush cuttings 110 cm orange</v>
      </c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66</v>
      </c>
      <c r="B34" s="7" t="s">
        <v>66</v>
      </c>
      <c r="C34" s="8" t="s">
        <v>67</v>
      </c>
      <c r="D34" s="9" t="str">
        <f>IFERROR(__xludf.DUMMYFUNCTION("GOOGLETRANSLATE(A34,""ru"",""en"")"),"Stinks for brushes 120 cm rubberized")</f>
        <v>Stinks for brushes 120 cm rubberized</v>
      </c>
      <c r="E34" s="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68</v>
      </c>
      <c r="B35" s="7" t="s">
        <v>68</v>
      </c>
      <c r="C35" s="8" t="s">
        <v>69</v>
      </c>
      <c r="D35" s="9" t="str">
        <f>IFERROR(__xludf.DUMMYFUNCTION("GOOGLETRANSLATE(A35,""ru"",""en"")"),"Stinks for brushes 110 cm blue")</f>
        <v>Stinks for brushes 110 cm blue</v>
      </c>
      <c r="E35" s="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70</v>
      </c>
      <c r="B36" s="7" t="s">
        <v>70</v>
      </c>
      <c r="C36" s="8" t="s">
        <v>71</v>
      </c>
      <c r="D36" s="9" t="str">
        <f>IFERROR(__xludf.DUMMYFUNCTION("GOOGLETRANSLATE(A36,""ru"",""en"")"),"Stinks for brushes Economy wooden 120 cm 1 grade")</f>
        <v>Stinks for brushes Economy wooden 120 cm 1 grade</v>
      </c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72</v>
      </c>
      <c r="B37" s="7" t="s">
        <v>72</v>
      </c>
      <c r="C37" s="8" t="s">
        <v>73</v>
      </c>
      <c r="D37" s="9" t="str">
        <f>IFERROR(__xludf.DUMMYFUNCTION("GOOGLETRANSLATE(A37,""ru"",""en"")"),"Stornar for brushes wooden economy 120 cm top grade")</f>
        <v>Stornar for brushes wooden economy 120 cm top grade</v>
      </c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74</v>
      </c>
      <c r="B38" s="7" t="s">
        <v>74</v>
      </c>
      <c r="C38" s="8" t="s">
        <v>75</v>
      </c>
      <c r="D38" s="9" t="str">
        <f>IFERROR(__xludf.DUMMYFUNCTION("GOOGLETRANSLATE(A38,""ru"",""en"")"),"Rag for sex Umnichka x / b 60x70 cm white")</f>
        <v>Rag for sex Umnichka x / b 60x70 cm white</v>
      </c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76</v>
      </c>
      <c r="B39" s="7" t="s">
        <v>76</v>
      </c>
      <c r="C39" s="8" t="s">
        <v>77</v>
      </c>
      <c r="D39" s="9" t="str">
        <f>IFERROR(__xludf.DUMMYFUNCTION("GOOGLETRANSLATE(A39,""ru"",""en"")"),"Rag for the floor Umnichka x / b 70x75 cm white")</f>
        <v>Rag for the floor Umnichka x / b 70x75 cm white</v>
      </c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78</v>
      </c>
      <c r="B40" s="7" t="s">
        <v>78</v>
      </c>
      <c r="C40" s="8" t="s">
        <v>79</v>
      </c>
      <c r="D40" s="9" t="str">
        <f>IFERROR(__xludf.DUMMYFUNCTION("GOOGLETRANSLATE(A40,""ru"",""en"")"),"Rag for sex Umnichka x / b 80x100 cm white")</f>
        <v>Rag for sex Umnichka x / b 80x100 cm white</v>
      </c>
      <c r="E40" s="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80</v>
      </c>
      <c r="B41" s="7" t="s">
        <v>80</v>
      </c>
      <c r="C41" s="8" t="s">
        <v>81</v>
      </c>
      <c r="D41" s="9" t="str">
        <f>IFERROR(__xludf.DUMMYFUNCTION("GOOGLETRANSLATE(A41,""ru"",""en"")"),"Rag for the floor Umnichka x / b 60x70 cm gray")</f>
        <v>Rag for the floor Umnichka x / b 60x70 cm gray</v>
      </c>
      <c r="E41" s="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82</v>
      </c>
      <c r="B42" s="7" t="s">
        <v>82</v>
      </c>
      <c r="C42" s="8" t="s">
        <v>83</v>
      </c>
      <c r="D42" s="9" t="str">
        <f>IFERROR(__xludf.DUMMYFUNCTION("GOOGLETRANSLATE(A42,""ru"",""en"")"),"Domestos Cleaner Lemon Freshness 24 h 1 l")</f>
        <v>Domestos Cleaner Lemon Freshness 24 h 1 l</v>
      </c>
      <c r="E42" s="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84</v>
      </c>
      <c r="B43" s="7" t="s">
        <v>84</v>
      </c>
      <c r="C43" s="8" t="s">
        <v>85</v>
      </c>
      <c r="D43" s="9" t="str">
        <f>IFERROR(__xludf.DUMMYFUNCTION("GOOGLETRANSLATE(A43,""ru"",""en"")"),"Domestos cleaning agent Freshness of the Atlantic 24 h 1 l")</f>
        <v>Domestos cleaning agent Freshness of the Atlantic 24 h 1 l</v>
      </c>
      <c r="E43" s="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86</v>
      </c>
      <c r="B44" s="7" t="s">
        <v>86</v>
      </c>
      <c r="C44" s="8" t="s">
        <v>87</v>
      </c>
      <c r="D44" s="9" t="str">
        <f>IFERROR(__xludf.DUMMYFUNCTION("GOOGLETRANSLATE(A44,""ru"",""en"")"),"Foil for thermal insulation standard 1.2x10m 50 μm")</f>
        <v>Foil for thermal insulation standard 1.2x10m 50 μm</v>
      </c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88</v>
      </c>
      <c r="B45" s="7" t="s">
        <v>88</v>
      </c>
      <c r="C45" s="8" t="s">
        <v>89</v>
      </c>
      <c r="D45" s="9" t="str">
        <f>IFERROR(__xludf.DUMMYFUNCTION("GOOGLETRANSLATE(A45,""ru"",""en"")"),"Foil for thermal insulation Extra 1.2x10m 100mkm")</f>
        <v>Foil for thermal insulation Extra 1.2x10m 100mkm</v>
      </c>
      <c r="E45" s="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90</v>
      </c>
      <c r="B46" s="7" t="s">
        <v>90</v>
      </c>
      <c r="C46" s="8" t="s">
        <v>91</v>
      </c>
      <c r="D46" s="9" t="str">
        <f>IFERROR(__xludf.DUMMYFUNCTION("GOOGLETRANSLATE(A46,""ru"",""en"")"),"Brush sweeping nova")</f>
        <v>Brush sweeping nova</v>
      </c>
      <c r="E46" s="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92</v>
      </c>
      <c r="B47" s="7" t="s">
        <v>92</v>
      </c>
      <c r="C47" s="8" t="s">
        <v>93</v>
      </c>
      <c r="D47" s="9" t="str">
        <f>IFERROR(__xludf.DUMMYFUNCTION("GOOGLETRANSLATE(A47,""ru"",""en"")"),"Brush Polywood Napoli")</f>
        <v>Brush Polywood Napoli</v>
      </c>
      <c r="E47" s="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94</v>
      </c>
      <c r="B48" s="7" t="s">
        <v>94</v>
      </c>
      <c r="C48" s="8" t="s">
        <v>95</v>
      </c>
      <c r="D48" s="9" t="str">
        <f>IFERROR(__xludf.DUMMYFUNCTION("GOOGLETRANSLATE(A48,""ru"",""en"")"),"Snober's brush")</f>
        <v>Snober's brush</v>
      </c>
      <c r="E48" s="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96</v>
      </c>
      <c r="B49" s="7" t="s">
        <v>96</v>
      </c>
      <c r="C49" s="8" t="s">
        <v>97</v>
      </c>
      <c r="D49" s="9" t="str">
        <f>IFERROR(__xludf.DUMMYFUNCTION("GOOGLETRANSLATE(A49,""ru"",""en"")"),"Paving brush Foggia")</f>
        <v>Paving brush Foggia</v>
      </c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98</v>
      </c>
      <c r="B50" s="7" t="s">
        <v>98</v>
      </c>
      <c r="C50" s="8" t="s">
        <v>99</v>
      </c>
      <c r="D50" s="9" t="str">
        <f>IFERROR(__xludf.DUMMYFUNCTION("GOOGLETRANSLATE(A50,""ru"",""en"")"),"Garden Street Brush with High Bristle")</f>
        <v>Garden Street Brush with High Bristle</v>
      </c>
      <c r="E50" s="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100</v>
      </c>
      <c r="B51" s="7" t="s">
        <v>100</v>
      </c>
      <c r="C51" s="8" t="s">
        <v>101</v>
      </c>
      <c r="D51" s="9" t="str">
        <f>IFERROR(__xludf.DUMMYFUNCTION("GOOGLETRANSLATE(A51,""ru"",""en"")"),"Palermo brush")</f>
        <v>Palermo brush</v>
      </c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102</v>
      </c>
      <c r="B52" s="7" t="s">
        <v>102</v>
      </c>
      <c r="C52" s="8" t="s">
        <v>103</v>
      </c>
      <c r="D52" s="9" t="str">
        <f>IFERROR(__xludf.DUMMYFUNCTION("GOOGLETRANSLATE(A52,""ru"",""en"")"),"Mop squeezing Umnichka NEGEGEKOPICAL Green 110 cm 1 Roller")</f>
        <v>Mop squeezing Umnichka NEGEGEKOPICAL Green 110 cm 1 Roller</v>
      </c>
      <c r="E52" s="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104</v>
      </c>
      <c r="B53" s="7" t="s">
        <v>104</v>
      </c>
      <c r="C53" s="8" t="s">
        <v>105</v>
      </c>
      <c r="D53" s="9" t="str">
        <f>IFERROR(__xludf.DUMMYFUNCTION("GOOGLETRANSLATE(A53,""ru"",""en"")"),"Mop squeezing clever curved 120 cm 1 roller")</f>
        <v>Mop squeezing clever curved 120 cm 1 roller</v>
      </c>
      <c r="E53" s="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106</v>
      </c>
      <c r="B54" s="7" t="s">
        <v>106</v>
      </c>
      <c r="C54" s="8" t="s">
        <v>107</v>
      </c>
      <c r="D54" s="9" t="str">
        <f>IFERROR(__xludf.DUMMYFUNCTION("GOOGLETRANSLATE(A54,""ru"",""en"")"),"Mop squeeze smart folding Blue 115 cm")</f>
        <v>Mop squeeze smart folding Blue 115 cm</v>
      </c>
      <c r="E54" s="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 t="s">
        <v>108</v>
      </c>
      <c r="B55" s="7" t="s">
        <v>108</v>
      </c>
      <c r="C55" s="8" t="s">
        <v>109</v>
      </c>
      <c r="D55" s="9" t="str">
        <f>IFERROR(__xludf.DUMMYFUNCTION("GOOGLETRANSLATE(A55,""ru"",""en"")"),"Movab for sex Umnichka orange 110 cm")</f>
        <v>Movab for sex Umnichka orange 110 cm</v>
      </c>
      <c r="E55" s="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110</v>
      </c>
      <c r="B56" s="7" t="s">
        <v>110</v>
      </c>
      <c r="C56" s="8" t="s">
        <v>111</v>
      </c>
      <c r="D56" s="9" t="str">
        <f>IFERROR(__xludf.DUMMYFUNCTION("GOOGLETRANSLATE(A56,""ru"",""en"")"),"Movar for the floor Umnichka double-sided green 120 cm")</f>
        <v>Movar for the floor Umnichka double-sided green 120 cm</v>
      </c>
      <c r="E56" s="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112</v>
      </c>
      <c r="B57" s="7" t="s">
        <v>112</v>
      </c>
      <c r="C57" s="8" t="s">
        <v>113</v>
      </c>
      <c r="D57" s="9" t="str">
        <f>IFERROR(__xludf.DUMMYFUNCTION("GOOGLETRANSLATE(A57,""ru"",""en"")"),"Olya's dishes brush")</f>
        <v>Olya's dishes brush</v>
      </c>
      <c r="E57" s="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114</v>
      </c>
      <c r="B58" s="7" t="s">
        <v>114</v>
      </c>
      <c r="C58" s="8" t="s">
        <v>115</v>
      </c>
      <c r="D58" s="9" t="str">
        <f>IFERROR(__xludf.DUMMYFUNCTION("GOOGLETRANSLATE(A58,""ru"",""en"")"),"Cleansing sanatex 5 l")</f>
        <v>Cleansing sanatex 5 l</v>
      </c>
      <c r="E58" s="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116</v>
      </c>
      <c r="B59" s="7" t="s">
        <v>116</v>
      </c>
      <c r="C59" s="8" t="s">
        <v>117</v>
      </c>
      <c r="D59" s="9" t="str">
        <f>IFERROR(__xludf.DUMMYFUNCTION("GOOGLETRANSLATE(A59,""ru"",""en"")"),"Ferroline cleansing agent for carpet coatings 5 ​​l")</f>
        <v>Ferroline cleansing agent for carpet coatings 5 ​​l</v>
      </c>
      <c r="E59" s="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118</v>
      </c>
      <c r="B60" s="7" t="s">
        <v>118</v>
      </c>
      <c r="C60" s="8" t="s">
        <v>119</v>
      </c>
      <c r="D60" s="9" t="str">
        <f>IFERROR(__xludf.DUMMYFUNCTION("GOOGLETRANSLATE(A60,""ru"",""en"")"),"Frenel cleansing agent 5 l")</f>
        <v>Frenel cleansing agent 5 l</v>
      </c>
      <c r="E60" s="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 t="s">
        <v>120</v>
      </c>
      <c r="B61" s="7" t="s">
        <v>120</v>
      </c>
      <c r="C61" s="8" t="s">
        <v>121</v>
      </c>
      <c r="D61" s="9" t="str">
        <f>IFERROR(__xludf.DUMMYFUNCTION("GOOGLETRANSLATE(A61,""ru"",""en"")"),"Tool cleansing altran 10 l")</f>
        <v>Tool cleansing altran 10 l</v>
      </c>
      <c r="E61" s="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122</v>
      </c>
      <c r="B62" s="7" t="s">
        <v>122</v>
      </c>
      <c r="C62" s="8" t="s">
        <v>123</v>
      </c>
      <c r="D62" s="9" t="str">
        <f>IFERROR(__xludf.DUMMYFUNCTION("GOOGLETRANSLATE(A62,""ru"",""en"")"),"Toilet toilet Anyday Gloss 0.75 l")</f>
        <v>Toilet toilet Anyday Gloss 0.75 l</v>
      </c>
      <c r="E62" s="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 t="s">
        <v>124</v>
      </c>
      <c r="B63" s="7" t="s">
        <v>124</v>
      </c>
      <c r="C63" s="8" t="s">
        <v>125</v>
      </c>
      <c r="D63" s="9" t="str">
        <f>IFERROR(__xludf.DUMMYFUNCTION("GOOGLETRANSLATE(A63,""ru"",""en"")"),"Universal detergent kraft plus 5 l")</f>
        <v>Universal detergent kraft plus 5 l</v>
      </c>
      <c r="E63" s="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126</v>
      </c>
      <c r="B64" s="7" t="s">
        <v>126</v>
      </c>
      <c r="C64" s="8" t="s">
        <v>127</v>
      </c>
      <c r="D64" s="9" t="str">
        <f>IFERROR(__xludf.DUMMYFUNCTION("GOOGLETRANSLATE(A64,""ru"",""en"")"),"Tool for cleaning supercrost pipes 1 l")</f>
        <v>Tool for cleaning supercrost pipes 1 l</v>
      </c>
      <c r="E64" s="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128</v>
      </c>
      <c r="B65" s="7" t="s">
        <v>128</v>
      </c>
      <c r="C65" s="8" t="s">
        <v>129</v>
      </c>
      <c r="D65" s="9" t="str">
        <f>IFERROR(__xludf.DUMMYFUNCTION("GOOGLETRANSLATE(A65,""ru"",""en"")"),"Means for cleaning and disinfection of sanlit gel 750 ml")</f>
        <v>Means for cleaning and disinfection of sanlit gel 750 ml</v>
      </c>
      <c r="E65" s="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 t="s">
        <v>130</v>
      </c>
      <c r="B66" s="7" t="s">
        <v>130</v>
      </c>
      <c r="C66" s="8" t="s">
        <v>131</v>
      </c>
      <c r="D66" s="9" t="str">
        <f>IFERROR(__xludf.DUMMYFUNCTION("GOOGLETRANSLATE(A66,""ru"",""en"")"),"Tool for washing dishes Before 5 l")</f>
        <v>Tool for washing dishes Before 5 l</v>
      </c>
      <c r="E66" s="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 t="s">
        <v>132</v>
      </c>
      <c r="B67" s="7" t="s">
        <v>132</v>
      </c>
      <c r="C67" s="8" t="s">
        <v>133</v>
      </c>
      <c r="D67" s="9" t="str">
        <f>IFERROR(__xludf.DUMMYFUNCTION("GOOGLETRANSLATE(A67,""ru"",""en"")"),"Means for washing glass Anyday Gloss blue lotus 0.5 l")</f>
        <v>Means for washing glass Anyday Gloss blue lotus 0.5 l</v>
      </c>
      <c r="E67" s="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">
        <v>134</v>
      </c>
      <c r="B68" s="7" t="s">
        <v>134</v>
      </c>
      <c r="C68" s="8" t="s">
        <v>135</v>
      </c>
      <c r="D68" s="9" t="str">
        <f>IFERROR(__xludf.DUMMYFUNCTION("GOOGLETRANSLATE(A68,""ru"",""en"")"),"Means for washing the glasses purely lemon 500 ml")</f>
        <v>Means for washing the glasses purely lemon 500 ml</v>
      </c>
      <c r="E68" s="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136</v>
      </c>
      <c r="B69" s="7" t="s">
        <v>136</v>
      </c>
      <c r="C69" s="8" t="s">
        <v>137</v>
      </c>
      <c r="D69" s="9" t="str">
        <f>IFERROR(__xludf.DUMMYFUNCTION("GOOGLETRANSLATE(A69,""ru"",""en"")"),"Concentrated remedy for cleaning quartr-m 5 l")</f>
        <v>Concentrated remedy for cleaning quartr-m 5 l</v>
      </c>
      <c r="E69" s="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 t="s">
        <v>138</v>
      </c>
      <c r="B70" s="7" t="s">
        <v>138</v>
      </c>
      <c r="C70" s="8" t="s">
        <v>139</v>
      </c>
      <c r="D70" s="9" t="str">
        <f>IFERROR(__xludf.DUMMYFUNCTION("GOOGLETRANSLATE(A70,""ru"",""en"")"),"Means for removing scale sigma 500 ml")</f>
        <v>Means for removing scale sigma 500 ml</v>
      </c>
      <c r="E70" s="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">
        <v>140</v>
      </c>
      <c r="B71" s="7" t="s">
        <v>140</v>
      </c>
      <c r="C71" s="8" t="s">
        <v>141</v>
      </c>
      <c r="D71" s="9" t="str">
        <f>IFERROR(__xludf.DUMMYFUNCTION("GOOGLETRANSLATE(A71,""ru"",""en"")"),"Motorus cleansing agent 5 l")</f>
        <v>Motorus cleansing agent 5 l</v>
      </c>
      <c r="E71" s="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142</v>
      </c>
      <c r="B72" s="7" t="s">
        <v>142</v>
      </c>
      <c r="C72" s="8" t="s">
        <v>143</v>
      </c>
      <c r="D72" s="9" t="str">
        <f>IFERROR(__xludf.DUMMYFUNCTION("GOOGLETRANSLATE(A72,""ru"",""en"")"),"Tool cleansing Primalyux 5 l")</f>
        <v>Tool cleansing Primalyux 5 l</v>
      </c>
      <c r="E72" s="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 t="s">
        <v>144</v>
      </c>
      <c r="B73" s="7" t="s">
        <v>144</v>
      </c>
      <c r="C73" s="8" t="s">
        <v>145</v>
      </c>
      <c r="D73" s="9" t="str">
        <f>IFERROR(__xludf.DUMMYFUNCTION("GOOGLETRANSLATE(A73,""ru"",""en"")"),"Concentrated universal cleaning agent Elf 5 l")</f>
        <v>Concentrated universal cleaning agent Elf 5 l</v>
      </c>
      <c r="E73" s="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146</v>
      </c>
      <c r="B74" s="7" t="s">
        <v>146</v>
      </c>
      <c r="C74" s="8" t="s">
        <v>147</v>
      </c>
      <c r="D74" s="9" t="str">
        <f>IFERROR(__xludf.DUMMYFUNCTION("GOOGLETRANSLATE(A74,""ru"",""en"")"),"Universal cleaning agent Elf ready for use 500 ml")</f>
        <v>Universal cleaning agent Elf ready for use 500 ml</v>
      </c>
      <c r="E74" s="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 t="s">
        <v>148</v>
      </c>
      <c r="B75" s="7" t="s">
        <v>148</v>
      </c>
      <c r="C75" s="8" t="s">
        <v>149</v>
      </c>
      <c r="D75" s="9" t="str">
        <f>IFERROR(__xludf.DUMMYFUNCTION("GOOGLETRANSLATE(A75,""ru"",""en"")"),"Powder cleaning universal TMS 900 g")</f>
        <v>Powder cleaning universal TMS 900 g</v>
      </c>
      <c r="E75" s="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 t="s">
        <v>150</v>
      </c>
      <c r="B76" s="7" t="s">
        <v>150</v>
      </c>
      <c r="C76" s="8" t="s">
        <v>151</v>
      </c>
      <c r="D76" s="9" t="str">
        <f>IFERROR(__xludf.DUMMYFUNCTION("GOOGLETRANSLATE(A76,""ru"",""en"")"),"Replaceable Sponge Umnichka for squeezing Mop 27 cm")</f>
        <v>Replaceable Sponge Umnichka for squeezing Mop 27 cm</v>
      </c>
      <c r="E76" s="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 t="s">
        <v>152</v>
      </c>
      <c r="B77" s="7" t="s">
        <v>152</v>
      </c>
      <c r="C77" s="8" t="s">
        <v>153</v>
      </c>
      <c r="D77" s="9" t="str">
        <f>IFERROR(__xludf.DUMMYFUNCTION("GOOGLETRANSLATE(A77,""ru"",""en"")"),"Replaceable Sponge Umnichka for folding swabs narrow")</f>
        <v>Replaceable Sponge Umnichka for folding swabs narrow</v>
      </c>
      <c r="E77" s="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 t="s">
        <v>154</v>
      </c>
      <c r="B78" s="7" t="s">
        <v>154</v>
      </c>
      <c r="C78" s="8" t="s">
        <v>155</v>
      </c>
      <c r="D78" s="9" t="str">
        <f>IFERROR(__xludf.DUMMYFUNCTION("GOOGLETRANSLATE(A78,""ru"",""en"")"),"Paper towel holder C440-2830")</f>
        <v>Paper towel holder C440-2830</v>
      </c>
      <c r="E78" s="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 t="s">
        <v>156</v>
      </c>
      <c r="B79" s="7" t="s">
        <v>156</v>
      </c>
      <c r="C79" s="8" t="s">
        <v>157</v>
      </c>
      <c r="D79" s="9" t="str">
        <f>IFERROR(__xludf.DUMMYFUNCTION("GOOGLETRANSLATE(A79,""ru"",""en"")"),"Dispenser for liquid soap BELPLAST 500 ml")</f>
        <v>Dispenser for liquid soap BELPLAST 500 ml</v>
      </c>
      <c r="E79" s="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">
        <v>158</v>
      </c>
      <c r="B80" s="7" t="s">
        <v>158</v>
      </c>
      <c r="C80" s="8" t="s">
        <v>159</v>
      </c>
      <c r="D80" s="9" t="str">
        <f>IFERROR(__xludf.DUMMYFUNCTION("GOOGLETRANSLATE(A80,""ru"",""en"")"),"Disamer Liquid Soap 130205")</f>
        <v>Disamer Liquid Soap 130205</v>
      </c>
      <c r="E80" s="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 t="s">
        <v>160</v>
      </c>
      <c r="B81" s="7" t="s">
        <v>160</v>
      </c>
      <c r="C81" s="8" t="s">
        <v>161</v>
      </c>
      <c r="D81" s="9" t="str">
        <f>IFERROR(__xludf.DUMMYFUNCTION("GOOGLETRANSLATE(A81,""ru"",""en"")"),"Bottle Bottle And Small Handle")</f>
        <v>Bottle Bottle And Small Handle</v>
      </c>
      <c r="E81" s="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 t="s">
        <v>162</v>
      </c>
      <c r="B82" s="7" t="s">
        <v>162</v>
      </c>
      <c r="C82" s="8" t="s">
        <v>163</v>
      </c>
      <c r="D82" s="9" t="str">
        <f>IFERROR(__xludf.DUMMYFUNCTION("GOOGLETRANSLATE(A82,""ru"",""en"")"),"Gel for removing lime-plated and rust pure 500 ml")</f>
        <v>Gel for removing lime-plated and rust pure 500 ml</v>
      </c>
      <c r="E82" s="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 t="s">
        <v>164</v>
      </c>
      <c r="B83" s="7" t="s">
        <v>164</v>
      </c>
      <c r="C83" s="8" t="s">
        <v>165</v>
      </c>
      <c r="D83" s="9" t="str">
        <f>IFERROR(__xludf.DUMMYFUNCTION("GOOGLETRANSLATE(A83,""ru"",""en"")"),"Ceramic Cleaning Gel 500 ml")</f>
        <v>Ceramic Cleaning Gel 500 ml</v>
      </c>
      <c r="E83" s="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 t="s">
        <v>166</v>
      </c>
      <c r="B84" s="7" t="s">
        <v>166</v>
      </c>
      <c r="C84" s="8" t="s">
        <v>167</v>
      </c>
      <c r="D84" s="9" t="str">
        <f>IFERROR(__xludf.DUMMYFUNCTION("GOOGLETRANSLATE(A84,""ru"",""en"")"),"Gel for chrome and metal surfaces pureFF 500 ml")</f>
        <v>Gel for chrome and metal surfaces pureFF 500 ml</v>
      </c>
      <c r="E84" s="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 t="s">
        <v>168</v>
      </c>
      <c r="B85" s="7" t="s">
        <v>168</v>
      </c>
      <c r="C85" s="8" t="s">
        <v>169</v>
      </c>
      <c r="D85" s="9" t="str">
        <f>IFERROR(__xludf.DUMMYFUNCTION("GOOGLETRANSLATE(A85,""ru"",""en"")"),"Sponges for dishes Small Maxi 10 pcs")</f>
        <v>Sponges for dishes Small Maxi 10 pcs</v>
      </c>
      <c r="E85" s="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">
        <v>170</v>
      </c>
      <c r="B86" s="7" t="s">
        <v>170</v>
      </c>
      <c r="C86" s="8" t="s">
        <v>171</v>
      </c>
      <c r="D86" s="9" t="str">
        <f>IFERROR(__xludf.DUMMYFUNCTION("GOOGLETRANSLATE(A86,""ru"",""en"")"),"Sponges for dishes Small Maxi 5 pcs")</f>
        <v>Sponges for dishes Small Maxi 5 pcs</v>
      </c>
      <c r="E86" s="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 t="s">
        <v>172</v>
      </c>
      <c r="B87" s="7" t="s">
        <v>172</v>
      </c>
      <c r="C87" s="8" t="s">
        <v>173</v>
      </c>
      <c r="D87" s="9" t="str">
        <f>IFERROR(__xludf.DUMMYFUNCTION("GOOGLETRANSLATE(A87,""ru"",""en"")"),"Sponge for GOOD WAY")</f>
        <v>Sponge for GOOD WAY</v>
      </c>
      <c r="E87" s="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 t="s">
        <v>174</v>
      </c>
      <c r="B88" s="7" t="s">
        <v>174</v>
      </c>
      <c r="C88" s="8" t="s">
        <v>175</v>
      </c>
      <c r="D88" s="9" t="str">
        <f>IFERROR(__xludf.DUMMYFUNCTION("GOOGLETRANSLATE(A88,""ru"",""en"")"),"Body Urinary Body Massage Layer")</f>
        <v>Body Urinary Body Massage Layer</v>
      </c>
      <c r="E88" s="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 t="s">
        <v>176</v>
      </c>
      <c r="B89" s="7" t="s">
        <v>176</v>
      </c>
      <c r="C89" s="8" t="s">
        <v>177</v>
      </c>
      <c r="D89" s="9" t="str">
        <f>IFERROR(__xludf.DUMMYFUNCTION("GOOGLETRANSLATE(A89,""ru"",""en"")"),"Sponges for dishes Umnichka 145x90x40 mm 1 pc")</f>
        <v>Sponges for dishes Umnichka 145x90x40 mm 1 pc</v>
      </c>
      <c r="E89" s="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 t="s">
        <v>178</v>
      </c>
      <c r="B90" s="7" t="s">
        <v>178</v>
      </c>
      <c r="C90" s="8" t="s">
        <v>179</v>
      </c>
      <c r="D90" s="9" t="str">
        <f>IFERROR(__xludf.DUMMYFUNCTION("GOOGLETRANSLATE(A90,""ru"",""en"")"),"Dielectric Rug 500x500x6 mm")</f>
        <v>Dielectric Rug 500x500x6 mm</v>
      </c>
      <c r="E90" s="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 t="s">
        <v>180</v>
      </c>
      <c r="B91" s="7" t="s">
        <v>180</v>
      </c>
      <c r="C91" s="8" t="s">
        <v>181</v>
      </c>
      <c r="D91" s="9" t="str">
        <f>IFERROR(__xludf.DUMMYFUNCTION("GOOGLETRANSLATE(A91,""ru"",""en"")"),"Set WC Bruno White Marble")</f>
        <v>Set WC Bruno White Marble</v>
      </c>
      <c r="E91" s="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">
        <v>182</v>
      </c>
      <c r="B92" s="7" t="s">
        <v>182</v>
      </c>
      <c r="C92" s="8" t="s">
        <v>183</v>
      </c>
      <c r="D92" s="9" t="str">
        <f>IFERROR(__xludf.DUMMYFUNCTION("GOOGLETRANSLATE(A92,""ru"",""en"")"),"Set WC Economy Mini White")</f>
        <v>Set WC Economy Mini White</v>
      </c>
      <c r="E92" s="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 t="s">
        <v>184</v>
      </c>
      <c r="B93" s="7" t="s">
        <v>184</v>
      </c>
      <c r="C93" s="8" t="s">
        <v>185</v>
      </c>
      <c r="D93" s="9" t="str">
        <f>IFERROR(__xludf.DUMMYFUNCTION("GOOGLETRANSLATE(A93,""ru"",""en"")"),"Container Supper 500 ml 25 pcs")</f>
        <v>Container Supper 500 ml 25 pcs</v>
      </c>
      <c r="E93" s="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 t="s">
        <v>186</v>
      </c>
      <c r="B94" s="7" t="s">
        <v>186</v>
      </c>
      <c r="C94" s="8" t="s">
        <v>187</v>
      </c>
      <c r="D94" s="9" t="str">
        <f>IFERROR(__xludf.DUMMYFUNCTION("GOOGLETRANSLATE(A94,""ru"",""en"")"),"Garbage basket 11 l")</f>
        <v>Garbage basket 11 l</v>
      </c>
      <c r="E94" s="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 t="s">
        <v>188</v>
      </c>
      <c r="B95" s="7" t="s">
        <v>188</v>
      </c>
      <c r="C95" s="8" t="s">
        <v>189</v>
      </c>
      <c r="D95" s="9" t="str">
        <f>IFERROR(__xludf.DUMMYFUNCTION("GOOGLETRANSLATE(A95,""ru"",""en"")"),"Scotch Stationery Klebebander 19 mm x 28 m")</f>
        <v>Scotch Stationery Klebebander 19 mm x 28 m</v>
      </c>
      <c r="E95" s="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 t="s">
        <v>190</v>
      </c>
      <c r="B96" s="7" t="s">
        <v>190</v>
      </c>
      <c r="C96" s="8" t="s">
        <v>191</v>
      </c>
      <c r="D96" s="9" t="str">
        <f>IFERROR(__xludf.DUMMYFUNCTION("GOOGLETRANSLATE(A96,""ru"",""en"")"),"Hygienic unit for toilet DOMESTOS Atlantic 40 g")</f>
        <v>Hygienic unit for toilet DOMESTOS Atlantic 40 g</v>
      </c>
      <c r="E96" s="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 t="s">
        <v>192</v>
      </c>
      <c r="B97" s="7" t="s">
        <v>192</v>
      </c>
      <c r="C97" s="8" t="s">
        <v>193</v>
      </c>
      <c r="D97" s="9" t="str">
        <f>IFERROR(__xludf.DUMMYFUNCTION("GOOGLETRANSLATE(A97,""ru"",""en"")"),"Paper for baking ADM EXTRA 30 cm x 8 m in box")</f>
        <v>Paper for baking ADM EXTRA 30 cm x 8 m in box</v>
      </c>
      <c r="E97" s="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 t="s">
        <v>194</v>
      </c>
      <c r="B98" s="7" t="s">
        <v>194</v>
      </c>
      <c r="C98" s="8" t="s">
        <v>195</v>
      </c>
      <c r="D98" s="9" t="str">
        <f>IFERROR(__xludf.DUMMYFUNCTION("GOOGLETRANSLATE(A98,""ru"",""en"")"),"Toilet paper Hatnik 150")</f>
        <v>Toilet paper Hatnik 150</v>
      </c>
      <c r="E98" s="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 t="s">
        <v>196</v>
      </c>
      <c r="B99" s="7" t="s">
        <v>196</v>
      </c>
      <c r="C99" s="8" t="s">
        <v>197</v>
      </c>
      <c r="D99" s="9" t="str">
        <f>IFERROR(__xludf.DUMMYFUNCTION("GOOGLETRANSLATE(A99,""ru"",""en"")"),"Toilet paper Hatnik 175")</f>
        <v>Toilet paper Hatnik 175</v>
      </c>
      <c r="E99" s="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 t="s">
        <v>198</v>
      </c>
      <c r="B100" s="7" t="s">
        <v>198</v>
      </c>
      <c r="C100" s="8" t="s">
        <v>199</v>
      </c>
      <c r="D100" s="9" t="str">
        <f>IFERROR(__xludf.DUMMYFUNCTION("GOOGLETRANSLATE(A100,""ru"",""en"")"),"Toilet paper Meakshko Economy 200")</f>
        <v>Toilet paper Meakshko Economy 200</v>
      </c>
      <c r="E100" s="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 t="s">
        <v>200</v>
      </c>
      <c r="B101" s="7" t="s">
        <v>200</v>
      </c>
      <c r="C101" s="8" t="s">
        <v>201</v>
      </c>
      <c r="D101" s="9" t="str">
        <f>IFERROR(__xludf.DUMMYFUNCTION("GOOGLETRANSLATE(A101,""ru"",""en"")"),"Spray for cleaning products from unicum 0.5 l")</f>
        <v>Spray for cleaning products from unicum 0.5 l</v>
      </c>
      <c r="E101" s="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 t="s">
        <v>202</v>
      </c>
      <c r="B102" s="7" t="s">
        <v>202</v>
      </c>
      <c r="C102" s="8" t="s">
        <v>203</v>
      </c>
      <c r="D102" s="9" t="str">
        <f>IFERROR(__xludf.DUMMYFUNCTION("GOOGLETRANSLATE(A102,""ru"",""en"")"),"Bucket rectangular for paint 12 l")</f>
        <v>Bucket rectangular for paint 12 l</v>
      </c>
      <c r="E102" s="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 t="s">
        <v>204</v>
      </c>
      <c r="B103" s="7" t="s">
        <v>204</v>
      </c>
      <c r="C103" s="8" t="s">
        <v>205</v>
      </c>
      <c r="D103" s="9" t="str">
        <f>IFERROR(__xludf.DUMMYFUNCTION("GOOGLETRANSLATE(A103,""ru"",""en"")"),"Bucket for garbage 25 l")</f>
        <v>Bucket for garbage 25 l</v>
      </c>
      <c r="E103" s="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 t="s">
        <v>206</v>
      </c>
      <c r="B104" s="7" t="s">
        <v>206</v>
      </c>
      <c r="C104" s="8" t="s">
        <v>207</v>
      </c>
      <c r="D104" s="9" t="str">
        <f>IFERROR(__xludf.DUMMYFUNCTION("GOOGLETRANSLATE(A104,""ru"",""en"")"),"Building bucket 16 l")</f>
        <v>Building bucket 16 l</v>
      </c>
      <c r="E104" s="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 t="s">
        <v>208</v>
      </c>
      <c r="B105" s="7" t="s">
        <v>208</v>
      </c>
      <c r="C105" s="8" t="s">
        <v>209</v>
      </c>
      <c r="D105" s="9" t="str">
        <f>IFERROR(__xludf.DUMMYFUNCTION("GOOGLETRANSLATE(A105,""ru"",""en"")"),"Building bucket 20 l")</f>
        <v>Building bucket 20 l</v>
      </c>
      <c r="E105" s="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 t="s">
        <v>210</v>
      </c>
      <c r="B106" s="7" t="s">
        <v>210</v>
      </c>
      <c r="C106" s="8" t="s">
        <v>211</v>
      </c>
      <c r="D106" s="9" t="str">
        <f>IFERROR(__xludf.DUMMYFUNCTION("GOOGLETRANSLATE(A106,""ru"",""en"")"),"Toilet paper Myakish-200 VIP")</f>
        <v>Toilet paper Myakish-200 VIP</v>
      </c>
      <c r="E106" s="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 t="s">
        <v>212</v>
      </c>
      <c r="B107" s="7" t="s">
        <v>212</v>
      </c>
      <c r="C107" s="8" t="s">
        <v>213</v>
      </c>
      <c r="D107" s="9" t="str">
        <f>IFERROR(__xludf.DUMMYFUNCTION("GOOGLETRANSLATE(A107,""ru"",""en"")"),"Meakshko-200 toilet paper for dispensers")</f>
        <v>Meakshko-200 toilet paper for dispensers</v>
      </c>
      <c r="E107" s="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 t="s">
        <v>214</v>
      </c>
      <c r="B108" s="7" t="s">
        <v>214</v>
      </c>
      <c r="C108" s="8" t="s">
        <v>215</v>
      </c>
      <c r="D108" s="9" t="str">
        <f>IFERROR(__xludf.DUMMYFUNCTION("GOOGLETRANSLATE(A108,""ru"",""en"")"),"Toilet paper meakish luxury 45 on the sleeve")</f>
        <v>Toilet paper meakish luxury 45 on the sleeve</v>
      </c>
      <c r="E108" s="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 t="s">
        <v>216</v>
      </c>
      <c r="B109" s="7" t="s">
        <v>216</v>
      </c>
      <c r="C109" s="8" t="s">
        <v>217</v>
      </c>
      <c r="D109" s="9" t="str">
        <f>IFERROR(__xludf.DUMMYFUNCTION("GOOGLETRANSLATE(A109,""ru"",""en"")"),"Toilet paper Meakshko plus 65 on the sleeve")</f>
        <v>Toilet paper Meakshko plus 65 on the sleeve</v>
      </c>
      <c r="E109" s="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 t="s">
        <v>218</v>
      </c>
      <c r="B110" s="7" t="s">
        <v>218</v>
      </c>
      <c r="C110" s="8" t="s">
        <v>219</v>
      </c>
      <c r="D110" s="9" t="str">
        <f>IFERROR(__xludf.DUMMYFUNCTION("GOOGLETRANSLATE(A110,""ru"",""en"")"),"Toilet paper Meakshko plus 65 without sleeve")</f>
        <v>Toilet paper Meakshko plus 65 without sleeve</v>
      </c>
      <c r="E110" s="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 t="s">
        <v>220</v>
      </c>
      <c r="B111" s="7" t="s">
        <v>220</v>
      </c>
      <c r="C111" s="8" t="s">
        <v>221</v>
      </c>
      <c r="D111" s="9" t="str">
        <f>IFERROR(__xludf.DUMMYFUNCTION("GOOGLETRANSLATE(A111,""ru"",""en"")"),"Zewa toilet paper plus 4 pcs")</f>
        <v>Zewa toilet paper plus 4 pcs</v>
      </c>
      <c r="E111" s="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 t="s">
        <v>222</v>
      </c>
      <c r="B112" s="7" t="s">
        <v>222</v>
      </c>
      <c r="C112" s="8" t="s">
        <v>223</v>
      </c>
      <c r="D112" s="9" t="str">
        <f>IFERROR(__xludf.DUMMYFUNCTION("GOOGLETRANSLATE(A112,""ru"",""en"")"),"Vanutuz 33 cm diameter 13.5 cm")</f>
        <v>Vanutuz 33 cm diameter 13.5 cm</v>
      </c>
      <c r="E112" s="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 t="s">
        <v>224</v>
      </c>
      <c r="B113" s="7" t="s">
        <v>224</v>
      </c>
      <c r="C113" s="8" t="s">
        <v>225</v>
      </c>
      <c r="D113" s="9" t="str">
        <f>IFERROR(__xludf.DUMMYFUNCTION("GOOGLETRANSLATE(A113,""ru"",""en"")"),"Bucket without covers black 10 l")</f>
        <v>Bucket without covers black 10 l</v>
      </c>
      <c r="E113" s="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 t="s">
        <v>226</v>
      </c>
      <c r="B114" s="7" t="s">
        <v>226</v>
      </c>
      <c r="C114" s="8" t="s">
        <v>227</v>
      </c>
      <c r="D114" s="9" t="str">
        <f>IFERROR(__xludf.DUMMYFUNCTION("GOOGLETRANSLATE(A114,""ru"",""en"")"),"Umnichka 11 cm window with telescopic handle 120 cm Emerald")</f>
        <v>Umnichka 11 cm window with telescopic handle 120 cm Emerald</v>
      </c>
      <c r="E114" s="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 t="s">
        <v>228</v>
      </c>
      <c r="B115" s="7" t="s">
        <v>228</v>
      </c>
      <c r="C115" s="8" t="s">
        <v>229</v>
      </c>
      <c r="D115" s="9" t="str">
        <f>IFERROR(__xludf.DUMMYFUNCTION("GOOGLETRANSLATE(A115,""ru"",""en"")"),"Umnichka 11 cm window with telescopic handle 95 cm Emerald")</f>
        <v>Umnichka 11 cm window with telescopic handle 95 cm Emerald</v>
      </c>
      <c r="E115" s="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 t="s">
        <v>230</v>
      </c>
      <c r="B116" s="7" t="s">
        <v>230</v>
      </c>
      <c r="C116" s="8" t="s">
        <v>231</v>
      </c>
      <c r="D116" s="9" t="str">
        <f>IFERROR(__xludf.DUMMYFUNCTION("GOOGLETRANSLATE(A116,""ru"",""en"")"),"Clamp Umnichka 20 cm with 50 cm handle orange")</f>
        <v>Clamp Umnichka 20 cm with 50 cm handle orange</v>
      </c>
      <c r="E116" s="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 t="s">
        <v>232</v>
      </c>
      <c r="B117" s="7" t="s">
        <v>232</v>
      </c>
      <c r="C117" s="8" t="s">
        <v>233</v>
      </c>
      <c r="D117" s="9" t="str">
        <f>IFERROR(__xludf.DUMMYFUNCTION("GOOGLETRANSLATE(A117,""ru"",""en"")"),"Black Umnichka window 20 cm with 50 cm handle")</f>
        <v>Black Umnichka window 20 cm with 50 cm handle</v>
      </c>
      <c r="E117" s="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 t="s">
        <v>234</v>
      </c>
      <c r="B118" s="7" t="s">
        <v>234</v>
      </c>
      <c r="C118" s="8" t="s">
        <v>235</v>
      </c>
      <c r="D118" s="9" t="str">
        <f>IFERROR(__xludf.DUMMYFUNCTION("GOOGLETRANSLATE(A118,""ru"",""en"")"),"Umnichka window glass 25 cm with telescopic handle 120 cm emerald")</f>
        <v>Umnichka window glass 25 cm with telescopic handle 120 cm emerald</v>
      </c>
      <c r="E118" s="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 t="s">
        <v>236</v>
      </c>
      <c r="B119" s="7" t="s">
        <v>236</v>
      </c>
      <c r="C119" s="8" t="s">
        <v>237</v>
      </c>
      <c r="D119" s="9" t="str">
        <f>IFERROR(__xludf.DUMMYFUNCTION("GOOGLETRANSLATE(A119,""ru"",""en"")"),"Urnichka window glass 25 cm with telescopic handle 120 cm orange")</f>
        <v>Urnichka window glass 25 cm with telescopic handle 120 cm orange</v>
      </c>
      <c r="E119" s="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 t="s">
        <v>238</v>
      </c>
      <c r="B120" s="7" t="s">
        <v>238</v>
      </c>
      <c r="C120" s="8" t="s">
        <v>239</v>
      </c>
      <c r="D120" s="9" t="str">
        <f>IFERROR(__xludf.DUMMYFUNCTION("GOOGLETRANSLATE(A120,""ru"",""en"")"),"Umnichka window glass 25 cm with telescopic handle 95 cm orange")</f>
        <v>Umnichka window glass 25 cm with telescopic handle 95 cm orange</v>
      </c>
      <c r="E120" s="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 t="s">
        <v>240</v>
      </c>
      <c r="B121" s="7" t="s">
        <v>240</v>
      </c>
      <c r="C121" s="8" t="s">
        <v>241</v>
      </c>
      <c r="D121" s="9" t="str">
        <f>IFERROR(__xludf.DUMMYFUNCTION("GOOGLETRANSLATE(A121,""ru"",""en"")"),"Air freshener Symphony Freshness of rain 300 ml")</f>
        <v>Air freshener Symphony Freshness of rain 300 ml</v>
      </c>
      <c r="E121" s="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 t="s">
        <v>242</v>
      </c>
      <c r="B122" s="7" t="s">
        <v>242</v>
      </c>
      <c r="C122" s="8" t="s">
        <v>243</v>
      </c>
      <c r="D122" s="9" t="str">
        <f>IFERROR(__xludf.DUMMYFUNCTION("GOOGLETRANSLATE(A122,""ru"",""en"")"),"Air freshener Symphony Anti-bac 300 ml")</f>
        <v>Air freshener Symphony Anti-bac 300 ml</v>
      </c>
      <c r="E122" s="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 t="s">
        <v>244</v>
      </c>
      <c r="B123" s="7" t="s">
        <v>244</v>
      </c>
      <c r="C123" s="8" t="s">
        <v>245</v>
      </c>
      <c r="D123" s="9" t="str">
        <f>IFERROR(__xludf.DUMMYFUNCTION("GOOGLETRANSLATE(A123,""ru"",""en"")"),"Air freshener Symphony Anti-Bak 300 ml")</f>
        <v>Air freshener Symphony Anti-Bak 300 ml</v>
      </c>
      <c r="E123" s="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 t="s">
        <v>246</v>
      </c>
      <c r="B124" s="7" t="s">
        <v>246</v>
      </c>
      <c r="C124" s="8" t="s">
        <v>247</v>
      </c>
      <c r="D124" s="9" t="str">
        <f>IFERROR(__xludf.DUMMYFUNCTION("GOOGLETRANSLATE(A124,""ru"",""en"")"),"Economic Soap 72% 200 g of Russia")</f>
        <v>Economic Soap 72% 200 g of Russia</v>
      </c>
      <c r="E124" s="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 t="s">
        <v>248</v>
      </c>
      <c r="B125" s="7" t="s">
        <v>248</v>
      </c>
      <c r="C125" s="8" t="s">
        <v>249</v>
      </c>
      <c r="D125" s="9" t="str">
        <f>IFERROR(__xludf.DUMMYFUNCTION("GOOGLETRANSLATE(A125,""ru"",""en"")"),"Washing Pasta For Hands Dream 400 g")</f>
        <v>Washing Pasta For Hands Dream 400 g</v>
      </c>
      <c r="E125" s="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 t="s">
        <v>250</v>
      </c>
      <c r="B126" s="7" t="s">
        <v>250</v>
      </c>
      <c r="C126" s="8" t="s">
        <v>251</v>
      </c>
      <c r="D126" s="9" t="str">
        <f>IFERROR(__xludf.DUMMYFUNCTION("GOOGLETRANSLATE(A126,""ru"",""en"")"),"Package Mike PND 40x18x70 cm 14 μm white 100 pcs")</f>
        <v>Package Mike PND 40x18x70 cm 14 μm white 100 pcs</v>
      </c>
      <c r="E126" s="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 t="s">
        <v>252</v>
      </c>
      <c r="B127" s="7" t="s">
        <v>252</v>
      </c>
      <c r="C127" s="8" t="s">
        <v>253</v>
      </c>
      <c r="D127" s="9" t="str">
        <f>IFERROR(__xludf.DUMMYFUNCTION("GOOGLETRANSLATE(A127,""ru"",""en"")"),"Broom fan number 2 Euro thread")</f>
        <v>Broom fan number 2 Euro thread</v>
      </c>
      <c r="E127" s="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 t="s">
        <v>254</v>
      </c>
      <c r="B128" s="7" t="s">
        <v>254</v>
      </c>
      <c r="C128" s="8" t="s">
        <v>255</v>
      </c>
      <c r="D128" s="9" t="str">
        <f>IFERROR(__xludf.DUMMYFUNCTION("GOOGLETRANSLATE(A128,""ru"",""en"")"),"Broom polypropylene round with cutlets of RB")</f>
        <v>Broom polypropylene round with cutlets of RB</v>
      </c>
      <c r="E128" s="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 t="s">
        <v>256</v>
      </c>
      <c r="B129" s="7" t="s">
        <v>256</v>
      </c>
      <c r="C129" s="8" t="s">
        <v>257</v>
      </c>
      <c r="D129" s="9" t="str">
        <f>IFERROR(__xludf.DUMMYFUNCTION("GOOGLETRANSLATE(A129,""ru"",""en"")"),"Bags for construction garbage 4Walls 55x105 cm")</f>
        <v>Bags for construction garbage 4Walls 55x105 cm</v>
      </c>
      <c r="E129" s="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 t="s">
        <v>258</v>
      </c>
      <c r="B130" s="7" t="s">
        <v>258</v>
      </c>
      <c r="C130" s="8" t="s">
        <v>259</v>
      </c>
      <c r="D130" s="9" t="str">
        <f>IFERROR(__xludf.DUMMYFUNCTION("GOOGLETRANSLATE(A130,""ru"",""en"")"),"Bags for construction garbage 4Walls 55x95 cm")</f>
        <v>Bags for construction garbage 4Walls 55x95 cm</v>
      </c>
      <c r="E130" s="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 t="s">
        <v>260</v>
      </c>
      <c r="B131" s="7" t="s">
        <v>260</v>
      </c>
      <c r="C131" s="8" t="s">
        <v>261</v>
      </c>
      <c r="D131" s="9" t="str">
        <f>IFERROR(__xludf.DUMMYFUNCTION("GOOGLETRANSLATE(A131,""ru"",""en"")"),"Cream-soap tender 0.5 l")</f>
        <v>Cream-soap tender 0.5 l</v>
      </c>
      <c r="E131" s="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 t="s">
        <v>262</v>
      </c>
      <c r="B132" s="7" t="s">
        <v>262</v>
      </c>
      <c r="C132" s="8" t="s">
        <v>263</v>
      </c>
      <c r="D132" s="9" t="str">
        <f>IFERROR(__xludf.DUMMYFUNCTION("GOOGLETRANSLATE(A132,""ru"",""en"")"),"Cream soap dew peach 5 l")</f>
        <v>Cream soap dew peach 5 l</v>
      </c>
      <c r="E132" s="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 t="s">
        <v>264</v>
      </c>
      <c r="B133" s="7" t="s">
        <v>264</v>
      </c>
      <c r="C133" s="8" t="s">
        <v>265</v>
      </c>
      <c r="D133" s="9" t="str">
        <f>IFERROR(__xludf.DUMMYFUNCTION("GOOGLETRANSLATE(A133,""ru"",""en"")"),"Cream-soap Rosa freshness of greenery 5 l")</f>
        <v>Cream-soap Rosa freshness of greenery 5 l</v>
      </c>
      <c r="E133" s="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 t="s">
        <v>266</v>
      </c>
      <c r="B134" s="7" t="s">
        <v>266</v>
      </c>
      <c r="C134" s="8" t="s">
        <v>267</v>
      </c>
      <c r="D134" s="9" t="str">
        <f>IFERROR(__xludf.DUMMYFUNCTION("GOOGLETRANSLATE(A134,""ru"",""en"")"),"PS Cover 127 mm")</f>
        <v>PS Cover 127 mm</v>
      </c>
      <c r="E134" s="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 t="s">
        <v>268</v>
      </c>
      <c r="B135" s="7" t="s">
        <v>268</v>
      </c>
      <c r="C135" s="8" t="s">
        <v>269</v>
      </c>
      <c r="D135" s="9" t="str">
        <f>IFERROR(__xludf.DUMMYFUNCTION("GOOGLETRANSLATE(A135,""ru"",""en"")"),"PS Cover 135 mm")</f>
        <v>PS Cover 135 mm</v>
      </c>
      <c r="E135" s="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 t="s">
        <v>270</v>
      </c>
      <c r="B136" s="7" t="s">
        <v>270</v>
      </c>
      <c r="C136" s="8" t="s">
        <v>271</v>
      </c>
      <c r="D136" s="9" t="str">
        <f>IFERROR(__xludf.DUMMYFUNCTION("GOOGLETRANSLATE(A136,""ru"",""en"")"),"Voil Copper clever 10 pcs")</f>
        <v>Voil Copper clever 10 pcs</v>
      </c>
      <c r="E136" s="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 t="s">
        <v>272</v>
      </c>
      <c r="B137" s="7" t="s">
        <v>272</v>
      </c>
      <c r="C137" s="8" t="s">
        <v>273</v>
      </c>
      <c r="D137" s="9" t="str">
        <f>IFERROR(__xludf.DUMMYFUNCTION("GOOGLETRANSLATE(A137,""ru"",""en"")"),"Bags for garbage Mirpack PCD Premium + 120 l 40 microns 10 pcs")</f>
        <v>Bags for garbage Mirpack PCD Premium + 120 l 40 microns 10 pcs</v>
      </c>
      <c r="E137" s="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 t="s">
        <v>274</v>
      </c>
      <c r="B138" s="7" t="s">
        <v>274</v>
      </c>
      <c r="C138" s="8" t="s">
        <v>275</v>
      </c>
      <c r="D138" s="9" t="str">
        <f>IFERROR(__xludf.DUMMYFUNCTION("GOOGLETRANSLATE(A138,""ru"",""en"")"),"Bags for garbage Mirpack PVD Professional 120 l 12 microns 50 pcs")</f>
        <v>Bags for garbage Mirpack PVD Professional 120 l 12 microns 50 pcs</v>
      </c>
      <c r="E138" s="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 t="s">
        <v>276</v>
      </c>
      <c r="B139" s="7" t="s">
        <v>276</v>
      </c>
      <c r="C139" s="8" t="s">
        <v>277</v>
      </c>
      <c r="D139" s="9" t="str">
        <f>IFERROR(__xludf.DUMMYFUNCTION("GOOGLETRANSLATE(A139,""ru"",""en"")"),"Bags for garbage Mirpack PVD Professional 240 L 35 μm 10 pcs")</f>
        <v>Bags for garbage Mirpack PVD Professional 240 L 35 μm 10 pcs</v>
      </c>
      <c r="E139" s="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 t="s">
        <v>278</v>
      </c>
      <c r="B140" s="7" t="s">
        <v>278</v>
      </c>
      <c r="C140" s="8" t="s">
        <v>279</v>
      </c>
      <c r="D140" s="9" t="str">
        <f>IFERROR(__xludf.DUMMYFUNCTION("GOOGLETRANSLATE(A140,""ru"",""en"")"),"Bags for garbage Mirpack PVD Professional 240 L 45 μm 10 pcs")</f>
        <v>Bags for garbage Mirpack PVD Professional 240 L 45 μm 10 pcs</v>
      </c>
      <c r="E140" s="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 t="s">
        <v>280</v>
      </c>
      <c r="B141" s="7" t="s">
        <v>280</v>
      </c>
      <c r="C141" s="8" t="s">
        <v>281</v>
      </c>
      <c r="D141" s="9" t="str">
        <f>IFERROR(__xludf.DUMMYFUNCTION("GOOGLETRANSLATE(A141,""ru"",""en"")"),"Bags for garbage Mirpack PND CLASSIC 120 l 12 μm 10 pcs")</f>
        <v>Bags for garbage Mirpack PND CLASSIC 120 l 12 μm 10 pcs</v>
      </c>
      <c r="E141" s="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 t="s">
        <v>282</v>
      </c>
      <c r="B142" s="7" t="s">
        <v>282</v>
      </c>
      <c r="C142" s="8" t="s">
        <v>283</v>
      </c>
      <c r="D142" s="9" t="str">
        <f>IFERROR(__xludf.DUMMYFUNCTION("GOOGLETRANSLATE(A142,""ru"",""en"")"),"Melt for cleaning and disinfection of the sanlit gel 5 l")</f>
        <v>Melt for cleaning and disinfection of the sanlit gel 5 l</v>
      </c>
      <c r="E142" s="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 t="s">
        <v>284</v>
      </c>
      <c r="B143" s="7" t="s">
        <v>284</v>
      </c>
      <c r="C143" s="8" t="s">
        <v>285</v>
      </c>
      <c r="D143" s="9" t="str">
        <f>IFERROR(__xludf.DUMMYFUNCTION("GOOGLETRANSLATE(A143,""ru"",""en"")"),"Disinfectant with detergent effect Increspet 10a 5 l")</f>
        <v>Disinfectant with detergent effect Increspet 10a 5 l</v>
      </c>
      <c r="E143" s="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 t="s">
        <v>286</v>
      </c>
      <c r="B144" s="7" t="s">
        <v>286</v>
      </c>
      <c r="C144" s="8" t="s">
        <v>287</v>
      </c>
      <c r="D144" s="9" t="str">
        <f>IFERROR(__xludf.DUMMYFUNCTION("GOOGLETRANSLATE(A144,""ru"",""en"")"),"Antiseptic for hand treatment DEEOR 1 L")</f>
        <v>Antiseptic for hand treatment DEEOR 1 L</v>
      </c>
      <c r="E144" s="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 t="s">
        <v>288</v>
      </c>
      <c r="B145" s="7" t="s">
        <v>288</v>
      </c>
      <c r="C145" s="8" t="s">
        <v>289</v>
      </c>
      <c r="D145" s="9" t="str">
        <f>IFERROR(__xludf.DUMMYFUNCTION("GOOGLETRANSLATE(A145,""ru"",""en"")"),"Reason for cleaning the premises Pro-490 10 l")</f>
        <v>Reason for cleaning the premises Pro-490 10 l</v>
      </c>
      <c r="E145" s="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 t="s">
        <v>290</v>
      </c>
      <c r="B146" s="7" t="s">
        <v>290</v>
      </c>
      <c r="C146" s="8" t="s">
        <v>291</v>
      </c>
      <c r="D146" s="9" t="str">
        <f>IFERROR(__xludf.DUMMYFUNCTION("GOOGLETRANSLATE(A146,""ru"",""en"")"),"Polypropylene non-executed 1000 Tex 5 kg (+/- 10%)")</f>
        <v>Polypropylene non-executed 1000 Tex 5 kg (+/- 10%)</v>
      </c>
      <c r="E146" s="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 t="s">
        <v>292</v>
      </c>
      <c r="B147" s="7" t="s">
        <v>292</v>
      </c>
      <c r="C147" s="8" t="s">
        <v>293</v>
      </c>
      <c r="D147" s="9" t="str">
        <f>IFERROR(__xludf.DUMMYFUNCTION("GOOGLETRANSLATE(A147,""ru"",""en"")"),"Plastic clamp screed 2,5х180 mm white nylon")</f>
        <v>Plastic clamp screed 2,5х180 mm white nylon</v>
      </c>
      <c r="E147" s="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 t="s">
        <v>294</v>
      </c>
      <c r="B148" s="7" t="s">
        <v>294</v>
      </c>
      <c r="C148" s="8" t="s">
        <v>295</v>
      </c>
      <c r="D148" s="9" t="str">
        <f>IFERROR(__xludf.DUMMYFUNCTION("GOOGLETRANSLATE(A148,""ru"",""en"")"),"Rag x / b 100% white 10 kg")</f>
        <v>Rag x / b 100% white 10 kg</v>
      </c>
      <c r="E148" s="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 t="s">
        <v>296</v>
      </c>
      <c r="B149" s="7" t="s">
        <v>296</v>
      </c>
      <c r="C149" s="8" t="s">
        <v>297</v>
      </c>
      <c r="D149" s="9" t="str">
        <f>IFERROR(__xludf.DUMMYFUNCTION("GOOGLETRANSLATE(A149,""ru"",""en"")"),"Megaluux cleansing agent 5 l")</f>
        <v>Megaluux cleansing agent 5 l</v>
      </c>
      <c r="E149" s="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 t="s">
        <v>298</v>
      </c>
      <c r="B150" s="7" t="s">
        <v>298</v>
      </c>
      <c r="C150" s="8" t="s">
        <v>299</v>
      </c>
      <c r="D150" s="9" t="str">
        <f>IFERROR(__xludf.DUMMYFUNCTION("GOOGLETRANSLATE(A150,""ru"",""en"")"),"Universal Whitening Anyday Gloss 1 l")</f>
        <v>Universal Whitening Anyday Gloss 1 l</v>
      </c>
      <c r="E150" s="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 t="s">
        <v>300</v>
      </c>
      <c r="B151" s="7" t="s">
        <v>300</v>
      </c>
      <c r="C151" s="8" t="s">
        <v>301</v>
      </c>
      <c r="D151" s="9" t="str">
        <f>IFERROR(__xludf.DUMMYFUNCTION("GOOGLETRANSLATE(A151,""ru"",""en"")"),"Anyday Gloss Sanitary Products 500 ml")</f>
        <v>Anyday Gloss Sanitary Products 500 ml</v>
      </c>
      <c r="E151" s="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 t="s">
        <v>302</v>
      </c>
      <c r="B152" s="7" t="s">
        <v>302</v>
      </c>
      <c r="C152" s="8" t="s">
        <v>303</v>
      </c>
      <c r="D152" s="9" t="str">
        <f>IFERROR(__xludf.DUMMYFUNCTION("GOOGLETRANSLATE(A152,""ru"",""en"")"),"Pedal bucket for garbage")</f>
        <v>Pedal bucket for garbage</v>
      </c>
      <c r="E152" s="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 t="s">
        <v>304</v>
      </c>
      <c r="B153" s="7" t="s">
        <v>304</v>
      </c>
      <c r="C153" s="8" t="s">
        <v>305</v>
      </c>
      <c r="D153" s="9" t="str">
        <f>IFERROR(__xludf.DUMMYFUNCTION("GOOGLETRANSLATE(A153,""ru"",""en"")"),"Economic Soap 65% 200 g of Russia")</f>
        <v>Economic Soap 65% 200 g of Russia</v>
      </c>
      <c r="E153" s="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 t="s">
        <v>306</v>
      </c>
      <c r="B154" s="7" t="s">
        <v>306</v>
      </c>
      <c r="C154" s="8" t="s">
        <v>307</v>
      </c>
      <c r="D154" s="9" t="str">
        <f>IFERROR(__xludf.DUMMYFUNCTION("GOOGLETRANSLATE(A154,""ru"",""en"")"),"Washing Powder Tide Automatic Alpine Freshness 3 kg")</f>
        <v>Washing Powder Tide Automatic Alpine Freshness 3 kg</v>
      </c>
      <c r="E154" s="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 t="s">
        <v>308</v>
      </c>
      <c r="B155" s="7" t="s">
        <v>308</v>
      </c>
      <c r="C155" s="8" t="s">
        <v>309</v>
      </c>
      <c r="D155" s="9" t="str">
        <f>IFERROR(__xludf.DUMMYFUNCTION("GOOGLETRANSLATE(A155,""ru"",""en"")"),"Komfi Ice Package 224 Ball")</f>
        <v>Komfi Ice Package 224 Ball</v>
      </c>
      <c r="E155" s="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 t="s">
        <v>310</v>
      </c>
      <c r="B156" s="7" t="s">
        <v>310</v>
      </c>
      <c r="C156" s="8" t="s">
        <v>311</v>
      </c>
      <c r="D156" s="9" t="str">
        <f>IFERROR(__xludf.DUMMYFUNCTION("GOOGLETRANSLATE(A156,""ru"",""en"")"),"Stinks for robble 3x120 cm birch 1 grade")</f>
        <v>Stinks for robble 3x120 cm birch 1 grade</v>
      </c>
      <c r="E156" s="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 t="s">
        <v>312</v>
      </c>
      <c r="B157" s="7" t="s">
        <v>312</v>
      </c>
      <c r="C157" s="8" t="s">
        <v>313</v>
      </c>
      <c r="D157" s="9" t="str">
        <f>IFERROR(__xludf.DUMMYFUNCTION("GOOGLETRANSLATE(A157,""ru"",""en"")"),"Plastic clamp screed 2,5х250 mm white nylon")</f>
        <v>Plastic clamp screed 2,5х250 mm white nylon</v>
      </c>
      <c r="E157" s="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 t="s">
        <v>314</v>
      </c>
      <c r="B158" s="7" t="s">
        <v>314</v>
      </c>
      <c r="C158" s="8" t="s">
        <v>315</v>
      </c>
      <c r="D158" s="9" t="str">
        <f>IFERROR(__xludf.DUMMYFUNCTION("GOOGLETRANSLATE(A158,""ru"",""en"")"),"Bags for garbage Mirpack PCD Premium + 60 l 20 microns 20 pcs")</f>
        <v>Bags for garbage Mirpack PCD Premium + 60 l 20 microns 20 pcs</v>
      </c>
      <c r="E158" s="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 t="s">
        <v>316</v>
      </c>
      <c r="B159" s="7" t="s">
        <v>316</v>
      </c>
      <c r="C159" s="8" t="s">
        <v>317</v>
      </c>
      <c r="D159" s="9" t="str">
        <f>IFERROR(__xludf.DUMMYFUNCTION("GOOGLETRANSLATE(A159,""ru"",""en"")"),"Foil Food Blind Standard 29 cm x 80 m 8 microns")</f>
        <v>Foil Food Blind Standard 29 cm x 80 m 8 microns</v>
      </c>
      <c r="E159" s="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 t="s">
        <v>318</v>
      </c>
      <c r="B160" s="7" t="s">
        <v>318</v>
      </c>
      <c r="C160" s="8" t="s">
        <v>319</v>
      </c>
      <c r="D160" s="9" t="str">
        <f>IFERROR(__xludf.DUMMYFUNCTION("GOOGLETRANSLATE(A160,""ru"",""en"")"),"Foil Food Blind Standard 29 cm x 100 m 8 microns")</f>
        <v>Foil Food Blind Standard 29 cm x 100 m 8 microns</v>
      </c>
      <c r="E160" s="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 t="s">
        <v>320</v>
      </c>
      <c r="B161" s="7" t="s">
        <v>320</v>
      </c>
      <c r="C161" s="8" t="s">
        <v>321</v>
      </c>
      <c r="D161" s="9" t="str">
        <f>IFERROR(__xludf.DUMMYFUNCTION("GOOGLETRANSLATE(A161,""ru"",""en"")"),"Foil Food Turning Standard 44 cm x 80 m 8 microns")</f>
        <v>Foil Food Turning Standard 44 cm x 80 m 8 microns</v>
      </c>
      <c r="E161" s="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 t="s">
        <v>322</v>
      </c>
      <c r="B162" s="7" t="s">
        <v>322</v>
      </c>
      <c r="C162" s="8" t="s">
        <v>323</v>
      </c>
      <c r="D162" s="9" t="str">
        <f>IFERROR(__xludf.DUMMYFUNCTION("GOOGLETRANSLATE(A162,""ru"",""en"")"),"Foil Food Burning Durable 29 cm x 100 m 11 microns")</f>
        <v>Foil Food Burning Durable 29 cm x 100 m 11 microns</v>
      </c>
      <c r="E162" s="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 t="s">
        <v>324</v>
      </c>
      <c r="B163" s="7" t="s">
        <v>324</v>
      </c>
      <c r="C163" s="8" t="s">
        <v>325</v>
      </c>
      <c r="D163" s="9" t="str">
        <f>IFERROR(__xludf.DUMMYFUNCTION("GOOGLETRANSLATE(A163,""ru"",""en"")"),"Food Platform Desnogor 30 cm x 250 m White 5.5 μm")</f>
        <v>Food Platform Desnogor 30 cm x 250 m White 5.5 μm</v>
      </c>
      <c r="E163" s="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 t="s">
        <v>326</v>
      </c>
      <c r="B164" s="7" t="s">
        <v>326</v>
      </c>
      <c r="C164" s="8" t="s">
        <v>327</v>
      </c>
      <c r="D164" s="9" t="str">
        <f>IFERROR(__xludf.DUMMYFUNCTION("GOOGLETRANSLATE(A164,""ru"",""en"")"),"Food Plaque Desnogor 45 cm x 250 m white")</f>
        <v>Food Plaque Desnogor 45 cm x 250 m white</v>
      </c>
      <c r="E164" s="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 t="s">
        <v>328</v>
      </c>
      <c r="B165" s="7" t="s">
        <v>328</v>
      </c>
      <c r="C165" s="8" t="s">
        <v>329</v>
      </c>
      <c r="D165" s="9" t="str">
        <f>IFERROR(__xludf.DUMMYFUNCTION("GOOGLETRANSLATE(A165,""ru"",""en"")"),"Baking sleeve 30 cm x 3 m with clips")</f>
        <v>Baking sleeve 30 cm x 3 m with clips</v>
      </c>
      <c r="E165" s="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 t="s">
        <v>330</v>
      </c>
      <c r="B166" s="7" t="s">
        <v>330</v>
      </c>
      <c r="C166" s="8" t="s">
        <v>331</v>
      </c>
      <c r="D166" s="9" t="str">
        <f>IFERROR(__xludf.DUMMYFUNCTION("GOOGLETRANSLATE(A166,""ru"",""en"")"),"Candle in Paterra Gelza 100 pcs")</f>
        <v>Candle in Paterra Gelza 100 pcs</v>
      </c>
      <c r="E166" s="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 t="s">
        <v>332</v>
      </c>
      <c r="B167" s="7" t="s">
        <v>332</v>
      </c>
      <c r="C167" s="8" t="s">
        <v>333</v>
      </c>
      <c r="D167" s="9" t="str">
        <f>IFERROR(__xludf.DUMMYFUNCTION("GOOGLETRANSLATE(A167,""ru"",""en"")"),"Pills for pisuars 1 kg green")</f>
        <v>Pills for pisuars 1 kg green</v>
      </c>
      <c r="E167" s="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 t="s">
        <v>334</v>
      </c>
      <c r="B168" s="7" t="s">
        <v>334</v>
      </c>
      <c r="C168" s="8" t="s">
        <v>335</v>
      </c>
      <c r="D168" s="9" t="str">
        <f>IFERROR(__xludf.DUMMYFUNCTION("GOOGLETRANSLATE(A168,""ru"",""en"")"),"Megaluux cleansing agent 10 l")</f>
        <v>Megaluux cleansing agent 10 l</v>
      </c>
      <c r="E168" s="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 t="s">
        <v>336</v>
      </c>
      <c r="B169" s="7" t="s">
        <v>336</v>
      </c>
      <c r="C169" s="8" t="s">
        <v>337</v>
      </c>
      <c r="D169" s="9" t="str">
        <f>IFERROR(__xludf.DUMMYFUNCTION("GOOGLETRANSLATE(A169,""ru"",""en"")"),"Packages polyethylene transparent 55x80 cm 65 microns 100 pcs")</f>
        <v>Packages polyethylene transparent 55x80 cm 65 microns 100 pcs</v>
      </c>
      <c r="E169" s="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 t="s">
        <v>338</v>
      </c>
      <c r="B170" s="7" t="s">
        <v>338</v>
      </c>
      <c r="C170" s="8" t="s">
        <v>339</v>
      </c>
      <c r="D170" s="9" t="str">
        <f>IFERROR(__xludf.DUMMYFUNCTION("GOOGLETRANSLATE(A170,""ru"",""en"")"),"Sliver lead 10 mm")</f>
        <v>Sliver lead 10 mm</v>
      </c>
      <c r="E170" s="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 t="s">
        <v>340</v>
      </c>
      <c r="B171" s="7" t="s">
        <v>340</v>
      </c>
      <c r="C171" s="8" t="s">
        <v>341</v>
      </c>
      <c r="D171" s="9" t="str">
        <f>IFERROR(__xludf.DUMMYFUNCTION("GOOGLETRANSLATE(A171,""ru"",""en"")"),"Concentrated foam neutral detergent Maicon 1 l")</f>
        <v>Concentrated foam neutral detergent Maicon 1 l</v>
      </c>
      <c r="E171" s="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 t="s">
        <v>342</v>
      </c>
      <c r="B172" s="7" t="s">
        <v>342</v>
      </c>
      <c r="C172" s="8" t="s">
        <v>343</v>
      </c>
      <c r="D172" s="9" t="str">
        <f>IFERROR(__xludf.DUMMYFUNCTION("GOOGLETRANSLATE(A172,""ru"",""en"")"),"Automatic air freshener AIR WICK Fairy Garden 250 ml")</f>
        <v>Automatic air freshener AIR WICK Fairy Garden 250 ml</v>
      </c>
      <c r="E172" s="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 t="s">
        <v>344</v>
      </c>
      <c r="B173" s="7" t="s">
        <v>344</v>
      </c>
      <c r="C173" s="8" t="s">
        <v>345</v>
      </c>
      <c r="D173" s="9" t="str">
        <f>IFERROR(__xludf.DUMMYFUNCTION("GOOGLETRANSLATE(A173,""ru"",""en"")"),"Spigat harness head p2 polished 2-thread 1200 tex 1 kg")</f>
        <v>Spigat harness head p2 polished 2-thread 1200 tex 1 kg</v>
      </c>
      <c r="E173" s="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 t="s">
        <v>346</v>
      </c>
      <c r="B174" s="7" t="s">
        <v>346</v>
      </c>
      <c r="C174" s="8" t="s">
        <v>347</v>
      </c>
      <c r="D174" s="9" t="str">
        <f>IFERROR(__xludf.DUMMYFUNCTION("GOOGLETRANSLATE(A174,""ru"",""en"")"),"Replaceable Block for Air Freshener Air Wick Paradise Flowers 250 ml")</f>
        <v>Replaceable Block for Air Freshener Air Wick Paradise Flowers 250 ml</v>
      </c>
      <c r="E174" s="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 t="s">
        <v>348</v>
      </c>
      <c r="B175" s="7" t="s">
        <v>348</v>
      </c>
      <c r="C175" s="8" t="s">
        <v>349</v>
      </c>
      <c r="D175" s="9" t="str">
        <f>IFERROR(__xludf.DUMMYFUNCTION("GOOGLETRANSLATE(A175,""ru"",""en"")"),"Replaceable Block for Air Wick Magnolia Air Freshener and Flowering Cherry 250 ml")</f>
        <v>Replaceable Block for Air Wick Magnolia Air Freshener and Flowering Cherry 250 ml</v>
      </c>
      <c r="E175" s="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 t="s">
        <v>350</v>
      </c>
      <c r="B176" s="7" t="s">
        <v>350</v>
      </c>
      <c r="C176" s="8" t="s">
        <v>351</v>
      </c>
      <c r="D176" s="9" t="str">
        <f>IFERROR(__xludf.DUMMYFUNCTION("GOOGLETRANSLATE(A176,""ru"",""en"")"),"Replaceable unit for air freshener AIR WICK lemon and ginseng 250 ml")</f>
        <v>Replaceable unit for air freshener AIR WICK lemon and ginseng 250 ml</v>
      </c>
      <c r="E176" s="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 t="s">
        <v>352</v>
      </c>
      <c r="B177" s="7" t="s">
        <v>352</v>
      </c>
      <c r="C177" s="8" t="s">
        <v>353</v>
      </c>
      <c r="D177" s="9" t="str">
        <f>IFERROR(__xludf.DUMMYFUNCTION("GOOGLETRANSLATE(A177,""ru"",""en"")"),"X / B Gloves 10 Class 4 Threads Light")</f>
        <v>X / B Gloves 10 Class 4 Threads Light</v>
      </c>
      <c r="E177" s="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 t="s">
        <v>354</v>
      </c>
      <c r="B178" s="7" t="s">
        <v>354</v>
      </c>
      <c r="C178" s="8" t="s">
        <v>355</v>
      </c>
      <c r="D178" s="9" t="str">
        <f>IFERROR(__xludf.DUMMYFUNCTION("GOOGLETRANSLATE(A178,""ru"",""en"")"),"Air freshener Symphony green tea 300 ml")</f>
        <v>Air freshener Symphony green tea 300 ml</v>
      </c>
      <c r="E178" s="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 t="s">
        <v>356</v>
      </c>
      <c r="B179" s="7" t="s">
        <v>356</v>
      </c>
      <c r="C179" s="8" t="s">
        <v>357</v>
      </c>
      <c r="D179" s="9" t="str">
        <f>IFERROR(__xludf.DUMMYFUNCTION("GOOGLETRANSLATE(A179,""ru"",""en"")"),"Air Freshener Symphony Sea Breeze 300 ml")</f>
        <v>Air Freshener Symphony Sea Breeze 300 ml</v>
      </c>
      <c r="E179" s="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 t="s">
        <v>358</v>
      </c>
      <c r="B180" s="7" t="s">
        <v>358</v>
      </c>
      <c r="C180" s="8" t="s">
        <v>359</v>
      </c>
      <c r="D180" s="9" t="str">
        <f>IFERROR(__xludf.DUMMYFUNCTION("GOOGLETRANSLATE(A180,""ru"",""en"")"),"Package for baking komfi 30x40 cm 5 pcs")</f>
        <v>Package for baking komfi 30x40 cm 5 pcs</v>
      </c>
      <c r="E180" s="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 t="s">
        <v>360</v>
      </c>
      <c r="B181" s="7" t="s">
        <v>360</v>
      </c>
      <c r="C181" s="8" t="s">
        <v>361</v>
      </c>
      <c r="D181" s="9" t="str">
        <f>IFERROR(__xludf.DUMMYFUNCTION("GOOGLETRANSLATE(A181,""ru"",""en"")"),"Tool cleansing Navatex 5 l")</f>
        <v>Tool cleansing Navatex 5 l</v>
      </c>
      <c r="E181" s="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 t="s">
        <v>362</v>
      </c>
      <c r="B182" s="7" t="s">
        <v>362</v>
      </c>
      <c r="C182" s="8" t="s">
        <v>363</v>
      </c>
      <c r="D182" s="9" t="str">
        <f>IFERROR(__xludf.DUMMYFUNCTION("GOOGLETRANSLATE(A182,""ru"",""en"")"),"Cash tape heat sensitive 57x30")</f>
        <v>Cash tape heat sensitive 57x30</v>
      </c>
      <c r="E182" s="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 t="s">
        <v>364</v>
      </c>
      <c r="B183" s="7" t="s">
        <v>364</v>
      </c>
      <c r="C183" s="8" t="s">
        <v>365</v>
      </c>
      <c r="D183" s="9" t="str">
        <f>IFERROR(__xludf.DUMMYFUNCTION("GOOGLETRANSLATE(A183,""ru"",""en"")"),"Concentrated detergent for a minute of 5 l")</f>
        <v>Concentrated detergent for a minute of 5 l</v>
      </c>
      <c r="E183" s="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 t="s">
        <v>366</v>
      </c>
      <c r="B184" s="7" t="s">
        <v>366</v>
      </c>
      <c r="C184" s="8" t="s">
        <v>367</v>
      </c>
      <c r="D184" s="9" t="str">
        <f>IFERROR(__xludf.DUMMYFUNCTION("GOOGLETRANSLATE(A184,""ru"",""en"")"),"Means for washing of glasses and windows Clin Apple 500 ml")</f>
        <v>Means for washing of glasses and windows Clin Apple 500 ml</v>
      </c>
      <c r="E184" s="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 t="s">
        <v>368</v>
      </c>
      <c r="B185" s="7" t="s">
        <v>368</v>
      </c>
      <c r="C185" s="8" t="s">
        <v>369</v>
      </c>
      <c r="D185" s="9" t="str">
        <f>IFERROR(__xludf.DUMMYFUNCTION("GOOGLETRANSLATE(A185,""ru"",""en"")"),"Bucket classic blue 7 l")</f>
        <v>Bucket classic blue 7 l</v>
      </c>
      <c r="E185" s="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 t="s">
        <v>370</v>
      </c>
      <c r="B186" s="7" t="s">
        <v>370</v>
      </c>
      <c r="C186" s="8" t="s">
        <v>371</v>
      </c>
      <c r="D186" s="9" t="str">
        <f>IFERROR(__xludf.DUMMYFUNCTION("GOOGLETRANSLATE(A186,""ru"",""en"")"),"Green classic bucket 7 l")</f>
        <v>Green classic bucket 7 l</v>
      </c>
      <c r="E186" s="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 t="s">
        <v>372</v>
      </c>
      <c r="B187" s="7" t="s">
        <v>372</v>
      </c>
      <c r="C187" s="8" t="s">
        <v>373</v>
      </c>
      <c r="D187" s="9" t="str">
        <f>IFERROR(__xludf.DUMMYFUNCTION("GOOGLETRANSLATE(A187,""ru"",""en"")"),"Bucket classic red 7 l")</f>
        <v>Bucket classic red 7 l</v>
      </c>
      <c r="E187" s="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 t="s">
        <v>374</v>
      </c>
      <c r="B188" s="7" t="s">
        <v>374</v>
      </c>
      <c r="C188" s="8" t="s">
        <v>375</v>
      </c>
      <c r="D188" s="9" t="str">
        <f>IFERROR(__xludf.DUMMYFUNCTION("GOOGLETRANSLATE(A188,""ru"",""en"")"),"Hanger Thin 48-50")</f>
        <v>Hanger Thin 48-50</v>
      </c>
      <c r="E188" s="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 t="s">
        <v>376</v>
      </c>
      <c r="B189" s="7" t="s">
        <v>376</v>
      </c>
      <c r="C189" s="8" t="s">
        <v>377</v>
      </c>
      <c r="D189" s="9" t="str">
        <f>IFERROR(__xludf.DUMMYFUNCTION("GOOGLETRANSLATE(A189,""ru"",""en"")"),"Wave toilet paper holder")</f>
        <v>Wave toilet paper holder</v>
      </c>
      <c r="E189" s="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 t="s">
        <v>378</v>
      </c>
      <c r="B190" s="7" t="s">
        <v>378</v>
      </c>
      <c r="C190" s="8" t="s">
        <v>379</v>
      </c>
      <c r="D190" s="9" t="str">
        <f>IFERROR(__xludf.DUMMYFUNCTION("GOOGLETRANSLATE(A190,""ru"",""en"")"),"Broom flat number 3 38x26 cm")</f>
        <v>Broom flat number 3 38x26 cm</v>
      </c>
      <c r="E190" s="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 t="s">
        <v>380</v>
      </c>
      <c r="B191" s="7" t="s">
        <v>380</v>
      </c>
      <c r="C191" s="8" t="s">
        <v>381</v>
      </c>
      <c r="D191" s="9" t="str">
        <f>IFERROR(__xludf.DUMMYFUNCTION("GOOGLETRANSLATE(A191,""ru"",""en"")"),"Stinks for brushes 110 cm red")</f>
        <v>Stinks for brushes 110 cm red</v>
      </c>
      <c r="E191" s="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 t="s">
        <v>382</v>
      </c>
      <c r="B192" s="7" t="s">
        <v>382</v>
      </c>
      <c r="C192" s="8" t="s">
        <v>383</v>
      </c>
      <c r="D192" s="9" t="str">
        <f>IFERROR(__xludf.DUMMYFUNCTION("GOOGLETRANSLATE(A192,""ru"",""en"")"),"Galvanized bucket 12 l")</f>
        <v>Galvanized bucket 12 l</v>
      </c>
      <c r="E192" s="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 t="s">
        <v>384</v>
      </c>
      <c r="B193" s="7" t="s">
        <v>384</v>
      </c>
      <c r="C193" s="8" t="s">
        <v>385</v>
      </c>
      <c r="D193" s="9" t="str">
        <f>IFERROR(__xludf.DUMMYFUNCTION("GOOGLETRANSLATE(A193,""ru"",""en"")"),"Cover to container 108x82 mm and 100 pcs")</f>
        <v>Cover to container 108x82 mm and 100 pcs</v>
      </c>
      <c r="E193" s="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 t="s">
        <v>386</v>
      </c>
      <c r="B194" s="7" t="s">
        <v>386</v>
      </c>
      <c r="C194" s="8" t="s">
        <v>387</v>
      </c>
      <c r="D194" s="9" t="str">
        <f>IFERROR(__xludf.DUMMYFUNCTION("GOOGLETRANSLATE(A194,""ru"",""en"")"),"Means for washing of glasses and windows Clin Lemon 500 ml")</f>
        <v>Means for washing of glasses and windows Clin Lemon 500 ml</v>
      </c>
      <c r="E194" s="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 t="s">
        <v>388</v>
      </c>
      <c r="B195" s="7" t="s">
        <v>388</v>
      </c>
      <c r="C195" s="8" t="s">
        <v>389</v>
      </c>
      <c r="D195" s="9" t="str">
        <f>IFERROR(__xludf.DUMMYFUNCTION("GOOGLETRANSLATE(A195,""ru"",""en"")"),"Wafer towel 50x95 cm")</f>
        <v>Wafer towel 50x95 cm</v>
      </c>
      <c r="E195" s="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 t="s">
        <v>390</v>
      </c>
      <c r="B196" s="7" t="s">
        <v>390</v>
      </c>
      <c r="C196" s="8" t="s">
        <v>391</v>
      </c>
      <c r="D196" s="9" t="str">
        <f>IFERROR(__xludf.DUMMYFUNCTION("GOOGLETRANSLATE(A196,""ru"",""en"")"),"Sponge profile with abrasive 150x90x45 mm 1 pc")</f>
        <v>Sponge profile with abrasive 150x90x45 mm 1 pc</v>
      </c>
      <c r="E196" s="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 t="s">
        <v>392</v>
      </c>
      <c r="B197" s="7" t="s">
        <v>392</v>
      </c>
      <c r="C197" s="8" t="s">
        <v>393</v>
      </c>
      <c r="D197" s="9" t="str">
        <f>IFERROR(__xludf.DUMMYFUNCTION("GOOGLETRANSLATE(A197,""ru"",""en"")"),"Sponge profile with abrasive 130x65x45mm 1 pc")</f>
        <v>Sponge profile with abrasive 130x65x45mm 1 pc</v>
      </c>
      <c r="E197" s="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 t="s">
        <v>394</v>
      </c>
      <c r="B198" s="7" t="s">
        <v>394</v>
      </c>
      <c r="C198" s="8" t="s">
        <v>395</v>
      </c>
      <c r="D198" s="9" t="str">
        <f>IFERROR(__xludf.DUMMYFUNCTION("GOOGLETRANSLATE(A198,""ru"",""en"")"),"Tool for washing dishes Fairy Gentle hands Tea tree and mint 450 ml")</f>
        <v>Tool for washing dishes Fairy Gentle hands Tea tree and mint 450 ml</v>
      </c>
      <c r="E198" s="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 t="s">
        <v>396</v>
      </c>
      <c r="B199" s="7" t="s">
        <v>396</v>
      </c>
      <c r="C199" s="8" t="s">
        <v>397</v>
      </c>
      <c r="D199" s="9" t="str">
        <f>IFERROR(__xludf.DUMMYFUNCTION("GOOGLETRANSLATE(A199,""ru"",""en"")"),"CH / B Gloves 10 Class 4 Threads with PVC Black")</f>
        <v>CH / B Gloves 10 Class 4 Threads with PVC Black</v>
      </c>
      <c r="E199" s="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 t="s">
        <v>398</v>
      </c>
      <c r="B200" s="7" t="s">
        <v>398</v>
      </c>
      <c r="C200" s="8" t="s">
        <v>399</v>
      </c>
      <c r="D200" s="9" t="str">
        <f>IFERROR(__xludf.DUMMYFUNCTION("GOOGLETRANSLATE(A200,""ru"",""en"")"),"Automatic air freshener Air Wick Tenderness of silk and lilies 250 ml")</f>
        <v>Automatic air freshener Air Wick Tenderness of silk and lilies 250 ml</v>
      </c>
      <c r="E200" s="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 t="s">
        <v>400</v>
      </c>
      <c r="B201" s="7" t="s">
        <v>400</v>
      </c>
      <c r="C201" s="8" t="s">
        <v>401</v>
      </c>
      <c r="D201" s="9" t="str">
        <f>IFERROR(__xludf.DUMMYFUNCTION("GOOGLETRANSLATE(A201,""ru"",""en"")"),"Roll Paper Towels Zewa Double-layer Decor 2 pcs")</f>
        <v>Roll Paper Towels Zewa Double-layer Decor 2 pcs</v>
      </c>
      <c r="E201" s="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 t="s">
        <v>402</v>
      </c>
      <c r="B202" s="7" t="s">
        <v>402</v>
      </c>
      <c r="C202" s="8" t="s">
        <v>403</v>
      </c>
      <c r="D202" s="9" t="str">
        <f>IFERROR(__xludf.DUMMYFUNCTION("GOOGLETRANSLATE(A202,""ru"",""en"")"),"Replaceable unit for Air Wick air freshener Tenderness of silk and lily 250 ml")</f>
        <v>Replaceable unit for Air Wick air freshener Tenderness of silk and lily 250 ml</v>
      </c>
      <c r="E202" s="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 t="s">
        <v>404</v>
      </c>
      <c r="B203" s="7" t="s">
        <v>404</v>
      </c>
      <c r="C203" s="8" t="s">
        <v>405</v>
      </c>
      <c r="D203" s="9" t="str">
        <f>IFERROR(__xludf.DUMMYFUNCTION("GOOGLETRANSLATE(A203,""ru"",""en"")"),"Liquid soap with a disinfecting effect of quintacept 1 l")</f>
        <v>Liquid soap with a disinfecting effect of quintacept 1 l</v>
      </c>
      <c r="E203" s="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 t="s">
        <v>406</v>
      </c>
      <c r="B204" s="7" t="s">
        <v>406</v>
      </c>
      <c r="C204" s="8" t="s">
        <v>407</v>
      </c>
      <c r="D204" s="9" t="str">
        <f>IFERROR(__xludf.DUMMYFUNCTION("GOOGLETRANSLATE(A204,""ru"",""en"")"),"Toilet paper Meakshko for dispensers 150 m")</f>
        <v>Toilet paper Meakshko for dispensers 150 m</v>
      </c>
      <c r="E204" s="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 t="s">
        <v>408</v>
      </c>
      <c r="B205" s="7" t="s">
        <v>408</v>
      </c>
      <c r="C205" s="8" t="s">
        <v>409</v>
      </c>
      <c r="D205" s="9" t="str">
        <f>IFERROR(__xludf.DUMMYFUNCTION("GOOGLETRANSLATE(A205,""ru"",""en"")"),"Vanutuz 25 cm diameter 10.5 cm")</f>
        <v>Vanutuz 25 cm diameter 10.5 cm</v>
      </c>
      <c r="E205" s="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 t="s">
        <v>410</v>
      </c>
      <c r="B206" s="7" t="s">
        <v>410</v>
      </c>
      <c r="C206" s="8" t="s">
        <v>411</v>
      </c>
      <c r="D206" s="9" t="str">
        <f>IFERROR(__xludf.DUMMYFUNCTION("GOOGLETRANSLATE(A206,""ru"",""en"")"),"MOP smart noodles 42x12 cm pocket")</f>
        <v>MOP smart noodles 42x12 cm pocket</v>
      </c>
      <c r="E206" s="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 t="s">
        <v>412</v>
      </c>
      <c r="B207" s="7" t="s">
        <v>412</v>
      </c>
      <c r="C207" s="8" t="s">
        <v>413</v>
      </c>
      <c r="D207" s="9" t="str">
        <f>IFERROR(__xludf.DUMMYFUNCTION("GOOGLETRANSLATE(A207,""ru"",""en"")"),"Umnichka 25 cm window with handle 95 cm Emerald")</f>
        <v>Umnichka 25 cm window with handle 95 cm Emerald</v>
      </c>
      <c r="E207" s="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 t="s">
        <v>414</v>
      </c>
      <c r="B208" s="7" t="s">
        <v>414</v>
      </c>
      <c r="C208" s="8" t="s">
        <v>415</v>
      </c>
      <c r="D208" s="9" t="str">
        <f>IFERROR(__xludf.DUMMYFUNCTION("GOOGLETRANSLATE(A208,""ru"",""en"")"),"Stinks for brushes 110 cm silver")</f>
        <v>Stinks for brushes 110 cm silver</v>
      </c>
      <c r="E208" s="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 t="s">
        <v>416</v>
      </c>
      <c r="B209" s="7" t="s">
        <v>416</v>
      </c>
      <c r="C209" s="8" t="s">
        <v>417</v>
      </c>
      <c r="D209" s="9" t="str">
        <f>IFERROR(__xludf.DUMMYFUNCTION("GOOGLETRANSLATE(A209,""ru"",""en"")"),"Mop squeezing Umnichka Economy green 120 cm 1 Roller")</f>
        <v>Mop squeezing Umnichka Economy green 120 cm 1 Roller</v>
      </c>
      <c r="E209" s="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 t="s">
        <v>418</v>
      </c>
      <c r="B210" s="7" t="s">
        <v>418</v>
      </c>
      <c r="C210" s="8" t="s">
        <v>419</v>
      </c>
      <c r="D210" s="9" t="str">
        <f>IFERROR(__xludf.DUMMYFUNCTION("GOOGLETRANSLATE(A210,""ru"",""en"")"),"Automotive brush with scraper")</f>
        <v>Automotive brush with scraper</v>
      </c>
      <c r="E210" s="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 t="s">
        <v>420</v>
      </c>
      <c r="B211" s="7" t="s">
        <v>420</v>
      </c>
      <c r="C211" s="8" t="s">
        <v>421</v>
      </c>
      <c r="D211" s="9" t="str">
        <f>IFERROR(__xludf.DUMMYFUNCTION("GOOGLETRANSLATE(A211,""ru"",""en"")"),"Malaya sweeping brush")</f>
        <v>Malaya sweeping brush</v>
      </c>
      <c r="E211" s="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 t="s">
        <v>422</v>
      </c>
      <c r="B212" s="7" t="s">
        <v>422</v>
      </c>
      <c r="C212" s="8" t="s">
        <v>423</v>
      </c>
      <c r="D212" s="9" t="str">
        <f>IFERROR(__xludf.DUMMYFUNCTION("GOOGLETRANSLATE(A212,""ru"",""en"")"),"Solid soap for hotels in the package Apple 12.5 g 100 pieces")</f>
        <v>Solid soap for hotels in the package Apple 12.5 g 100 pieces</v>
      </c>
      <c r="E212" s="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 t="s">
        <v>424</v>
      </c>
      <c r="B213" s="7" t="s">
        <v>424</v>
      </c>
      <c r="C213" s="8" t="s">
        <v>425</v>
      </c>
      <c r="D213" s="9" t="str">
        <f>IFERROR(__xludf.DUMMYFUNCTION("GOOGLETRANSLATE(A213,""ru"",""en"")"),"Washing Pasta For Hand Prima 100 g")</f>
        <v>Washing Pasta For Hand Prima 100 g</v>
      </c>
      <c r="E213" s="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 t="s">
        <v>426</v>
      </c>
      <c r="B214" s="7" t="s">
        <v>426</v>
      </c>
      <c r="C214" s="8" t="s">
        <v>427</v>
      </c>
      <c r="D214" s="9" t="str">
        <f>IFERROR(__xludf.DUMMYFUNCTION("GOOGLETRANSLATE(A214,""ru"",""en"")"),"Mop Chain Stitch 50 cm (pocket)")</f>
        <v>Mop Chain Stitch 50 cm (pocket)</v>
      </c>
      <c r="E214" s="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 t="s">
        <v>428</v>
      </c>
      <c r="B215" s="7" t="s">
        <v>428</v>
      </c>
      <c r="C215" s="8" t="s">
        <v>429</v>
      </c>
      <c r="D215" s="9" t="str">
        <f>IFERROR(__xludf.DUMMYFUNCTION("GOOGLETRANSLATE(A215,""ru"",""en"")"),"Metallic Metal Maps")</f>
        <v>Metallic Metal Maps</v>
      </c>
      <c r="E215" s="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 t="s">
        <v>430</v>
      </c>
      <c r="B216" s="7" t="s">
        <v>430</v>
      </c>
      <c r="C216" s="8" t="s">
        <v>431</v>
      </c>
      <c r="D216" s="9" t="str">
        <f>IFERROR(__xludf.DUMMYFUNCTION("GOOGLETRANSLATE(A216,""ru"",""en"")"),"Gel for cleaning kitchen plates purefl 500 ml")</f>
        <v>Gel for cleaning kitchen plates purefl 500 ml</v>
      </c>
      <c r="E216" s="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 t="s">
        <v>432</v>
      </c>
      <c r="B217" s="7" t="s">
        <v>432</v>
      </c>
      <c r="C217" s="8" t="s">
        <v>433</v>
      </c>
      <c r="D217" s="9" t="str">
        <f>IFERROR(__xludf.DUMMYFUNCTION("GOOGLETRANSLATE(A217,""ru"",""en"")"),"Polypropylene Twine 1000 Tex 1000 m Light-stabilized")</f>
        <v>Polypropylene Twine 1000 Tex 1000 m Light-stabilized</v>
      </c>
      <c r="E217" s="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 t="s">
        <v>434</v>
      </c>
      <c r="B218" s="7" t="s">
        <v>434</v>
      </c>
      <c r="C218" s="8" t="s">
        <v>185</v>
      </c>
      <c r="D218" s="9" t="str">
        <f>IFERROR(__xludf.DUMMYFUNCTION("GOOGLETRANSLATE(A218,""ru"",""en"")"),"Container covers 500 ml container 25 pcs")</f>
        <v>Container covers 500 ml container 25 pcs</v>
      </c>
      <c r="E218" s="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 t="s">
        <v>435</v>
      </c>
      <c r="B219" s="7" t="s">
        <v>435</v>
      </c>
      <c r="C219" s="8" t="s">
        <v>436</v>
      </c>
      <c r="D219" s="9" t="str">
        <f>IFERROR(__xludf.DUMMYFUNCTION("GOOGLETRANSLATE(A219,""ru"",""en"")"),"Tool cleaner for kitchen stoves 500 ml")</f>
        <v>Tool cleaner for kitchen stoves 500 ml</v>
      </c>
      <c r="E219" s="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 t="s">
        <v>437</v>
      </c>
      <c r="B220" s="7" t="s">
        <v>437</v>
      </c>
      <c r="C220" s="8" t="s">
        <v>438</v>
      </c>
      <c r="D220" s="9" t="str">
        <f>IFERROR(__xludf.DUMMYFUNCTION("GOOGLETRANSLATE(A220,""ru"",""en"")"),"Metal sponges for dishes 18 g 3 pcs")</f>
        <v>Metal sponges for dishes 18 g 3 pcs</v>
      </c>
      <c r="E220" s="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 t="s">
        <v>439</v>
      </c>
      <c r="B221" s="7" t="s">
        <v>439</v>
      </c>
      <c r="C221" s="8" t="s">
        <v>440</v>
      </c>
      <c r="D221" s="9" t="str">
        <f>IFERROR(__xludf.DUMMYFUNCTION("GOOGLETRANSLATE(A221,""ru"",""en"")"),"Mop Wooden reinforced 70 cm")</f>
        <v>Mop Wooden reinforced 70 cm</v>
      </c>
      <c r="E221" s="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 t="s">
        <v>441</v>
      </c>
      <c r="B222" s="7" t="s">
        <v>441</v>
      </c>
      <c r="C222" s="8" t="s">
        <v>442</v>
      </c>
      <c r="D222" s="9" t="str">
        <f>IFERROR(__xludf.DUMMYFUNCTION("GOOGLETRANSLATE(A222,""ru"",""en"")"),"Silicone hand cream 100 g")</f>
        <v>Silicone hand cream 100 g</v>
      </c>
      <c r="E222" s="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 t="s">
        <v>443</v>
      </c>
      <c r="B223" s="7" t="s">
        <v>443</v>
      </c>
      <c r="C223" s="8" t="s">
        <v>444</v>
      </c>
      <c r="D223" s="9" t="str">
        <f>IFERROR(__xludf.DUMMYFUNCTION("GOOGLETRANSLATE(A223,""ru"",""en"")"),"Lunch box LB-2 100 pcs")</f>
        <v>Lunch box LB-2 100 pcs</v>
      </c>
      <c r="E223" s="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 t="s">
        <v>445</v>
      </c>
      <c r="B224" s="7" t="s">
        <v>445</v>
      </c>
      <c r="C224" s="8" t="s">
        <v>446</v>
      </c>
      <c r="D224" s="9" t="str">
        <f>IFERROR(__xludf.DUMMYFUNCTION("GOOGLETRANSLATE(A224,""ru"",""en"")"),"Food film 45 cm x 10 m Nearientated")</f>
        <v>Food film 45 cm x 10 m Nearientated</v>
      </c>
      <c r="E224" s="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" t="s">
        <v>447</v>
      </c>
      <c r="B225" s="7" t="s">
        <v>447</v>
      </c>
      <c r="C225" s="8" t="s">
        <v>448</v>
      </c>
      <c r="D225" s="9" t="str">
        <f>IFERROR(__xludf.DUMMYFUNCTION("GOOGLETRANSLATE(A225,""ru"",""en"")"),"Caulic removal tool PureFF Anti-Pin")</f>
        <v>Caulic removal tool PureFF Anti-Pin</v>
      </c>
      <c r="E225" s="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" t="s">
        <v>449</v>
      </c>
      <c r="B226" s="7" t="s">
        <v>449</v>
      </c>
      <c r="C226" s="8" t="s">
        <v>450</v>
      </c>
      <c r="D226" s="9" t="str">
        <f>IFERROR(__xludf.DUMMYFUNCTION("GOOGLETRANSLATE(A226,""ru"",""en"")"),"Means Cleaning Peumolux Apple 480 g")</f>
        <v>Means Cleaning Peumolux Apple 480 g</v>
      </c>
      <c r="E226" s="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 t="s">
        <v>451</v>
      </c>
      <c r="B227" s="7" t="s">
        <v>451</v>
      </c>
      <c r="C227" s="8" t="s">
        <v>452</v>
      </c>
      <c r="D227" s="9" t="str">
        <f>IFERROR(__xludf.DUMMYFUNCTION("GOOGLETRANSLATE(A227,""ru"",""en"")"),"Brush Universal Rimini.")</f>
        <v>Brush Universal Rimini.</v>
      </c>
      <c r="E227" s="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 t="s">
        <v>453</v>
      </c>
      <c r="B228" s="7" t="s">
        <v>453</v>
      </c>
      <c r="C228" s="8" t="s">
        <v>454</v>
      </c>
      <c r="D228" s="9" t="str">
        <f>IFERROR(__xludf.DUMMYFUNCTION("GOOGLETRANSLATE(A228,""ru"",""en"")"),"Bags for garbage Mirpack PND EXTRA 30 l 12 microns 30 pcs")</f>
        <v>Bags for garbage Mirpack PND EXTRA 30 l 12 microns 30 pcs</v>
      </c>
      <c r="E228" s="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 t="s">
        <v>455</v>
      </c>
      <c r="B229" s="7" t="s">
        <v>455</v>
      </c>
      <c r="C229" s="8" t="s">
        <v>456</v>
      </c>
      <c r="D229" s="9" t="str">
        <f>IFERROR(__xludf.DUMMYFUNCTION("GOOGLETRANSLATE(A229,""ru"",""en"")"),"Microfiber napkin for auto GoodWay 30x40 cm")</f>
        <v>Microfiber napkin for auto GoodWay 30x40 cm</v>
      </c>
      <c r="E229" s="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 t="s">
        <v>457</v>
      </c>
      <c r="B230" s="7" t="s">
        <v>457</v>
      </c>
      <c r="C230" s="8" t="s">
        <v>458</v>
      </c>
      <c r="D230" s="9" t="str">
        <f>IFERROR(__xludf.DUMMYFUNCTION("GOOGLETRANSLATE(A230,""ru"",""en"")"),"Movab for Paul Umnichka Twist Purple 130 cm")</f>
        <v>Movab for Paul Umnichka Twist Purple 130 cm</v>
      </c>
      <c r="E230" s="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 t="s">
        <v>459</v>
      </c>
      <c r="B231" s="7" t="s">
        <v>459</v>
      </c>
      <c r="C231" s="8" t="s">
        <v>460</v>
      </c>
      <c r="D231" s="9" t="str">
        <f>IFERROR(__xludf.DUMMYFUNCTION("GOOGLETRANSLATE(A231,""ru"",""en"")"),"Cassia hand brush")</f>
        <v>Cassia hand brush</v>
      </c>
      <c r="E231" s="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 t="s">
        <v>461</v>
      </c>
      <c r="B232" s="7" t="s">
        <v>461</v>
      </c>
      <c r="C232" s="8" t="s">
        <v>462</v>
      </c>
      <c r="D232" s="9" t="str">
        <f>IFERROR(__xludf.DUMMYFUNCTION("GOOGLETRANSLATE(A232,""ru"",""en"")"),"Rolled paper towels Divo two-layer 2 pcs")</f>
        <v>Rolled paper towels Divo two-layer 2 pcs</v>
      </c>
      <c r="E232" s="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 t="s">
        <v>463</v>
      </c>
      <c r="B233" s="7" t="s">
        <v>463</v>
      </c>
      <c r="C233" s="8" t="s">
        <v>464</v>
      </c>
      <c r="D233" s="9" t="str">
        <f>IFERROR(__xludf.DUMMYFUNCTION("GOOGLETRANSLATE(A233,""ru"",""en"")"),"Concentrated disinfectant peroxin plus 1 l")</f>
        <v>Concentrated disinfectant peroxin plus 1 l</v>
      </c>
      <c r="E233" s="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 t="s">
        <v>465</v>
      </c>
      <c r="B234" s="7" t="s">
        <v>465</v>
      </c>
      <c r="C234" s="8" t="s">
        <v>466</v>
      </c>
      <c r="D234" s="9" t="str">
        <f>IFERROR(__xludf.DUMMYFUNCTION("GOOGLETRANSLATE(A234,""ru"",""en"")"),"Cleansing Ecoline 5 l")</f>
        <v>Cleansing Ecoline 5 l</v>
      </c>
      <c r="E234" s="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 t="s">
        <v>467</v>
      </c>
      <c r="B235" s="7" t="s">
        <v>467</v>
      </c>
      <c r="C235" s="8" t="s">
        <v>468</v>
      </c>
      <c r="D235" s="9" t="str">
        <f>IFERROR(__xludf.DUMMYFUNCTION("GOOGLETRANSLATE(A235,""ru"",""en"")"),"Soap household solid 72% per pack")</f>
        <v>Soap household solid 72% per pack</v>
      </c>
      <c r="E235" s="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 t="s">
        <v>469</v>
      </c>
      <c r="B236" s="7" t="s">
        <v>469</v>
      </c>
      <c r="C236" s="8" t="s">
        <v>470</v>
      </c>
      <c r="D236" s="9" t="str">
        <f>IFERROR(__xludf.DUMMYFUNCTION("GOOGLETRANSLATE(A236,""ru"",""en"")"),"Mop Wooden reinforced 50 cm")</f>
        <v>Mop Wooden reinforced 50 cm</v>
      </c>
      <c r="E236" s="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 t="s">
        <v>471</v>
      </c>
      <c r="B237" s="7" t="s">
        <v>471</v>
      </c>
      <c r="C237" s="8" t="s">
        <v>472</v>
      </c>
      <c r="D237" s="9" t="str">
        <f>IFERROR(__xludf.DUMMYFUNCTION("GOOGLETRANSLATE(A237,""ru"",""en"")"),"Tool for automatic dishwashers 5 l")</f>
        <v>Tool for automatic dishwashers 5 l</v>
      </c>
      <c r="E237" s="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 t="s">
        <v>473</v>
      </c>
      <c r="B238" s="7" t="s">
        <v>473</v>
      </c>
      <c r="C238" s="8" t="s">
        <v>474</v>
      </c>
      <c r="D238" s="9" t="str">
        <f>IFERROR(__xludf.DUMMYFUNCTION("GOOGLETRANSLATE(A238,""ru"",""en"")"),"Concentrated disinfectant of Slavin-Delta 1 l")</f>
        <v>Concentrated disinfectant of Slavin-Delta 1 l</v>
      </c>
      <c r="E238" s="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 t="s">
        <v>475</v>
      </c>
      <c r="B239" s="7" t="s">
        <v>475</v>
      </c>
      <c r="C239" s="8" t="s">
        <v>476</v>
      </c>
      <c r="D239" s="9" t="str">
        <f>IFERROR(__xludf.DUMMYFUNCTION("GOOGLETRANSLATE(A239,""ru"",""en"")"),"Spray Unicum for cleaning the bathroom 500 ml")</f>
        <v>Spray Unicum for cleaning the bathroom 500 ml</v>
      </c>
      <c r="E239" s="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 t="s">
        <v>477</v>
      </c>
      <c r="B240" s="7" t="s">
        <v>477</v>
      </c>
      <c r="C240" s="8" t="s">
        <v>478</v>
      </c>
      <c r="D240" s="9" t="str">
        <f>IFERROR(__xludf.DUMMYFUNCTION("GOOGLETRANSLATE(A240,""ru"",""en"")"),"Tool cleansing altran 5 l")</f>
        <v>Tool cleansing altran 5 l</v>
      </c>
      <c r="E240" s="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 t="s">
        <v>479</v>
      </c>
      <c r="B241" s="7" t="s">
        <v>479</v>
      </c>
      <c r="C241" s="8" t="s">
        <v>480</v>
      </c>
      <c r="D241" s="9" t="str">
        <f>IFERROR(__xludf.DUMMYFUNCTION("GOOGLETRANSLATE(A241,""ru"",""en"")"),"Package T-shirt PND 30х16х60 cm 15 μm white 100 pieces")</f>
        <v>Package T-shirt PND 30х16х60 cm 15 μm white 100 pieces</v>
      </c>
      <c r="E241" s="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 t="s">
        <v>481</v>
      </c>
      <c r="B242" s="7" t="s">
        <v>481</v>
      </c>
      <c r="C242" s="8" t="s">
        <v>482</v>
      </c>
      <c r="D242" s="9" t="str">
        <f>IFERROR(__xludf.DUMMYFUNCTION("GOOGLETRANSLATE(A242,""ru"",""en"")"),"Means Universal White 1 l")</f>
        <v>Means Universal White 1 l</v>
      </c>
      <c r="E242" s="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 t="s">
        <v>483</v>
      </c>
      <c r="B243" s="7" t="s">
        <v>483</v>
      </c>
      <c r="C243" s="8" t="s">
        <v>484</v>
      </c>
      <c r="D243" s="9" t="str">
        <f>IFERROR(__xludf.DUMMYFUNCTION("GOOGLETRANSLATE(A243,""ru"",""en"")"),"Polypropylene twine twisted 2200 Tex 5 kg")</f>
        <v>Polypropylene twine twisted 2200 Tex 5 kg</v>
      </c>
      <c r="E243" s="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 t="s">
        <v>485</v>
      </c>
      <c r="B244" s="7" t="s">
        <v>485</v>
      </c>
      <c r="C244" s="8" t="s">
        <v>486</v>
      </c>
      <c r="D244" s="9" t="str">
        <f>IFERROR(__xludf.DUMMYFUNCTION("GOOGLETRANSLATE(A244,""ru"",""en"")"),"Tool whitening white gel 1 l")</f>
        <v>Tool whitening white gel 1 l</v>
      </c>
      <c r="E244" s="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 t="s">
        <v>487</v>
      </c>
      <c r="B245" s="7" t="s">
        <v>487</v>
      </c>
      <c r="C245" s="8" t="s">
        <v>488</v>
      </c>
      <c r="D245" s="9" t="str">
        <f>IFERROR(__xludf.DUMMYFUNCTION("GOOGLETRANSLATE(A245,""ru"",""en"")"),"Gloves Leather Silicone Combined X / B Tissue PR 10.5")</f>
        <v>Gloves Leather Silicone Combined X / B Tissue PR 10.5</v>
      </c>
      <c r="E245" s="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 t="s">
        <v>489</v>
      </c>
      <c r="B246" s="7" t="s">
        <v>489</v>
      </c>
      <c r="C246" s="8" t="s">
        <v>490</v>
      </c>
      <c r="D246" s="9" t="str">
        <f>IFERROR(__xludf.DUMMYFUNCTION("GOOGLETRANSLATE(A246,""ru"",""en"")"),"Napkin viscose lemon moon 30x38 cm 3 pcs")</f>
        <v>Napkin viscose lemon moon 30x38 cm 3 pcs</v>
      </c>
      <c r="E246" s="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 t="s">
        <v>491</v>
      </c>
      <c r="B247" s="7" t="s">
        <v>491</v>
      </c>
      <c r="C247" s="8" t="s">
        <v>492</v>
      </c>
      <c r="D247" s="9" t="str">
        <f>IFERROR(__xludf.DUMMYFUNCTION("GOOGLETRANSLATE(A247,""ru"",""en"")"),"Tool cleansing Primalyuks 10 l")</f>
        <v>Tool cleansing Primalyuks 10 l</v>
      </c>
      <c r="E247" s="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 t="s">
        <v>493</v>
      </c>
      <c r="B248" s="7" t="s">
        <v>493</v>
      </c>
      <c r="C248" s="8" t="s">
        <v>494</v>
      </c>
      <c r="D248" s="9" t="str">
        <f>IFERROR(__xludf.DUMMYFUNCTION("GOOGLETRANSLATE(A248,""ru"",""en"")"),"Rag x / b light 10 kg")</f>
        <v>Rag x / b light 10 kg</v>
      </c>
      <c r="E248" s="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 t="s">
        <v>495</v>
      </c>
      <c r="B249" s="7" t="s">
        <v>495</v>
      </c>
      <c r="C249" s="8" t="s">
        <v>496</v>
      </c>
      <c r="D249" s="9" t="str">
        <f>IFERROR(__xludf.DUMMYFUNCTION("GOOGLETRANSLATE(A249,""ru"",""en"")"),"Bucket classic marble 7 l")</f>
        <v>Bucket classic marble 7 l</v>
      </c>
      <c r="E249" s="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 t="s">
        <v>497</v>
      </c>
      <c r="B250" s="7" t="s">
        <v>497</v>
      </c>
      <c r="C250" s="8" t="s">
        <v>498</v>
      </c>
      <c r="D250" s="9" t="str">
        <f>IFERROR(__xludf.DUMMYFUNCTION("GOOGLETRANSLATE(A250,""ru"",""en"")"),"Rake fan clever sliding 15 teeth with a stalk")</f>
        <v>Rake fan clever sliding 15 teeth with a stalk</v>
      </c>
      <c r="E250" s="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 t="s">
        <v>499</v>
      </c>
      <c r="B251" s="7" t="s">
        <v>499</v>
      </c>
      <c r="C251" s="8" t="s">
        <v>500</v>
      </c>
      <c r="D251" s="9" t="str">
        <f>IFERROR(__xludf.DUMMYFUNCTION("GOOGLETRANSLATE(A251,""ru"",""en"")"),"Good Way Rectangular Sponge")</f>
        <v>Good Way Rectangular Sponge</v>
      </c>
      <c r="E251" s="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 t="s">
        <v>501</v>
      </c>
      <c r="B252" s="7" t="s">
        <v>501</v>
      </c>
      <c r="C252" s="8" t="s">
        <v>502</v>
      </c>
      <c r="D252" s="9" t="str">
        <f>IFERROR(__xludf.DUMMYFUNCTION("GOOGLETRANSLATE(A252,""ru"",""en"")"),"Punch with handle")</f>
        <v>Punch with handle</v>
      </c>
      <c r="E252" s="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 t="s">
        <v>503</v>
      </c>
      <c r="B253" s="7" t="s">
        <v>503</v>
      </c>
      <c r="C253" s="8" t="s">
        <v>504</v>
      </c>
      <c r="D253" s="9" t="str">
        <f>IFERROR(__xludf.DUMMYFUNCTION("GOOGLETRANSLATE(A253,""ru"",""en"")"),"WC Brono Blue Set")</f>
        <v>WC Brono Blue Set</v>
      </c>
      <c r="E253" s="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 t="s">
        <v>505</v>
      </c>
      <c r="B254" s="7" t="s">
        <v>505</v>
      </c>
      <c r="C254" s="8" t="s">
        <v>506</v>
      </c>
      <c r="D254" s="9" t="str">
        <f>IFERROR(__xludf.DUMMYFUNCTION("GOOGLETRANSLATE(A254,""ru"",""en"")"),"Clamp Umnichka 20 cm with telescopic handle 120 cm orange")</f>
        <v>Clamp Umnichka 20 cm with telescopic handle 120 cm orange</v>
      </c>
      <c r="E254" s="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 t="s">
        <v>507</v>
      </c>
      <c r="B255" s="7" t="s">
        <v>507</v>
      </c>
      <c r="C255" s="8" t="s">
        <v>508</v>
      </c>
      <c r="D255" s="9" t="str">
        <f>IFERROR(__xludf.DUMMYFUNCTION("GOOGLETRANSLATE(A255,""ru"",""en"")"),"Mop squeezing clever Green 110 cm 1 roller")</f>
        <v>Mop squeezing clever Green 110 cm 1 roller</v>
      </c>
      <c r="E255" s="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 t="s">
        <v>509</v>
      </c>
      <c r="B256" s="7" t="s">
        <v>509</v>
      </c>
      <c r="C256" s="8" t="s">
        <v>510</v>
      </c>
      <c r="D256" s="9" t="str">
        <f>IFERROR(__xludf.DUMMYFUNCTION("GOOGLETRANSLATE(A256,""ru"",""en"")"),"Mop squeezing Umnichka Green 110 cm 2 roller")</f>
        <v>Mop squeezing Umnichka Green 110 cm 2 roller</v>
      </c>
      <c r="E256" s="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 t="s">
        <v>511</v>
      </c>
      <c r="B257" s="7" t="s">
        <v>511</v>
      </c>
      <c r="C257" s="8" t="s">
        <v>512</v>
      </c>
      <c r="D257" s="9" t="str">
        <f>IFERROR(__xludf.DUMMYFUNCTION("GOOGLETRANSLATE(A257,""ru"",""en"")"),"Mop squeezing Umnichka Economy Orange 120 cm 1 Roller")</f>
        <v>Mop squeezing Umnichka Economy Orange 120 cm 1 Roller</v>
      </c>
      <c r="E257" s="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 t="s">
        <v>513</v>
      </c>
      <c r="B258" s="7" t="s">
        <v>513</v>
      </c>
      <c r="C258" s="8" t="s">
        <v>514</v>
      </c>
      <c r="D258" s="9" t="str">
        <f>IFERROR(__xludf.DUMMYFUNCTION("GOOGLETRANSLATE(A258,""ru"",""en"")"),"Tool cleansing oxidid universal acidic 5 l")</f>
        <v>Tool cleansing oxidid universal acidic 5 l</v>
      </c>
      <c r="E258" s="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 t="s">
        <v>515</v>
      </c>
      <c r="B259" s="7" t="s">
        <v>515</v>
      </c>
      <c r="C259" s="8" t="s">
        <v>516</v>
      </c>
      <c r="D259" s="9" t="str">
        <f>IFERROR(__xludf.DUMMYFUNCTION("GOOGLETRANSLATE(A259,""ru"",""en"")"),"Balsam for washing dishes Effect of Extra Scarlet Faith (1 l)")</f>
        <v>Balsam for washing dishes Effect of Extra Scarlet Faith (1 l)</v>
      </c>
      <c r="E259" s="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 t="s">
        <v>517</v>
      </c>
      <c r="B260" s="7" t="s">
        <v>517</v>
      </c>
      <c r="C260" s="8" t="s">
        <v>518</v>
      </c>
      <c r="D260" s="9" t="str">
        <f>IFERROR(__xludf.DUMMYFUNCTION("GOOGLETRANSLATE(A260,""ru"",""en"")"),"Air freshener Symphony Citrus and figs 300 ml")</f>
        <v>Air freshener Symphony Citrus and figs 300 ml</v>
      </c>
      <c r="E260" s="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6" t="s">
        <v>519</v>
      </c>
      <c r="B261" s="7" t="s">
        <v>519</v>
      </c>
      <c r="C261" s="8" t="s">
        <v>520</v>
      </c>
      <c r="D261" s="9" t="str">
        <f>IFERROR(__xludf.DUMMYFUNCTION("GOOGLETRANSLATE(A261,""ru"",""en"")"),"Air Freshener Symphony Mountain Air 300 ml")</f>
        <v>Air Freshener Symphony Mountain Air 300 ml</v>
      </c>
      <c r="E261" s="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6" t="s">
        <v>521</v>
      </c>
      <c r="B262" s="7" t="s">
        <v>521</v>
      </c>
      <c r="C262" s="8" t="s">
        <v>522</v>
      </c>
      <c r="D262" s="9" t="str">
        <f>IFERROR(__xludf.DUMMYFUNCTION("GOOGLETRANSLATE(A262,""ru"",""en"")"),"Air Freshener Symphony Juicy Berries 300 ml")</f>
        <v>Air Freshener Symphony Juicy Berries 300 ml</v>
      </c>
      <c r="E262" s="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6" t="s">
        <v>523</v>
      </c>
      <c r="B263" s="7" t="s">
        <v>523</v>
      </c>
      <c r="C263" s="8" t="s">
        <v>524</v>
      </c>
      <c r="D263" s="9" t="str">
        <f>IFERROR(__xludf.DUMMYFUNCTION("GOOGLETRANSLATE(A263,""ru"",""en"")"),"Pill Pischers 1 kg Pink")</f>
        <v>Pill Pischers 1 kg Pink</v>
      </c>
      <c r="E263" s="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6" t="s">
        <v>525</v>
      </c>
      <c r="B264" s="7" t="s">
        <v>525</v>
      </c>
      <c r="C264" s="8" t="s">
        <v>526</v>
      </c>
      <c r="D264" s="9" t="str">
        <f>IFERROR(__xludf.DUMMYFUNCTION("GOOGLETRANSLATE(A264,""ru"",""en"")"),"Coupling for floor metal 55 cm")</f>
        <v>Coupling for floor metal 55 cm</v>
      </c>
      <c r="E264" s="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6" t="s">
        <v>527</v>
      </c>
      <c r="B265" s="7" t="s">
        <v>527</v>
      </c>
      <c r="C265" s="8" t="s">
        <v>528</v>
      </c>
      <c r="D265" s="9" t="str">
        <f>IFERROR(__xludf.DUMMYFUNCTION("GOOGLETRANSLATE(A265,""ru"",""en"")"),"Lubricant mixture WD-40 400 ml")</f>
        <v>Lubricant mixture WD-40 400 ml</v>
      </c>
      <c r="E265" s="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6" t="s">
        <v>529</v>
      </c>
      <c r="B266" s="7" t="s">
        <v>529</v>
      </c>
      <c r="C266" s="8" t="s">
        <v>530</v>
      </c>
      <c r="D266" s="9" t="str">
        <f>IFERROR(__xludf.DUMMYFUNCTION("GOOGLETRANSLATE(A266,""ru"",""en"")"),"Bags for garbage pure night 120 l 10 pcs")</f>
        <v>Bags for garbage pure night 120 l 10 pcs</v>
      </c>
      <c r="E266" s="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6" t="s">
        <v>531</v>
      </c>
      <c r="B267" s="7" t="s">
        <v>531</v>
      </c>
      <c r="C267" s="8" t="s">
        <v>532</v>
      </c>
      <c r="D267" s="9" t="str">
        <f>IFERROR(__xludf.DUMMYFUNCTION("GOOGLETRANSLATE(A267,""ru"",""en"")"),"Garbage bags superproof 60 l 20 pcs")</f>
        <v>Garbage bags superproof 60 l 20 pcs</v>
      </c>
      <c r="E267" s="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6" t="s">
        <v>533</v>
      </c>
      <c r="B268" s="7" t="s">
        <v>533</v>
      </c>
      <c r="C268" s="8" t="s">
        <v>534</v>
      </c>
      <c r="D268" s="9" t="str">
        <f>IFERROR(__xludf.DUMMYFUNCTION("GOOGLETRANSLATE(A268,""ru"",""en"")"),"Toilet paper Meakshko 200 mini for dispensers")</f>
        <v>Toilet paper Meakshko 200 mini for dispensers</v>
      </c>
      <c r="E268" s="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6" t="s">
        <v>535</v>
      </c>
      <c r="B269" s="7" t="s">
        <v>535</v>
      </c>
      <c r="C269" s="8" t="s">
        <v>536</v>
      </c>
      <c r="D269" s="9" t="str">
        <f>IFERROR(__xludf.DUMMYFUNCTION("GOOGLETRANSLATE(A269,""ru"",""en"")"),"Liquid soap AJM Econom 5 l")</f>
        <v>Liquid soap AJM Econom 5 l</v>
      </c>
      <c r="E269" s="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6" t="s">
        <v>537</v>
      </c>
      <c r="B270" s="7" t="s">
        <v>537</v>
      </c>
      <c r="C270" s="8" t="s">
        <v>538</v>
      </c>
      <c r="D270" s="9" t="str">
        <f>IFERROR(__xludf.DUMMYFUNCTION("GOOGLETRANSLATE(A270,""ru"",""en"")"),"Tool for washing dishes AJM Econom 5 l")</f>
        <v>Tool for washing dishes AJM Econom 5 l</v>
      </c>
      <c r="E270" s="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6" t="s">
        <v>539</v>
      </c>
      <c r="B271" s="7" t="s">
        <v>539</v>
      </c>
      <c r="C271" s="8" t="s">
        <v>540</v>
      </c>
      <c r="D271" s="9" t="str">
        <f>IFERROR(__xludf.DUMMYFUNCTION("GOOGLETRANSLATE(A271,""ru"",""en"")"),"Liquid soap with glycerin AJM 5 l")</f>
        <v>Liquid soap with glycerin AJM 5 l</v>
      </c>
      <c r="E271" s="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6" t="s">
        <v>541</v>
      </c>
      <c r="B272" s="7" t="s">
        <v>541</v>
      </c>
      <c r="C272" s="8" t="s">
        <v>542</v>
      </c>
      <c r="D272" s="9" t="str">
        <f>IFERROR(__xludf.DUMMYFUNCTION("GOOGLETRANSLATE(A272,""ru"",""en"")"),"Capacity for dispenser 500 ml")</f>
        <v>Capacity for dispenser 500 ml</v>
      </c>
      <c r="E272" s="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6" t="s">
        <v>543</v>
      </c>
      <c r="B273" s="7" t="s">
        <v>543</v>
      </c>
      <c r="C273" s="8" t="s">
        <v>544</v>
      </c>
      <c r="D273" s="9" t="str">
        <f>IFERROR(__xludf.DUMMYFUNCTION("GOOGLETRANSLATE(A273,""ru"",""en"")"),"AJM Glass Glass Wash Means")</f>
        <v>AJM Glass Glass Wash Means</v>
      </c>
      <c r="E273" s="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6" t="s">
        <v>545</v>
      </c>
      <c r="B274" s="7" t="s">
        <v>545</v>
      </c>
      <c r="C274" s="8" t="s">
        <v>546</v>
      </c>
      <c r="D274" s="9" t="str">
        <f>IFERROR(__xludf.DUMMYFUNCTION("GOOGLETRANSLATE(A274,""ru"",""en"")"),"Ecooptim seal 100 pcs")</f>
        <v>Ecooptim seal 100 pcs</v>
      </c>
      <c r="E274" s="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6" t="s">
        <v>547</v>
      </c>
      <c r="B275" s="7" t="s">
        <v>547</v>
      </c>
      <c r="C275" s="8" t="s">
        <v>548</v>
      </c>
      <c r="D275" s="9" t="str">
        <f>IFERROR(__xludf.DUMMYFUNCTION("GOOGLETRANSLATE(A275,""ru"",""en"")"),"Avko cleaning agent clean kitchen 500 ml")</f>
        <v>Avko cleaning agent clean kitchen 500 ml</v>
      </c>
      <c r="E275" s="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6" t="s">
        <v>549</v>
      </c>
      <c r="B276" s="7" t="s">
        <v>549</v>
      </c>
      <c r="C276" s="8" t="s">
        <v>550</v>
      </c>
      <c r="D276" s="9" t="str">
        <f>IFERROR(__xludf.DUMMYFUNCTION("GOOGLETRANSLATE(A276,""ru"",""en"")"),"Tool for washing dishes AJM with glycerin 500 ml")</f>
        <v>Tool for washing dishes AJM with glycerin 500 ml</v>
      </c>
      <c r="E276" s="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6" t="s">
        <v>551</v>
      </c>
      <c r="B277" s="7" t="s">
        <v>551</v>
      </c>
      <c r="C277" s="8" t="s">
        <v>552</v>
      </c>
      <c r="D277" s="9" t="str">
        <f>IFERROR(__xludf.DUMMYFUNCTION("GOOGLETRANSLATE(A277,""ru"",""en"")"),"White-gel CM-27 1 l")</f>
        <v>White-gel CM-27 1 l</v>
      </c>
      <c r="E277" s="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6" t="s">
        <v>553</v>
      </c>
      <c r="B278" s="7" t="s">
        <v>553</v>
      </c>
      <c r="C278" s="8" t="s">
        <v>554</v>
      </c>
      <c r="D278" s="9" t="str">
        <f>IFERROR(__xludf.DUMMYFUNCTION("GOOGLETRANSLATE(A278,""ru"",""en"")"),"Toothpicks Customized PP Content Tank 1000 pcs")</f>
        <v>Toothpicks Customized PP Content Tank 1000 pcs</v>
      </c>
      <c r="E278" s="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6" t="s">
        <v>555</v>
      </c>
      <c r="B279" s="7" t="s">
        <v>555</v>
      </c>
      <c r="C279" s="8" t="s">
        <v>556</v>
      </c>
      <c r="D279" s="9" t="str">
        <f>IFERROR(__xludf.DUMMYFUNCTION("GOOGLETRANSLATE(A279,""ru"",""en"")"),"Toothpicks customized Continentpal 1000 pcs")</f>
        <v>Toothpicks customized Continentpal 1000 pcs</v>
      </c>
      <c r="E279" s="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6" t="s">
        <v>557</v>
      </c>
      <c r="B280" s="7" t="s">
        <v>557</v>
      </c>
      <c r="C280" s="8" t="s">
        <v>558</v>
      </c>
      <c r="D280" s="9" t="str">
        <f>IFERROR(__xludf.DUMMYFUNCTION("GOOGLETRANSLATE(A280,""ru"",""en"")"),"White bleaching agent 1 l")</f>
        <v>White bleaching agent 1 l</v>
      </c>
      <c r="E280" s="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6" t="s">
        <v>559</v>
      </c>
      <c r="B281" s="7" t="s">
        <v>559</v>
      </c>
      <c r="C281" s="8" t="s">
        <v>560</v>
      </c>
      <c r="D281" s="9" t="str">
        <f>IFERROR(__xludf.DUMMYFUNCTION("GOOGLETRANSLATE(A281,""ru"",""en"")"),"Tools for cleaning pipes Crotaran Pink 1 l")</f>
        <v>Tools for cleaning pipes Crotaran Pink 1 l</v>
      </c>
      <c r="E281" s="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6" t="s">
        <v>561</v>
      </c>
      <c r="B282" s="7" t="s">
        <v>561</v>
      </c>
      <c r="C282" s="8" t="s">
        <v>562</v>
      </c>
      <c r="D282" s="9" t="str">
        <f>IFERROR(__xludf.DUMMYFUNCTION("GOOGLETRANSLATE(A282,""ru"",""en"")"),"Toilet paper Hatnik 300")</f>
        <v>Toilet paper Hatnik 300</v>
      </c>
      <c r="E282" s="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6" t="s">
        <v>563</v>
      </c>
      <c r="B283" s="7" t="s">
        <v>563</v>
      </c>
      <c r="C283" s="8" t="s">
        <v>564</v>
      </c>
      <c r="D283" s="9" t="str">
        <f>IFERROR(__xludf.DUMMYFUNCTION("GOOGLETRANSLATE(A283,""ru"",""en"")"),"50 ml saucery 80 pcs")</f>
        <v>50 ml saucery 80 pcs</v>
      </c>
      <c r="E283" s="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6" t="s">
        <v>565</v>
      </c>
      <c r="B284" s="7" t="s">
        <v>565</v>
      </c>
      <c r="C284" s="8" t="s">
        <v>566</v>
      </c>
      <c r="D284" s="9" t="str">
        <f>IFERROR(__xludf.DUMMYFUNCTION("GOOGLETRANSLATE(A284,""ru"",""en"")"),"Plastic knives White 17 cm 100 pcs")</f>
        <v>Plastic knives White 17 cm 100 pcs</v>
      </c>
      <c r="E284" s="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6" t="s">
        <v>567</v>
      </c>
      <c r="B285" s="7" t="s">
        <v>567</v>
      </c>
      <c r="C285" s="8" t="s">
        <v>568</v>
      </c>
      <c r="D285" s="9" t="str">
        <f>IFERROR(__xludf.DUMMYFUNCTION("GOOGLETRANSLATE(A285,""ru"",""en"")"),"Drinks for drinks Direct Milk Colored 8x240mm 250 pcs")</f>
        <v>Drinks for drinks Direct Milk Colored 8x240mm 250 pcs</v>
      </c>
      <c r="E285" s="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6" t="s">
        <v>569</v>
      </c>
      <c r="B286" s="7" t="s">
        <v>569</v>
      </c>
      <c r="C286" s="8" t="s">
        <v>570</v>
      </c>
      <c r="D286" s="9" t="str">
        <f>IFERROR(__xludf.DUMMYFUNCTION("GOOGLETRANSLATE(A286,""ru"",""en"")"),"Bamboo kebab sticks 20 cm 100 pcs")</f>
        <v>Bamboo kebab sticks 20 cm 100 pcs</v>
      </c>
      <c r="E286" s="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6" t="s">
        <v>571</v>
      </c>
      <c r="B287" s="7" t="s">
        <v>571</v>
      </c>
      <c r="C287" s="8" t="s">
        <v>572</v>
      </c>
      <c r="D287" s="9" t="str">
        <f>IFERROR(__xludf.DUMMYFUNCTION("GOOGLETRANSLATE(A287,""ru"",""en"")"),"Bamboo kebab sticks 30 cm 100 pcs")</f>
        <v>Bamboo kebab sticks 30 cm 100 pcs</v>
      </c>
      <c r="E287" s="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6" t="s">
        <v>573</v>
      </c>
      <c r="B288" s="7" t="s">
        <v>573</v>
      </c>
      <c r="C288" s="8" t="s">
        <v>574</v>
      </c>
      <c r="D288" s="9" t="str">
        <f>IFERROR(__xludf.DUMMYFUNCTION("GOOGLETRANSLATE(A288,""ru"",""en"")"),"Decorative peaks nodules 10.5 cm 100 pcs")</f>
        <v>Decorative peaks nodules 10.5 cm 100 pcs</v>
      </c>
      <c r="E288" s="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6" t="s">
        <v>575</v>
      </c>
      <c r="B289" s="7" t="s">
        <v>575</v>
      </c>
      <c r="C289" s="8" t="s">
        <v>576</v>
      </c>
      <c r="D289" s="9" t="str">
        <f>IFERROR(__xludf.DUMMYFUNCTION("GOOGLETRANSLATE(A289,""ru"",""en"")"),"Packing Packages Contentpal in Roll 24x37 cm 6 microns 100 pcs")</f>
        <v>Packing Packages Contentpal in Roll 24x37 cm 6 microns 100 pcs</v>
      </c>
      <c r="E289" s="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6" t="s">
        <v>577</v>
      </c>
      <c r="B290" s="7" t="s">
        <v>577</v>
      </c>
      <c r="C290" s="8" t="s">
        <v>578</v>
      </c>
      <c r="D290" s="9" t="str">
        <f>IFERROR(__xludf.DUMMYFUNCTION("GOOGLETRANSLATE(A290,""ru"",""en"")"),"PND 100 pcs")</f>
        <v>PND 100 pcs</v>
      </c>
      <c r="E290" s="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6" t="s">
        <v>579</v>
      </c>
      <c r="B291" s="7" t="s">
        <v>579</v>
      </c>
      <c r="C291" s="8" t="s">
        <v>580</v>
      </c>
      <c r="D291" s="9" t="str">
        <f>IFERROR(__xludf.DUMMYFUNCTION("GOOGLETRANSLATE(A291,""ru"",""en"")"),"Disposable Frontards PND White 100 pieces")</f>
        <v>Disposable Frontards PND White 100 pieces</v>
      </c>
      <c r="E291" s="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6" t="s">
        <v>581</v>
      </c>
      <c r="B292" s="7" t="s">
        <v>581</v>
      </c>
      <c r="C292" s="8" t="s">
        <v>582</v>
      </c>
      <c r="D292" s="9" t="str">
        <f>IFERROR(__xludf.DUMMYFUNCTION("GOOGLETRANSLATE(A292,""ru"",""en"")"),"Polyethylene gloves Economy Rr L 100 pcs")</f>
        <v>Polyethylene gloves Economy Rr L 100 pcs</v>
      </c>
      <c r="E292" s="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6" t="s">
        <v>583</v>
      </c>
      <c r="B293" s="7" t="s">
        <v>583</v>
      </c>
      <c r="C293" s="8" t="s">
        <v>584</v>
      </c>
      <c r="D293" s="9" t="str">
        <f>IFERROR(__xludf.DUMMYFUNCTION("GOOGLETRANSLATE(A293,""ru"",""en"")"),"Paper for baking Contntentpak PP 38 cm x 25 m")</f>
        <v>Paper for baking Contntentpak PP 38 cm x 25 m</v>
      </c>
      <c r="E293" s="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6" t="s">
        <v>585</v>
      </c>
      <c r="B294" s="7" t="s">
        <v>585</v>
      </c>
      <c r="C294" s="8" t="s">
        <v>586</v>
      </c>
      <c r="D294" s="9" t="str">
        <f>IFERROR(__xludf.DUMMYFUNCTION("GOOGLETRANSLATE(A294,""ru"",""en"")"),"Baking Sleeve Contentpal 3 m")</f>
        <v>Baking Sleeve Contentpal 3 m</v>
      </c>
      <c r="E294" s="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6" t="s">
        <v>587</v>
      </c>
      <c r="B295" s="7" t="s">
        <v>587</v>
      </c>
      <c r="C295" s="8" t="s">
        <v>588</v>
      </c>
      <c r="D295" s="9" t="str">
        <f>IFERROR(__xludf.DUMMYFUNCTION("GOOGLETRANSLATE(A295,""ru"",""en"")"),"Waffle cloth 45 cm x 50 m Density 125 g / m2")</f>
        <v>Waffle cloth 45 cm x 50 m Density 125 g / m2</v>
      </c>
      <c r="E295" s="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6" t="s">
        <v>589</v>
      </c>
      <c r="B296" s="7" t="s">
        <v>589</v>
      </c>
      <c r="C296" s="8" t="s">
        <v>590</v>
      </c>
      <c r="D296" s="9" t="str">
        <f>IFERROR(__xludf.DUMMYFUNCTION("GOOGLETRANSLATE(A296,""ru"",""en"")"),"Staircase Strieving Tarko 04107")</f>
        <v>Staircase Strieving Tarko 04107</v>
      </c>
      <c r="E296" s="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6" t="s">
        <v>591</v>
      </c>
      <c r="B297" s="7" t="s">
        <v>591</v>
      </c>
      <c r="C297" s="8" t="s">
        <v>592</v>
      </c>
      <c r="D297" s="9" t="str">
        <f>IFERROR(__xludf.DUMMYFUNCTION("GOOGLETRANSLATE(A297,""ru"",""en"")"),"Staircase Strieving Tarko 04103")</f>
        <v>Staircase Strieving Tarko 04103</v>
      </c>
      <c r="E297" s="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6" t="s">
        <v>593</v>
      </c>
      <c r="B298" s="7" t="s">
        <v>593</v>
      </c>
      <c r="C298" s="8" t="s">
        <v>594</v>
      </c>
      <c r="D298" s="9" t="str">
        <f>IFERROR(__xludf.DUMMYFUNCTION("GOOGLETRANSLATE(A298,""ru"",""en"")"),"Staircase two-sided stepted Tarko")</f>
        <v>Staircase two-sided stepted Tarko</v>
      </c>
      <c r="E298" s="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6" t="s">
        <v>595</v>
      </c>
      <c r="B299" s="7" t="s">
        <v>595</v>
      </c>
      <c r="C299" s="8" t="s">
        <v>596</v>
      </c>
      <c r="D299" s="9" t="str">
        <f>IFERROR(__xludf.DUMMYFUNCTION("GOOGLETRANSLATE(A299,""ru"",""en"")"),"Mittens x / b bunk with double handhelds")</f>
        <v>Mittens x / b bunk with double handhelds</v>
      </c>
      <c r="E299" s="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6" t="s">
        <v>597</v>
      </c>
      <c r="B300" s="7" t="s">
        <v>597</v>
      </c>
      <c r="C300" s="8" t="s">
        <v>598</v>
      </c>
      <c r="D300" s="9" t="str">
        <f>IFERROR(__xludf.DUMMYFUNCTION("GOOGLETRANSLATE(A300,""ru"",""en"")"),"Antifungal reagent Netzin 5 kg")</f>
        <v>Antifungal reagent Netzin 5 kg</v>
      </c>
      <c r="E300" s="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6" t="s">
        <v>599</v>
      </c>
      <c r="B301" s="7" t="s">
        <v>599</v>
      </c>
      <c r="C301" s="8" t="s">
        <v>600</v>
      </c>
      <c r="D301" s="9" t="str">
        <f>IFERROR(__xludf.DUMMYFUNCTION("GOOGLETRANSLATE(A301,""ru"",""en"")"),"Rod telescopic 4.5 meters")</f>
        <v>Rod telescopic 4.5 meters</v>
      </c>
      <c r="E301" s="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6" t="s">
        <v>601</v>
      </c>
      <c r="B302" s="7" t="s">
        <v>601</v>
      </c>
      <c r="C302" s="8" t="s">
        <v>602</v>
      </c>
      <c r="D302" s="9" t="str">
        <f>IFERROR(__xludf.DUMMYFUNCTION("GOOGLETRANSLATE(A302,""ru"",""en"")"),"Means for washing solid surfaces AJM White-gel 1 l")</f>
        <v>Means for washing solid surfaces AJM White-gel 1 l</v>
      </c>
      <c r="E302" s="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6" t="s">
        <v>603</v>
      </c>
      <c r="B303" s="7" t="s">
        <v>603</v>
      </c>
      <c r="C303" s="8" t="s">
        <v>604</v>
      </c>
      <c r="D303" s="9" t="str">
        <f>IFERROR(__xludf.DUMMYFUNCTION("GOOGLETRANSLATE(A303,""ru"",""en"")"),"Tape painting sticky (Sucking) Klebebander 38 mm art.015")</f>
        <v>Tape painting sticky (Sucking) Klebebander 38 mm art.015</v>
      </c>
      <c r="E303" s="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6" t="s">
        <v>605</v>
      </c>
      <c r="B304" s="7" t="s">
        <v>605</v>
      </c>
      <c r="C304" s="8" t="s">
        <v>606</v>
      </c>
      <c r="D304" s="9" t="str">
        <f>IFERROR(__xludf.DUMMYFUNCTION("GOOGLETRANSLATE(A304,""ru"",""en"")"),"Aluminum tape KLEBEBANDER 50 mm x 10 m")</f>
        <v>Aluminum tape KLEBEBANDER 50 mm x 10 m</v>
      </c>
      <c r="E304" s="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6" t="s">
        <v>607</v>
      </c>
      <c r="B305" s="7" t="s">
        <v>607</v>
      </c>
      <c r="C305" s="8" t="s">
        <v>608</v>
      </c>
      <c r="D305" s="9" t="str">
        <f>IFERROR(__xludf.DUMMYFUNCTION("GOOGLETRANSLATE(A305,""ru"",""en"")"),"Metallized tape KLEBEBANDER 50 mm x 10 m")</f>
        <v>Metallized tape KLEBEBANDER 50 mm x 10 m</v>
      </c>
      <c r="E305" s="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6" t="s">
        <v>609</v>
      </c>
      <c r="B306" s="7" t="s">
        <v>609</v>
      </c>
      <c r="C306" s="8" t="s">
        <v>610</v>
      </c>
      <c r="D306" s="9" t="str">
        <f>IFERROR(__xludf.DUMMYFUNCTION("GOOGLETRANSLATE(A306,""ru"",""en"")"),"Packing packages Komfi 24x37 cm 10 μm 100 pcs")</f>
        <v>Packing packages Komfi 24x37 cm 10 μm 100 pcs</v>
      </c>
      <c r="E306" s="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6" t="s">
        <v>611</v>
      </c>
      <c r="B307" s="7" t="s">
        <v>611</v>
      </c>
      <c r="C307" s="8" t="s">
        <v>612</v>
      </c>
      <c r="D307" s="9" t="str">
        <f>IFERROR(__xludf.DUMMYFUNCTION("GOOGLETRANSLATE(A307,""ru"",""en"")"),"Mop tuffing loop 50 cm (pocket + language)")</f>
        <v>Mop tuffing loop 50 cm (pocket + language)</v>
      </c>
      <c r="E307" s="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6" t="s">
        <v>613</v>
      </c>
      <c r="B308" s="7" t="s">
        <v>613</v>
      </c>
      <c r="C308" s="8" t="s">
        <v>614</v>
      </c>
      <c r="D308" s="9" t="str">
        <f>IFERROR(__xludf.DUMMYFUNCTION("GOOGLETRANSLATE(A308,""ru"",""en"")"),"Bags for garbage Mirpack PND EXTRA 30 l 12 microns 50 pcs")</f>
        <v>Bags for garbage Mirpack PND EXTRA 30 l 12 microns 50 pcs</v>
      </c>
      <c r="E308" s="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6" t="s">
        <v>615</v>
      </c>
      <c r="B309" s="7" t="s">
        <v>615</v>
      </c>
      <c r="C309" s="8" t="s">
        <v>616</v>
      </c>
      <c r="D309" s="9" t="str">
        <f>IFERROR(__xludf.DUMMYFUNCTION("GOOGLETRANSLATE(A309,""ru"",""en"")"),"Bags for garbage Mirpack PVD 360 l 120x160 cm 60 μm 50 pcs")</f>
        <v>Bags for garbage Mirpack PVD 360 l 120x160 cm 60 μm 50 pcs</v>
      </c>
      <c r="E309" s="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6" t="s">
        <v>617</v>
      </c>
      <c r="B310" s="7" t="s">
        <v>617</v>
      </c>
      <c r="C310" s="8" t="s">
        <v>618</v>
      </c>
      <c r="D310" s="9" t="str">
        <f>IFERROR(__xludf.DUMMYFUNCTION("GOOGLETRANSLATE(A310,""ru"",""en"")"),"Bags for garbage Mirpack PCD Premium + 30 l 20 microns 30 pcs")</f>
        <v>Bags for garbage Mirpack PCD Premium + 30 l 20 microns 30 pcs</v>
      </c>
      <c r="E310" s="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6" t="s">
        <v>619</v>
      </c>
      <c r="B311" s="7" t="s">
        <v>619</v>
      </c>
      <c r="C311" s="8" t="s">
        <v>620</v>
      </c>
      <c r="D311" s="9" t="str">
        <f>IFERROR(__xludf.DUMMYFUNCTION("GOOGLETRANSLATE(A311,""ru"",""en"")"),"Bags for garbage Mirpack PND EXTRA 35 l 12 microns 30 pcs")</f>
        <v>Bags for garbage Mirpack PND EXTRA 35 l 12 microns 30 pcs</v>
      </c>
      <c r="E311" s="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6" t="s">
        <v>621</v>
      </c>
      <c r="B312" s="7" t="s">
        <v>621</v>
      </c>
      <c r="C312" s="8" t="s">
        <v>622</v>
      </c>
      <c r="D312" s="9" t="str">
        <f>IFERROR(__xludf.DUMMYFUNCTION("GOOGLETRANSLATE(A312,""ru"",""en"")"),"Napkin Warranty Lemon Moon 3 pcs")</f>
        <v>Napkin Warranty Lemon Moon 3 pcs</v>
      </c>
      <c r="E312" s="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6" t="s">
        <v>623</v>
      </c>
      <c r="B313" s="7" t="s">
        <v>623</v>
      </c>
      <c r="C313" s="8" t="s">
        <v>624</v>
      </c>
      <c r="D313" s="9" t="str">
        <f>IFERROR(__xludf.DUMMYFUNCTION("GOOGLETRANSLATE(A313,""ru"",""en"")"),"Air Conditioning for Linen Vernel Freshness Provence 910 ml")</f>
        <v>Air Conditioning for Linen Vernel Freshness Provence 910 ml</v>
      </c>
      <c r="E313" s="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6" t="s">
        <v>625</v>
      </c>
      <c r="B314" s="7" t="s">
        <v>625</v>
      </c>
      <c r="C314" s="8" t="s">
        <v>626</v>
      </c>
      <c r="D314" s="9" t="str">
        <f>IFERROR(__xludf.DUMMYFUNCTION("GOOGLETRANSLATE(A314,""ru"",""en"")"),"Tool cleansing Light for washing windows 5 l")</f>
        <v>Tool cleansing Light for washing windows 5 l</v>
      </c>
      <c r="E314" s="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6" t="s">
        <v>627</v>
      </c>
      <c r="B315" s="7" t="s">
        <v>627</v>
      </c>
      <c r="C315" s="8" t="s">
        <v>628</v>
      </c>
      <c r="D315" s="9" t="str">
        <f>IFERROR(__xludf.DUMMYFUNCTION("GOOGLETRANSLATE(A315,""ru"",""en"")"),"Melting Axel 5 l")</f>
        <v>Melting Axel 5 l</v>
      </c>
      <c r="E315" s="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6" t="s">
        <v>629</v>
      </c>
      <c r="B316" s="7" t="s">
        <v>629</v>
      </c>
      <c r="C316" s="8" t="s">
        <v>630</v>
      </c>
      <c r="D316" s="9" t="str">
        <f>IFERROR(__xludf.DUMMYFUNCTION("GOOGLETRANSLATE(A316,""ru"",""en"")"),"MOS Universal 40 cm (pocket)")</f>
        <v>MOS Universal 40 cm (pocket)</v>
      </c>
      <c r="E316" s="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6" t="s">
        <v>631</v>
      </c>
      <c r="B317" s="7" t="s">
        <v>631</v>
      </c>
      <c r="C317" s="8" t="s">
        <v>632</v>
      </c>
      <c r="D317" s="9" t="str">
        <f>IFERROR(__xludf.DUMMYFUNCTION("GOOGLETRANSLATE(A317,""ru"",""en"")"),"Soap liquid bacteriostatic fungistatic green 1 l")</f>
        <v>Soap liquid bacteriostatic fungistatic green 1 l</v>
      </c>
      <c r="E317" s="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6" t="s">
        <v>633</v>
      </c>
      <c r="B318" s="7" t="s">
        <v>633</v>
      </c>
      <c r="C318" s="8" t="s">
        <v>634</v>
      </c>
      <c r="D318" s="9" t="str">
        <f>IFERROR(__xludf.DUMMYFUNCTION("GOOGLETRANSLATE(A318,""ru"",""en"")"),"AJM Glass glasses 1 l")</f>
        <v>AJM Glass glasses 1 l</v>
      </c>
      <c r="E318" s="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6" t="s">
        <v>635</v>
      </c>
      <c r="B319" s="7" t="s">
        <v>635</v>
      </c>
      <c r="C319" s="8" t="s">
        <v>636</v>
      </c>
      <c r="D319" s="9" t="str">
        <f>IFERROR(__xludf.DUMMYFUNCTION("GOOGLETRANSLATE(A319,""ru"",""en"")"),"Drinks for drinks with corrugated black 5x210 mm 250 pcs")</f>
        <v>Drinks for drinks with corrugated black 5x210 mm 250 pcs</v>
      </c>
      <c r="E319" s="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6" t="s">
        <v>637</v>
      </c>
      <c r="B320" s="7" t="s">
        <v>637</v>
      </c>
      <c r="C320" s="8" t="s">
        <v>638</v>
      </c>
      <c r="D320" s="9" t="str">
        <f>IFERROR(__xludf.DUMMYFUNCTION("GOOGLETRANSLATE(A320,""ru"",""en"")"),"Drinks for drinks straight black 5x125mm 400 pcs")</f>
        <v>Drinks for drinks straight black 5x125mm 400 pcs</v>
      </c>
      <c r="E320" s="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6" t="s">
        <v>639</v>
      </c>
      <c r="B321" s="7" t="s">
        <v>639</v>
      </c>
      <c r="C321" s="8" t="s">
        <v>640</v>
      </c>
      <c r="D321" s="9" t="str">
        <f>IFERROR(__xludf.DUMMYFUNCTION("GOOGLETRANSLATE(A321,""ru"",""en"")"),"Drinks for drinks straight black 8x240mm 250 pcs")</f>
        <v>Drinks for drinks straight black 8x240mm 250 pcs</v>
      </c>
      <c r="E321" s="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6" t="s">
        <v>641</v>
      </c>
      <c r="B322" s="7" t="s">
        <v>641</v>
      </c>
      <c r="C322" s="8" t="s">
        <v>642</v>
      </c>
      <c r="D322" s="9" t="str">
        <f>IFERROR(__xludf.DUMMYFUNCTION("GOOGLETRANSLATE(A322,""ru"",""en"")"),"Means for chemical sterilization and disinfection of stan 1 l")</f>
        <v>Means for chemical sterilization and disinfection of stan 1 l</v>
      </c>
      <c r="E322" s="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6" t="s">
        <v>643</v>
      </c>
      <c r="B323" s="7" t="s">
        <v>643</v>
      </c>
      <c r="C323" s="8" t="s">
        <v>644</v>
      </c>
      <c r="D323" s="9" t="str">
        <f>IFERROR(__xludf.DUMMYFUNCTION("GOOGLETRANSLATE(A323,""ru"",""en"")"),"Aluminum handle for a flounder 130 cm")</f>
        <v>Aluminum handle for a flounder 130 cm</v>
      </c>
      <c r="E323" s="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6" t="s">
        <v>645</v>
      </c>
      <c r="B324" s="7" t="s">
        <v>645</v>
      </c>
      <c r="C324" s="8" t="s">
        <v>646</v>
      </c>
      <c r="D324" s="9" t="str">
        <f>IFERROR(__xludf.DUMMYFUNCTION("GOOGLETRANSLATE(A324,""ru"",""en"")"),"Cleansing sanatex 1 l")</f>
        <v>Cleansing sanatex 1 l</v>
      </c>
      <c r="E324" s="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6" t="s">
        <v>647</v>
      </c>
      <c r="B325" s="7" t="s">
        <v>647</v>
      </c>
      <c r="C325" s="8" t="s">
        <v>648</v>
      </c>
      <c r="D325" s="9" t="str">
        <f>IFERROR(__xludf.DUMMYFUNCTION("GOOGLETRANSLATE(A325,""ru"",""en"")"),"Cleaning agent for kitchen stoves and ovens 750 ml")</f>
        <v>Cleaning agent for kitchen stoves and ovens 750 ml</v>
      </c>
      <c r="E325" s="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6" t="s">
        <v>649</v>
      </c>
      <c r="B326" s="7" t="s">
        <v>649</v>
      </c>
      <c r="C326" s="8" t="s">
        <v>650</v>
      </c>
      <c r="D326" s="9" t="str">
        <f>IFERROR(__xludf.DUMMYFUNCTION("GOOGLETRANSLATE(A326,""ru"",""en"")"),"Economy Bucket Red 10 l")</f>
        <v>Economy Bucket Red 10 l</v>
      </c>
      <c r="E326" s="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6" t="s">
        <v>651</v>
      </c>
      <c r="B327" s="7" t="s">
        <v>651</v>
      </c>
      <c r="C327" s="8" t="s">
        <v>652</v>
      </c>
      <c r="D327" s="9" t="str">
        <f>IFERROR(__xludf.DUMMYFUNCTION("GOOGLETRANSLATE(A327,""ru"",""en"")"),"Bucket Economy green 10 l")</f>
        <v>Bucket Economy green 10 l</v>
      </c>
      <c r="E327" s="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6" t="s">
        <v>653</v>
      </c>
      <c r="B328" s="7" t="s">
        <v>653</v>
      </c>
      <c r="C328" s="8" t="s">
        <v>654</v>
      </c>
      <c r="D328" s="9" t="str">
        <f>IFERROR(__xludf.DUMMYFUNCTION("GOOGLETRANSLATE(A328,""ru"",""en"")"),"Economy Bucket Blue 10 l")</f>
        <v>Economy Bucket Blue 10 l</v>
      </c>
      <c r="E328" s="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6" t="s">
        <v>655</v>
      </c>
      <c r="B329" s="7" t="s">
        <v>655</v>
      </c>
      <c r="C329" s="8" t="s">
        <v>656</v>
      </c>
      <c r="D329" s="9" t="str">
        <f>IFERROR(__xludf.DUMMYFUNCTION("GOOGLETRANSLATE(A329,""ru"",""en"")"),"Economy Bucket 10 l")</f>
        <v>Economy Bucket 10 l</v>
      </c>
      <c r="E329" s="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6" t="s">
        <v>657</v>
      </c>
      <c r="B330" s="7" t="s">
        <v>657</v>
      </c>
      <c r="C330" s="8" t="s">
        <v>369</v>
      </c>
      <c r="D330" s="9" t="str">
        <f>IFERROR(__xludf.DUMMYFUNCTION("GOOGLETRANSLATE(A330,""ru"",""en"")"),"Bucket classic blue 7 l")</f>
        <v>Bucket classic blue 7 l</v>
      </c>
      <c r="E330" s="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6" t="s">
        <v>658</v>
      </c>
      <c r="B331" s="7" t="s">
        <v>658</v>
      </c>
      <c r="C331" s="8" t="s">
        <v>659</v>
      </c>
      <c r="D331" s="9" t="str">
        <f>IFERROR(__xludf.DUMMYFUNCTION("GOOGLETRANSLATE(A331,""ru"",""en"")"),"Bucket classic with naist Mix 8 l")</f>
        <v>Bucket classic with naist Mix 8 l</v>
      </c>
      <c r="E331" s="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6" t="s">
        <v>660</v>
      </c>
      <c r="B332" s="7" t="s">
        <v>660</v>
      </c>
      <c r="C332" s="8" t="s">
        <v>661</v>
      </c>
      <c r="D332" s="9" t="str">
        <f>IFERROR(__xludf.DUMMYFUNCTION("GOOGLETRANSLATE(A332,""ru"",""en"")"),"Bucket Food Miracle With Drain Blue 7 l")</f>
        <v>Bucket Food Miracle With Drain Blue 7 l</v>
      </c>
      <c r="E332" s="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6" t="s">
        <v>662</v>
      </c>
      <c r="B333" s="7" t="s">
        <v>662</v>
      </c>
      <c r="C333" s="8" t="s">
        <v>663</v>
      </c>
      <c r="D333" s="9" t="str">
        <f>IFERROR(__xludf.DUMMYFUNCTION("GOOGLETRANSLATE(A333,""ru"",""en"")"),"Bucket food miracle with yellow 7 l")</f>
        <v>Bucket food miracle with yellow 7 l</v>
      </c>
      <c r="E333" s="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6" t="s">
        <v>664</v>
      </c>
      <c r="B334" s="7" t="s">
        <v>664</v>
      </c>
      <c r="C334" s="8" t="s">
        <v>665</v>
      </c>
      <c r="D334" s="9" t="str">
        <f>IFERROR(__xludf.DUMMYFUNCTION("GOOGLETRANSLATE(A334,""ru"",""en"")"),"Bucket food miracle with a drain green 7 l")</f>
        <v>Bucket food miracle with a drain green 7 l</v>
      </c>
      <c r="E334" s="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6" t="s">
        <v>666</v>
      </c>
      <c r="B335" s="7" t="s">
        <v>666</v>
      </c>
      <c r="C335" s="8" t="s">
        <v>667</v>
      </c>
      <c r="D335" s="9" t="str">
        <f>IFERROR(__xludf.DUMMYFUNCTION("GOOGLETRANSLATE(A335,""ru"",""en"")"),"Molding rib ribbed 40x60 cm")</f>
        <v>Molding rib ribbed 40x60 cm</v>
      </c>
      <c r="E335" s="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6" t="s">
        <v>668</v>
      </c>
      <c r="B336" s="7" t="s">
        <v>668</v>
      </c>
      <c r="C336" s="8" t="s">
        <v>669</v>
      </c>
      <c r="D336" s="9" t="str">
        <f>IFERROR(__xludf.DUMMYFUNCTION("GOOGLETRANSLATE(A336,""ru"",""en"")"),"Basket for garbage luxury gray 12 l")</f>
        <v>Basket for garbage luxury gray 12 l</v>
      </c>
      <c r="E336" s="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6" t="s">
        <v>670</v>
      </c>
      <c r="B337" s="7" t="s">
        <v>670</v>
      </c>
      <c r="C337" s="8" t="s">
        <v>671</v>
      </c>
      <c r="D337" s="9" t="str">
        <f>IFERROR(__xludf.DUMMYFUNCTION("GOOGLETRANSLATE(A337,""ru"",""en"")"),"Clamp Umnichka 20 cm with telescopic handle 95 cm orange")</f>
        <v>Clamp Umnichka 20 cm with telescopic handle 95 cm orange</v>
      </c>
      <c r="E337" s="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6" t="s">
        <v>672</v>
      </c>
      <c r="B338" s="7" t="s">
        <v>672</v>
      </c>
      <c r="C338" s="8" t="s">
        <v>673</v>
      </c>
      <c r="D338" s="9" t="str">
        <f>IFERROR(__xludf.DUMMYFUNCTION("GOOGLETRANSLATE(A338,""ru"",""en"")"),"Clothespins small clever 72mm 24 pcs")</f>
        <v>Clothespins small clever 72mm 24 pcs</v>
      </c>
      <c r="E338" s="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6" t="s">
        <v>674</v>
      </c>
      <c r="B339" s="7" t="s">
        <v>674</v>
      </c>
      <c r="C339" s="8" t="s">
        <v>675</v>
      </c>
      <c r="D339" s="9" t="str">
        <f>IFERROR(__xludf.DUMMYFUNCTION("GOOGLETRANSLATE(A339,""ru"",""en"")"),"Taz Round with Economy handles Red 12 l")</f>
        <v>Taz Round with Economy handles Red 12 l</v>
      </c>
      <c r="E339" s="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6" t="s">
        <v>676</v>
      </c>
      <c r="B340" s="7" t="s">
        <v>676</v>
      </c>
      <c r="C340" s="8" t="s">
        <v>677</v>
      </c>
      <c r="D340" s="9" t="str">
        <f>IFERROR(__xludf.DUMMYFUNCTION("GOOGLETRANSLATE(A340,""ru"",""en"")"),"Taz Round with ECONOM handles Salad 12 l")</f>
        <v>Taz Round with ECONOM handles Salad 12 l</v>
      </c>
      <c r="E340" s="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6" t="s">
        <v>678</v>
      </c>
      <c r="B341" s="7" t="s">
        <v>678</v>
      </c>
      <c r="C341" s="8" t="s">
        <v>679</v>
      </c>
      <c r="D341" s="9" t="str">
        <f>IFERROR(__xludf.DUMMYFUNCTION("GOOGLETRANSLATE(A341,""ru"",""en"")"),"Taz Round with Economy Handles Blue 12 l")</f>
        <v>Taz Round with Economy Handles Blue 12 l</v>
      </c>
      <c r="E341" s="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6" t="s">
        <v>680</v>
      </c>
      <c r="B342" s="7" t="s">
        <v>680</v>
      </c>
      <c r="C342" s="8" t="s">
        <v>681</v>
      </c>
      <c r="D342" s="9" t="str">
        <f>IFERROR(__xludf.DUMMYFUNCTION("GOOGLETRANSLATE(A342,""ru"",""en"")"),"Stinks for shovel 4x120 cm wooden 1 grade")</f>
        <v>Stinks for shovel 4x120 cm wooden 1 grade</v>
      </c>
      <c r="E342" s="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6" t="s">
        <v>682</v>
      </c>
      <c r="B343" s="7" t="s">
        <v>682</v>
      </c>
      <c r="C343" s="8" t="s">
        <v>683</v>
      </c>
      <c r="D343" s="9" t="str">
        <f>IFERROR(__xludf.DUMMYFUNCTION("GOOGLETRANSLATE(A343,""ru"",""en"")"),"Brush Umnichka Iron Mini Blue")</f>
        <v>Brush Umnichka Iron Mini Blue</v>
      </c>
      <c r="E343" s="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6" t="s">
        <v>684</v>
      </c>
      <c r="B344" s="7" t="s">
        <v>684</v>
      </c>
      <c r="C344" s="8" t="s">
        <v>685</v>
      </c>
      <c r="D344" s="9" t="str">
        <f>IFERROR(__xludf.DUMMYFUNCTION("GOOGLETRANSLATE(A344,""ru"",""en"")"),"NPK193 60 cm Flaunder c fastening pocket")</f>
        <v>NPK193 60 cm Flaunder c fastening pocket</v>
      </c>
      <c r="E344" s="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6" t="s">
        <v>686</v>
      </c>
      <c r="B345" s="7" t="s">
        <v>686</v>
      </c>
      <c r="C345" s="8" t="s">
        <v>687</v>
      </c>
      <c r="D345" s="9" t="str">
        <f>IFERROR(__xludf.DUMMYFUNCTION("GOOGLETRANSLATE(A345,""ru"",""en"")"),"Pen for screed plastic 2.1x130 cm")</f>
        <v>Pen for screed plastic 2.1x130 cm</v>
      </c>
      <c r="E345" s="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6" t="s">
        <v>688</v>
      </c>
      <c r="B346" s="7" t="s">
        <v>688</v>
      </c>
      <c r="C346" s="8" t="s">
        <v>689</v>
      </c>
      <c r="D346" s="9" t="str">
        <f>IFERROR(__xludf.DUMMYFUNCTION("GOOGLETRANSLATE(A346,""ru"",""en"")"),"MOS Export 60 cm (pocket)")</f>
        <v>MOS Export 60 cm (pocket)</v>
      </c>
      <c r="E346" s="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6" t="s">
        <v>690</v>
      </c>
      <c r="B347" s="7" t="s">
        <v>690</v>
      </c>
      <c r="C347" s="8" t="s">
        <v>691</v>
      </c>
      <c r="D347" s="9" t="str">
        <f>IFERROR(__xludf.DUMMYFUNCTION("GOOGLETRANSLATE(A347,""ru"",""en"")"),"Metal floor screed 75 cm")</f>
        <v>Metal floor screed 75 cm</v>
      </c>
      <c r="E347" s="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6" t="s">
        <v>692</v>
      </c>
      <c r="B348" s="7" t="s">
        <v>692</v>
      </c>
      <c r="C348" s="8" t="s">
        <v>693</v>
      </c>
      <c r="D348" s="9" t="str">
        <f>IFERROR(__xludf.DUMMYFUNCTION("GOOGLETRANSLATE(A348,""ru"",""en"")"),"Cleaning agent AJM Plus 750 ml")</f>
        <v>Cleaning agent AJM Plus 750 ml</v>
      </c>
      <c r="E348" s="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6" t="s">
        <v>694</v>
      </c>
      <c r="B349" s="7" t="s">
        <v>694</v>
      </c>
      <c r="C349" s="8" t="s">
        <v>695</v>
      </c>
      <c r="D349" s="9" t="str">
        <f>IFERROR(__xludf.DUMMYFUNCTION("GOOGLETRANSLATE(A349,""ru"",""en"")"),"Scraper-ice ax metallic")</f>
        <v>Scraper-ice ax metallic</v>
      </c>
      <c r="E349" s="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6" t="s">
        <v>696</v>
      </c>
      <c r="B350" s="7" t="s">
        <v>696</v>
      </c>
      <c r="C350" s="8" t="s">
        <v>697</v>
      </c>
      <c r="D350" s="9" t="str">
        <f>IFERROR(__xludf.DUMMYFUNCTION("GOOGLETRANSLATE(A350,""ru"",""en"")"),"Plastic clamp screed 3.6x250 mm white nylon")</f>
        <v>Plastic clamp screed 3.6x250 mm white nylon</v>
      </c>
      <c r="E350" s="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6" t="s">
        <v>698</v>
      </c>
      <c r="B351" s="7" t="s">
        <v>698</v>
      </c>
      <c r="C351" s="8" t="s">
        <v>699</v>
      </c>
      <c r="D351" s="9" t="str">
        <f>IFERROR(__xludf.DUMMYFUNCTION("GOOGLETRANSLATE(A351,""ru"",""en"")"),"Avko cleaning agent net bath 500 ml")</f>
        <v>Avko cleaning agent net bath 500 ml</v>
      </c>
      <c r="E351" s="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6" t="s">
        <v>700</v>
      </c>
      <c r="B352" s="7" t="s">
        <v>700</v>
      </c>
      <c r="C352" s="8" t="s">
        <v>701</v>
      </c>
      <c r="D352" s="9" t="str">
        <f>IFERROR(__xludf.DUMMYFUNCTION("GOOGLETRANSLATE(A352,""ru"",""en"")"),"Mop acrylic for dry cleaning 40x13 cm pocket")</f>
        <v>Mop acrylic for dry cleaning 40x13 cm pocket</v>
      </c>
      <c r="E352" s="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6" t="s">
        <v>702</v>
      </c>
      <c r="B353" s="7" t="s">
        <v>702</v>
      </c>
      <c r="C353" s="8" t="s">
        <v>703</v>
      </c>
      <c r="D353" s="9" t="str">
        <f>IFERROR(__xludf.DUMMYFUNCTION("GOOGLETRANSLATE(A353,""ru"",""en"")"),"Mop Hard Abrasive Microfiber 40 x 13 cm Pocket + Ear")</f>
        <v>Mop Hard Abrasive Microfiber 40 x 13 cm Pocket + Ear</v>
      </c>
      <c r="E353" s="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6" t="s">
        <v>704</v>
      </c>
      <c r="B354" s="7" t="s">
        <v>704</v>
      </c>
      <c r="C354" s="8" t="s">
        <v>705</v>
      </c>
      <c r="D354" s="9" t="str">
        <f>IFERROR(__xludf.DUMMYFUNCTION("GOOGLETRANSLATE(A354,""ru"",""en"")"),"Mop Cotton 50x15 cm (pocket + Ear)")</f>
        <v>Mop Cotton 50x15 cm (pocket + Ear)</v>
      </c>
      <c r="E354" s="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6" t="s">
        <v>706</v>
      </c>
      <c r="B355" s="7" t="s">
        <v>706</v>
      </c>
      <c r="C355" s="8" t="s">
        <v>707</v>
      </c>
      <c r="D355" s="9" t="str">
        <f>IFERROR(__xludf.DUMMYFUNCTION("GOOGLETRANSLATE(A355,""ru"",""en"")"),"Mop acrylic for dry cleaning 50x13 cm pocket")</f>
        <v>Mop acrylic for dry cleaning 50x13 cm pocket</v>
      </c>
      <c r="E355" s="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6" t="s">
        <v>708</v>
      </c>
      <c r="B356" s="7" t="s">
        <v>708</v>
      </c>
      <c r="C356" s="8" t="s">
        <v>709</v>
      </c>
      <c r="D356" s="9" t="str">
        <f>IFERROR(__xludf.DUMMYFUNCTION("GOOGLETRANSLATE(A356,""ru"",""en"")"),"Thermometer for the oven with the probe")</f>
        <v>Thermometer for the oven with the probe</v>
      </c>
      <c r="E356" s="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6" t="s">
        <v>710</v>
      </c>
      <c r="B357" s="7" t="s">
        <v>710</v>
      </c>
      <c r="C357" s="8" t="s">
        <v>711</v>
      </c>
      <c r="D357" s="9" t="str">
        <f>IFERROR(__xludf.DUMMYFUNCTION("GOOGLETRANSLATE(A357,""ru"",""en"")"),"Openwork Napkin Round Rose 30 cm 250 pcs")</f>
        <v>Openwork Napkin Round Rose 30 cm 250 pcs</v>
      </c>
      <c r="E357" s="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6" t="s">
        <v>712</v>
      </c>
      <c r="B358" s="7" t="s">
        <v>712</v>
      </c>
      <c r="C358" s="8" t="s">
        <v>713</v>
      </c>
      <c r="D358" s="9" t="str">
        <f>IFERROR(__xludf.DUMMYFUNCTION("GOOGLETRANSLATE(A358,""ru"",""en"")"),"Liquid soap antibacterial AJM 5 l")</f>
        <v>Liquid soap antibacterial AJM 5 l</v>
      </c>
      <c r="E358" s="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6" t="s">
        <v>714</v>
      </c>
      <c r="B359" s="7" t="s">
        <v>714</v>
      </c>
      <c r="C359" s="8" t="s">
        <v>715</v>
      </c>
      <c r="D359" s="9" t="str">
        <f>IFERROR(__xludf.DUMMYFUNCTION("GOOGLETRANSLATE(A359,""ru"",""en"")"),"Grid Packaging for Watermelons Belset P6")</f>
        <v>Grid Packaging for Watermelons Belset P6</v>
      </c>
      <c r="E359" s="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6" t="s">
        <v>716</v>
      </c>
      <c r="B360" s="7" t="s">
        <v>716</v>
      </c>
      <c r="C360" s="8" t="s">
        <v>717</v>
      </c>
      <c r="D360" s="9" t="str">
        <f>IFERROR(__xludf.DUMMYFUNCTION("GOOGLETRANSLATE(A360,""ru"",""en"")"),"Shop for smoking Alder 15 kg")</f>
        <v>Shop for smoking Alder 15 kg</v>
      </c>
      <c r="E360" s="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6" t="s">
        <v>718</v>
      </c>
      <c r="B361" s="7" t="s">
        <v>718</v>
      </c>
      <c r="C361" s="8" t="s">
        <v>719</v>
      </c>
      <c r="D361" s="9" t="str">
        <f>IFERROR(__xludf.DUMMYFUNCTION("GOOGLETRANSLATE(A361,""ru"",""en"")"),"Package T-shirt PND 30х16х60 cm 15 μm black 100 pieces")</f>
        <v>Package T-shirt PND 30х16х60 cm 15 μm black 100 pieces</v>
      </c>
      <c r="E361" s="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6" t="s">
        <v>720</v>
      </c>
      <c r="B362" s="7" t="s">
        <v>720</v>
      </c>
      <c r="C362" s="8" t="s">
        <v>721</v>
      </c>
      <c r="D362" s="9" t="str">
        <f>IFERROR(__xludf.DUMMYFUNCTION("GOOGLETRANSLATE(A362,""ru"",""en"")"),"Tools for washing dishes Fairy Gentle hands chamomile and vitamin E 900 ml")</f>
        <v>Tools for washing dishes Fairy Gentle hands chamomile and vitamin E 900 ml</v>
      </c>
      <c r="E362" s="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6" t="s">
        <v>722</v>
      </c>
      <c r="B363" s="7" t="s">
        <v>722</v>
      </c>
      <c r="C363" s="8" t="s">
        <v>723</v>
      </c>
      <c r="D363" s="9" t="str">
        <f>IFERROR(__xludf.DUMMYFUNCTION("GOOGLETRANSLATE(A363,""ru"",""en"")"),"Concentrated remedy for cleaning rooms of quartr-m 1 l")</f>
        <v>Concentrated remedy for cleaning rooms of quartr-m 1 l</v>
      </c>
      <c r="E363" s="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6" t="s">
        <v>724</v>
      </c>
      <c r="B364" s="7" t="s">
        <v>724</v>
      </c>
      <c r="C364" s="8" t="s">
        <v>725</v>
      </c>
      <c r="D364" s="9" t="str">
        <f>IFERROR(__xludf.DUMMYFUNCTION("GOOGLETRANSLATE(A364,""ru"",""en"")"),"Pump-dispenser Lock MID-02")</f>
        <v>Pump-dispenser Lock MID-02</v>
      </c>
      <c r="E364" s="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6" t="s">
        <v>726</v>
      </c>
      <c r="B365" s="7" t="s">
        <v>726</v>
      </c>
      <c r="C365" s="8" t="s">
        <v>727</v>
      </c>
      <c r="D365" s="9" t="str">
        <f>IFERROR(__xludf.DUMMYFUNCTION("GOOGLETRANSLATE(A365,""ru"",""en"")"),"Bucket comfort with spin green 16 l")</f>
        <v>Bucket comfort with spin green 16 l</v>
      </c>
      <c r="E365" s="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6" t="s">
        <v>728</v>
      </c>
      <c r="B366" s="7" t="s">
        <v>728</v>
      </c>
      <c r="C366" s="8" t="s">
        <v>729</v>
      </c>
      <c r="D366" s="9" t="str">
        <f>IFERROR(__xludf.DUMMYFUNCTION("GOOGLETRANSLATE(A366,""ru"",""en"")"),"Bucket comfort green 5 l")</f>
        <v>Bucket comfort green 5 l</v>
      </c>
      <c r="E366" s="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6" t="s">
        <v>730</v>
      </c>
      <c r="B367" s="7" t="s">
        <v>730</v>
      </c>
      <c r="C367" s="8" t="s">
        <v>731</v>
      </c>
      <c r="D367" s="9" t="str">
        <f>IFERROR(__xludf.DUMMYFUNCTION("GOOGLETRANSLATE(A367,""ru"",""en"")"),"Bucket Comfort Red 5 l")</f>
        <v>Bucket Comfort Red 5 l</v>
      </c>
      <c r="E367" s="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6" t="s">
        <v>732</v>
      </c>
      <c r="B368" s="7" t="s">
        <v>732</v>
      </c>
      <c r="C368" s="8" t="s">
        <v>733</v>
      </c>
      <c r="D368" s="9" t="str">
        <f>IFERROR(__xludf.DUMMYFUNCTION("GOOGLETRANSLATE(A368,""ru"",""en"")"),"Bucket comfort Blue 5 l")</f>
        <v>Bucket comfort Blue 5 l</v>
      </c>
      <c r="E368" s="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6" t="s">
        <v>734</v>
      </c>
      <c r="B369" s="7" t="s">
        <v>734</v>
      </c>
      <c r="C369" s="8" t="s">
        <v>735</v>
      </c>
      <c r="D369" s="9" t="str">
        <f>IFERROR(__xludf.DUMMYFUNCTION("GOOGLETRANSLATE(A369,""ru"",""en"")"),"Bucket food miracle with a plum of blue 10 l")</f>
        <v>Bucket food miracle with a plum of blue 10 l</v>
      </c>
      <c r="E369" s="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6" t="s">
        <v>736</v>
      </c>
      <c r="B370" s="7" t="s">
        <v>736</v>
      </c>
      <c r="C370" s="8" t="s">
        <v>737</v>
      </c>
      <c r="D370" s="9" t="str">
        <f>IFERROR(__xludf.DUMMYFUNCTION("GOOGLETRANSLATE(A370,""ru"",""en"")"),"Bucket food miracle with yellow 10 l")</f>
        <v>Bucket food miracle with yellow 10 l</v>
      </c>
      <c r="E370" s="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6" t="s">
        <v>738</v>
      </c>
      <c r="B371" s="7" t="s">
        <v>738</v>
      </c>
      <c r="C371" s="8" t="s">
        <v>739</v>
      </c>
      <c r="D371" s="9" t="str">
        <f>IFERROR(__xludf.DUMMYFUNCTION("GOOGLETRANSLATE(A371,""ru"",""en"")"),"Bucket Food Miracle With Dummy Green 10 L")</f>
        <v>Bucket Food Miracle With Dummy Green 10 L</v>
      </c>
      <c r="E371" s="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6" t="s">
        <v>740</v>
      </c>
      <c r="B372" s="7" t="s">
        <v>740</v>
      </c>
      <c r="C372" s="8" t="s">
        <v>741</v>
      </c>
      <c r="D372" s="9" t="str">
        <f>IFERROR(__xludf.DUMMYFUNCTION("GOOGLETRANSLATE(A372,""ru"",""en"")"),"Bucket food miracle with a plum of marble 10 l")</f>
        <v>Bucket food miracle with a plum of marble 10 l</v>
      </c>
      <c r="E372" s="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6" t="s">
        <v>742</v>
      </c>
      <c r="B373" s="7" t="s">
        <v>742</v>
      </c>
      <c r="C373" s="8" t="s">
        <v>743</v>
      </c>
      <c r="D373" s="9" t="str">
        <f>IFERROR(__xludf.DUMMYFUNCTION("GOOGLETRANSLATE(A373,""ru"",""en"")"),"Baby WC White Set")</f>
        <v>Baby WC White Set</v>
      </c>
      <c r="E373" s="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6" t="s">
        <v>744</v>
      </c>
      <c r="B374" s="7" t="s">
        <v>744</v>
      </c>
      <c r="C374" s="8" t="s">
        <v>745</v>
      </c>
      <c r="D374" s="9" t="str">
        <f>IFERROR(__xludf.DUMMYFUNCTION("GOOGLETRANSLATE(A374,""ru"",""en"")"),"Soapie wall mix")</f>
        <v>Soapie wall mix</v>
      </c>
      <c r="E374" s="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6" t="s">
        <v>746</v>
      </c>
      <c r="B375" s="7" t="s">
        <v>746</v>
      </c>
      <c r="C375" s="8" t="s">
        <v>747</v>
      </c>
      <c r="D375" s="9" t="str">
        <f>IFERROR(__xludf.DUMMYFUNCTION("GOOGLETRANSLATE(A375,""ru"",""en"")"),"Food pelvis rectangular with handles Miracle green 10 l")</f>
        <v>Food pelvis rectangular with handles Miracle green 10 l</v>
      </c>
      <c r="E375" s="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6" t="s">
        <v>748</v>
      </c>
      <c r="B376" s="7" t="s">
        <v>748</v>
      </c>
      <c r="C376" s="8" t="s">
        <v>749</v>
      </c>
      <c r="D376" s="9" t="str">
        <f>IFERROR(__xludf.DUMMYFUNCTION("GOOGLETRANSLATE(A376,""ru"",""en"")"),"Mop squeezed mammoth porporal 120 cm 1 roller")</f>
        <v>Mop squeezed mammoth porporal 120 cm 1 roller</v>
      </c>
      <c r="E376" s="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6" t="s">
        <v>750</v>
      </c>
      <c r="B377" s="7" t="s">
        <v>750</v>
      </c>
      <c r="C377" s="8" t="s">
        <v>751</v>
      </c>
      <c r="D377" s="9" t="str">
        <f>IFERROR(__xludf.DUMMYFUNCTION("GOOGLETRANSLATE(A377,""ru"",""en"")"),"Parchment paper brand P 84 x 62 cm 10 kg")</f>
        <v>Parchment paper brand P 84 x 62 cm 10 kg</v>
      </c>
      <c r="E377" s="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6" t="s">
        <v>752</v>
      </c>
      <c r="B378" s="7" t="s">
        <v>752</v>
      </c>
      <c r="C378" s="8" t="s">
        <v>753</v>
      </c>
      <c r="D378" s="9" t="str">
        <f>IFERROR(__xludf.DUMMYFUNCTION("GOOGLETRANSLATE(A378,""ru"",""en"")"),"Bags for garbage Mirpack PND CLASSIC 30 l 7 microns 20 pcs")</f>
        <v>Bags for garbage Mirpack PND CLASSIC 30 l 7 microns 20 pcs</v>
      </c>
      <c r="E378" s="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6" t="s">
        <v>754</v>
      </c>
      <c r="B379" s="7" t="s">
        <v>754</v>
      </c>
      <c r="C379" s="8" t="s">
        <v>755</v>
      </c>
      <c r="D379" s="9" t="str">
        <f>IFERROR(__xludf.DUMMYFUNCTION("GOOGLETRANSLATE(A379,""ru"",""en"")"),"Scoop for bulk products Small")</f>
        <v>Scoop for bulk products Small</v>
      </c>
      <c r="E379" s="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6" t="s">
        <v>756</v>
      </c>
      <c r="B380" s="7" t="s">
        <v>756</v>
      </c>
      <c r="C380" s="8" t="s">
        <v>757</v>
      </c>
      <c r="D380" s="9" t="str">
        <f>IFERROR(__xludf.DUMMYFUNCTION("GOOGLETRANSLATE(A380,""ru"",""en"")"),"Air Conditioning for Linen Vernel Aromatherapy Inspiration Wild Hibiscus and Rose Oil 910 ml")</f>
        <v>Air Conditioning for Linen Vernel Aromatherapy Inspiration Wild Hibiscus and Rose Oil 910 ml</v>
      </c>
      <c r="E380" s="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6" t="s">
        <v>758</v>
      </c>
      <c r="B381" s="7" t="s">
        <v>758</v>
      </c>
      <c r="C381" s="8" t="s">
        <v>759</v>
      </c>
      <c r="D381" s="9" t="str">
        <f>IFERROR(__xludf.DUMMYFUNCTION("GOOGLETRANSLATE(A381,""ru"",""en"")"),"Gloves workers knitted with nitrile coating")</f>
        <v>Gloves workers knitted with nitrile coating</v>
      </c>
      <c r="E381" s="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6" t="s">
        <v>760</v>
      </c>
      <c r="B382" s="7" t="s">
        <v>760</v>
      </c>
      <c r="C382" s="8" t="s">
        <v>761</v>
      </c>
      <c r="D382" s="9" t="str">
        <f>IFERROR(__xludf.DUMMYFUNCTION("GOOGLETRANSLATE(A382,""ru"",""en"")"),"Grid for urinal Cool Mint")</f>
        <v>Grid for urinal Cool Mint</v>
      </c>
      <c r="E382" s="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6" t="s">
        <v>406</v>
      </c>
      <c r="B383" s="7" t="s">
        <v>406</v>
      </c>
      <c r="C383" s="8" t="s">
        <v>407</v>
      </c>
      <c r="D383" s="9" t="str">
        <f>IFERROR(__xludf.DUMMYFUNCTION("GOOGLETRANSLATE(A383,""ru"",""en"")"),"Toilet paper Meakshko for dispensers 150 m")</f>
        <v>Toilet paper Meakshko for dispensers 150 m</v>
      </c>
      <c r="E383" s="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6" t="s">
        <v>762</v>
      </c>
      <c r="B384" s="7" t="s">
        <v>762</v>
      </c>
      <c r="C384" s="8" t="s">
        <v>763</v>
      </c>
      <c r="D384" s="9" t="str">
        <f>IFERROR(__xludf.DUMMYFUNCTION("GOOGLETRANSLATE(A384,""ru"",""en"")"),"Tool for washing dishes Fairy Green apple 900 ml")</f>
        <v>Tool for washing dishes Fairy Green apple 900 ml</v>
      </c>
      <c r="E384" s="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6" t="s">
        <v>764</v>
      </c>
      <c r="B385" s="7" t="s">
        <v>764</v>
      </c>
      <c r="C385" s="8" t="s">
        <v>765</v>
      </c>
      <c r="D385" s="9" t="str">
        <f>IFERROR(__xludf.DUMMYFUNCTION("GOOGLETRANSLATE(A385,""ru"",""en"")"),"Means washing neutral Metacon for dishes 5 l")</f>
        <v>Means washing neutral Metacon for dishes 5 l</v>
      </c>
      <c r="E385" s="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6" t="s">
        <v>766</v>
      </c>
      <c r="B386" s="7" t="s">
        <v>766</v>
      </c>
      <c r="C386" s="8" t="s">
        <v>767</v>
      </c>
      <c r="D386" s="9" t="str">
        <f>IFERROR(__xludf.DUMMYFUNCTION("GOOGLETRANSLATE(A386,""ru"",""en"")"),"MOP soft abrasive microfiber 40 x 13 cm pocket + ear")</f>
        <v>MOP soft abrasive microfiber 40 x 13 cm pocket + ear</v>
      </c>
      <c r="E386" s="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6" t="s">
        <v>768</v>
      </c>
      <c r="B387" s="7" t="s">
        <v>768</v>
      </c>
      <c r="C387" s="8" t="s">
        <v>769</v>
      </c>
      <c r="D387" s="9" t="str">
        <f>IFERROR(__xludf.DUMMYFUNCTION("GOOGLETRANSLATE(A387,""ru"",""en"")"),"Washing fluid for floors and walls Mr.Proper Lavender calm 1 l")</f>
        <v>Washing fluid for floors and walls Mr.Proper Lavender calm 1 l</v>
      </c>
      <c r="E387" s="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6" t="s">
        <v>770</v>
      </c>
      <c r="B388" s="7" t="s">
        <v>770</v>
      </c>
      <c r="C388" s="8" t="s">
        <v>771</v>
      </c>
      <c r="D388" s="9" t="str">
        <f>IFERROR(__xludf.DUMMYFUNCTION("GOOGLETRANSLATE(A388,""ru"",""en"")"),"Washing fluid for floors and walls Mr. Proper Ocean 1 l")</f>
        <v>Washing fluid for floors and walls Mr. Proper Ocean 1 l</v>
      </c>
      <c r="E388" s="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6" t="s">
        <v>772</v>
      </c>
      <c r="B389" s="7" t="s">
        <v>772</v>
      </c>
      <c r="C389" s="8" t="s">
        <v>773</v>
      </c>
      <c r="D389" s="9" t="str">
        <f>IFERROR(__xludf.DUMMYFUNCTION("GOOGLETRANSLATE(A389,""ru"",""en"")"),"Means for degreasing solid surfaces AJM Anti-rich 1 l")</f>
        <v>Means for degreasing solid surfaces AJM Anti-rich 1 l</v>
      </c>
      <c r="E389" s="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6" t="s">
        <v>774</v>
      </c>
      <c r="B390" s="7" t="s">
        <v>774</v>
      </c>
      <c r="C390" s="8" t="s">
        <v>775</v>
      </c>
      <c r="D390" s="9" t="str">
        <f>IFERROR(__xludf.DUMMYFUNCTION("GOOGLETRANSLATE(A390,""ru"",""en"")"),"Candle in Paterra Gelza 50 pcs")</f>
        <v>Candle in Paterra Gelza 50 pcs</v>
      </c>
      <c r="E390" s="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6" t="s">
        <v>776</v>
      </c>
      <c r="B391" s="7" t="s">
        <v>776</v>
      </c>
      <c r="C391" s="8" t="s">
        <v>777</v>
      </c>
      <c r="D391" s="9" t="str">
        <f>IFERROR(__xludf.DUMMYFUNCTION("GOOGLETRANSLATE(A391,""ru"",""en"")"),"Stainless steel urinary spiral 40 g 1 pc")</f>
        <v>Stainless steel urinary spiral 40 g 1 pc</v>
      </c>
      <c r="E391" s="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6" t="s">
        <v>778</v>
      </c>
      <c r="B392" s="7" t="s">
        <v>778</v>
      </c>
      <c r="C392" s="8" t="s">
        <v>779</v>
      </c>
      <c r="D392" s="9" t="str">
        <f>IFERROR(__xludf.DUMMYFUNCTION("GOOGLETRANSLATE(A392,""ru"",""en"")"),"Metal sponges for dishes Braided galvanized 1 pc")</f>
        <v>Metal sponges for dishes Braided galvanized 1 pc</v>
      </c>
      <c r="E392" s="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6" t="s">
        <v>780</v>
      </c>
      <c r="B393" s="7" t="s">
        <v>780</v>
      </c>
      <c r="C393" s="8" t="s">
        <v>781</v>
      </c>
      <c r="D393" s="9" t="str">
        <f>IFERROR(__xludf.DUMMYFUNCTION("GOOGLETRANSLATE(A393,""ru"",""en"")"),"Foil Food Burning Durable 29 cm x 80 m 11 microns")</f>
        <v>Foil Food Burning Durable 29 cm x 80 m 11 microns</v>
      </c>
      <c r="E393" s="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6" t="s">
        <v>782</v>
      </c>
      <c r="B394" s="7" t="s">
        <v>782</v>
      </c>
      <c r="C394" s="8" t="s">
        <v>783</v>
      </c>
      <c r="D394" s="9" t="str">
        <f>IFERROR(__xludf.DUMMYFUNCTION("GOOGLETRANSLATE(A394,""ru"",""en"")"),"Foil Food Burning Durable 44 cm x 100 m 11 microns")</f>
        <v>Foil Food Burning Durable 44 cm x 100 m 11 microns</v>
      </c>
      <c r="E394" s="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6" t="s">
        <v>784</v>
      </c>
      <c r="B395" s="7" t="s">
        <v>784</v>
      </c>
      <c r="C395" s="8" t="s">
        <v>785</v>
      </c>
      <c r="D395" s="9" t="str">
        <f>IFERROR(__xludf.DUMMYFUNCTION("GOOGLETRANSLATE(A395,""ru"",""en"")"),"Foil Food Turning Standard 44 cm x 100 m 8 microns")</f>
        <v>Foil Food Turning Standard 44 cm x 100 m 8 microns</v>
      </c>
      <c r="E395" s="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6" t="s">
        <v>786</v>
      </c>
      <c r="B396" s="7" t="s">
        <v>786</v>
      </c>
      <c r="C396" s="8" t="s">
        <v>787</v>
      </c>
      <c r="D396" s="9" t="str">
        <f>IFERROR(__xludf.DUMMYFUNCTION("GOOGLETRANSLATE(A396,""ru"",""en"")"),"Foil Food Toughness Super Streck 44 cm x 100 m 14 μm")</f>
        <v>Foil Food Toughness Super Streck 44 cm x 100 m 14 μm</v>
      </c>
      <c r="E396" s="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6" t="s">
        <v>788</v>
      </c>
      <c r="B397" s="7" t="s">
        <v>788</v>
      </c>
      <c r="C397" s="8" t="s">
        <v>789</v>
      </c>
      <c r="D397" s="9" t="str">
        <f>IFERROR(__xludf.DUMMYFUNCTION("GOOGLETRANSLATE(A397,""ru"",""en"")"),"Aluminum Tight Aluminum Burning")</f>
        <v>Aluminum Tight Aluminum Burning</v>
      </c>
      <c r="E397" s="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6" t="s">
        <v>790</v>
      </c>
      <c r="B398" s="7" t="s">
        <v>790</v>
      </c>
      <c r="C398" s="8" t="s">
        <v>791</v>
      </c>
      <c r="D398" s="9" t="str">
        <f>IFERROR(__xludf.DUMMYFUNCTION("GOOGLETRANSLATE(A398,""ru"",""en"")"),"Vinyl Nefourren Gloves Aviora Rr L 100 Pcs")</f>
        <v>Vinyl Nefourren Gloves Aviora Rr L 100 Pcs</v>
      </c>
      <c r="E398" s="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6" t="s">
        <v>792</v>
      </c>
      <c r="B399" s="7" t="s">
        <v>792</v>
      </c>
      <c r="C399" s="8" t="s">
        <v>793</v>
      </c>
      <c r="D399" s="9" t="str">
        <f>IFERROR(__xludf.DUMMYFUNCTION("GOOGLETRANSLATE(A399,""ru"",""en"")"),"Vinyl Nefourish Gloves Aviora Rr M M 100 Pcs")</f>
        <v>Vinyl Nefourish Gloves Aviora Rr M M 100 Pcs</v>
      </c>
      <c r="E399" s="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6" t="s">
        <v>794</v>
      </c>
      <c r="B400" s="7" t="s">
        <v>794</v>
      </c>
      <c r="C400" s="8" t="s">
        <v>795</v>
      </c>
      <c r="D400" s="9" t="str">
        <f>IFERROR(__xludf.DUMMYFUNCTION("GOOGLETRANSLATE(A400,""ru"",""en"")"),"Rubber Gloves Aviora 5 stars Especially durable rr L")</f>
        <v>Rubber Gloves Aviora 5 stars Especially durable rr L</v>
      </c>
      <c r="E400" s="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6" t="s">
        <v>796</v>
      </c>
      <c r="B401" s="7" t="s">
        <v>796</v>
      </c>
      <c r="C401" s="8" t="s">
        <v>797</v>
      </c>
      <c r="D401" s="9" t="str">
        <f>IFERROR(__xludf.DUMMYFUNCTION("GOOGLETRANSLATE(A401,""ru"",""en"")"),"Gloves rubber Aviora 5 stars Especially durable rr M")</f>
        <v>Gloves rubber Aviora 5 stars Especially durable rr M</v>
      </c>
      <c r="E401" s="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6" t="s">
        <v>798</v>
      </c>
      <c r="B402" s="7" t="s">
        <v>798</v>
      </c>
      <c r="C402" s="8" t="s">
        <v>799</v>
      </c>
      <c r="D402" s="9" t="str">
        <f>IFERROR(__xludf.DUMMYFUNCTION("GOOGLETRANSLATE(A402,""ru"",""en"")"),"Polyethylene crawls Aviora 100 pcs")</f>
        <v>Polyethylene crawls Aviora 100 pcs</v>
      </c>
      <c r="E402" s="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6" t="s">
        <v>800</v>
      </c>
      <c r="B403" s="7" t="s">
        <v>800</v>
      </c>
      <c r="C403" s="8" t="s">
        <v>801</v>
      </c>
      <c r="D403" s="9" t="str">
        <f>IFERROR(__xludf.DUMMYFUNCTION("GOOGLETRANSLATE(A403,""ru"",""en"")"),"Disposable coatings on the toilet Paterra 1/4 addition 100 pcs")</f>
        <v>Disposable coatings on the toilet Paterra 1/4 addition 100 pcs</v>
      </c>
      <c r="E403" s="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6" t="s">
        <v>802</v>
      </c>
      <c r="B404" s="7" t="s">
        <v>802</v>
      </c>
      <c r="C404" s="8" t="s">
        <v>803</v>
      </c>
      <c r="D404" s="9" t="str">
        <f>IFERROR(__xludf.DUMMYFUNCTION("GOOGLETRANSLATE(A404,""ru"",""en"")"),"Disposable Aprons Aviora 70x110 cm Polyethylene 100 pcs")</f>
        <v>Disposable Aprons Aviora 70x110 cm Polyethylene 100 pcs</v>
      </c>
      <c r="E404" s="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6" t="s">
        <v>804</v>
      </c>
      <c r="B405" s="7" t="s">
        <v>804</v>
      </c>
      <c r="C405" s="8" t="s">
        <v>805</v>
      </c>
      <c r="D405" s="9" t="str">
        <f>IFERROR(__xludf.DUMMYFUNCTION("GOOGLETRANSLATE(A405,""ru"",""en"")"),"Toothpicks Bamboo Aviora in Paper Packaging 1000 pcs")</f>
        <v>Toothpicks Bamboo Aviora in Paper Packaging 1000 pcs</v>
      </c>
      <c r="E405" s="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6" t="s">
        <v>806</v>
      </c>
      <c r="B406" s="7" t="s">
        <v>806</v>
      </c>
      <c r="C406" s="8" t="s">
        <v>807</v>
      </c>
      <c r="D406" s="9" t="str">
        <f>IFERROR(__xludf.DUMMYFUNCTION("GOOGLETRANSLATE(A406,""ru"",""en"")"),"Toothpicks Bamboo Aviora in PP Packing 1000 pcs")</f>
        <v>Toothpicks Bamboo Aviora in PP Packing 1000 pcs</v>
      </c>
      <c r="E406" s="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6" t="s">
        <v>808</v>
      </c>
      <c r="B407" s="7" t="s">
        <v>808</v>
      </c>
      <c r="C407" s="8" t="s">
        <v>809</v>
      </c>
      <c r="D407" s="9" t="str">
        <f>IFERROR(__xludf.DUMMYFUNCTION("GOOGLETRANSLATE(A407,""ru"",""en"")"),"Toothpicks Bamboo Aviora menthol in PP packaging 1000 pcs")</f>
        <v>Toothpicks Bamboo Aviora menthol in PP packaging 1000 pcs</v>
      </c>
      <c r="E407" s="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6" t="s">
        <v>810</v>
      </c>
      <c r="B408" s="7" t="s">
        <v>810</v>
      </c>
      <c r="C408" s="8" t="s">
        <v>811</v>
      </c>
      <c r="D408" s="9" t="str">
        <f>IFERROR(__xludf.DUMMYFUNCTION("GOOGLETRANSLATE(A408,""ru"",""en"")"),"Openwork Napkin Round Hill Paper 10 cm 250 pcs")</f>
        <v>Openwork Napkin Round Hill Paper 10 cm 250 pcs</v>
      </c>
      <c r="E408" s="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6" t="s">
        <v>812</v>
      </c>
      <c r="B409" s="7" t="s">
        <v>812</v>
      </c>
      <c r="C409" s="8" t="s">
        <v>813</v>
      </c>
      <c r="D409" s="9" t="str">
        <f>IFERROR(__xludf.DUMMYFUNCTION("GOOGLETRANSLATE(A409,""ru"",""en"")"),"Openwork Napkin Round Hill Paper 14 cm 250 pcs")</f>
        <v>Openwork Napkin Round Hill Paper 14 cm 250 pcs</v>
      </c>
      <c r="E409" s="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6" t="s">
        <v>814</v>
      </c>
      <c r="B410" s="7" t="s">
        <v>814</v>
      </c>
      <c r="C410" s="8" t="s">
        <v>815</v>
      </c>
      <c r="D410" s="9" t="str">
        <f>IFERROR(__xludf.DUMMYFUNCTION("GOOGLETRANSLATE(A410,""ru"",""en"")"),"Openwork Napkin Round Hill Paper 20 cm 250 pcs")</f>
        <v>Openwork Napkin Round Hill Paper 20 cm 250 pcs</v>
      </c>
      <c r="E410" s="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6" t="s">
        <v>816</v>
      </c>
      <c r="B411" s="7" t="s">
        <v>816</v>
      </c>
      <c r="C411" s="8" t="s">
        <v>817</v>
      </c>
      <c r="D411" s="9" t="str">
        <f>IFERROR(__xludf.DUMMYFUNCTION("GOOGLETRANSLATE(A411,""ru"",""en"")"),"Openwork Napkin Round Hill Paper 30 cm 250 pcs")</f>
        <v>Openwork Napkin Round Hill Paper 30 cm 250 pcs</v>
      </c>
      <c r="E411" s="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6" t="s">
        <v>818</v>
      </c>
      <c r="B412" s="7" t="s">
        <v>818</v>
      </c>
      <c r="C412" s="8" t="s">
        <v>819</v>
      </c>
      <c r="D412" s="9" t="str">
        <f>IFERROR(__xludf.DUMMYFUNCTION("GOOGLETRANSLATE(A412,""ru"",""en"")"),"Decorative peaks red ruby ​​100 pieces")</f>
        <v>Decorative peaks red ruby ​​100 pieces</v>
      </c>
      <c r="E412" s="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6" t="s">
        <v>820</v>
      </c>
      <c r="B413" s="7" t="s">
        <v>820</v>
      </c>
      <c r="C413" s="8" t="s">
        <v>821</v>
      </c>
      <c r="D413" s="9" t="str">
        <f>IFERROR(__xludf.DUMMYFUNCTION("GOOGLETRANSLATE(A413,""ru"",""en"")"),"Decorative peaks Aviora curls 90 mm")</f>
        <v>Decorative peaks Aviora curls 90 mm</v>
      </c>
      <c r="E413" s="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6" t="s">
        <v>822</v>
      </c>
      <c r="B414" s="7" t="s">
        <v>822</v>
      </c>
      <c r="C414" s="8" t="s">
        <v>823</v>
      </c>
      <c r="D414" s="9" t="str">
        <f>IFERROR(__xludf.DUMMYFUNCTION("GOOGLETRANSLATE(A414,""ru"",""en"")"),"Decorative peaks umbrellas 100 pieces")</f>
        <v>Decorative peaks umbrellas 100 pieces</v>
      </c>
      <c r="E414" s="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6" t="s">
        <v>824</v>
      </c>
      <c r="B415" s="7" t="s">
        <v>824</v>
      </c>
      <c r="C415" s="8" t="s">
        <v>825</v>
      </c>
      <c r="D415" s="9" t="str">
        <f>IFERROR(__xludf.DUMMYFUNCTION("GOOGLETRANSLATE(A415,""ru"",""en"")"),"Food film Aviora 30 cm x 20 m yellow 8 microns")</f>
        <v>Food film Aviora 30 cm x 20 m yellow 8 microns</v>
      </c>
      <c r="E415" s="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6" t="s">
        <v>826</v>
      </c>
      <c r="B416" s="7" t="s">
        <v>826</v>
      </c>
      <c r="C416" s="8" t="s">
        <v>827</v>
      </c>
      <c r="D416" s="9" t="str">
        <f>IFERROR(__xludf.DUMMYFUNCTION("GOOGLETRANSLATE(A416,""ru"",""en"")"),"Food Reception Desnogor 30 cm x 200 m white 7 microns")</f>
        <v>Food Reception Desnogor 30 cm x 200 m white 7 microns</v>
      </c>
      <c r="E416" s="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6" t="s">
        <v>828</v>
      </c>
      <c r="B417" s="7" t="s">
        <v>828</v>
      </c>
      <c r="C417" s="8" t="s">
        <v>829</v>
      </c>
      <c r="D417" s="9" t="str">
        <f>IFERROR(__xludf.DUMMYFUNCTION("GOOGLETRANSLATE(A417,""ru"",""en"")"),"Food Refrigeration Desnogor Extra 6 cm x 200 m white 7 microns")</f>
        <v>Food Refrigeration Desnogor Extra 6 cm x 200 m white 7 microns</v>
      </c>
      <c r="E417" s="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6" t="s">
        <v>830</v>
      </c>
      <c r="B418" s="7" t="s">
        <v>830</v>
      </c>
      <c r="C418" s="8" t="s">
        <v>831</v>
      </c>
      <c r="D418" s="9" t="str">
        <f>IFERROR(__xludf.DUMMYFUNCTION("GOOGLETRANSLATE(A418,""ru"",""en"")"),"Tool for manual cleaning carpet AVCO 500 ml")</f>
        <v>Tool for manual cleaning carpet AVCO 500 ml</v>
      </c>
      <c r="E418" s="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6" t="s">
        <v>832</v>
      </c>
      <c r="B419" s="7" t="s">
        <v>832</v>
      </c>
      <c r="C419" s="8" t="s">
        <v>833</v>
      </c>
      <c r="D419" s="9" t="str">
        <f>IFERROR(__xludf.DUMMYFUNCTION("GOOGLETRANSLATE(A419,""ru"",""en"")"),"Concentrated universal cleaning agent Elf 1 l")</f>
        <v>Concentrated universal cleaning agent Elf 1 l</v>
      </c>
      <c r="E419" s="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6" t="s">
        <v>834</v>
      </c>
      <c r="B420" s="7" t="s">
        <v>834</v>
      </c>
      <c r="C420" s="8" t="s">
        <v>835</v>
      </c>
      <c r="D420" s="9" t="str">
        <f>IFERROR(__xludf.DUMMYFUNCTION("GOOGLETRANSLATE(A420,""ru"",""en"")"),"Gofrokorob 4470x175x340 mm.")</f>
        <v>Gofrokorob 4470x175x340 mm.</v>
      </c>
      <c r="E420" s="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6" t="s">
        <v>836</v>
      </c>
      <c r="B421" s="7" t="s">
        <v>836</v>
      </c>
      <c r="C421" s="8" t="s">
        <v>837</v>
      </c>
      <c r="D421" s="9" t="str">
        <f>IFERROR(__xludf.DUMMYFUNCTION("GOOGLETRANSLATE(A421,""ru"",""en"")"),"Remedy for cleansing Desca Universal acidic acid 5.5 kg")</f>
        <v>Remedy for cleansing Desca Universal acidic acid 5.5 kg</v>
      </c>
      <c r="E421" s="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6" t="s">
        <v>838</v>
      </c>
      <c r="B422" s="7" t="s">
        <v>838</v>
      </c>
      <c r="C422" s="8" t="s">
        <v>839</v>
      </c>
      <c r="D422" s="9" t="str">
        <f>IFERROR(__xludf.DUMMYFUNCTION("GOOGLETRANSLATE(A422,""ru"",""en"")"),"Polyethylene gloves Aviora Rr L 100 pcs")</f>
        <v>Polyethylene gloves Aviora Rr L 100 pcs</v>
      </c>
      <c r="E422" s="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6" t="s">
        <v>840</v>
      </c>
      <c r="B423" s="7" t="s">
        <v>840</v>
      </c>
      <c r="C423" s="8" t="s">
        <v>841</v>
      </c>
      <c r="D423" s="9" t="str">
        <f>IFERROR(__xludf.DUMMYFUNCTION("GOOGLETRANSLATE(A423,""ru"",""en"")"),"Sticky ribbon from flying Aviora")</f>
        <v>Sticky ribbon from flying Aviora</v>
      </c>
      <c r="E423" s="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6" t="s">
        <v>842</v>
      </c>
      <c r="B424" s="7" t="s">
        <v>842</v>
      </c>
      <c r="C424" s="8" t="s">
        <v>843</v>
      </c>
      <c r="D424" s="9" t="str">
        <f>IFERROR(__xludf.DUMMYFUNCTION("GOOGLETRANSLATE(A424,""ru"",""en"")"),"Tool for washing dishes AJM ECONOM 500 ml")</f>
        <v>Tool for washing dishes AJM ECONOM 500 ml</v>
      </c>
      <c r="E424" s="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6" t="s">
        <v>844</v>
      </c>
      <c r="B425" s="7" t="s">
        <v>844</v>
      </c>
      <c r="C425" s="8" t="s">
        <v>845</v>
      </c>
      <c r="D425" s="9" t="str">
        <f>IFERROR(__xludf.DUMMYFUNCTION("GOOGLETRANSLATE(A425,""ru"",""en"")"),"Paper for notes with sticky layer yellow 76x76 mm 80 l")</f>
        <v>Paper for notes with sticky layer yellow 76x76 mm 80 l</v>
      </c>
      <c r="E425" s="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6" t="s">
        <v>846</v>
      </c>
      <c r="B426" s="7" t="s">
        <v>846</v>
      </c>
      <c r="C426" s="8" t="s">
        <v>847</v>
      </c>
      <c r="D426" s="9" t="str">
        <f>IFERROR(__xludf.DUMMYFUNCTION("GOOGLETRANSLATE(A426,""ru"",""en"")"),"Spray for washing of glasses, plastic and mirrors Unicum 500 ml")</f>
        <v>Spray for washing of glasses, plastic and mirrors Unicum 500 ml</v>
      </c>
      <c r="E426" s="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6" t="s">
        <v>848</v>
      </c>
      <c r="B427" s="7" t="s">
        <v>848</v>
      </c>
      <c r="C427" s="8" t="s">
        <v>849</v>
      </c>
      <c r="D427" s="9" t="str">
        <f>IFERROR(__xludf.DUMMYFUNCTION("GOOGLETRANSLATE(A427,""ru"",""en"")"),"Means cleansing MSK Universal 5 l")</f>
        <v>Means cleansing MSK Universal 5 l</v>
      </c>
      <c r="E427" s="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6" t="s">
        <v>850</v>
      </c>
      <c r="B428" s="7" t="s">
        <v>850</v>
      </c>
      <c r="C428" s="8" t="s">
        <v>851</v>
      </c>
      <c r="D428" s="9" t="str">
        <f>IFERROR(__xludf.DUMMYFUNCTION("GOOGLETRANSLATE(A428,""ru"",""en"")"),"Air Conditioning for Linen Vernel Summer Morning Freshness 910 ml")</f>
        <v>Air Conditioning for Linen Vernel Summer Morning Freshness 910 ml</v>
      </c>
      <c r="E428" s="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6" t="s">
        <v>852</v>
      </c>
      <c r="B429" s="7" t="s">
        <v>852</v>
      </c>
      <c r="C429" s="8" t="s">
        <v>853</v>
      </c>
      <c r="D429" s="9" t="str">
        <f>IFERROR(__xludf.DUMMYFUNCTION("GOOGLETRANSLATE(A429,""ru"",""en"")"),"Air Conditioning for Linen Vernel Fresh Breeze 910 ml")</f>
        <v>Air Conditioning for Linen Vernel Fresh Breeze 910 ml</v>
      </c>
      <c r="E429" s="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6" t="s">
        <v>854</v>
      </c>
      <c r="B430" s="7" t="s">
        <v>854</v>
      </c>
      <c r="C430" s="8" t="s">
        <v>855</v>
      </c>
      <c r="D430" s="9" t="str">
        <f>IFERROR(__xludf.DUMMYFUNCTION("GOOGLETRANSLATE(A430,""ru"",""en"")"),"Bags for garbage Mirpack PVD 120 l 70x110 cm 70 μm 10 pcs")</f>
        <v>Bags for garbage Mirpack PVD 120 l 70x110 cm 70 μm 10 pcs</v>
      </c>
      <c r="E430" s="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6" t="s">
        <v>856</v>
      </c>
      <c r="B431" s="7" t="s">
        <v>856</v>
      </c>
      <c r="C431" s="8" t="s">
        <v>857</v>
      </c>
      <c r="D431" s="9" t="str">
        <f>IFERROR(__xludf.DUMMYFUNCTION("GOOGLETRANSLATE(A431,""ru"",""en"")"),"Mop microfiber coat white 40x13 cm pocket + ear")</f>
        <v>Mop microfiber coat white 40x13 cm pocket + ear</v>
      </c>
      <c r="E431" s="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6" t="s">
        <v>858</v>
      </c>
      <c r="B432" s="7" t="s">
        <v>858</v>
      </c>
      <c r="C432" s="8" t="s">
        <v>859</v>
      </c>
      <c r="D432" s="9" t="str">
        <f>IFERROR(__xludf.DUMMYFUNCTION("GOOGLETRANSLATE(A432,""ru"",""en"")"),"Mirror for bathroom Blanplast Mini white C382-2830")</f>
        <v>Mirror for bathroom Blanplast Mini white C382-2830</v>
      </c>
      <c r="E432" s="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6" t="s">
        <v>860</v>
      </c>
      <c r="B433" s="7" t="s">
        <v>860</v>
      </c>
      <c r="C433" s="8" t="s">
        <v>861</v>
      </c>
      <c r="D433" s="9" t="str">
        <f>IFERROR(__xludf.DUMMYFUNCTION("GOOGLETRANSLATE(A433,""ru"",""en"")"),"Paper Svetocopy A4.")</f>
        <v>Paper Svetocopy A4.</v>
      </c>
      <c r="E433" s="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6" t="s">
        <v>862</v>
      </c>
      <c r="B434" s="7" t="s">
        <v>862</v>
      </c>
      <c r="C434" s="8" t="s">
        <v>863</v>
      </c>
      <c r="D434" s="9" t="str">
        <f>IFERROR(__xludf.DUMMYFUNCTION("GOOGLETRANSLATE(A434,""ru"",""en"")"),"Bucket food miracle with a plum of marble 7 l")</f>
        <v>Bucket food miracle with a plum of marble 7 l</v>
      </c>
      <c r="E434" s="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6" t="s">
        <v>864</v>
      </c>
      <c r="B435" s="7" t="s">
        <v>864</v>
      </c>
      <c r="C435" s="8" t="s">
        <v>865</v>
      </c>
      <c r="D435" s="9" t="str">
        <f>IFERROR(__xludf.DUMMYFUNCTION("GOOGLETRANSLATE(A435,""ru"",""en"")"),"Basket universal mix")</f>
        <v>Basket universal mix</v>
      </c>
      <c r="E435" s="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6" t="s">
        <v>866</v>
      </c>
      <c r="B436" s="7" t="s">
        <v>866</v>
      </c>
      <c r="C436" s="8" t="s">
        <v>867</v>
      </c>
      <c r="D436" s="9" t="str">
        <f>IFERROR(__xludf.DUMMYFUNCTION("GOOGLETRANSLATE(A436,""ru"",""en"")"),"Like in assortment 1.8 l")</f>
        <v>Like in assortment 1.8 l</v>
      </c>
      <c r="E436" s="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6" t="s">
        <v>868</v>
      </c>
      <c r="B437" s="7" t="s">
        <v>868</v>
      </c>
      <c r="C437" s="8" t="s">
        <v>869</v>
      </c>
      <c r="D437" s="9" t="str">
        <f>IFERROR(__xludf.DUMMYFUNCTION("GOOGLETRANSLATE(A437,""ru"",""en"")"),"Food pelvis rectangular with handles miracle blue 10 l")</f>
        <v>Food pelvis rectangular with handles miracle blue 10 l</v>
      </c>
      <c r="E437" s="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6" t="s">
        <v>870</v>
      </c>
      <c r="B438" s="7" t="s">
        <v>870</v>
      </c>
      <c r="C438" s="8" t="s">
        <v>871</v>
      </c>
      <c r="D438" s="9" t="str">
        <f>IFERROR(__xludf.DUMMYFUNCTION("GOOGLETRANSLATE(A438,""ru"",""en"")"),"Food basin rectangular with handles Miracle yellow 10 l")</f>
        <v>Food basin rectangular with handles Miracle yellow 10 l</v>
      </c>
      <c r="E438" s="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6" t="s">
        <v>872</v>
      </c>
      <c r="B439" s="7" t="s">
        <v>872</v>
      </c>
      <c r="C439" s="8" t="s">
        <v>873</v>
      </c>
      <c r="D439" s="9" t="str">
        <f>IFERROR(__xludf.DUMMYFUNCTION("GOOGLETRANSLATE(A439,""ru"",""en"")"),"Food pelvis rectangular with handles miracle marble 10 l")</f>
        <v>Food pelvis rectangular with handles miracle marble 10 l</v>
      </c>
      <c r="E439" s="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6" t="s">
        <v>874</v>
      </c>
      <c r="B440" s="7" t="s">
        <v>874</v>
      </c>
      <c r="C440" s="8" t="s">
        <v>875</v>
      </c>
      <c r="D440" s="9" t="str">
        <f>IFERROR(__xludf.DUMMYFUNCTION("GOOGLETRANSLATE(A440,""ru"",""en"")"),"Food pelvis rectangular with handles miracle blue 14 l")</f>
        <v>Food pelvis rectangular with handles miracle blue 14 l</v>
      </c>
      <c r="E440" s="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6" t="s">
        <v>876</v>
      </c>
      <c r="B441" s="7" t="s">
        <v>876</v>
      </c>
      <c r="C441" s="8" t="s">
        <v>877</v>
      </c>
      <c r="D441" s="9" t="str">
        <f>IFERROR(__xludf.DUMMYFUNCTION("GOOGLETRANSLATE(A441,""ru"",""en"")"),"Food pelvis rectangular with handles Miracle green 14 l")</f>
        <v>Food pelvis rectangular with handles Miracle green 14 l</v>
      </c>
      <c r="E441" s="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6" t="s">
        <v>878</v>
      </c>
      <c r="B442" s="7" t="s">
        <v>878</v>
      </c>
      <c r="C442" s="8" t="s">
        <v>879</v>
      </c>
      <c r="D442" s="9" t="str">
        <f>IFERROR(__xludf.DUMMYFUNCTION("GOOGLETRANSLATE(A442,""ru"",""en"")"),"Food pelvis rectangular with handles Miracle green 18 l")</f>
        <v>Food pelvis rectangular with handles Miracle green 18 l</v>
      </c>
      <c r="E442" s="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6" t="s">
        <v>880</v>
      </c>
      <c r="B443" s="7" t="s">
        <v>880</v>
      </c>
      <c r="C443" s="8" t="s">
        <v>881</v>
      </c>
      <c r="D443" s="9" t="str">
        <f>IFERROR(__xludf.DUMMYFUNCTION("GOOGLETRANSLATE(A443,""ru"",""en"")"),"Sheet Paper Towels Moisture Firm Hatnik V-addition")</f>
        <v>Sheet Paper Towels Moisture Firm Hatnik V-addition</v>
      </c>
      <c r="E443" s="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6" t="s">
        <v>882</v>
      </c>
      <c r="B444" s="7" t="s">
        <v>882</v>
      </c>
      <c r="C444" s="8" t="s">
        <v>883</v>
      </c>
      <c r="D444" s="9" t="str">
        <f>IFERROR(__xludf.DUMMYFUNCTION("GOOGLETRANSLATE(A444,""ru"",""en"")"),"Clean Red Bucket 8 l")</f>
        <v>Clean Red Bucket 8 l</v>
      </c>
      <c r="E444" s="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6" t="s">
        <v>884</v>
      </c>
      <c r="B445" s="7" t="s">
        <v>884</v>
      </c>
      <c r="C445" s="8" t="s">
        <v>885</v>
      </c>
      <c r="D445" s="9" t="str">
        <f>IFERROR(__xludf.DUMMYFUNCTION("GOOGLETRANSLATE(A445,""ru"",""en"")"),"Packing grid Belset 500 m (F3)")</f>
        <v>Packing grid Belset 500 m (F3)</v>
      </c>
      <c r="E445" s="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6" t="s">
        <v>886</v>
      </c>
      <c r="B446" s="7" t="s">
        <v>886</v>
      </c>
      <c r="C446" s="8" t="s">
        <v>887</v>
      </c>
      <c r="D446" s="9" t="str">
        <f>IFERROR(__xludf.DUMMYFUNCTION("GOOGLETRANSLATE(A446,""ru"",""en"")"),"Disposable glasses 500 ml 50 pcs")</f>
        <v>Disposable glasses 500 ml 50 pcs</v>
      </c>
      <c r="E446" s="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6" t="s">
        <v>888</v>
      </c>
      <c r="B447" s="7" t="s">
        <v>888</v>
      </c>
      <c r="C447" s="8" t="s">
        <v>889</v>
      </c>
      <c r="D447" s="9" t="str">
        <f>IFERROR(__xludf.DUMMYFUNCTION("GOOGLETRANSLATE(A447,""ru"",""en"")"),"Air Freshener Symphony Sea Breeze 300 ml")</f>
        <v>Air Freshener Symphony Sea Breeze 300 ml</v>
      </c>
      <c r="E447" s="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6" t="s">
        <v>890</v>
      </c>
      <c r="B448" s="7" t="s">
        <v>890</v>
      </c>
      <c r="C448" s="8" t="s">
        <v>891</v>
      </c>
      <c r="D448" s="9" t="str">
        <f>IFERROR(__xludf.DUMMYFUNCTION("GOOGLETRANSLATE(A448,""ru"",""en"")"),"Air Freshener Symphony Lavender and Grapefruit 300 ml")</f>
        <v>Air Freshener Symphony Lavender and Grapefruit 300 ml</v>
      </c>
      <c r="E448" s="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6" t="s">
        <v>892</v>
      </c>
      <c r="B449" s="7" t="s">
        <v>892</v>
      </c>
      <c r="C449" s="8" t="s">
        <v>893</v>
      </c>
      <c r="D449" s="9" t="str">
        <f>IFERROR(__xludf.DUMMYFUNCTION("GOOGLETRANSLATE(A449,""ru"",""en"")"),"Souvenir thermometer ST-8/10 for refrigerator")</f>
        <v>Souvenir thermometer ST-8/10 for refrigerator</v>
      </c>
      <c r="E449" s="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6" t="s">
        <v>894</v>
      </c>
      <c r="B450" s="7" t="s">
        <v>894</v>
      </c>
      <c r="C450" s="8" t="s">
        <v>895</v>
      </c>
      <c r="D450" s="9" t="str">
        <f>IFERROR(__xludf.DUMMYFUNCTION("GOOGLETRANSLATE(A450,""ru"",""en"")"),"Rolled Paper Towels Zewa Two-Layer 4 Pieces")</f>
        <v>Rolled Paper Towels Zewa Two-Layer 4 Pieces</v>
      </c>
      <c r="E450" s="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6" t="s">
        <v>896</v>
      </c>
      <c r="B451" s="7" t="s">
        <v>896</v>
      </c>
      <c r="C451" s="8" t="s">
        <v>897</v>
      </c>
      <c r="D451" s="9" t="str">
        <f>IFERROR(__xludf.DUMMYFUNCTION("GOOGLETRANSLATE(A451,""ru"",""en"")"),"MEBELUX furniture polyrolol for any surfaces 500 ml")</f>
        <v>MEBELUX furniture polyrolol for any surfaces 500 ml</v>
      </c>
      <c r="E451" s="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6" t="s">
        <v>898</v>
      </c>
      <c r="B452" s="7" t="s">
        <v>898</v>
      </c>
      <c r="C452" s="8" t="s">
        <v>899</v>
      </c>
      <c r="D452" s="9" t="str">
        <f>IFERROR(__xludf.DUMMYFUNCTION("GOOGLETRANSLATE(A452,""ru"",""en"")"),"Cleaning (shampoo) for manual carpet cleaning 100 ml")</f>
        <v>Cleaning (shampoo) for manual carpet cleaning 100 ml</v>
      </c>
      <c r="E452" s="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6" t="s">
        <v>900</v>
      </c>
      <c r="B453" s="7" t="s">
        <v>900</v>
      </c>
      <c r="C453" s="8" t="s">
        <v>901</v>
      </c>
      <c r="D453" s="9" t="str">
        <f>IFERROR(__xludf.DUMMYFUNCTION("GOOGLETRANSLATE(A453,""ru"",""en"")"),"Replaceable unit for air freshener Air Wick Wild grenade 250 ml")</f>
        <v>Replaceable unit for air freshener Air Wick Wild grenade 250 ml</v>
      </c>
      <c r="E453" s="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6" t="s">
        <v>902</v>
      </c>
      <c r="B454" s="7" t="s">
        <v>902</v>
      </c>
      <c r="C454" s="8" t="s">
        <v>903</v>
      </c>
      <c r="D454" s="9" t="str">
        <f>IFERROR(__xludf.DUMMYFUNCTION("GOOGLETRANSLATE(A454,""ru"",""en"")"),"Focus Economic Toilet Paper Box Layer 8 pcs")</f>
        <v>Focus Economic Toilet Paper Box Layer 8 pcs</v>
      </c>
      <c r="E454" s="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6" t="s">
        <v>904</v>
      </c>
      <c r="B455" s="7" t="s">
        <v>904</v>
      </c>
      <c r="C455" s="8" t="s">
        <v>905</v>
      </c>
      <c r="D455" s="9" t="str">
        <f>IFERROR(__xludf.DUMMYFUNCTION("GOOGLETRANSLATE(A455,""ru"",""en"")"),"Toilet paper Hatnik 150 Profi")</f>
        <v>Toilet paper Hatnik 150 Profi</v>
      </c>
      <c r="E455" s="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6" t="s">
        <v>906</v>
      </c>
      <c r="B456" s="7" t="s">
        <v>906</v>
      </c>
      <c r="C456" s="8" t="s">
        <v>907</v>
      </c>
      <c r="D456" s="9" t="str">
        <f>IFERROR(__xludf.DUMMYFUNCTION("GOOGLETRANSLATE(A456,""ru"",""en"")"),"Focus Jumbo EKO toilet paper for Dispensers 200 m")</f>
        <v>Focus Jumbo EKO toilet paper for Dispensers 200 m</v>
      </c>
      <c r="E456" s="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6" t="s">
        <v>908</v>
      </c>
      <c r="B457" s="7" t="s">
        <v>908</v>
      </c>
      <c r="C457" s="8" t="s">
        <v>909</v>
      </c>
      <c r="D457" s="9" t="str">
        <f>IFERROR(__xludf.DUMMYFUNCTION("GOOGLETRANSLATE(A457,""ru"",""en"")"),"Waffle cloth 45 cm density 150 g / m2")</f>
        <v>Waffle cloth 45 cm density 150 g / m2</v>
      </c>
      <c r="E457" s="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6" t="s">
        <v>910</v>
      </c>
      <c r="B458" s="7" t="s">
        <v>910</v>
      </c>
      <c r="C458" s="8" t="s">
        <v>911</v>
      </c>
      <c r="D458" s="9" t="str">
        <f>IFERROR(__xludf.DUMMYFUNCTION("GOOGLETRANSLATE(A458,""ru"",""en"")"),"Raincoat PE with a hood and clasps blue 70x118 cm")</f>
        <v>Raincoat PE with a hood and clasps blue 70x118 cm</v>
      </c>
      <c r="E458" s="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6" t="s">
        <v>912</v>
      </c>
      <c r="B459" s="7" t="s">
        <v>912</v>
      </c>
      <c r="C459" s="8" t="s">
        <v>913</v>
      </c>
      <c r="D459" s="9" t="str">
        <f>IFERROR(__xludf.DUMMYFUNCTION("GOOGLETRANSLATE(A459,""ru"",""en"")"),"Deleteer of traces of glue and adhesive tapes Milen Antique 210 ml")</f>
        <v>Deleteer of traces of glue and adhesive tapes Milen Antique 210 ml</v>
      </c>
      <c r="E459" s="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6" t="s">
        <v>914</v>
      </c>
      <c r="B460" s="7" t="s">
        <v>914</v>
      </c>
      <c r="C460" s="8" t="s">
        <v>915</v>
      </c>
      <c r="D460" s="9" t="str">
        <f>IFERROR(__xludf.DUMMYFUNCTION("GOOGLETRANSLATE(A460,""ru"",""en"")"),"Package Mike PND 28х14х50 cm 14 μm white 100 pcs")</f>
        <v>Package Mike PND 28х14х50 cm 14 μm white 100 pcs</v>
      </c>
      <c r="E460" s="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6" t="s">
        <v>916</v>
      </c>
      <c r="B461" s="7" t="s">
        <v>916</v>
      </c>
      <c r="C461" s="8" t="s">
        <v>917</v>
      </c>
      <c r="D461" s="9" t="str">
        <f>IFERROR(__xludf.DUMMYFUNCTION("GOOGLETRANSLATE(A461,""ru"",""en"")"),"Spirals from mosquitoes Nadzor 10 pcs")</f>
        <v>Spirals from mosquitoes Nadzor 10 pcs</v>
      </c>
      <c r="E461" s="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6" t="s">
        <v>918</v>
      </c>
      <c r="B462" s="7" t="s">
        <v>918</v>
      </c>
      <c r="C462" s="8" t="s">
        <v>919</v>
      </c>
      <c r="D462" s="9" t="str">
        <f>IFERROR(__xludf.DUMMYFUNCTION("GOOGLETRANSLATE(A462,""ru"",""en"")"),"Package Mike PND 30х14х60 cm 14 μm white 100 pieces")</f>
        <v>Package Mike PND 30х14х60 cm 14 μm white 100 pieces</v>
      </c>
      <c r="E462" s="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6" t="s">
        <v>920</v>
      </c>
      <c r="B463" s="7" t="s">
        <v>920</v>
      </c>
      <c r="C463" s="8" t="s">
        <v>921</v>
      </c>
      <c r="D463" s="9" t="str">
        <f>IFERROR(__xludf.DUMMYFUNCTION("GOOGLETRANSLATE(A463,""ru"",""en"")"),"Vinyl Nefourish Gloves Aviora Rr S 100 pcs")</f>
        <v>Vinyl Nefourish Gloves Aviora Rr S 100 pcs</v>
      </c>
      <c r="E463" s="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6" t="s">
        <v>922</v>
      </c>
      <c r="B464" s="7" t="s">
        <v>922</v>
      </c>
      <c r="C464" s="8" t="s">
        <v>923</v>
      </c>
      <c r="D464" s="9" t="str">
        <f>IFERROR(__xludf.DUMMYFUNCTION("GOOGLETRANSLATE(A464,""ru"",""en"")"),"Disposable coatings for toilet Paterra 1/2 addition 235 pcs")</f>
        <v>Disposable coatings for toilet Paterra 1/2 addition 235 pcs</v>
      </c>
      <c r="E464" s="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6" t="s">
        <v>924</v>
      </c>
      <c r="B465" s="7" t="s">
        <v>924</v>
      </c>
      <c r="C465" s="8" t="s">
        <v>925</v>
      </c>
      <c r="D465" s="9" t="str">
        <f>IFERROR(__xludf.DUMMYFUNCTION("GOOGLETRANSLATE(A465,""ru"",""en"")"),"Gloves Economic Aviora rubber rr M")</f>
        <v>Gloves Economic Aviora rubber rr M</v>
      </c>
      <c r="E465" s="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6" t="s">
        <v>926</v>
      </c>
      <c r="B466" s="7" t="s">
        <v>926</v>
      </c>
      <c r="C466" s="8" t="s">
        <v>927</v>
      </c>
      <c r="D466" s="9" t="str">
        <f>IFERROR(__xludf.DUMMYFUNCTION("GOOGLETRANSLATE(A466,""ru"",""en"")"),"Gloves Economic Aviora rubber rr l")</f>
        <v>Gloves Economic Aviora rubber rr l</v>
      </c>
      <c r="E466" s="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6" t="s">
        <v>928</v>
      </c>
      <c r="B467" s="7" t="s">
        <v>928</v>
      </c>
      <c r="C467" s="8" t="s">
        <v>929</v>
      </c>
      <c r="D467" s="9" t="str">
        <f>IFERROR(__xludf.DUMMYFUNCTION("GOOGLETRANSLATE(A467,""ru"",""en"")"),"Solid soap classic present 100 g")</f>
        <v>Solid soap classic present 100 g</v>
      </c>
      <c r="E467" s="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6" t="s">
        <v>930</v>
      </c>
      <c r="B468" s="7" t="s">
        <v>930</v>
      </c>
      <c r="C468" s="8" t="s">
        <v>931</v>
      </c>
      <c r="D468" s="9" t="str">
        <f>IFERROR(__xludf.DUMMYFUNCTION("GOOGLETRANSLATE(A468,""ru"",""en"")"),"Holder for toilet paper SOLINNE 665086")</f>
        <v>Holder for toilet paper SOLINNE 665086</v>
      </c>
      <c r="E468" s="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6" t="s">
        <v>932</v>
      </c>
      <c r="B469" s="7" t="s">
        <v>932</v>
      </c>
      <c r="C469" s="8" t="s">
        <v>933</v>
      </c>
      <c r="D469" s="9" t="str">
        <f>IFERROR(__xludf.DUMMYFUNCTION("GOOGLETRANSLATE(A469,""ru"",""en"")"),"Staircase Firefront Double Sided Tarko 04203")</f>
        <v>Staircase Firefront Double Sided Tarko 04203</v>
      </c>
      <c r="E469" s="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6" t="s">
        <v>934</v>
      </c>
      <c r="B470" s="7" t="s">
        <v>934</v>
      </c>
      <c r="C470" s="8" t="s">
        <v>935</v>
      </c>
      <c r="D470" s="9" t="str">
        <f>IFERROR(__xludf.DUMMYFUNCTION("GOOGLETRANSLATE(A470,""ru"",""en"")"),"Washing fluid for floors and walls Mr. Proper lemon 1 l")</f>
        <v>Washing fluid for floors and walls Mr. Proper lemon 1 l</v>
      </c>
      <c r="E470" s="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6" t="s">
        <v>770</v>
      </c>
      <c r="B471" s="7" t="s">
        <v>770</v>
      </c>
      <c r="C471" s="8" t="s">
        <v>771</v>
      </c>
      <c r="D471" s="9" t="str">
        <f>IFERROR(__xludf.DUMMYFUNCTION("GOOGLETRANSLATE(A471,""ru"",""en"")"),"Washing fluid for floors and walls Mr. Proper Ocean 1 l")</f>
        <v>Washing fluid for floors and walls Mr. Proper Ocean 1 l</v>
      </c>
      <c r="E471" s="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6" t="s">
        <v>936</v>
      </c>
      <c r="B472" s="7" t="s">
        <v>936</v>
      </c>
      <c r="C472" s="8" t="s">
        <v>937</v>
      </c>
      <c r="D472" s="9" t="str">
        <f>IFERROR(__xludf.DUMMYFUNCTION("GOOGLETRANSLATE(A472,""ru"",""en"")"),"Cheek tape thermal sensitive")</f>
        <v>Cheek tape thermal sensitive</v>
      </c>
      <c r="E472" s="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6" t="s">
        <v>938</v>
      </c>
      <c r="B473" s="7" t="s">
        <v>938</v>
      </c>
      <c r="C473" s="8" t="s">
        <v>939</v>
      </c>
      <c r="D473" s="9" t="str">
        <f>IFERROR(__xludf.DUMMYFUNCTION("GOOGLETRANSLATE(A473,""ru"",""en"")"),"Solid soap for hotels in packing 200 pcs")</f>
        <v>Solid soap for hotels in packing 200 pcs</v>
      </c>
      <c r="E473" s="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6" t="s">
        <v>940</v>
      </c>
      <c r="B474" s="7" t="s">
        <v>940</v>
      </c>
      <c r="C474" s="8" t="s">
        <v>941</v>
      </c>
      <c r="D474" s="9" t="str">
        <f>IFERROR(__xludf.DUMMYFUNCTION("GOOGLETRANSLATE(A474,""ru"",""en"")"),"MX-5500New Etiquette Pistol")</f>
        <v>MX-5500New Etiquette Pistol</v>
      </c>
      <c r="E474" s="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6" t="s">
        <v>942</v>
      </c>
      <c r="B475" s="7" t="s">
        <v>942</v>
      </c>
      <c r="C475" s="8" t="s">
        <v>943</v>
      </c>
      <c r="D475" s="9" t="str">
        <f>IFERROR(__xludf.DUMMYFUNCTION("GOOGLETRANSLATE(A475,""ru"",""en"")"),"Napkins Universal Premium V-addition 140 mm 200 l two-layer")</f>
        <v>Napkins Universal Premium V-addition 140 mm 200 l two-layer</v>
      </c>
      <c r="E475" s="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6" t="s">
        <v>944</v>
      </c>
      <c r="B476" s="7" t="s">
        <v>944</v>
      </c>
      <c r="C476" s="8" t="s">
        <v>945</v>
      </c>
      <c r="D476" s="9" t="str">
        <f>IFERROR(__xludf.DUMMYFUNCTION("GOOGLETRANSLATE(A476,""ru"",""en"")"),"Bleaching powder BOS PLUS MAX 600 g")</f>
        <v>Bleaching powder BOS PLUS MAX 600 g</v>
      </c>
      <c r="E476" s="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6" t="s">
        <v>946</v>
      </c>
      <c r="B477" s="7" t="s">
        <v>946</v>
      </c>
      <c r="C477" s="8" t="s">
        <v>947</v>
      </c>
      <c r="D477" s="9" t="str">
        <f>IFERROR(__xludf.DUMMYFUNCTION("GOOGLETRANSLATE(A477,""ru"",""en"")"),"Metal sponges for dishes Lemon Moon 2 pcs")</f>
        <v>Metal sponges for dishes Lemon Moon 2 pcs</v>
      </c>
      <c r="E477" s="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6" t="s">
        <v>948</v>
      </c>
      <c r="B478" s="7" t="s">
        <v>948</v>
      </c>
      <c r="C478" s="8" t="s">
        <v>949</v>
      </c>
      <c r="D478" s="9" t="str">
        <f>IFERROR(__xludf.DUMMYFUNCTION("GOOGLETRANSLATE(A478,""ru"",""en"")"),"Paper Towels Meakshko V-addition Single-layer 23x23 cm Cellulose")</f>
        <v>Paper Towels Meakshko V-addition Single-layer 23x23 cm Cellulose</v>
      </c>
      <c r="E478" s="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6" t="s">
        <v>950</v>
      </c>
      <c r="B479" s="7" t="s">
        <v>950</v>
      </c>
      <c r="C479" s="8" t="s">
        <v>951</v>
      </c>
      <c r="D479" s="9" t="str">
        <f>IFERROR(__xludf.DUMMYFUNCTION("GOOGLETRANSLATE(A479,""ru"",""en"")"),"Bags for garbage Mirpack PND EXTRA 60 L 12 microns 30 pcs")</f>
        <v>Bags for garbage Mirpack PND EXTRA 60 L 12 microns 30 pcs</v>
      </c>
      <c r="E479" s="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6" t="s">
        <v>952</v>
      </c>
      <c r="B480" s="7" t="s">
        <v>952</v>
      </c>
      <c r="C480" s="8" t="s">
        <v>953</v>
      </c>
      <c r="D480" s="9" t="str">
        <f>IFERROR(__xludf.DUMMYFUNCTION("GOOGLETRANSLATE(A480,""ru"",""en"")"),"Bags for garbage Mirpack PND EXTRA 60 L 12 microns 50 pcs")</f>
        <v>Bags for garbage Mirpack PND EXTRA 60 L 12 microns 50 pcs</v>
      </c>
      <c r="E480" s="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6" t="s">
        <v>954</v>
      </c>
      <c r="B481" s="7" t="s">
        <v>954</v>
      </c>
      <c r="C481" s="8" t="s">
        <v>955</v>
      </c>
      <c r="D481" s="9" t="str">
        <f>IFERROR(__xludf.DUMMYFUNCTION("GOOGLETRANSLATE(A481,""ru"",""en"")"),"Means for washing glasses Anyday Gloss green apple 500 ml")</f>
        <v>Means for washing glasses Anyday Gloss green apple 500 ml</v>
      </c>
      <c r="E481" s="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6" t="s">
        <v>956</v>
      </c>
      <c r="B482" s="7" t="s">
        <v>956</v>
      </c>
      <c r="C482" s="8" t="s">
        <v>957</v>
      </c>
      <c r="D482" s="9" t="str">
        <f>IFERROR(__xludf.DUMMYFUNCTION("GOOGLETRANSLATE(A482,""ru"",""en"")"),"Plastic dessert plates with seal 165 mm 100 pcs")</f>
        <v>Plastic dessert plates with seal 165 mm 100 pcs</v>
      </c>
      <c r="E482" s="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6" t="s">
        <v>958</v>
      </c>
      <c r="B483" s="7" t="s">
        <v>958</v>
      </c>
      <c r="C483" s="8" t="s">
        <v>959</v>
      </c>
      <c r="D483" s="9" t="str">
        <f>IFERROR(__xludf.DUMMYFUNCTION("GOOGLETRANSLATE(A483,""ru"",""en"")"),"AJM dishwashing detergent with glycerin 5 l")</f>
        <v>AJM dishwashing detergent with glycerin 5 l</v>
      </c>
      <c r="E483" s="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6" t="s">
        <v>960</v>
      </c>
      <c r="B484" s="7" t="s">
        <v>960</v>
      </c>
      <c r="C484" s="8" t="s">
        <v>961</v>
      </c>
      <c r="D484" s="9" t="str">
        <f>IFERROR(__xludf.DUMMYFUNCTION("GOOGLETRANSLATE(A484,""ru"",""en"")"),"Leaf Paper Towels Hatnik V-Addition")</f>
        <v>Leaf Paper Towels Hatnik V-Addition</v>
      </c>
      <c r="E484" s="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6" t="s">
        <v>962</v>
      </c>
      <c r="B485" s="7" t="s">
        <v>962</v>
      </c>
      <c r="C485" s="8" t="s">
        <v>963</v>
      </c>
      <c r="D485" s="9" t="str">
        <f>IFERROR(__xludf.DUMMYFUNCTION("GOOGLETRANSLATE(A485,""ru"",""en"")"),"Coal Charcoal from hardwood 1 grade 10 kg")</f>
        <v>Coal Charcoal from hardwood 1 grade 10 kg</v>
      </c>
      <c r="E485" s="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6" t="s">
        <v>964</v>
      </c>
      <c r="B486" s="7" t="s">
        <v>964</v>
      </c>
      <c r="C486" s="8" t="s">
        <v>965</v>
      </c>
      <c r="D486" s="9" t="str">
        <f>IFERROR(__xludf.DUMMYFUNCTION("GOOGLETRANSLATE(A486,""ru"",""en"")"),"Gloves x / b 10 grade with PVC bright 5/132-thread")</f>
        <v>Gloves x / b 10 grade with PVC bright 5/132-thread</v>
      </c>
      <c r="E486" s="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6" t="s">
        <v>966</v>
      </c>
      <c r="B487" s="7" t="s">
        <v>966</v>
      </c>
      <c r="C487" s="8" t="s">
        <v>967</v>
      </c>
      <c r="D487" s="9" t="str">
        <f>IFERROR(__xludf.DUMMYFUNCTION("GOOGLETRANSLATE(A487,""ru"",""en"")"),"Means for emergency disinfection of dew spray 5 l")</f>
        <v>Means for emergency disinfection of dew spray 5 l</v>
      </c>
      <c r="E487" s="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6" t="s">
        <v>968</v>
      </c>
      <c r="B488" s="7" t="s">
        <v>968</v>
      </c>
      <c r="C488" s="8" t="s">
        <v>969</v>
      </c>
      <c r="D488" s="9" t="str">
        <f>IFERROR(__xludf.DUMMYFUNCTION("GOOGLETRANSLATE(A488,""ru"",""en"")"),"Means for washing solid surfaces AJM Universal 1 l")</f>
        <v>Means for washing solid surfaces AJM Universal 1 l</v>
      </c>
      <c r="E488" s="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6" t="s">
        <v>846</v>
      </c>
      <c r="B489" s="7" t="s">
        <v>846</v>
      </c>
      <c r="C489" s="8" t="s">
        <v>847</v>
      </c>
      <c r="D489" s="9" t="str">
        <f>IFERROR(__xludf.DUMMYFUNCTION("GOOGLETRANSLATE(A489,""ru"",""en"")"),"Spray for washing of glasses, plastic and mirrors Unicum 500 ml")</f>
        <v>Spray for washing of glasses, plastic and mirrors Unicum 500 ml</v>
      </c>
      <c r="E489" s="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6" t="s">
        <v>970</v>
      </c>
      <c r="B490" s="7" t="s">
        <v>970</v>
      </c>
      <c r="C490" s="8" t="s">
        <v>971</v>
      </c>
      <c r="D490" s="9" t="str">
        <f>IFERROR(__xludf.DUMMYFUNCTION("GOOGLETRANSLATE(A490,""ru"",""en"")"),"Basket for garbage Haps Marble 15 l")</f>
        <v>Basket for garbage Haps Marble 15 l</v>
      </c>
      <c r="E490" s="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6" t="s">
        <v>972</v>
      </c>
      <c r="B491" s="7" t="s">
        <v>972</v>
      </c>
      <c r="C491" s="8" t="s">
        <v>973</v>
      </c>
      <c r="D491" s="9" t="str">
        <f>IFERROR(__xludf.DUMMYFUNCTION("GOOGLETRANSLATE(A491,""ru"",""en"")"),"Garbage Container Swing Marble 50 l")</f>
        <v>Garbage Container Swing Marble 50 l</v>
      </c>
      <c r="E491" s="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6" t="s">
        <v>974</v>
      </c>
      <c r="B492" s="7" t="s">
        <v>974</v>
      </c>
      <c r="C492" s="8" t="s">
        <v>975</v>
      </c>
      <c r="D492" s="9" t="str">
        <f>IFERROR(__xludf.DUMMYFUNCTION("GOOGLETRANSLATE(A492,""ru"",""en"")"),"Bucket for garbage 90 l")</f>
        <v>Bucket for garbage 90 l</v>
      </c>
      <c r="E492" s="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6" t="s">
        <v>976</v>
      </c>
      <c r="B493" s="7" t="s">
        <v>976</v>
      </c>
      <c r="C493" s="8" t="s">
        <v>977</v>
      </c>
      <c r="D493" s="9" t="str">
        <f>IFERROR(__xludf.DUMMYFUNCTION("GOOGLETRANSLATE(A493,""ru"",""en"")"),"Building 10 l bucket")</f>
        <v>Building 10 l bucket</v>
      </c>
      <c r="E493" s="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6" t="s">
        <v>978</v>
      </c>
      <c r="B494" s="7" t="s">
        <v>978</v>
      </c>
      <c r="C494" s="8" t="s">
        <v>979</v>
      </c>
      <c r="D494" s="9" t="str">
        <f>IFERROR(__xludf.DUMMYFUNCTION("GOOGLETRANSLATE(A494,""ru"",""en"")"),"Matting grass black and green 41x54 cm")</f>
        <v>Matting grass black and green 41x54 cm</v>
      </c>
      <c r="E494" s="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6" t="s">
        <v>980</v>
      </c>
      <c r="B495" s="7" t="s">
        <v>980</v>
      </c>
      <c r="C495" s="8" t="s">
        <v>981</v>
      </c>
      <c r="D495" s="9" t="str">
        <f>IFERROR(__xludf.DUMMYFUNCTION("GOOGLETRANSLATE(A495,""ru"",""en"")"),"Mix 39x27 cm tray")</f>
        <v>Mix 39x27 cm tray</v>
      </c>
      <c r="E495" s="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6" t="s">
        <v>982</v>
      </c>
      <c r="B496" s="7" t="s">
        <v>982</v>
      </c>
      <c r="C496" s="8" t="s">
        <v>983</v>
      </c>
      <c r="D496" s="9" t="str">
        <f>IFERROR(__xludf.DUMMYFUNCTION("GOOGLETRANSLATE(A496,""ru"",""en"")"),"Riding")</f>
        <v>Riding</v>
      </c>
      <c r="E496" s="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6" t="s">
        <v>984</v>
      </c>
      <c r="B497" s="7" t="s">
        <v>984</v>
      </c>
      <c r="C497" s="8" t="s">
        <v>985</v>
      </c>
      <c r="D497" s="9" t="str">
        <f>IFERROR(__xludf.DUMMYFUNCTION("GOOGLETRANSLATE(A497,""ru"",""en"")"),"Foamed polystyrene container 50 pcs")</f>
        <v>Foamed polystyrene container 50 pcs</v>
      </c>
      <c r="E497" s="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6" t="s">
        <v>42</v>
      </c>
      <c r="B498" s="7" t="s">
        <v>42</v>
      </c>
      <c r="C498" s="8" t="s">
        <v>43</v>
      </c>
      <c r="D498" s="9" t="str">
        <f>IFERROR(__xludf.DUMMYFUNCTION("GOOGLETRANSLATE(A498,""ru"",""en"")"),"Means Cleaning Peumolux Soda 5 Lemon 480 g")</f>
        <v>Means Cleaning Peumolux Soda 5 Lemon 480 g</v>
      </c>
      <c r="E498" s="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6" t="s">
        <v>986</v>
      </c>
      <c r="B499" s="7" t="s">
        <v>986</v>
      </c>
      <c r="C499" s="8" t="s">
        <v>987</v>
      </c>
      <c r="D499" s="9" t="str">
        <f>IFERROR(__xludf.DUMMYFUNCTION("GOOGLETRANSLATE(A499,""ru"",""en"")"),"Economic Soap Lemon 72% Whitening 200 g")</f>
        <v>Economic Soap Lemon 72% Whitening 200 g</v>
      </c>
      <c r="E499" s="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6" t="s">
        <v>988</v>
      </c>
      <c r="B500" s="7" t="s">
        <v>988</v>
      </c>
      <c r="C500" s="8" t="s">
        <v>989</v>
      </c>
      <c r="D500" s="9" t="str">
        <f>IFERROR(__xludf.DUMMYFUNCTION("GOOGLETRANSLATE(A500,""ru"",""en"")"),"Scoop trash can with vertical handle of the Russian Federation")</f>
        <v>Scoop trash can with vertical handle of the Russian Federation</v>
      </c>
      <c r="E500" s="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6" t="s">
        <v>990</v>
      </c>
      <c r="B501" s="7" t="s">
        <v>990</v>
      </c>
      <c r="C501" s="8" t="s">
        <v>991</v>
      </c>
      <c r="D501" s="9" t="str">
        <f>IFERROR(__xludf.DUMMYFUNCTION("GOOGLETRANSLATE(A501,""ru"",""en"")"),"Paper napkins in a pack of unpainted 100 pieces")</f>
        <v>Paper napkins in a pack of unpainted 100 pieces</v>
      </c>
      <c r="E501" s="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6" t="s">
        <v>992</v>
      </c>
      <c r="B502" s="7" t="s">
        <v>992</v>
      </c>
      <c r="C502" s="8" t="s">
        <v>993</v>
      </c>
      <c r="D502" s="9" t="str">
        <f>IFERROR(__xludf.DUMMYFUNCTION("GOOGLETRANSLATE(A502,""ru"",""en"")"),"Washing agent for transport Ecolin-FRO 5 l")</f>
        <v>Washing agent for transport Ecolin-FRO 5 l</v>
      </c>
      <c r="E502" s="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6" t="s">
        <v>994</v>
      </c>
      <c r="B503" s="7" t="s">
        <v>994</v>
      </c>
      <c r="C503" s="8" t="s">
        <v>995</v>
      </c>
      <c r="D503" s="9" t="str">
        <f>IFERROR(__xludf.DUMMYFUNCTION("GOOGLETRANSLATE(A503,""ru"",""en"")"),"Unicum greasedeller for cleaning glass ceramic plates 500 ml")</f>
        <v>Unicum greasedeller for cleaning glass ceramic plates 500 ml</v>
      </c>
      <c r="E503" s="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6" t="s">
        <v>996</v>
      </c>
      <c r="B504" s="7" t="s">
        <v>996</v>
      </c>
      <c r="C504" s="8" t="s">
        <v>997</v>
      </c>
      <c r="D504" s="9" t="str">
        <f>IFERROR(__xludf.DUMMYFUNCTION("GOOGLETRANSLATE(A504,""ru"",""en"")"),"Means for the care of the house Stork ZHMS 950 ml")</f>
        <v>Means for the care of the house Stork ZHMS 950 ml</v>
      </c>
      <c r="E504" s="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6" t="s">
        <v>998</v>
      </c>
      <c r="B505" s="7" t="s">
        <v>998</v>
      </c>
      <c r="C505" s="8" t="s">
        <v>999</v>
      </c>
      <c r="D505" s="9" t="str">
        <f>IFERROR(__xludf.DUMMYFUNCTION("GOOGLETRANSLATE(A505,""ru"",""en"")"),"Washing Powder Vera Automatic 3 kg")</f>
        <v>Washing Powder Vera Automatic 3 kg</v>
      </c>
      <c r="E505" s="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6" t="s">
        <v>1000</v>
      </c>
      <c r="B506" s="7" t="s">
        <v>1000</v>
      </c>
      <c r="C506" s="8" t="s">
        <v>1001</v>
      </c>
      <c r="D506" s="9" t="str">
        <f>IFERROR(__xludf.DUMMYFUNCTION("GOOGLETRANSLATE(A506,""ru"",""en"")"),"Washing Powder Wixan Machine Blooming Lavender 2.4 kg")</f>
        <v>Washing Powder Wixan Machine Blooming Lavender 2.4 kg</v>
      </c>
      <c r="E506" s="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6" t="s">
        <v>1002</v>
      </c>
      <c r="B507" s="7" t="s">
        <v>1002</v>
      </c>
      <c r="C507" s="8" t="s">
        <v>1003</v>
      </c>
      <c r="D507" s="9" t="str">
        <f>IFERROR(__xludf.DUMMYFUNCTION("GOOGLETRANSLATE(A507,""ru"",""en"")"),"Openwork Napkin Round Contentpal 30 cm 250 pcs")</f>
        <v>Openwork Napkin Round Contentpal 30 cm 250 pcs</v>
      </c>
      <c r="E507" s="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6" t="s">
        <v>1004</v>
      </c>
      <c r="B508" s="7" t="s">
        <v>1004</v>
      </c>
      <c r="C508" s="8" t="s">
        <v>1005</v>
      </c>
      <c r="D508" s="9" t="str">
        <f>IFERROR(__xludf.DUMMYFUNCTION("GOOGLETRANSLATE(A508,""ru"",""en"")"),"Openwork Napkin Oval Continentpak 27x35 cm 250 pcs")</f>
        <v>Openwork Napkin Oval Continentpak 27x35 cm 250 pcs</v>
      </c>
      <c r="E508" s="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6" t="s">
        <v>1006</v>
      </c>
      <c r="B509" s="7" t="s">
        <v>1006</v>
      </c>
      <c r="C509" s="8" t="s">
        <v>1007</v>
      </c>
      <c r="D509" s="9" t="str">
        <f>IFERROR(__xludf.DUMMYFUNCTION("GOOGLETRANSLATE(A509,""ru"",""en"")"),"Openwork Napkin Rectangular Contentplaque 18x30 cm 250 pcs")</f>
        <v>Openwork Napkin Rectangular Contentplaque 18x30 cm 250 pcs</v>
      </c>
      <c r="E509" s="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6" t="s">
        <v>1008</v>
      </c>
      <c r="B510" s="7" t="s">
        <v>1008</v>
      </c>
      <c r="C510" s="8" t="s">
        <v>1009</v>
      </c>
      <c r="D510" s="9" t="str">
        <f>IFERROR(__xludf.DUMMYFUNCTION("GOOGLETRANSLATE(A510,""ru"",""en"")"),"Cover for hot drinks 90 mm with a peeper white 100 pcs")</f>
        <v>Cover for hot drinks 90 mm with a peeper white 100 pcs</v>
      </c>
      <c r="E510" s="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6" t="s">
        <v>1010</v>
      </c>
      <c r="B511" s="7" t="s">
        <v>1010</v>
      </c>
      <c r="C511" s="8" t="s">
        <v>1011</v>
      </c>
      <c r="D511" s="9" t="str">
        <f>IFERROR(__xludf.DUMMYFUNCTION("GOOGLETRANSLATE(A511,""ru"",""en"")"),"Cover for hot drinks 90 mm with a min with a pine manner 100 pcs")</f>
        <v>Cover for hot drinks 90 mm with a min with a pine manner 100 pcs</v>
      </c>
      <c r="E511" s="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6" t="s">
        <v>1012</v>
      </c>
      <c r="B512" s="7" t="s">
        <v>1012</v>
      </c>
      <c r="C512" s="8" t="s">
        <v>1013</v>
      </c>
      <c r="D512" s="9" t="str">
        <f>IFERROR(__xludf.DUMMYFUNCTION("GOOGLETRANSLATE(A512,""ru"",""en"")"),"Glass 250 ml for hot drinks Crocodile 50 pcs")</f>
        <v>Glass 250 ml for hot drinks Crocodile 50 pcs</v>
      </c>
      <c r="E512" s="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6" t="s">
        <v>1014</v>
      </c>
      <c r="B513" s="7" t="s">
        <v>1014</v>
      </c>
      <c r="C513" s="8" t="s">
        <v>1015</v>
      </c>
      <c r="D513" s="9" t="str">
        <f>IFERROR(__xludf.DUMMYFUNCTION("GOOGLETRANSLATE(A513,""ru"",""en"")"),"Means for removing fat Unicum Gold 750 ml")</f>
        <v>Means for removing fat Unicum Gold 750 ml</v>
      </c>
      <c r="E513" s="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6" t="s">
        <v>1016</v>
      </c>
      <c r="B514" s="7" t="s">
        <v>1016</v>
      </c>
      <c r="C514" s="8" t="s">
        <v>1017</v>
      </c>
      <c r="D514" s="9" t="str">
        <f>IFERROR(__xludf.DUMMYFUNCTION("GOOGLETRANSLATE(A514,""ru"",""en"")"),"Cleaning tool Sanoks 750 ml")</f>
        <v>Cleaning tool Sanoks 750 ml</v>
      </c>
      <c r="E514" s="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6" t="s">
        <v>1018</v>
      </c>
      <c r="B515" s="7" t="s">
        <v>1018</v>
      </c>
      <c r="C515" s="8" t="s">
        <v>1019</v>
      </c>
      <c r="D515" s="9" t="str">
        <f>IFERROR(__xludf.DUMMYFUNCTION("GOOGLETRANSLATE(A515,""ru"",""en"")"),"Cleaning tool Sanoks-gel 750 ml")</f>
        <v>Cleaning tool Sanoks-gel 750 ml</v>
      </c>
      <c r="E515" s="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6" t="s">
        <v>1020</v>
      </c>
      <c r="B516" s="7" t="s">
        <v>1020</v>
      </c>
      <c r="C516" s="8" t="s">
        <v>1021</v>
      </c>
      <c r="D516" s="9" t="str">
        <f>IFERROR(__xludf.DUMMYFUNCTION("GOOGLETRANSLATE(A516,""ru"",""en"")"),"Means Cleaning Peumoxol-M Lemon 400 g")</f>
        <v>Means Cleaning Peumoxol-M Lemon 400 g</v>
      </c>
      <c r="E516" s="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6" t="s">
        <v>1022</v>
      </c>
      <c r="B517" s="7" t="s">
        <v>1022</v>
      </c>
      <c r="C517" s="8" t="s">
        <v>1023</v>
      </c>
      <c r="D517" s="9" t="str">
        <f>IFERROR(__xludf.DUMMYFUNCTION("GOOGLETRANSLATE(A517,""ru"",""en"")"),"Tool cleaning pemoxol-m Apple 400 g")</f>
        <v>Tool cleaning pemoxol-m Apple 400 g</v>
      </c>
      <c r="E517" s="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6" t="s">
        <v>1024</v>
      </c>
      <c r="B518" s="7" t="s">
        <v>1024</v>
      </c>
      <c r="C518" s="8" t="s">
        <v>1025</v>
      </c>
      <c r="D518" s="9" t="str">
        <f>IFERROR(__xludf.DUMMYFUNCTION("GOOGLETRANSLATE(A518,""ru"",""en"")"),"Sauce 30ml 80 pcs")</f>
        <v>Sauce 30ml 80 pcs</v>
      </c>
      <c r="E518" s="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6" t="s">
        <v>563</v>
      </c>
      <c r="B519" s="7" t="s">
        <v>563</v>
      </c>
      <c r="C519" s="8" t="s">
        <v>564</v>
      </c>
      <c r="D519" s="9" t="str">
        <f>IFERROR(__xludf.DUMMYFUNCTION("GOOGLETRANSLATE(A519,""ru"",""en"")"),"50 ml saucery 80 pcs")</f>
        <v>50 ml saucery 80 pcs</v>
      </c>
      <c r="E519" s="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6" t="s">
        <v>1026</v>
      </c>
      <c r="B520" s="7" t="s">
        <v>1026</v>
      </c>
      <c r="C520" s="8" t="s">
        <v>1027</v>
      </c>
      <c r="D520" s="9" t="str">
        <f>IFERROR(__xludf.DUMMYFUNCTION("GOOGLETRANSLATE(A520,""ru"",""en"")"),"Container 108x82 mm 250 g 100 pcs")</f>
        <v>Container 108x82 mm 250 g 100 pcs</v>
      </c>
      <c r="E520" s="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6" t="s">
        <v>1028</v>
      </c>
      <c r="B521" s="7" t="s">
        <v>1028</v>
      </c>
      <c r="C521" s="8" t="s">
        <v>1029</v>
      </c>
      <c r="D521" s="9" t="str">
        <f>IFERROR(__xludf.DUMMYFUNCTION("GOOGLETRANSLATE(A521,""ru"",""en"")"),"Container 108x82 mm 500 g 100 pcs")</f>
        <v>Container 108x82 mm 500 g 100 pcs</v>
      </c>
      <c r="E521" s="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6" t="s">
        <v>1030</v>
      </c>
      <c r="B522" s="7" t="s">
        <v>1030</v>
      </c>
      <c r="C522" s="8" t="s">
        <v>1031</v>
      </c>
      <c r="D522" s="9" t="str">
        <f>IFERROR(__xludf.DUMMYFUNCTION("GOOGLETRANSLATE(A522,""ru"",""en"")"),"Cover to container 108x82 mm dp 50 pcs")</f>
        <v>Cover to container 108x82 mm dp 50 pcs</v>
      </c>
      <c r="E522" s="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6" t="s">
        <v>1032</v>
      </c>
      <c r="B523" s="7" t="s">
        <v>1032</v>
      </c>
      <c r="C523" s="8" t="s">
        <v>1033</v>
      </c>
      <c r="D523" s="9" t="str">
        <f>IFERROR(__xludf.DUMMYFUNCTION("GOOGLETRANSLATE(A523,""ru"",""en"")"),"Fork compact plastic white 16.5 cm 100 pcs")</f>
        <v>Fork compact plastic white 16.5 cm 100 pcs</v>
      </c>
      <c r="E523" s="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6" t="s">
        <v>1034</v>
      </c>
      <c r="B524" s="7" t="s">
        <v>1034</v>
      </c>
      <c r="C524" s="8" t="s">
        <v>1035</v>
      </c>
      <c r="D524" s="9" t="str">
        <f>IFERROR(__xludf.DUMMYFUNCTION("GOOGLETRANSLATE(A524,""ru"",""en"")"),"Tea plastic white spoons 12.5 cm 100 pcs")</f>
        <v>Tea plastic white spoons 12.5 cm 100 pcs</v>
      </c>
      <c r="E524" s="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6" t="s">
        <v>1036</v>
      </c>
      <c r="B525" s="7" t="s">
        <v>1036</v>
      </c>
      <c r="C525" s="8" t="s">
        <v>1037</v>
      </c>
      <c r="D525" s="9" t="str">
        <f>IFERROR(__xludf.DUMMYFUNCTION("GOOGLETRANSLATE(A525,""ru"",""en"")"),"Drinks for drinks with corrugated striped 5x210 mm 250 pcs")</f>
        <v>Drinks for drinks with corrugated striped 5x210 mm 250 pcs</v>
      </c>
      <c r="E525" s="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6" t="s">
        <v>1038</v>
      </c>
      <c r="B526" s="7" t="s">
        <v>1038</v>
      </c>
      <c r="C526" s="8" t="s">
        <v>1039</v>
      </c>
      <c r="D526" s="9" t="str">
        <f>IFERROR(__xludf.DUMMYFUNCTION("GOOGLETRANSLATE(A526,""ru"",""en"")"),"Soup 500 ml 50 pcs")</f>
        <v>Soup 500 ml 50 pcs</v>
      </c>
      <c r="E526" s="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6" t="s">
        <v>1040</v>
      </c>
      <c r="B527" s="7" t="s">
        <v>1040</v>
      </c>
      <c r="C527" s="8" t="s">
        <v>1041</v>
      </c>
      <c r="D527" s="9" t="str">
        <f>IFERROR(__xludf.DUMMYFUNCTION("GOOGLETRANSLATE(A527,""ru"",""en"")"),"Sushi sticks 23 cm in paper packaging 100 pcs")</f>
        <v>Sushi sticks 23 cm in paper packaging 100 pcs</v>
      </c>
      <c r="E527" s="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6" t="s">
        <v>1042</v>
      </c>
      <c r="B528" s="7" t="s">
        <v>1042</v>
      </c>
      <c r="C528" s="8" t="s">
        <v>1043</v>
      </c>
      <c r="D528" s="9" t="str">
        <f>IFERROR(__xludf.DUMMYFUNCTION("GOOGLETRANSLATE(A528,""ru"",""en"")"),"Bamboo kebab sticks 25 cm 100 pcs")</f>
        <v>Bamboo kebab sticks 25 cm 100 pcs</v>
      </c>
      <c r="E528" s="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6" t="s">
        <v>1044</v>
      </c>
      <c r="B529" s="7" t="s">
        <v>1044</v>
      </c>
      <c r="C529" s="8" t="s">
        <v>1045</v>
      </c>
      <c r="D529" s="9" t="str">
        <f>IFERROR(__xludf.DUMMYFUNCTION("GOOGLETRANSLATE(A529,""ru"",""en"")"),"Decorative peaks nodules 6 cm 100 pcs")</f>
        <v>Decorative peaks nodules 6 cm 100 pcs</v>
      </c>
      <c r="E529" s="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6" t="s">
        <v>1046</v>
      </c>
      <c r="B530" s="7" t="s">
        <v>1046</v>
      </c>
      <c r="C530" s="8" t="s">
        <v>1047</v>
      </c>
      <c r="D530" s="9" t="str">
        <f>IFERROR(__xludf.DUMMYFUNCTION("GOOGLETRANSLATE(A530,""ru"",""en"")"),"Bamboo hollower 18 cm 1000 pcs")</f>
        <v>Bamboo hollower 18 cm 1000 pcs</v>
      </c>
      <c r="E530" s="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6" t="s">
        <v>1048</v>
      </c>
      <c r="B531" s="7" t="s">
        <v>1048</v>
      </c>
      <c r="C531" s="8" t="s">
        <v>1049</v>
      </c>
      <c r="D531" s="9" t="str">
        <f>IFERROR(__xludf.DUMMYFUNCTION("GOOGLETRANSLATE(A531,""ru"",""en"")"),"Package Mike PND 30х16х60 cm 16 μm black 100 pieces")</f>
        <v>Package Mike PND 30х16х60 cm 16 μm black 100 pieces</v>
      </c>
      <c r="E531" s="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6" t="s">
        <v>1050</v>
      </c>
      <c r="B532" s="7" t="s">
        <v>1050</v>
      </c>
      <c r="C532" s="8" t="s">
        <v>1051</v>
      </c>
      <c r="D532" s="9" t="str">
        <f>IFERROR(__xludf.DUMMYFUNCTION("GOOGLETRANSLATE(A532,""ru"",""en"")"),"Filling packages euro 10x8x27 cm 8 μm 1000 pcs")</f>
        <v>Filling packages euro 10x8x27 cm 8 μm 1000 pcs</v>
      </c>
      <c r="E532" s="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6" t="s">
        <v>1052</v>
      </c>
      <c r="B533" s="7" t="s">
        <v>1052</v>
      </c>
      <c r="C533" s="8" t="s">
        <v>1053</v>
      </c>
      <c r="D533" s="9" t="str">
        <f>IFERROR(__xludf.DUMMYFUNCTION("GOOGLETRANSLATE(A533,""ru"",""en"")"),"Packing PACKET PND 24х37 cm 10 μm 250 pcs")</f>
        <v>Packing PACKET PND 24х37 cm 10 μm 250 pcs</v>
      </c>
      <c r="E533" s="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6" t="s">
        <v>1054</v>
      </c>
      <c r="B534" s="7" t="s">
        <v>1054</v>
      </c>
      <c r="C534" s="8" t="s">
        <v>1055</v>
      </c>
      <c r="D534" s="9" t="str">
        <f>IFERROR(__xludf.DUMMYFUNCTION("GOOGLETRANSLATE(A534,""ru"",""en"")"),"Adhesive tape (scotch) 48 mm x 66 m transparent 40 microns")</f>
        <v>Adhesive tape (scotch) 48 mm x 66 m transparent 40 microns</v>
      </c>
      <c r="E534" s="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6" t="s">
        <v>1056</v>
      </c>
      <c r="B535" s="7" t="s">
        <v>1056</v>
      </c>
      <c r="C535" s="8" t="s">
        <v>1057</v>
      </c>
      <c r="D535" s="9" t="str">
        <f>IFERROR(__xludf.DUMMYFUNCTION("GOOGLETRANSLATE(A535,""ru"",""en"")"),"Packages polyethylene green 55 x 95 cm 100 pcs")</f>
        <v>Packages polyethylene green 55 x 95 cm 100 pcs</v>
      </c>
      <c r="E535" s="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6" t="s">
        <v>1058</v>
      </c>
      <c r="B536" s="7" t="s">
        <v>1058</v>
      </c>
      <c r="C536" s="8" t="s">
        <v>1059</v>
      </c>
      <c r="D536" s="9" t="str">
        <f>IFERROR(__xludf.DUMMYFUNCTION("GOOGLETRANSLATE(A536,""ru"",""en"")"),"PND Blue Bachels 100 pieces")</f>
        <v>PND Blue Bachels 100 pieces</v>
      </c>
      <c r="E536" s="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6" t="s">
        <v>1060</v>
      </c>
      <c r="B537" s="7" t="s">
        <v>1060</v>
      </c>
      <c r="C537" s="8" t="s">
        <v>1061</v>
      </c>
      <c r="D537" s="9" t="str">
        <f>IFERROR(__xludf.DUMMYFUNCTION("GOOGLETRANSLATE(A537,""ru"",""en"")"),"Bahils PND Durable on 2 rubber bands Blue 100 pieces")</f>
        <v>Bahils PND Durable on 2 rubber bands Blue 100 pieces</v>
      </c>
      <c r="E537" s="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6" t="s">
        <v>1062</v>
      </c>
      <c r="B538" s="7" t="s">
        <v>1062</v>
      </c>
      <c r="C538" s="8" t="s">
        <v>1063</v>
      </c>
      <c r="D538" s="9" t="str">
        <f>IFERROR(__xludf.DUMMYFUNCTION("GOOGLETRANSLATE(A538,""ru"",""en"")"),"Bathrobe visitor on Velcro, sleeve on elastic rr xl white")</f>
        <v>Bathrobe visitor on Velcro, sleeve on elastic rr xl white</v>
      </c>
      <c r="E538" s="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6" t="s">
        <v>1064</v>
      </c>
      <c r="B539" s="7" t="s">
        <v>1064</v>
      </c>
      <c r="C539" s="8" t="s">
        <v>1065</v>
      </c>
      <c r="D539" s="9" t="str">
        <f>IFERROR(__xludf.DUMMYFUNCTION("GOOGLETRANSLATE(A539,""ru"",""en"")"),"Metal sponges for dishes Contentpal Maxi 1 pc")</f>
        <v>Metal sponges for dishes Contentpal Maxi 1 pc</v>
      </c>
      <c r="E539" s="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6" t="s">
        <v>1066</v>
      </c>
      <c r="B540" s="7" t="s">
        <v>1066</v>
      </c>
      <c r="C540" s="8" t="s">
        <v>1067</v>
      </c>
      <c r="D540" s="9" t="str">
        <f>IFERROR(__xludf.DUMMYFUNCTION("GOOGLETRANSLATE(A540,""ru"",""en"")"),"Microfiber napkin 29x29 cm turquoise")</f>
        <v>Microfiber napkin 29x29 cm turquoise</v>
      </c>
      <c r="E540" s="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6" t="s">
        <v>1068</v>
      </c>
      <c r="B541" s="7" t="s">
        <v>1068</v>
      </c>
      <c r="C541" s="8" t="s">
        <v>1069</v>
      </c>
      <c r="D541" s="9" t="str">
        <f>IFERROR(__xludf.DUMMYFUNCTION("GOOGLETRANSLATE(A541,""ru"",""en"")"),"Microfiber napkin 29x29 cm blue")</f>
        <v>Microfiber napkin 29x29 cm blue</v>
      </c>
      <c r="E541" s="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6" t="s">
        <v>1070</v>
      </c>
      <c r="B542" s="7" t="s">
        <v>1070</v>
      </c>
      <c r="C542" s="8" t="s">
        <v>1071</v>
      </c>
      <c r="D542" s="9" t="str">
        <f>IFERROR(__xludf.DUMMYFUNCTION("GOOGLETRANSLATE(A542,""ru"",""en"")"),"Microfiber napkin 29x29 cm red")</f>
        <v>Microfiber napkin 29x29 cm red</v>
      </c>
      <c r="E542" s="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6" t="s">
        <v>1072</v>
      </c>
      <c r="B543" s="7" t="s">
        <v>1072</v>
      </c>
      <c r="C543" s="8" t="s">
        <v>1073</v>
      </c>
      <c r="D543" s="9" t="str">
        <f>IFERROR(__xludf.DUMMYFUNCTION("GOOGLETRANSLATE(A543,""ru"",""en"")"),"Microfiber Napkin 29x29 Orange")</f>
        <v>Microfiber Napkin 29x29 Orange</v>
      </c>
      <c r="E543" s="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6" t="s">
        <v>1074</v>
      </c>
      <c r="B544" s="7" t="s">
        <v>1074</v>
      </c>
      <c r="C544" s="8" t="s">
        <v>1075</v>
      </c>
      <c r="D544" s="9" t="str">
        <f>IFERROR(__xludf.DUMMYFUNCTION("GOOGLETRANSLATE(A544,""ru"",""en"")"),"Microfiber Napkin 29x29 cm Purple")</f>
        <v>Microfiber Napkin 29x29 cm Purple</v>
      </c>
      <c r="E544" s="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6" t="s">
        <v>1076</v>
      </c>
      <c r="B545" s="7" t="s">
        <v>1076</v>
      </c>
      <c r="C545" s="8" t="s">
        <v>1077</v>
      </c>
      <c r="D545" s="9" t="str">
        <f>IFERROR(__xludf.DUMMYFUNCTION("GOOGLETRANSLATE(A545,""ru"",""en"")"),"Waffle cloth 40 cm x 50 m Density 110 g / m2")</f>
        <v>Waffle cloth 40 cm x 50 m Density 110 g / m2</v>
      </c>
      <c r="E545" s="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6" t="s">
        <v>1078</v>
      </c>
      <c r="B546" s="7" t="s">
        <v>1078</v>
      </c>
      <c r="C546" s="8" t="s">
        <v>1079</v>
      </c>
      <c r="D546" s="9" t="str">
        <f>IFERROR(__xludf.DUMMYFUNCTION("GOOGLETRANSLATE(A546,""ru"",""en"")"),"Canvas-firmware 80 cm x 50 m color")</f>
        <v>Canvas-firmware 80 cm x 50 m color</v>
      </c>
      <c r="E546" s="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6" t="s">
        <v>1080</v>
      </c>
      <c r="B547" s="7" t="s">
        <v>1080</v>
      </c>
      <c r="C547" s="8" t="s">
        <v>1081</v>
      </c>
      <c r="D547" s="9" t="str">
        <f>IFERROR(__xludf.DUMMYFUNCTION("GOOGLETRANSLATE(A547,""ru"",""en"")"),"Disposable glasses 100 ml 100 pcs")</f>
        <v>Disposable glasses 100 ml 100 pcs</v>
      </c>
      <c r="E547" s="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6" t="s">
        <v>1082</v>
      </c>
      <c r="B548" s="7" t="s">
        <v>1082</v>
      </c>
      <c r="C548" s="8" t="s">
        <v>1083</v>
      </c>
      <c r="D548" s="9" t="str">
        <f>IFERROR(__xludf.DUMMYFUNCTION("GOOGLETRANSLATE(A548,""ru"",""en"")"),"Plastic dessert plates 170 mm 50 pcs")</f>
        <v>Plastic dessert plates 170 mm 50 pcs</v>
      </c>
      <c r="E548" s="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6" t="s">
        <v>1084</v>
      </c>
      <c r="B549" s="7" t="s">
        <v>1084</v>
      </c>
      <c r="C549" s="8" t="s">
        <v>1085</v>
      </c>
      <c r="D549" s="9" t="str">
        <f>IFERROR(__xludf.DUMMYFUNCTION("GOOGLETRANSLATE(A549,""ru"",""en"")"),"Washing powder Lotus-M automatic machine 20 kg")</f>
        <v>Washing powder Lotus-M automatic machine 20 kg</v>
      </c>
      <c r="E549" s="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6" t="s">
        <v>1086</v>
      </c>
      <c r="B550" s="7" t="s">
        <v>1086</v>
      </c>
      <c r="C550" s="8" t="s">
        <v>1087</v>
      </c>
      <c r="D550" s="9" t="str">
        <f>IFERROR(__xludf.DUMMYFUNCTION("GOOGLETRANSLATE(A550,""ru"",""en"")"),"Lotus-M washing powder machine 400 g")</f>
        <v>Lotus-M washing powder machine 400 g</v>
      </c>
      <c r="E550" s="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6" t="s">
        <v>1088</v>
      </c>
      <c r="B551" s="7" t="s">
        <v>1088</v>
      </c>
      <c r="C551" s="8" t="s">
        <v>1089</v>
      </c>
      <c r="D551" s="9" t="str">
        <f>IFERROR(__xludf.DUMMYFUNCTION("GOOGLETRANSLATE(A551,""ru"",""en"")"),"Washer Powder Lotus-M Universal 20 kg")</f>
        <v>Washer Powder Lotus-M Universal 20 kg</v>
      </c>
      <c r="E551" s="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6" t="s">
        <v>1090</v>
      </c>
      <c r="B552" s="7" t="s">
        <v>1090</v>
      </c>
      <c r="C552" s="8" t="s">
        <v>1091</v>
      </c>
      <c r="D552" s="9" t="str">
        <f>IFERROR(__xludf.DUMMYFUNCTION("GOOGLETRANSLATE(A552,""ru"",""en"")"),"Washing powder Lotos-M Universal 400 g")</f>
        <v>Washing powder Lotos-M Universal 400 g</v>
      </c>
      <c r="E552" s="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6" t="s">
        <v>1092</v>
      </c>
      <c r="B553" s="7" t="s">
        <v>1092</v>
      </c>
      <c r="C553" s="8" t="s">
        <v>1093</v>
      </c>
      <c r="D553" s="9" t="str">
        <f>IFERROR(__xludf.DUMMYFUNCTION("GOOGLETRANSLATE(A553,""ru"",""en"")"),"Synthetic broom Ecotec 80 cm bristle 7 cm")</f>
        <v>Synthetic broom Ecotec 80 cm bristle 7 cm</v>
      </c>
      <c r="E553" s="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6" t="s">
        <v>1094</v>
      </c>
      <c r="B554" s="7" t="s">
        <v>1094</v>
      </c>
      <c r="C554" s="8" t="s">
        <v>1095</v>
      </c>
      <c r="D554" s="9" t="str">
        <f>IFERROR(__xludf.DUMMYFUNCTION("GOOGLETRANSLATE(A554,""ru"",""en"")"),"MOP for wet cleaning Kentucky Torzal 350 g treated edge")</f>
        <v>MOP for wet cleaning Kentucky Torzal 350 g treated edge</v>
      </c>
      <c r="E554" s="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6" t="s">
        <v>1096</v>
      </c>
      <c r="B555" s="7" t="s">
        <v>1096</v>
      </c>
      <c r="C555" s="8" t="s">
        <v>1097</v>
      </c>
      <c r="D555" s="9" t="str">
        <f>IFERROR(__xludf.DUMMYFUNCTION("GOOGLETRANSLATE(A555,""ru"",""en"")"),"Hygrometer VIT-2 Verification to 03.2022")</f>
        <v>Hygrometer VIT-2 Verification to 03.2022</v>
      </c>
      <c r="E555" s="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6" t="s">
        <v>1098</v>
      </c>
      <c r="B556" s="7" t="s">
        <v>1098</v>
      </c>
      <c r="C556" s="8" t="s">
        <v>1099</v>
      </c>
      <c r="D556" s="9" t="str">
        <f>IFERROR(__xludf.DUMMYFUNCTION("GOOGLETRANSLATE(A556,""ru"",""en"")"),"Big cutting board trapezium 25x35 cm")</f>
        <v>Big cutting board trapezium 25x35 cm</v>
      </c>
      <c r="E556" s="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6" t="s">
        <v>1100</v>
      </c>
      <c r="B557" s="7" t="s">
        <v>1100</v>
      </c>
      <c r="C557" s="8" t="s">
        <v>1101</v>
      </c>
      <c r="D557" s="9" t="str">
        <f>IFERROR(__xludf.DUMMYFUNCTION("GOOGLETRANSLATE(A557,""ru"",""en"")"),"Synthetic broom Ecotec 50 cm bristle 7 cm")</f>
        <v>Synthetic broom Ecotec 50 cm bristle 7 cm</v>
      </c>
      <c r="E557" s="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6" t="s">
        <v>1102</v>
      </c>
      <c r="B558" s="7" t="s">
        <v>1102</v>
      </c>
      <c r="C558" s="8" t="s">
        <v>1103</v>
      </c>
      <c r="D558" s="9" t="str">
        <f>IFERROR(__xludf.DUMMYFUNCTION("GOOGLETRANSLATE(A558,""ru"",""en"")"),"Bucket comfort Red 12 l")</f>
        <v>Bucket comfort Red 12 l</v>
      </c>
      <c r="E558" s="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6" t="s">
        <v>1104</v>
      </c>
      <c r="B559" s="7" t="s">
        <v>1104</v>
      </c>
      <c r="C559" s="8" t="s">
        <v>1105</v>
      </c>
      <c r="D559" s="9" t="str">
        <f>IFERROR(__xludf.DUMMYFUNCTION("GOOGLETRANSLATE(A559,""ru"",""en"")"),"Bucket Comfort Salad 12 l")</f>
        <v>Bucket Comfort Salad 12 l</v>
      </c>
      <c r="E559" s="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6" t="s">
        <v>1106</v>
      </c>
      <c r="B560" s="7" t="s">
        <v>1106</v>
      </c>
      <c r="C560" s="8" t="s">
        <v>1107</v>
      </c>
      <c r="D560" s="9" t="str">
        <f>IFERROR(__xludf.DUMMYFUNCTION("GOOGLETRANSLATE(A560,""ru"",""en"")"),"Bucket comfort blue 12 l")</f>
        <v>Bucket comfort blue 12 l</v>
      </c>
      <c r="E560" s="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6" t="s">
        <v>1108</v>
      </c>
      <c r="B561" s="7" t="s">
        <v>1108</v>
      </c>
      <c r="C561" s="8" t="s">
        <v>1109</v>
      </c>
      <c r="D561" s="9" t="str">
        <f>IFERROR(__xludf.DUMMYFUNCTION("GOOGLETRANSLATE(A561,""ru"",""en"")"),"11 cm mammoth chill window with telescopic handle 120 cm blue")</f>
        <v>11 cm mammoth chill window with telescopic handle 120 cm blue</v>
      </c>
      <c r="E561" s="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6" t="s">
        <v>1110</v>
      </c>
      <c r="B562" s="7" t="s">
        <v>1110</v>
      </c>
      <c r="C562" s="8" t="s">
        <v>1111</v>
      </c>
      <c r="D562" s="9" t="str">
        <f>IFERROR(__xludf.DUMMYFUNCTION("GOOGLETRANSLATE(A562,""ru"",""en"")"),"Brush Car Suite Mini with Scraper")</f>
        <v>Brush Car Suite Mini with Scraper</v>
      </c>
      <c r="E562" s="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6" t="s">
        <v>1112</v>
      </c>
      <c r="B563" s="7" t="s">
        <v>1112</v>
      </c>
      <c r="C563" s="8" t="s">
        <v>1113</v>
      </c>
      <c r="D563" s="9" t="str">
        <f>IFERROR(__xludf.DUMMYFUNCTION("GOOGLETRANSLATE(A563,""ru"",""en"")"),"Car suite with holder and scraper")</f>
        <v>Car suite with holder and scraper</v>
      </c>
      <c r="E563" s="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6" t="s">
        <v>1114</v>
      </c>
      <c r="B564" s="7" t="s">
        <v>1114</v>
      </c>
      <c r="C564" s="8" t="s">
        <v>1115</v>
      </c>
      <c r="D564" s="9" t="str">
        <f>IFERROR(__xludf.DUMMYFUNCTION("GOOGLETRANSLATE(A564,""ru"",""en"")"),"Baking paper Siliconized hill 38 cm x 50 m")</f>
        <v>Baking paper Siliconized hill 38 cm x 50 m</v>
      </c>
      <c r="E564" s="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6" t="s">
        <v>1116</v>
      </c>
      <c r="B565" s="7" t="s">
        <v>1116</v>
      </c>
      <c r="C565" s="8" t="s">
        <v>1117</v>
      </c>
      <c r="D565" s="9" t="str">
        <f>IFERROR(__xludf.DUMMYFUNCTION("GOOGLETRANSLATE(A565,""ru"",""en"")"),"Vacuum pack of Aviora 40x60 cm")</f>
        <v>Vacuum pack of Aviora 40x60 cm</v>
      </c>
      <c r="E565" s="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6" t="s">
        <v>1118</v>
      </c>
      <c r="B566" s="7" t="s">
        <v>1118</v>
      </c>
      <c r="C566" s="8" t="s">
        <v>1119</v>
      </c>
      <c r="D566" s="9" t="str">
        <f>IFERROR(__xludf.DUMMYFUNCTION("GOOGLETRANSLATE(A566,""ru"",""en"")"),"Bags for garbage Mirpack PSD Professional 120 l 20 microns 50 pcs")</f>
        <v>Bags for garbage Mirpack PSD Professional 120 l 20 microns 50 pcs</v>
      </c>
      <c r="E566" s="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6" t="s">
        <v>1120</v>
      </c>
      <c r="B567" s="7" t="s">
        <v>1120</v>
      </c>
      <c r="C567" s="8" t="s">
        <v>1121</v>
      </c>
      <c r="D567" s="9" t="str">
        <f>IFERROR(__xludf.DUMMYFUNCTION("GOOGLETRANSLATE(A567,""ru"",""en"")"),"Bags for garbage Mirpack PVD Extra Black 240 L 55 μm 10 pcs")</f>
        <v>Bags for garbage Mirpack PVD Extra Black 240 L 55 μm 10 pcs</v>
      </c>
      <c r="E567" s="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6" t="s">
        <v>1122</v>
      </c>
      <c r="B568" s="7" t="s">
        <v>1122</v>
      </c>
      <c r="C568" s="8" t="s">
        <v>1123</v>
      </c>
      <c r="D568" s="9" t="str">
        <f>IFERROR(__xludf.DUMMYFUNCTION("GOOGLETRANSLATE(A568,""ru"",""en"")"),"Bilateral adhesive tape Klebebander 38 mm x 10 m")</f>
        <v>Bilateral adhesive tape Klebebander 38 mm x 10 m</v>
      </c>
      <c r="E568" s="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6" t="s">
        <v>1124</v>
      </c>
      <c r="B569" s="7" t="s">
        <v>1124</v>
      </c>
      <c r="C569" s="8" t="s">
        <v>1125</v>
      </c>
      <c r="D569" s="9" t="str">
        <f>IFERROR(__xludf.DUMMYFUNCTION("GOOGLETRANSLATE(A569,""ru"",""en"")"),"Self-adhesive hooks Milen 3x8 cm 2 pcs")</f>
        <v>Self-adhesive hooks Milen 3x8 cm 2 pcs</v>
      </c>
      <c r="E569" s="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6" t="s">
        <v>1126</v>
      </c>
      <c r="B570" s="7" t="s">
        <v>1126</v>
      </c>
      <c r="C570" s="8" t="s">
        <v>1127</v>
      </c>
      <c r="D570" s="9" t="str">
        <f>IFERROR(__xludf.DUMMYFUNCTION("GOOGLETRANSLATE(A570,""ru"",""en"")"),"Bilateral assembly tape Milen black 12 mm x 5 m")</f>
        <v>Bilateral assembly tape Milen black 12 mm x 5 m</v>
      </c>
      <c r="E570" s="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6" t="s">
        <v>1128</v>
      </c>
      <c r="B571" s="7" t="s">
        <v>1128</v>
      </c>
      <c r="C571" s="8" t="s">
        <v>1129</v>
      </c>
      <c r="D571" s="9" t="str">
        <f>IFERROR(__xludf.DUMMYFUNCTION("GOOGLETRANSLATE(A571,""ru"",""en"")"),"Bilateral mounting tape Milen black 19 mm x 5 m")</f>
        <v>Bilateral mounting tape Milen black 19 mm x 5 m</v>
      </c>
      <c r="E571" s="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6" t="s">
        <v>1130</v>
      </c>
      <c r="B572" s="7" t="s">
        <v>1130</v>
      </c>
      <c r="C572" s="8" t="s">
        <v>1131</v>
      </c>
      <c r="D572" s="9" t="str">
        <f>IFERROR(__xludf.DUMMYFUNCTION("GOOGLETRANSLATE(A572,""ru"",""en"")"),"Air Conditioning for Linen Vernel Sensitives Aloe Vera and Almonds 910 ml")</f>
        <v>Air Conditioning for Linen Vernel Sensitives Aloe Vera and Almonds 910 ml</v>
      </c>
      <c r="E572" s="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6" t="s">
        <v>1132</v>
      </c>
      <c r="B573" s="7" t="s">
        <v>1132</v>
      </c>
      <c r="C573" s="8" t="s">
        <v>1133</v>
      </c>
      <c r="D573" s="9" t="str">
        <f>IFERROR(__xludf.DUMMYFUNCTION("GOOGLETRANSLATE(A573,""ru"",""en"")"),"Means for washing windows and mirrors CLIN Crystal 500 ml")</f>
        <v>Means for washing windows and mirrors CLIN Crystal 500 ml</v>
      </c>
      <c r="E573" s="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6" t="s">
        <v>1134</v>
      </c>
      <c r="B574" s="7" t="s">
        <v>1134</v>
      </c>
      <c r="C574" s="8" t="s">
        <v>1135</v>
      </c>
      <c r="D574" s="9" t="str">
        <f>IFERROR(__xludf.DUMMYFUNCTION("GOOGLETRANSLATE(A574,""ru"",""en"")"),"Souvenir thermometer ST-5/20 bedroom")</f>
        <v>Souvenir thermometer ST-5/20 bedroom</v>
      </c>
      <c r="E574" s="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6" t="s">
        <v>1136</v>
      </c>
      <c r="B575" s="7" t="s">
        <v>1136</v>
      </c>
      <c r="C575" s="8" t="s">
        <v>1137</v>
      </c>
      <c r="D575" s="9" t="str">
        <f>IFERROR(__xludf.DUMMYFUNCTION("GOOGLETRANSLATE(A575,""ru"",""en"")"),"Leaf Paper Towels Meakshko V-Addition Gray")</f>
        <v>Leaf Paper Towels Meakshko V-Addition Gray</v>
      </c>
      <c r="E575" s="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6" t="s">
        <v>1138</v>
      </c>
      <c r="B576" s="7" t="s">
        <v>1138</v>
      </c>
      <c r="C576" s="8" t="s">
        <v>1139</v>
      </c>
      <c r="D576" s="9" t="str">
        <f>IFERROR(__xludf.DUMMYFUNCTION("GOOGLETRANSLATE(A576,""ru"",""en"")"),"Toilet paper Standard Family 175")</f>
        <v>Toilet paper Standard Family 175</v>
      </c>
      <c r="E576" s="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6" t="s">
        <v>1140</v>
      </c>
      <c r="B577" s="7" t="s">
        <v>1140</v>
      </c>
      <c r="C577" s="8" t="s">
        <v>1141</v>
      </c>
      <c r="D577" s="9" t="str">
        <f>IFERROR(__xludf.DUMMYFUNCTION("GOOGLETRANSLATE(A577,""ru"",""en"")"),"Bags for garbage Mirpack PVD Professional 160 l 30 microns 20 pcs")</f>
        <v>Bags for garbage Mirpack PVD Professional 160 l 30 microns 20 pcs</v>
      </c>
      <c r="E577" s="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6" t="s">
        <v>1142</v>
      </c>
      <c r="B578" s="7" t="s">
        <v>1142</v>
      </c>
      <c r="C578" s="8" t="s">
        <v>1143</v>
      </c>
      <c r="D578" s="9" t="str">
        <f>IFERROR(__xludf.DUMMYFUNCTION("GOOGLETRANSLATE(A578,""ru"",""en"")"),"Bags for garbage Mirpack PVD Professional 180 l 30 microns 10 pcs")</f>
        <v>Bags for garbage Mirpack PVD Professional 180 l 30 microns 10 pcs</v>
      </c>
      <c r="E578" s="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6" t="s">
        <v>1144</v>
      </c>
      <c r="B579" s="7" t="s">
        <v>1144</v>
      </c>
      <c r="C579" s="8" t="s">
        <v>1145</v>
      </c>
      <c r="D579" s="9" t="str">
        <f>IFERROR(__xludf.DUMMYFUNCTION("GOOGLETRANSLATE(A579,""ru"",""en"")"),"Single-layer toilet paper 65 m")</f>
        <v>Single-layer toilet paper 65 m</v>
      </c>
      <c r="E579" s="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6" t="s">
        <v>1146</v>
      </c>
      <c r="B580" s="7" t="s">
        <v>1146</v>
      </c>
      <c r="C580" s="8" t="s">
        <v>1147</v>
      </c>
      <c r="D580" s="9" t="str">
        <f>IFERROR(__xludf.DUMMYFUNCTION("GOOGLETRANSLATE(A580,""ru"",""en"")"),"Wet baby napkins PURE Soft touch")</f>
        <v>Wet baby napkins PURE Soft touch</v>
      </c>
      <c r="E580" s="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6" t="s">
        <v>1148</v>
      </c>
      <c r="B581" s="7" t="s">
        <v>1148</v>
      </c>
      <c r="C581" s="8" t="s">
        <v>1149</v>
      </c>
      <c r="D581" s="9" t="str">
        <f>IFERROR(__xludf.DUMMYFUNCTION("GOOGLETRANSLATE(A581,""ru"",""en"")"),"Soda Wixan Calcined with the addition of sodium metasilicate 500 g")</f>
        <v>Soda Wixan Calcined with the addition of sodium metasilicate 500 g</v>
      </c>
      <c r="E581" s="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6" t="s">
        <v>1150</v>
      </c>
      <c r="B582" s="7" t="s">
        <v>1150</v>
      </c>
      <c r="C582" s="8" t="s">
        <v>1151</v>
      </c>
      <c r="D582" s="9" t="str">
        <f>IFERROR(__xludf.DUMMYFUNCTION("GOOGLETRANSLATE(A582,""ru"",""en"")"),"Leaf Paper Towels Standard Plus V-addition Single-Line")</f>
        <v>Leaf Paper Towels Standard Plus V-addition Single-Line</v>
      </c>
      <c r="E582" s="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6" t="s">
        <v>1152</v>
      </c>
      <c r="B583" s="7" t="s">
        <v>1152</v>
      </c>
      <c r="C583" s="8" t="s">
        <v>1153</v>
      </c>
      <c r="D583" s="9" t="str">
        <f>IFERROR(__xludf.DUMMYFUNCTION("GOOGLETRANSLATE(A583,""ru"",""en"")"),"Leaf Paper Towels Comfort Plus V-addition Single-Layer")</f>
        <v>Leaf Paper Towels Comfort Plus V-addition Single-Layer</v>
      </c>
      <c r="E583" s="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6" t="s">
        <v>1154</v>
      </c>
      <c r="B584" s="7" t="s">
        <v>1154</v>
      </c>
      <c r="C584" s="8" t="s">
        <v>1155</v>
      </c>
      <c r="D584" s="9" t="str">
        <f>IFERROR(__xludf.DUMMYFUNCTION("GOOGLETRANSLATE(A584,""ru"",""en"")"),"Rolled paper towels VETA POP ART two-layer 2 pcs")</f>
        <v>Rolled paper towels VETA POP ART two-layer 2 pcs</v>
      </c>
      <c r="E584" s="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6" t="s">
        <v>1156</v>
      </c>
      <c r="B585" s="7" t="s">
        <v>1156</v>
      </c>
      <c r="C585" s="8" t="s">
        <v>1157</v>
      </c>
      <c r="D585" s="9" t="str">
        <f>IFERROR(__xludf.DUMMYFUNCTION("GOOGLETRANSLATE(A585,""ru"",""en"")"),"Vinyl Nefourren Gloves Aviora Rr XL 100 pcs")</f>
        <v>Vinyl Nefourren Gloves Aviora Rr XL 100 pcs</v>
      </c>
      <c r="E585" s="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6" t="s">
        <v>1158</v>
      </c>
      <c r="B586" s="7" t="s">
        <v>1158</v>
      </c>
      <c r="C586" s="8" t="s">
        <v>1159</v>
      </c>
      <c r="D586" s="9" t="str">
        <f>IFERROR(__xludf.DUMMYFUNCTION("GOOGLETRANSLATE(A586,""ru"",""en"")"),"Food Plaque Desnogor 30 cm x 200 m white 5.5 microns")</f>
        <v>Food Plaque Desnogor 30 cm x 200 m white 5.5 microns</v>
      </c>
      <c r="E586" s="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6" t="s">
        <v>1160</v>
      </c>
      <c r="B587" s="7" t="s">
        <v>1160</v>
      </c>
      <c r="C587" s="8" t="s">
        <v>1161</v>
      </c>
      <c r="D587" s="9" t="str">
        <f>IFERROR(__xludf.DUMMYFUNCTION("GOOGLETRANSLATE(A587,""ru"",""en"")"),"Food Reception Desnogor 45 cm x 200 m white 5.5 μm")</f>
        <v>Food Reception Desnogor 45 cm x 200 m white 5.5 μm</v>
      </c>
      <c r="E587" s="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6" t="s">
        <v>1162</v>
      </c>
      <c r="B588" s="7" t="s">
        <v>1162</v>
      </c>
      <c r="C588" s="8" t="s">
        <v>1163</v>
      </c>
      <c r="D588" s="9" t="str">
        <f>IFERROR(__xludf.DUMMYFUNCTION("GOOGLETRANSLATE(A588,""ru"",""en"")"),"Paper Napkins White 100 pcs")</f>
        <v>Paper Napkins White 100 pcs</v>
      </c>
      <c r="E588" s="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6" t="s">
        <v>1164</v>
      </c>
      <c r="B589" s="7" t="s">
        <v>1164</v>
      </c>
      <c r="C589" s="8" t="s">
        <v>1165</v>
      </c>
      <c r="D589" s="9" t="str">
        <f>IFERROR(__xludf.DUMMYFUNCTION("GOOGLETRANSLATE(A589,""ru"",""en"")"),"Polypropylene Polypropylene 1000 Tex 5 kg")</f>
        <v>Polypropylene Polypropylene 1000 Tex 5 kg</v>
      </c>
      <c r="E589" s="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6" t="s">
        <v>1166</v>
      </c>
      <c r="B590" s="7" t="s">
        <v>1166</v>
      </c>
      <c r="C590" s="8" t="s">
        <v>1167</v>
      </c>
      <c r="D590" s="9" t="str">
        <f>IFERROR(__xludf.DUMMYFUNCTION("GOOGLETRANSLATE(A590,""ru"",""en"")"),"Replaceable Block for Air Freshener Glade Automatic Freshness of the morning 269 ml")</f>
        <v>Replaceable Block for Air Freshener Glade Automatic Freshness of the morning 269 ml</v>
      </c>
      <c r="E590" s="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6" t="s">
        <v>1168</v>
      </c>
      <c r="B591" s="7" t="s">
        <v>1168</v>
      </c>
      <c r="C591" s="8" t="s">
        <v>1169</v>
      </c>
      <c r="D591" s="9" t="str">
        <f>IFERROR(__xludf.DUMMYFUNCTION("GOOGLETRANSLATE(A591,""ru"",""en"")"),"Replaceable Block for Air Freshener Glade Automatic Japanese Garden 269 ml")</f>
        <v>Replaceable Block for Air Freshener Glade Automatic Japanese Garden 269 ml</v>
      </c>
      <c r="E591" s="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6" t="s">
        <v>1170</v>
      </c>
      <c r="B592" s="7" t="s">
        <v>1170</v>
      </c>
      <c r="C592" s="8" t="s">
        <v>1171</v>
      </c>
      <c r="D592" s="9" t="str">
        <f>IFERROR(__xludf.DUMMYFUNCTION("GOOGLETRANSLATE(A592,""ru"",""en"")"),"Replaceable unit for air freshener AIR WICK Fairy Garden 250 ml")</f>
        <v>Replaceable unit for air freshener AIR WICK Fairy Garden 250 ml</v>
      </c>
      <c r="E592" s="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6" t="s">
        <v>1172</v>
      </c>
      <c r="B593" s="7" t="s">
        <v>1172</v>
      </c>
      <c r="C593" s="8" t="s">
        <v>1173</v>
      </c>
      <c r="D593" s="9" t="str">
        <f>IFERROR(__xludf.DUMMYFUNCTION("GOOGLETRANSLATE(A593,""ru"",""en"")"),"Galvanized bucket 9 l")</f>
        <v>Galvanized bucket 9 l</v>
      </c>
      <c r="E593" s="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6" t="s">
        <v>1174</v>
      </c>
      <c r="B594" s="7" t="s">
        <v>1174</v>
      </c>
      <c r="C594" s="8" t="s">
        <v>1175</v>
      </c>
      <c r="D594" s="9" t="str">
        <f>IFERROR(__xludf.DUMMYFUNCTION("GOOGLETRANSLATE(A594,""ru"",""en"")"),"Automatic air freshener Glade Automatic morning freshness 269 ml")</f>
        <v>Automatic air freshener Glade Automatic morning freshness 269 ml</v>
      </c>
      <c r="E594" s="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6" t="s">
        <v>1176</v>
      </c>
      <c r="B595" s="7" t="s">
        <v>1176</v>
      </c>
      <c r="C595" s="8" t="s">
        <v>1177</v>
      </c>
      <c r="D595" s="9" t="str">
        <f>IFERROR(__xludf.DUMMYFUNCTION("GOOGLETRANSLATE(A595,""ru"",""en"")"),"Automatic air freshener Glade Automatic apple and cinnamon 269 ml")</f>
        <v>Automatic air freshener Glade Automatic apple and cinnamon 269 ml</v>
      </c>
      <c r="E595" s="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6" t="s">
        <v>1178</v>
      </c>
      <c r="B596" s="7" t="s">
        <v>1178</v>
      </c>
      <c r="C596" s="8" t="s">
        <v>1179</v>
      </c>
      <c r="D596" s="9" t="str">
        <f>IFERROR(__xludf.DUMMYFUNCTION("GOOGLETRANSLATE(A596,""ru"",""en"")"),"Zewa toilet paper plus 12 pcs")</f>
        <v>Zewa toilet paper plus 12 pcs</v>
      </c>
      <c r="E596" s="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6" t="s">
        <v>1180</v>
      </c>
      <c r="B597" s="7" t="s">
        <v>1180</v>
      </c>
      <c r="C597" s="8" t="s">
        <v>1181</v>
      </c>
      <c r="D597" s="9" t="str">
        <f>IFERROR(__xludf.DUMMYFUNCTION("GOOGLETRANSLATE(A597,""ru"",""en"")"),"Mesh for urinal blue")</f>
        <v>Mesh for urinal blue</v>
      </c>
      <c r="E597" s="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6" t="s">
        <v>1182</v>
      </c>
      <c r="B598" s="7" t="s">
        <v>1182</v>
      </c>
      <c r="C598" s="8" t="s">
        <v>1183</v>
      </c>
      <c r="D598" s="9" t="str">
        <f>IFERROR(__xludf.DUMMYFUNCTION("GOOGLETRANSLATE(A598,""ru"",""en"")"),"Toilet paper MAXI 100 Comfort")</f>
        <v>Toilet paper MAXI 100 Comfort</v>
      </c>
      <c r="E598" s="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6" t="s">
        <v>1184</v>
      </c>
      <c r="B599" s="7" t="s">
        <v>1184</v>
      </c>
      <c r="C599" s="8" t="s">
        <v>1185</v>
      </c>
      <c r="D599" s="9" t="str">
        <f>IFERROR(__xludf.DUMMYFUNCTION("GOOGLETRANSLATE(A599,""ru"",""en"")"),"Rolled Paper Towels Premium 2 pcs")</f>
        <v>Rolled Paper Towels Premium 2 pcs</v>
      </c>
      <c r="E599" s="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6" t="s">
        <v>1186</v>
      </c>
      <c r="B600" s="7" t="s">
        <v>1186</v>
      </c>
      <c r="C600" s="8" t="s">
        <v>1187</v>
      </c>
      <c r="D600" s="9" t="str">
        <f>IFERROR(__xludf.DUMMYFUNCTION("GOOGLETRANSLATE(A600,""ru"",""en"")"),"Flaunder 40 cm c fastening pocket")</f>
        <v>Flaunder 40 cm c fastening pocket</v>
      </c>
      <c r="E600" s="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6" t="s">
        <v>1188</v>
      </c>
      <c r="B601" s="7" t="s">
        <v>1188</v>
      </c>
      <c r="C601" s="8" t="s">
        <v>1189</v>
      </c>
      <c r="D601" s="9" t="str">
        <f>IFERROR(__xludf.DUMMYFUNCTION("GOOGLETRANSLATE(A601,""ru"",""en"")"),"Dice 10 mm")</f>
        <v>Dice 10 mm</v>
      </c>
      <c r="E601" s="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6" t="s">
        <v>1190</v>
      </c>
      <c r="B602" s="7" t="s">
        <v>1190</v>
      </c>
      <c r="C602" s="8" t="s">
        <v>1191</v>
      </c>
      <c r="D602" s="9" t="str">
        <f>IFERROR(__xludf.DUMMYFUNCTION("GOOGLETRANSLATE(A602,""ru"",""en"")"),"Packing grid Belset 500 m F2")</f>
        <v>Packing grid Belset 500 m F2</v>
      </c>
      <c r="E602" s="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6" t="s">
        <v>1192</v>
      </c>
      <c r="B603" s="7" t="s">
        <v>1192</v>
      </c>
      <c r="C603" s="8" t="s">
        <v>1193</v>
      </c>
      <c r="D603" s="9" t="str">
        <f>IFERROR(__xludf.DUMMYFUNCTION("GOOGLETRANSLATE(A603,""ru"",""en"")"),"Sponges for dishes Lemon Moon 96x64x42mm 5 pcs")</f>
        <v>Sponges for dishes Lemon Moon 96x64x42mm 5 pcs</v>
      </c>
      <c r="E603" s="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6" t="s">
        <v>1194</v>
      </c>
      <c r="B604" s="7" t="s">
        <v>1194</v>
      </c>
      <c r="C604" s="8" t="s">
        <v>1195</v>
      </c>
      <c r="D604" s="9" t="str">
        <f>IFERROR(__xludf.DUMMYFUNCTION("GOOGLETRANSLATE(A604,""ru"",""en"")"),"Tool cleansing Dangostat 5 l")</f>
        <v>Tool cleansing Dangostat 5 l</v>
      </c>
      <c r="E604" s="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6" t="s">
        <v>1196</v>
      </c>
      <c r="B605" s="7" t="s">
        <v>1196</v>
      </c>
      <c r="C605" s="8" t="s">
        <v>1197</v>
      </c>
      <c r="D605" s="9" t="str">
        <f>IFERROR(__xludf.DUMMYFUNCTION("GOOGLETRANSLATE(A605,""ru"",""en"")"),"Means for washing glass AJM Glass 700 ml")</f>
        <v>Means for washing glass AJM Glass 700 ml</v>
      </c>
      <c r="E605" s="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6" t="s">
        <v>1198</v>
      </c>
      <c r="B606" s="7" t="s">
        <v>1198</v>
      </c>
      <c r="C606" s="8" t="s">
        <v>1199</v>
      </c>
      <c r="D606" s="9" t="str">
        <f>IFERROR(__xludf.DUMMYFUNCTION("GOOGLETRANSLATE(A606,""ru"",""en"")"),"Mop Cotton Beige 40x15 cm (pocket + Ear)")</f>
        <v>Mop Cotton Beige 40x15 cm (pocket + Ear)</v>
      </c>
      <c r="E606" s="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6" t="s">
        <v>1200</v>
      </c>
      <c r="B607" s="7" t="s">
        <v>1200</v>
      </c>
      <c r="C607" s="8" t="s">
        <v>1201</v>
      </c>
      <c r="D607" s="9" t="str">
        <f>IFERROR(__xludf.DUMMYFUNCTION("GOOGLETRANSLATE(A607,""ru"",""en"")"),"Mop Cotton Eco Beige 50x15 cm (pocket + Ear)")</f>
        <v>Mop Cotton Eco Beige 50x15 cm (pocket + Ear)</v>
      </c>
      <c r="E607" s="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6" t="s">
        <v>1202</v>
      </c>
      <c r="B608" s="7" t="s">
        <v>1202</v>
      </c>
      <c r="C608" s="8" t="s">
        <v>1203</v>
      </c>
      <c r="D608" s="9" t="str">
        <f>IFERROR(__xludf.DUMMYFUNCTION("GOOGLETRANSLATE(A608,""ru"",""en"")"),"Dispenser for paper towels Z-addition")</f>
        <v>Dispenser for paper towels Z-addition</v>
      </c>
      <c r="E608" s="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6" t="s">
        <v>1204</v>
      </c>
      <c r="B609" s="7" t="s">
        <v>1204</v>
      </c>
      <c r="C609" s="8" t="s">
        <v>1205</v>
      </c>
      <c r="D609" s="9" t="str">
        <f>IFERROR(__xludf.DUMMYFUNCTION("GOOGLETRANSLATE(A609,""ru"",""en"")"),"Dispenser for European Standard Napkins")</f>
        <v>Dispenser for European Standard Napkins</v>
      </c>
      <c r="E609" s="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6" t="s">
        <v>1206</v>
      </c>
      <c r="B610" s="7" t="s">
        <v>1206</v>
      </c>
      <c r="C610" s="8" t="s">
        <v>1207</v>
      </c>
      <c r="D610" s="9" t="str">
        <f>IFERROR(__xludf.DUMMYFUNCTION("GOOGLETRANSLATE(A610,""ru"",""en"")"),"Replaceable blade for an outdoor scraper")</f>
        <v>Replaceable blade for an outdoor scraper</v>
      </c>
      <c r="E610" s="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6" t="s">
        <v>1208</v>
      </c>
      <c r="B611" s="7" t="s">
        <v>1208</v>
      </c>
      <c r="C611" s="8" t="s">
        <v>1209</v>
      </c>
      <c r="D611" s="9" t="str">
        <f>IFERROR(__xludf.DUMMYFUNCTION("GOOGLETRANSLATE(A611,""ru"",""en"")"),"Handle for the vault aluminum 140 cm")</f>
        <v>Handle for the vault aluminum 140 cm</v>
      </c>
      <c r="E611" s="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6" t="s">
        <v>1210</v>
      </c>
      <c r="B612" s="7" t="s">
        <v>1210</v>
      </c>
      <c r="C612" s="8" t="s">
        <v>1211</v>
      </c>
      <c r="D612" s="9" t="str">
        <f>IFERROR(__xludf.DUMMYFUNCTION("GOOGLETRANSLATE(A612,""ru"",""en"")"),"Hunt Flaunder for dry cleaning 60 cm c fastening pocket")</f>
        <v>Hunt Flaunder for dry cleaning 60 cm c fastening pocket</v>
      </c>
      <c r="E612" s="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6" t="s">
        <v>1212</v>
      </c>
      <c r="B613" s="7" t="s">
        <v>1212</v>
      </c>
      <c r="C613" s="8" t="s">
        <v>1213</v>
      </c>
      <c r="D613" s="9" t="str">
        <f>IFERROR(__xludf.DUMMYFUNCTION("GOOGLETRANSLATE(A613,""ru"",""en"")"),"Economy Flaunder 50 cm (pocket)")</f>
        <v>Economy Flaunder 50 cm (pocket)</v>
      </c>
      <c r="E613" s="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6" t="s">
        <v>1214</v>
      </c>
      <c r="B614" s="7" t="s">
        <v>1214</v>
      </c>
      <c r="C614" s="8" t="s">
        <v>1215</v>
      </c>
      <c r="D614" s="9" t="str">
        <f>IFERROR(__xludf.DUMMYFUNCTION("GOOGLETRANSLATE(A614,""ru"",""en"")"),"Cart chrome 1 bucket 25 l with push nozzle")</f>
        <v>Cart chrome 1 bucket 25 l with push nozzle</v>
      </c>
      <c r="E614" s="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6" t="s">
        <v>1216</v>
      </c>
      <c r="B615" s="7" t="s">
        <v>1216</v>
      </c>
      <c r="C615" s="8" t="s">
        <v>1217</v>
      </c>
      <c r="D615" s="9" t="str">
        <f>IFERROR(__xludf.DUMMYFUNCTION("GOOGLETRANSLATE(A615,""ru"",""en"")"),"Cart for cleaning bucket 25 l with push nozzle")</f>
        <v>Cart for cleaning bucket 25 l with push nozzle</v>
      </c>
      <c r="E615" s="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6" t="s">
        <v>1218</v>
      </c>
      <c r="B616" s="7" t="s">
        <v>1218</v>
      </c>
      <c r="C616" s="8" t="s">
        <v>1219</v>
      </c>
      <c r="D616" s="9" t="str">
        <f>IFERROR(__xludf.DUMMYFUNCTION("GOOGLETRANSLATE(A616,""ru"",""en"")"),"Hunt Hunt Plastic Circuit Holder 35 cm")</f>
        <v>Hunt Hunt Plastic Circuit Holder 35 cm</v>
      </c>
      <c r="E616" s="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6" t="s">
        <v>1220</v>
      </c>
      <c r="B617" s="7" t="s">
        <v>1220</v>
      </c>
      <c r="C617" s="8" t="s">
        <v>1221</v>
      </c>
      <c r="D617" s="9" t="str">
        <f>IFERROR(__xludf.DUMMYFUNCTION("GOOGLETRANSLATE(A617,""ru"",""en"")"),"Replaceable rubber for scraper 35 cm")</f>
        <v>Replaceable rubber for scraper 35 cm</v>
      </c>
      <c r="E617" s="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6" t="s">
        <v>1222</v>
      </c>
      <c r="B618" s="7" t="s">
        <v>1222</v>
      </c>
      <c r="C618" s="8" t="s">
        <v>1223</v>
      </c>
      <c r="D618" s="9" t="str">
        <f>IFERROR(__xludf.DUMMYFUNCTION("GOOGLETRANSLATE(A618,""ru"",""en"")"),"Replaceable rubber for a scraper 45 cm")</f>
        <v>Replaceable rubber for a scraper 45 cm</v>
      </c>
      <c r="E618" s="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6" t="s">
        <v>1224</v>
      </c>
      <c r="B619" s="7" t="s">
        <v>1224</v>
      </c>
      <c r="C619" s="8" t="s">
        <v>1225</v>
      </c>
      <c r="D619" s="9" t="str">
        <f>IFERROR(__xludf.DUMMYFUNCTION("GOOGLETRANSLATE(A619,""ru"",""en"")"),"Telescopic handle 2 m Two-section V.2")</f>
        <v>Telescopic handle 2 m Two-section V.2</v>
      </c>
      <c r="E619" s="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6" t="s">
        <v>1226</v>
      </c>
      <c r="B620" s="7" t="s">
        <v>1226</v>
      </c>
      <c r="C620" s="8" t="s">
        <v>1227</v>
      </c>
      <c r="D620" s="9" t="str">
        <f>IFERROR(__xludf.DUMMYFUNCTION("GOOGLETRANSLATE(A620,""ru"",""en"")"),"Telescopic handle 3 m two-section V.2")</f>
        <v>Telescopic handle 3 m two-section V.2</v>
      </c>
      <c r="E620" s="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6" t="s">
        <v>1228</v>
      </c>
      <c r="B621" s="7" t="s">
        <v>1228</v>
      </c>
      <c r="C621" s="8" t="s">
        <v>1229</v>
      </c>
      <c r="D621" s="9" t="str">
        <f>IFERROR(__xludf.DUMMYFUNCTION("GOOGLETRANSLATE(A621,""ru"",""en"")"),"Coat for washing windows 35 cm")</f>
        <v>Coat for washing windows 35 cm</v>
      </c>
      <c r="E621" s="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6" t="s">
        <v>1230</v>
      </c>
      <c r="B622" s="7" t="s">
        <v>1230</v>
      </c>
      <c r="C622" s="8" t="s">
        <v>1231</v>
      </c>
      <c r="D622" s="9" t="str">
        <f>IFERROR(__xludf.DUMMYFUNCTION("GOOGLETRANSLATE(A622,""ru"",""en"")"),"Bucket rectangular without a cover 22 l")</f>
        <v>Bucket rectangular without a cover 22 l</v>
      </c>
      <c r="E622" s="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6" t="s">
        <v>1232</v>
      </c>
      <c r="B623" s="7" t="s">
        <v>1232</v>
      </c>
      <c r="C623" s="8" t="s">
        <v>1233</v>
      </c>
      <c r="D623" s="9" t="str">
        <f>IFERROR(__xludf.DUMMYFUNCTION("GOOGLETRANSLATE(A623,""ru"",""en"")"),"Hardwood coal 1 grade 3 kg")</f>
        <v>Hardwood coal 1 grade 3 kg</v>
      </c>
      <c r="E623" s="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6" t="s">
        <v>1234</v>
      </c>
      <c r="B624" s="7" t="s">
        <v>1234</v>
      </c>
      <c r="C624" s="8" t="s">
        <v>1235</v>
      </c>
      <c r="D624" s="9" t="str">
        <f>IFERROR(__xludf.DUMMYFUNCTION("GOOGLETRANSLATE(A624,""ru"",""en"")"),"Stinks for brushes 110 cm lime")</f>
        <v>Stinks for brushes 110 cm lime</v>
      </c>
      <c r="E624" s="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6" t="s">
        <v>1236</v>
      </c>
      <c r="B625" s="7" t="s">
        <v>1236</v>
      </c>
      <c r="C625" s="8" t="s">
        <v>1237</v>
      </c>
      <c r="D625" s="9" t="str">
        <f>IFERROR(__xludf.DUMMYFUNCTION("GOOGLETRANSLATE(A625,""ru"",""en"")"),"Washing powder Viksan-Universal automatic 3 kg")</f>
        <v>Washing powder Viksan-Universal automatic 3 kg</v>
      </c>
      <c r="E625" s="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6" t="s">
        <v>1238</v>
      </c>
      <c r="B626" s="7" t="s">
        <v>1238</v>
      </c>
      <c r="C626" s="8" t="s">
        <v>1239</v>
      </c>
      <c r="D626" s="9" t="str">
        <f>IFERROR(__xludf.DUMMYFUNCTION("GOOGLETRANSLATE(A626,""ru"",""en"")"),"Matches-boxes Model Ko-303")</f>
        <v>Matches-boxes Model Ko-303</v>
      </c>
      <c r="E626" s="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6" t="s">
        <v>1240</v>
      </c>
      <c r="B627" s="7" t="s">
        <v>1240</v>
      </c>
      <c r="C627" s="8" t="s">
        <v>1241</v>
      </c>
      <c r="D627" s="9" t="str">
        <f>IFERROR(__xludf.DUMMYFUNCTION("GOOGLETRANSLATE(A627,""ru"",""en"")"),"Baking paper Siliconized hill 38 cm x 100 m")</f>
        <v>Baking paper Siliconized hill 38 cm x 100 m</v>
      </c>
      <c r="E627" s="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6" t="s">
        <v>1114</v>
      </c>
      <c r="B628" s="7" t="s">
        <v>1114</v>
      </c>
      <c r="C628" s="8" t="s">
        <v>1115</v>
      </c>
      <c r="D628" s="9" t="str">
        <f>IFERROR(__xludf.DUMMYFUNCTION("GOOGLETRANSLATE(A628,""ru"",""en"")"),"Baking paper Siliconized hill 38 cm x 50 m")</f>
        <v>Baking paper Siliconized hill 38 cm x 50 m</v>
      </c>
      <c r="E628" s="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6" t="s">
        <v>1242</v>
      </c>
      <c r="B629" s="7" t="s">
        <v>1242</v>
      </c>
      <c r="C629" s="8" t="s">
        <v>1243</v>
      </c>
      <c r="D629" s="9" t="str">
        <f>IFERROR(__xludf.DUMMYFUNCTION("GOOGLETRANSLATE(A629,""ru"",""en"")"),"Toothpicks Bamboo Aviora in paper packaging 500 pcs")</f>
        <v>Toothpicks Bamboo Aviora in paper packaging 500 pcs</v>
      </c>
      <c r="E629" s="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6" t="s">
        <v>1244</v>
      </c>
      <c r="B630" s="7" t="s">
        <v>1244</v>
      </c>
      <c r="C630" s="8" t="s">
        <v>1245</v>
      </c>
      <c r="D630" s="9" t="str">
        <f>IFERROR(__xludf.DUMMYFUNCTION("GOOGLETRANSLATE(A630,""ru"",""en"")"),"Openwork Napkin Round Hill Paper 28 cm 250 pcs")</f>
        <v>Openwork Napkin Round Hill Paper 28 cm 250 pcs</v>
      </c>
      <c r="E630" s="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6" t="s">
        <v>1246</v>
      </c>
      <c r="B631" s="7" t="s">
        <v>1246</v>
      </c>
      <c r="C631" s="8" t="s">
        <v>1247</v>
      </c>
      <c r="D631" s="9" t="str">
        <f>IFERROR(__xludf.DUMMYFUNCTION("GOOGLETRANSLATE(A631,""ru"",""en"")"),"Decorative peaks umbrella 300 pcs")</f>
        <v>Decorative peaks umbrella 300 pcs</v>
      </c>
      <c r="E631" s="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6" t="s">
        <v>1248</v>
      </c>
      <c r="B632" s="7" t="s">
        <v>1248</v>
      </c>
      <c r="C632" s="8" t="s">
        <v>1249</v>
      </c>
      <c r="D632" s="9" t="str">
        <f>IFERROR(__xludf.DUMMYFUNCTION("GOOGLETRANSLATE(A632,""ru"",""en"")"),"Means Disinfecting Tableted Di-Chlorine Extra 1 kg")</f>
        <v>Means Disinfecting Tableted Di-Chlorine Extra 1 kg</v>
      </c>
      <c r="E632" s="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6" t="s">
        <v>1250</v>
      </c>
      <c r="B633" s="7" t="s">
        <v>1250</v>
      </c>
      <c r="C633" s="8" t="s">
        <v>1251</v>
      </c>
      <c r="D633" s="9" t="str">
        <f>IFERROR(__xludf.DUMMYFUNCTION("GOOGLETRANSLATE(A633,""ru"",""en"")"),"Bags for garbage Mirpack PND CLASSIC 30 l 6 microns 50 pcs")</f>
        <v>Bags for garbage Mirpack PND CLASSIC 30 l 6 microns 50 pcs</v>
      </c>
      <c r="E633" s="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6" t="s">
        <v>1252</v>
      </c>
      <c r="B634" s="7" t="s">
        <v>1252</v>
      </c>
      <c r="C634" s="8" t="s">
        <v>1253</v>
      </c>
      <c r="D634" s="9" t="str">
        <f>IFERROR(__xludf.DUMMYFUNCTION("GOOGLETRANSLATE(A634,""ru"",""en"")"),"Bags for garbage Mirpack PND CLASSIC 60 L 6 μm 20 pcs")</f>
        <v>Bags for garbage Mirpack PND CLASSIC 60 L 6 μm 20 pcs</v>
      </c>
      <c r="E634" s="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6" t="s">
        <v>1254</v>
      </c>
      <c r="B635" s="7" t="s">
        <v>1254</v>
      </c>
      <c r="C635" s="8" t="s">
        <v>1255</v>
      </c>
      <c r="D635" s="9" t="str">
        <f>IFERROR(__xludf.DUMMYFUNCTION("GOOGLETRANSLATE(A635,""ru"",""en"")"),"Bags for garbage Mirpack PVD EXTRA Black 120 L 50 μm 10 pcs")</f>
        <v>Bags for garbage Mirpack PVD EXTRA Black 120 L 50 μm 10 pcs</v>
      </c>
      <c r="E635" s="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6" t="s">
        <v>1256</v>
      </c>
      <c r="B636" s="7" t="s">
        <v>1256</v>
      </c>
      <c r="C636" s="8" t="s">
        <v>1257</v>
      </c>
      <c r="D636" s="9" t="str">
        <f>IFERROR(__xludf.DUMMYFUNCTION("GOOGLETRANSLATE(A636,""ru"",""en"")"),"Filling packages in the roller without sleeve 24x37 cm 7 μm 100 pcs")</f>
        <v>Filling packages in the roller without sleeve 24x37 cm 7 μm 100 pcs</v>
      </c>
      <c r="E636" s="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6" t="s">
        <v>1258</v>
      </c>
      <c r="B637" s="7" t="s">
        <v>1258</v>
      </c>
      <c r="C637" s="8" t="s">
        <v>1259</v>
      </c>
      <c r="D637" s="9" t="str">
        <f>IFERROR(__xludf.DUMMYFUNCTION("GOOGLETRANSLATE(A637,""ru"",""en"")"),"Liquid for ignition EUROFIRE 1 l")</f>
        <v>Liquid for ignition EUROFIRE 1 l</v>
      </c>
      <c r="E637" s="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6" t="s">
        <v>1260</v>
      </c>
      <c r="B638" s="7" t="s">
        <v>1260</v>
      </c>
      <c r="C638" s="8" t="s">
        <v>1261</v>
      </c>
      <c r="D638" s="9" t="str">
        <f>IFERROR(__xludf.DUMMYFUNCTION("GOOGLETRANSLATE(A638,""ru"",""en"")"),"Paper towel dispenser with central hood")</f>
        <v>Paper towel dispenser with central hood</v>
      </c>
      <c r="E638" s="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6" t="s">
        <v>1262</v>
      </c>
      <c r="B639" s="7" t="s">
        <v>1262</v>
      </c>
      <c r="C639" s="8" t="s">
        <v>1263</v>
      </c>
      <c r="D639" s="9" t="str">
        <f>IFERROR(__xludf.DUMMYFUNCTION("GOOGLETRANSLATE(A639,""ru"",""en"")"),"MOP standard 40 cm ear")</f>
        <v>MOP standard 40 cm ear</v>
      </c>
      <c r="E639" s="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6" t="s">
        <v>1264</v>
      </c>
      <c r="B640" s="7" t="s">
        <v>1264</v>
      </c>
      <c r="C640" s="8" t="s">
        <v>1265</v>
      </c>
      <c r="D640" s="9" t="str">
        <f>IFERROR(__xludf.DUMMYFUNCTION("GOOGLETRANSLATE(A640,""ru"",""en"")"),"Bayersan 45 cm coat holder")</f>
        <v>Bayersan 45 cm coat holder</v>
      </c>
      <c r="E640" s="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6" t="s">
        <v>1266</v>
      </c>
      <c r="B641" s="7" t="s">
        <v>1266</v>
      </c>
      <c r="C641" s="8" t="s">
        <v>1267</v>
      </c>
      <c r="D641" s="9" t="str">
        <f>IFERROR(__xludf.DUMMYFUNCTION("GOOGLETRANSLATE(A641,""ru"",""en"")"),"Synthetic broom Ecotec 60 cm bristle 7 cm")</f>
        <v>Synthetic broom Ecotec 60 cm bristle 7 cm</v>
      </c>
      <c r="E641" s="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6" t="s">
        <v>1268</v>
      </c>
      <c r="B642" s="7" t="s">
        <v>1268</v>
      </c>
      <c r="C642" s="8" t="s">
        <v>1269</v>
      </c>
      <c r="D642" s="9" t="str">
        <f>IFERROR(__xludf.DUMMYFUNCTION("GOOGLETRANSLATE(A642,""ru"",""en"")"),"Channel for scraper 35 cm")</f>
        <v>Channel for scraper 35 cm</v>
      </c>
      <c r="E642" s="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6" t="s">
        <v>1270</v>
      </c>
      <c r="B643" s="7" t="s">
        <v>1270</v>
      </c>
      <c r="C643" s="8" t="s">
        <v>1271</v>
      </c>
      <c r="D643" s="9" t="str">
        <f>IFERROR(__xludf.DUMMYFUNCTION("GOOGLETRANSLATE(A643,""ru"",""en"")"),"Replaceable channel for a scraper with a rubber band 45 cm")</f>
        <v>Replaceable channel for a scraper with a rubber band 45 cm</v>
      </c>
      <c r="E643" s="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6" t="s">
        <v>1272</v>
      </c>
      <c r="B644" s="7" t="s">
        <v>1272</v>
      </c>
      <c r="C644" s="8" t="s">
        <v>1273</v>
      </c>
      <c r="D644" s="9" t="str">
        <f>IFERROR(__xludf.DUMMYFUNCTION("GOOGLETRANSLATE(A644,""ru"",""en"")"),"Coat for washing windows 45 cm")</f>
        <v>Coat for washing windows 45 cm</v>
      </c>
      <c r="E644" s="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6" t="s">
        <v>1274</v>
      </c>
      <c r="B645" s="7" t="s">
        <v>1274</v>
      </c>
      <c r="C645" s="8" t="s">
        <v>1275</v>
      </c>
      <c r="D645" s="9" t="str">
        <f>IFERROR(__xludf.DUMMYFUNCTION("GOOGLETRANSLATE(A645,""ru"",""en"")"),"Badge Silwerhof 95x56 mm")</f>
        <v>Badge Silwerhof 95x56 mm</v>
      </c>
      <c r="E645" s="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6" t="s">
        <v>1276</v>
      </c>
      <c r="B646" s="7" t="s">
        <v>1276</v>
      </c>
      <c r="C646" s="8" t="s">
        <v>1277</v>
      </c>
      <c r="D646" s="9" t="str">
        <f>IFERROR(__xludf.DUMMYFUNCTION("GOOGLETRANSLATE(A646,""ru"",""en"")"),"Rolled paper towels with central exhaust comfort 100 m. 1 pc")</f>
        <v>Rolled paper towels with central exhaust comfort 100 m. 1 pc</v>
      </c>
      <c r="E646" s="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6" t="s">
        <v>1278</v>
      </c>
      <c r="B647" s="7" t="s">
        <v>1278</v>
      </c>
      <c r="C647" s="8" t="s">
        <v>1279</v>
      </c>
      <c r="D647" s="9" t="str">
        <f>IFERROR(__xludf.DUMMYFUNCTION("GOOGLETRANSLATE(A647,""ru"",""en"")"),"The window of the mammoth of the porporal 20cm with a handle 44 cm blue")</f>
        <v>The window of the mammoth of the porporal 20cm with a handle 44 cm blue</v>
      </c>
      <c r="E647" s="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6" t="s">
        <v>1280</v>
      </c>
      <c r="B648" s="7" t="s">
        <v>1280</v>
      </c>
      <c r="C648" s="8" t="s">
        <v>1281</v>
      </c>
      <c r="D648" s="9" t="str">
        <f>IFERROR(__xludf.DUMMYFUNCTION("GOOGLETRANSLATE(A648,""ru"",""en"")"),"Vacuum pack 60x80 cm")</f>
        <v>Vacuum pack 60x80 cm</v>
      </c>
      <c r="E648" s="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6" t="s">
        <v>1282</v>
      </c>
      <c r="B649" s="7" t="s">
        <v>1282</v>
      </c>
      <c r="C649" s="8" t="s">
        <v>1283</v>
      </c>
      <c r="D649" s="9" t="str">
        <f>IFERROR(__xludf.DUMMYFUNCTION("GOOGLETRANSLATE(A649,""ru"",""en"")"),"Waffle cloth 45 cm density 120 g / m2")</f>
        <v>Waffle cloth 45 cm density 120 g / m2</v>
      </c>
      <c r="E649" s="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6" t="s">
        <v>1284</v>
      </c>
      <c r="B650" s="7" t="s">
        <v>1284</v>
      </c>
      <c r="C650" s="8" t="s">
        <v>1285</v>
      </c>
      <c r="D650" s="9" t="str">
        <f>IFERROR(__xludf.DUMMYFUNCTION("GOOGLETRANSLATE(A650,""ru"",""en"")"),"Stepper Wooden Birch Komfi 20 cm 100 pcs")</f>
        <v>Stepper Wooden Birch Komfi 20 cm 100 pcs</v>
      </c>
      <c r="E650" s="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6" t="s">
        <v>1286</v>
      </c>
      <c r="B651" s="7" t="s">
        <v>1286</v>
      </c>
      <c r="C651" s="8" t="s">
        <v>1287</v>
      </c>
      <c r="D651" s="9" t="str">
        <f>IFERROR(__xludf.DUMMYFUNCTION("GOOGLETRANSLATE(A651,""ru"",""en"")"),"Shapecur Wooden Birch Komfi 30 cm 100 pcs")</f>
        <v>Shapecur Wooden Birch Komfi 30 cm 100 pcs</v>
      </c>
      <c r="E651" s="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6" t="s">
        <v>1288</v>
      </c>
      <c r="B652" s="7" t="s">
        <v>1288</v>
      </c>
      <c r="C652" s="8" t="s">
        <v>1289</v>
      </c>
      <c r="D652" s="9" t="str">
        <f>IFERROR(__xludf.DUMMYFUNCTION("GOOGLETRANSLATE(A652,""ru"",""en"")"),"Package with latch Masterbag Extra 12-17 cm 100 pcs")</f>
        <v>Package with latch Masterbag Extra 12-17 cm 100 pcs</v>
      </c>
      <c r="E652" s="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6" t="s">
        <v>1290</v>
      </c>
      <c r="B653" s="7" t="s">
        <v>1290</v>
      </c>
      <c r="C653" s="8" t="s">
        <v>1291</v>
      </c>
      <c r="D653" s="9" t="str">
        <f>IFERROR(__xludf.DUMMYFUNCTION("GOOGLETRANSLATE(A653,""ru"",""en"")"),"Dishwashing gel Anyday Gloss Blooming May 500 ml")</f>
        <v>Dishwashing gel Anyday Gloss Blooming May 500 ml</v>
      </c>
      <c r="E653" s="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6" t="s">
        <v>1292</v>
      </c>
      <c r="B654" s="7" t="s">
        <v>1292</v>
      </c>
      <c r="C654" s="8" t="s">
        <v>1293</v>
      </c>
      <c r="D654" s="9" t="str">
        <f>IFERROR(__xludf.DUMMYFUNCTION("GOOGLETRANSLATE(A654,""ru"",""en"")"),"Premium Plastic Forks Transparent 18 cm 100 pcs")</f>
        <v>Premium Plastic Forks Transparent 18 cm 100 pcs</v>
      </c>
      <c r="E654" s="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6" t="s">
        <v>1294</v>
      </c>
      <c r="B655" s="7" t="s">
        <v>1294</v>
      </c>
      <c r="C655" s="8" t="s">
        <v>1295</v>
      </c>
      <c r="D655" s="9" t="str">
        <f>IFERROR(__xludf.DUMMYFUNCTION("GOOGLETRANSLATE(A655,""ru"",""en"")"),"Stretch Film 500x17MKM Extra")</f>
        <v>Stretch Film 500x17MKM Extra</v>
      </c>
      <c r="E655" s="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6" t="s">
        <v>1296</v>
      </c>
      <c r="B656" s="7" t="s">
        <v>1296</v>
      </c>
      <c r="C656" s="8" t="s">
        <v>1297</v>
      </c>
      <c r="D656" s="9" t="str">
        <f>IFERROR(__xludf.DUMMYFUNCTION("GOOGLETRANSLATE(A656,""ru"",""en"")"),"Food pelvis rectangular with handles Miracle Marble 18 l")</f>
        <v>Food pelvis rectangular with handles Miracle Marble 18 l</v>
      </c>
      <c r="E656" s="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6" t="s">
        <v>1298</v>
      </c>
      <c r="B657" s="7" t="s">
        <v>1298</v>
      </c>
      <c r="C657" s="8" t="s">
        <v>1299</v>
      </c>
      <c r="D657" s="9" t="str">
        <f>IFERROR(__xludf.DUMMYFUNCTION("GOOGLETRANSLATE(A657,""ru"",""en"")"),"Thermometer TC-7AMK for refrigerators and freezing chambers -35 +50 gr")</f>
        <v>Thermometer TC-7AMK for refrigerators and freezing chambers -35 +50 gr</v>
      </c>
      <c r="E657" s="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6" t="s">
        <v>1300</v>
      </c>
      <c r="B658" s="7" t="s">
        <v>1300</v>
      </c>
      <c r="C658" s="8" t="s">
        <v>1301</v>
      </c>
      <c r="D658" s="9" t="str">
        <f>IFERROR(__xludf.DUMMYFUNCTION("GOOGLETRANSLATE(A658,""ru"",""en"")"),"Soda Calcinated CM-2360 400 g")</f>
        <v>Soda Calcinated CM-2360 400 g</v>
      </c>
      <c r="E658" s="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6" t="s">
        <v>1302</v>
      </c>
      <c r="B659" s="7" t="s">
        <v>1302</v>
      </c>
      <c r="C659" s="8" t="s">
        <v>1303</v>
      </c>
      <c r="D659" s="9" t="str">
        <f>IFERROR(__xludf.DUMMYFUNCTION("GOOGLETRANSLATE(A659,""ru"",""en"")"),"Container 108x82 mm 350 g 100 pieces")</f>
        <v>Container 108x82 mm 350 g 100 pieces</v>
      </c>
      <c r="E659" s="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6" t="s">
        <v>1304</v>
      </c>
      <c r="B660" s="7" t="s">
        <v>1304</v>
      </c>
      <c r="C660" s="8" t="s">
        <v>1305</v>
      </c>
      <c r="D660" s="9" t="str">
        <f>IFERROR(__xludf.DUMMYFUNCTION("GOOGLETRANSLATE(A660,""ru"",""en"")"),"Cover to container 108x82 mm st and 50 pcs")</f>
        <v>Cover to container 108x82 mm st and 50 pcs</v>
      </c>
      <c r="E660" s="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6" t="s">
        <v>1306</v>
      </c>
      <c r="B661" s="7" t="s">
        <v>1306</v>
      </c>
      <c r="C661" s="8" t="s">
        <v>1307</v>
      </c>
      <c r="D661" s="9" t="str">
        <f>IFERROR(__xludf.DUMMYFUNCTION("GOOGLETRANSLATE(A661,""ru"",""en"")"),"Glass PET 200 ml transparent 50 pcs")</f>
        <v>Glass PET 200 ml transparent 50 pcs</v>
      </c>
      <c r="E661" s="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6" t="s">
        <v>1308</v>
      </c>
      <c r="B662" s="7" t="s">
        <v>1308</v>
      </c>
      <c r="C662" s="8" t="s">
        <v>1309</v>
      </c>
      <c r="D662" s="9" t="str">
        <f>IFERROR(__xludf.DUMMYFUNCTION("GOOGLETRANSLATE(A662,""ru"",""en"")"),"Glass Pat 500ml transparent 50 pcs")</f>
        <v>Glass Pat 500ml transparent 50 pcs</v>
      </c>
      <c r="E662" s="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6" t="s">
        <v>1310</v>
      </c>
      <c r="B663" s="7" t="s">
        <v>1310</v>
      </c>
      <c r="C663" s="8" t="s">
        <v>1311</v>
      </c>
      <c r="D663" s="9" t="str">
        <f>IFERROR(__xludf.DUMMYFUNCTION("GOOGLETRANSLATE(A663,""ru"",""en"")"),"Spoons of table plastic white 17 cm 100 pcs")</f>
        <v>Spoons of table plastic white 17 cm 100 pcs</v>
      </c>
      <c r="E663" s="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6" t="s">
        <v>1312</v>
      </c>
      <c r="B664" s="7" t="s">
        <v>1312</v>
      </c>
      <c r="C664" s="8" t="s">
        <v>1313</v>
      </c>
      <c r="D664" s="9" t="str">
        <f>IFERROR(__xludf.DUMMYFUNCTION("GOOGLETRANSLATE(A664,""ru"",""en"")"),"Drinks for drinks Direct Milk black 8x240mm 250 pcs")</f>
        <v>Drinks for drinks Direct Milk black 8x240mm 250 pcs</v>
      </c>
      <c r="E664" s="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6" t="s">
        <v>1314</v>
      </c>
      <c r="B665" s="7" t="s">
        <v>1314</v>
      </c>
      <c r="C665" s="8" t="s">
        <v>1315</v>
      </c>
      <c r="D665" s="9" t="str">
        <f>IFERROR(__xludf.DUMMYFUNCTION("GOOGLETRANSLATE(A665,""ru"",""en"")"),"Decorative peaks Golf 15 cm 100 pcs")</f>
        <v>Decorative peaks Golf 15 cm 100 pcs</v>
      </c>
      <c r="E665" s="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6" t="s">
        <v>1316</v>
      </c>
      <c r="B666" s="7" t="s">
        <v>1316</v>
      </c>
      <c r="C666" s="8" t="s">
        <v>1317</v>
      </c>
      <c r="D666" s="9" t="str">
        <f>IFERROR(__xludf.DUMMYFUNCTION("GOOGLETRANSLATE(A666,""ru"",""en"")"),"Bamboo storage device 14 cm 1000 pcs")</f>
        <v>Bamboo storage device 14 cm 1000 pcs</v>
      </c>
      <c r="E666" s="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6" t="s">
        <v>1318</v>
      </c>
      <c r="B667" s="7" t="s">
        <v>1318</v>
      </c>
      <c r="C667" s="8" t="s">
        <v>1319</v>
      </c>
      <c r="D667" s="9" t="str">
        <f>IFERROR(__xludf.DUMMYFUNCTION("GOOGLETRANSLATE(A667,""ru"",""en"")"),"Package Mike PND 30х16х60 cm 16 μm white 100 pcs")</f>
        <v>Package Mike PND 30х16х60 cm 16 μm white 100 pcs</v>
      </c>
      <c r="E667" s="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6" t="s">
        <v>1320</v>
      </c>
      <c r="B668" s="7" t="s">
        <v>1320</v>
      </c>
      <c r="C668" s="8" t="s">
        <v>1321</v>
      </c>
      <c r="D668" s="9" t="str">
        <f>IFERROR(__xludf.DUMMYFUNCTION("GOOGLETRANSLATE(A668,""ru"",""en"")"),"Packing PACKET PND 25X40 cm 8 μm roll 500 pcs")</f>
        <v>Packing PACKET PND 25X40 cm 8 μm roll 500 pcs</v>
      </c>
      <c r="E668" s="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6" t="s">
        <v>1322</v>
      </c>
      <c r="B669" s="7" t="s">
        <v>1322</v>
      </c>
      <c r="C669" s="8" t="s">
        <v>1323</v>
      </c>
      <c r="D669" s="9" t="str">
        <f>IFERROR(__xludf.DUMMYFUNCTION("GOOGLETRANSLATE(A669,""ru"",""en"")"),"Food film 30 cm x 250 m")</f>
        <v>Food film 30 cm x 250 m</v>
      </c>
      <c r="E669" s="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6" t="s">
        <v>1324</v>
      </c>
      <c r="B670" s="7" t="s">
        <v>1324</v>
      </c>
      <c r="C670" s="8" t="s">
        <v>1325</v>
      </c>
      <c r="D670" s="9" t="str">
        <f>IFERROR(__xludf.DUMMYFUNCTION("GOOGLETRANSLATE(A670,""ru"",""en"")"),"Sharlotte hat 500-704 White nonwoven 100 pcs")</f>
        <v>Sharlotte hat 500-704 White nonwoven 100 pcs</v>
      </c>
      <c r="E670" s="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6" t="s">
        <v>1326</v>
      </c>
      <c r="B671" s="7" t="s">
        <v>1326</v>
      </c>
      <c r="C671" s="8" t="s">
        <v>1327</v>
      </c>
      <c r="D671" s="9" t="str">
        <f>IFERROR(__xludf.DUMMYFUNCTION("GOOGLETRANSLATE(A671,""ru"",""en"")"),"Baking Paper Contentpal PP 38 cm x 10 m")</f>
        <v>Baking Paper Contentpal PP 38 cm x 10 m</v>
      </c>
      <c r="E671" s="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6" t="s">
        <v>1328</v>
      </c>
      <c r="B672" s="7" t="s">
        <v>1328</v>
      </c>
      <c r="C672" s="8" t="s">
        <v>1329</v>
      </c>
      <c r="D672" s="9" t="str">
        <f>IFERROR(__xludf.DUMMYFUNCTION("GOOGLETRANSLATE(A672,""ru"",""en"")"),"Paper for baking Continentpal PP 30 cm x 25 m")</f>
        <v>Paper for baking Continentpal PP 30 cm x 25 m</v>
      </c>
      <c r="E672" s="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6" t="s">
        <v>1330</v>
      </c>
      <c r="B673" s="7" t="s">
        <v>1330</v>
      </c>
      <c r="C673" s="8" t="s">
        <v>1331</v>
      </c>
      <c r="D673" s="9" t="str">
        <f>IFERROR(__xludf.DUMMYFUNCTION("GOOGLETRANSLATE(A673,""ru"",""en"")"),"Baking paper Siliconized Bakery Line 38 cm x 25 m")</f>
        <v>Baking paper Siliconized Bakery Line 38 cm x 25 m</v>
      </c>
      <c r="E673" s="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6" t="s">
        <v>1332</v>
      </c>
      <c r="B674" s="7" t="s">
        <v>1332</v>
      </c>
      <c r="C674" s="8" t="s">
        <v>1333</v>
      </c>
      <c r="D674" s="9" t="str">
        <f>IFERROR(__xludf.DUMMYFUNCTION("GOOGLETRANSLATE(A674,""ru"",""en"")"),"Metal sponges for dishes Contentpal in grid 10 pcs")</f>
        <v>Metal sponges for dishes Contentpal in grid 10 pcs</v>
      </c>
      <c r="E674" s="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6" t="s">
        <v>1334</v>
      </c>
      <c r="B675" s="7" t="s">
        <v>1334</v>
      </c>
      <c r="C675" s="8" t="s">
        <v>1335</v>
      </c>
      <c r="D675" s="9" t="str">
        <f>IFERROR(__xludf.DUMMYFUNCTION("GOOGLETRANSLATE(A675,""ru"",""en"")"),"Metal sponges for dishes Contentpal in grid 3 pcs")</f>
        <v>Metal sponges for dishes Contentpal in grid 3 pcs</v>
      </c>
      <c r="E675" s="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6" t="s">
        <v>1336</v>
      </c>
      <c r="B676" s="7" t="s">
        <v>1336</v>
      </c>
      <c r="C676" s="8" t="s">
        <v>1337</v>
      </c>
      <c r="D676" s="9" t="str">
        <f>IFERROR(__xludf.DUMMYFUNCTION("GOOGLETRANSLATE(A676,""ru"",""en"")"),"Rag for floor eco cotton 50x60 cm")</f>
        <v>Rag for floor eco cotton 50x60 cm</v>
      </c>
      <c r="E676" s="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6" t="s">
        <v>1338</v>
      </c>
      <c r="B677" s="7" t="s">
        <v>1338</v>
      </c>
      <c r="C677" s="8" t="s">
        <v>1339</v>
      </c>
      <c r="D677" s="9" t="str">
        <f>IFERROR(__xludf.DUMMYFUNCTION("GOOGLETRANSLATE(A677,""ru"",""en"")"),"Waffle cloth 40 cm x 50 m Density 125 g / m2")</f>
        <v>Waffle cloth 40 cm x 50 m Density 125 g / m2</v>
      </c>
      <c r="E677" s="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6" t="s">
        <v>1340</v>
      </c>
      <c r="B678" s="7" t="s">
        <v>1340</v>
      </c>
      <c r="C678" s="8" t="s">
        <v>1341</v>
      </c>
      <c r="D678" s="9" t="str">
        <f>IFERROR(__xludf.DUMMYFUNCTION("GOOGLETRANSLATE(A678,""ru"",""en"")"),"Netball 80 cm 100% cotton density 120 g / m2")</f>
        <v>Netball 80 cm 100% cotton density 120 g / m2</v>
      </c>
      <c r="E678" s="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6" t="s">
        <v>1342</v>
      </c>
      <c r="B679" s="7" t="s">
        <v>1342</v>
      </c>
      <c r="C679" s="8" t="s">
        <v>1343</v>
      </c>
      <c r="D679" s="9" t="str">
        <f>IFERROR(__xludf.DUMMYFUNCTION("GOOGLETRANSLATE(A679,""ru"",""en"")"),"Canvas-firmware 80 cm x 50 m white")</f>
        <v>Canvas-firmware 80 cm x 50 m white</v>
      </c>
      <c r="E679" s="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6" t="s">
        <v>1344</v>
      </c>
      <c r="B680" s="7" t="s">
        <v>1344</v>
      </c>
      <c r="C680" s="8" t="s">
        <v>1345</v>
      </c>
      <c r="D680" s="9" t="str">
        <f>IFERROR(__xludf.DUMMYFUNCTION("GOOGLETRANSLATE(A680,""ru"",""en"")"),"Glass PET 300 ml transparent 50 pcs")</f>
        <v>Glass PET 300 ml transparent 50 pcs</v>
      </c>
      <c r="E680" s="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6" t="s">
        <v>1346</v>
      </c>
      <c r="B681" s="7" t="s">
        <v>1346</v>
      </c>
      <c r="C681" s="8" t="s">
        <v>1347</v>
      </c>
      <c r="D681" s="9" t="str">
        <f>IFERROR(__xludf.DUMMYFUNCTION("GOOGLETRANSLATE(A681,""ru"",""en"")"),"Glass PET 400 ml transparent 50 pcs")</f>
        <v>Glass PET 400 ml transparent 50 pcs</v>
      </c>
      <c r="E681" s="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6" t="s">
        <v>1348</v>
      </c>
      <c r="B682" s="7" t="s">
        <v>1348</v>
      </c>
      <c r="C682" s="8" t="s">
        <v>1349</v>
      </c>
      <c r="D682" s="9" t="str">
        <f>IFERROR(__xludf.DUMMYFUNCTION("GOOGLETRANSLATE(A682,""ru"",""en"")"),"Three-layer mask with nasal locks Blue 50 pcs")</f>
        <v>Three-layer mask with nasal locks Blue 50 pcs</v>
      </c>
      <c r="E682" s="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6" t="s">
        <v>1350</v>
      </c>
      <c r="B683" s="7" t="s">
        <v>1350</v>
      </c>
      <c r="C683" s="8" t="s">
        <v>1351</v>
      </c>
      <c r="D683" s="9" t="str">
        <f>IFERROR(__xludf.DUMMYFUNCTION("GOOGLETRANSLATE(A683,""ru"",""en"")"),"Glass PET 200 ml Silicone transparent 50 pcs")</f>
        <v>Glass PET 200 ml Silicone transparent 50 pcs</v>
      </c>
      <c r="E683" s="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6" t="s">
        <v>1352</v>
      </c>
      <c r="B684" s="7" t="s">
        <v>1352</v>
      </c>
      <c r="C684" s="8" t="s">
        <v>1353</v>
      </c>
      <c r="D684" s="9" t="str">
        <f>IFERROR(__xludf.DUMMYFUNCTION("GOOGLETRANSLATE(A684,""ru"",""en"")"),"Glass 250 ml for hot beverages Kraft 50 pcs")</f>
        <v>Glass 250 ml for hot beverages Kraft 50 pcs</v>
      </c>
      <c r="E684" s="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6" t="s">
        <v>1354</v>
      </c>
      <c r="B685" s="7" t="s">
        <v>1354</v>
      </c>
      <c r="C685" s="8" t="s">
        <v>1355</v>
      </c>
      <c r="D685" s="9" t="str">
        <f>IFERROR(__xludf.DUMMYFUNCTION("GOOGLETRANSLATE(A685,""ru"",""en"")"),"Packing mesh Belstinet for protection against birds 2x5 m MR")</f>
        <v>Packing mesh Belstinet for protection against birds 2x5 m MR</v>
      </c>
      <c r="E685" s="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6" t="s">
        <v>1356</v>
      </c>
      <c r="B686" s="7" t="s">
        <v>1356</v>
      </c>
      <c r="C686" s="8" t="s">
        <v>1357</v>
      </c>
      <c r="D686" s="9" t="str">
        <f>IFERROR(__xludf.DUMMYFUNCTION("GOOGLETRANSLATE(A686,""ru"",""en"")"),"Grid Packaging White MR 2x10 m to protect against birds")</f>
        <v>Grid Packaging White MR 2x10 m to protect against birds</v>
      </c>
      <c r="E686" s="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6" t="s">
        <v>1358</v>
      </c>
      <c r="B687" s="7" t="s">
        <v>1358</v>
      </c>
      <c r="C687" s="8" t="s">
        <v>1359</v>
      </c>
      <c r="D687" s="9" t="str">
        <f>IFERROR(__xludf.DUMMYFUNCTION("GOOGLETRANSLATE(A687,""ru"",""en"")"),"Rubberized Apron KSHS 83x110 cm")</f>
        <v>Rubberized Apron KSHS 83x110 cm</v>
      </c>
      <c r="E687" s="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6" t="s">
        <v>1360</v>
      </c>
      <c r="B688" s="7" t="s">
        <v>1360</v>
      </c>
      <c r="C688" s="8" t="s">
        <v>1361</v>
      </c>
      <c r="D688" s="9" t="str">
        <f>IFERROR(__xludf.DUMMYFUNCTION("GOOGLETRANSLATE(A688,""ru"",""en"")"),"AJM dishwashing detergent with glycerin 1 l")</f>
        <v>AJM dishwashing detergent with glycerin 1 l</v>
      </c>
      <c r="E688" s="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6" t="s">
        <v>1362</v>
      </c>
      <c r="B689" s="7" t="s">
        <v>1362</v>
      </c>
      <c r="C689" s="8" t="s">
        <v>1363</v>
      </c>
      <c r="D689" s="9" t="str">
        <f>IFERROR(__xludf.DUMMYFUNCTION("GOOGLETRANSLATE(A689,""ru"",""en"")"),"Remedy cleansing ascami universal acidic acid 11 kg")</f>
        <v>Remedy cleansing ascami universal acidic acid 11 kg</v>
      </c>
      <c r="E689" s="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6" t="s">
        <v>1364</v>
      </c>
      <c r="B690" s="7" t="s">
        <v>1364</v>
      </c>
      <c r="C690" s="8" t="s">
        <v>1365</v>
      </c>
      <c r="D690" s="9" t="str">
        <f>IFERROR(__xludf.DUMMYFUNCTION("GOOGLETRANSLATE(A690,""ru"",""en"")"),"Checking tape heat-sensitive 80x12x60 mm")</f>
        <v>Checking tape heat-sensitive 80x12x60 mm</v>
      </c>
      <c r="E690" s="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6" t="s">
        <v>1366</v>
      </c>
      <c r="B691" s="7" t="s">
        <v>1366</v>
      </c>
      <c r="C691" s="8" t="s">
        <v>1367</v>
      </c>
      <c r="D691" s="9" t="str">
        <f>IFERROR(__xludf.DUMMYFUNCTION("GOOGLETRANSLATE(A691,""ru"",""en"")"),"Sponges mesh plastic 3 pcs")</f>
        <v>Sponges mesh plastic 3 pcs</v>
      </c>
      <c r="E691" s="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6" t="s">
        <v>1368</v>
      </c>
      <c r="B692" s="7" t="s">
        <v>1368</v>
      </c>
      <c r="C692" s="8" t="s">
        <v>1369</v>
      </c>
      <c r="D692" s="9" t="str">
        <f>IFERROR(__xludf.DUMMYFUNCTION("GOOGLETRANSLATE(A692,""ru"",""en"")"),"Gloves Rubber Aviora 5 stars Especially Durable Pr s")</f>
        <v>Gloves Rubber Aviora 5 stars Especially Durable Pr s</v>
      </c>
      <c r="E692" s="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6" t="s">
        <v>1370</v>
      </c>
      <c r="B693" s="7" t="s">
        <v>1370</v>
      </c>
      <c r="C693" s="8" t="s">
        <v>1371</v>
      </c>
      <c r="D693" s="9" t="str">
        <f>IFERROR(__xludf.DUMMYFUNCTION("GOOGLETRANSLATE(A693,""ru"",""en"")"),"Polyethylene gloves Aviora on suspension, rr l 100 pcs")</f>
        <v>Polyethylene gloves Aviora on suspension, rr l 100 pcs</v>
      </c>
      <c r="E693" s="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6" t="s">
        <v>1372</v>
      </c>
      <c r="B694" s="7" t="s">
        <v>1372</v>
      </c>
      <c r="C694" s="8" t="s">
        <v>1373</v>
      </c>
      <c r="D694" s="9" t="str">
        <f>IFERROR(__xludf.DUMMYFUNCTION("GOOGLETRANSLATE(A694,""ru"",""en"")"),"Drinks for drinks straight color 8x240 mm 250 pcs")</f>
        <v>Drinks for drinks straight color 8x240 mm 250 pcs</v>
      </c>
      <c r="E694" s="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6" t="s">
        <v>1374</v>
      </c>
      <c r="B695" s="7" t="s">
        <v>1374</v>
      </c>
      <c r="C695" s="8" t="s">
        <v>1375</v>
      </c>
      <c r="D695" s="9" t="str">
        <f>IFERROR(__xludf.DUMMYFUNCTION("GOOGLETRANSLATE(A695,""ru"",""en"")"),"Sprayer under Taigty F-307 700 ml")</f>
        <v>Sprayer under Taigty F-307 700 ml</v>
      </c>
      <c r="E695" s="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6" t="s">
        <v>1376</v>
      </c>
      <c r="B696" s="7" t="s">
        <v>1376</v>
      </c>
      <c r="C696" s="8" t="s">
        <v>1377</v>
      </c>
      <c r="D696" s="9" t="str">
        <f>IFERROR(__xludf.DUMMYFUNCTION("GOOGLETRANSLATE(A696,""ru"",""en"")"),"Sprayer under Taigty K-205 700 ml")</f>
        <v>Sprayer under Taigty K-205 700 ml</v>
      </c>
      <c r="E696" s="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6" t="s">
        <v>1378</v>
      </c>
      <c r="B697" s="7" t="s">
        <v>1378</v>
      </c>
      <c r="C697" s="8" t="s">
        <v>1379</v>
      </c>
      <c r="D697" s="9" t="str">
        <f>IFERROR(__xludf.DUMMYFUNCTION("GOOGLETRANSLATE(A697,""ru"",""en"")"),"Concentrated universal detergent Taigaet H101 1 l")</f>
        <v>Concentrated universal detergent Taigaet H101 1 l</v>
      </c>
      <c r="E697" s="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6" t="s">
        <v>1380</v>
      </c>
      <c r="B698" s="7" t="s">
        <v>1380</v>
      </c>
      <c r="C698" s="8" t="s">
        <v>1381</v>
      </c>
      <c r="D698" s="9" t="str">
        <f>IFERROR(__xludf.DUMMYFUNCTION("GOOGLETRANSLATE(A698,""ru"",""en"")"),"Concentrated universal detergent Taigaet H101 5 l")</f>
        <v>Concentrated universal detergent Taigaet H101 5 l</v>
      </c>
      <c r="E698" s="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6" t="s">
        <v>1382</v>
      </c>
      <c r="B699" s="7" t="s">
        <v>1382</v>
      </c>
      <c r="C699" s="8" t="s">
        <v>1383</v>
      </c>
      <c r="D699" s="9" t="str">
        <f>IFERROR(__xludf.DUMMYFUNCTION("GOOGLETRANSLATE(A699,""ru"",""en"")"),"Powerful tool for removing Nagara Taigteet K206 5 l")</f>
        <v>Powerful tool for removing Nagara Taigteet K206 5 l</v>
      </c>
      <c r="E699" s="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6" t="s">
        <v>1384</v>
      </c>
      <c r="B700" s="7" t="s">
        <v>1384</v>
      </c>
      <c r="C700" s="8" t="s">
        <v>1385</v>
      </c>
      <c r="D700" s="9" t="str">
        <f>IFERROR(__xludf.DUMMYFUNCTION("GOOGLETRANSLATE(A700,""ru"",""en"")"),"Chlorine-containing alkaline taigteet K215 for cleaning (kitchen) 5 l")</f>
        <v>Chlorine-containing alkaline taigteet K215 for cleaning (kitchen) 5 l</v>
      </c>
      <c r="E700" s="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6" t="s">
        <v>1386</v>
      </c>
      <c r="B701" s="7" t="s">
        <v>1386</v>
      </c>
      <c r="C701" s="8" t="s">
        <v>1387</v>
      </c>
      <c r="D701" s="9" t="str">
        <f>IFERROR(__xludf.DUMMYFUNCTION("GOOGLETRANSLATE(A701,""ru"",""en"")"),"Universal degreasing Taigty Tiget K205 (Safelink) 5 l")</f>
        <v>Universal degreasing Taigty Tiget K205 (Safelink) 5 l</v>
      </c>
      <c r="E701" s="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6" t="s">
        <v>1388</v>
      </c>
      <c r="B702" s="7" t="s">
        <v>1388</v>
      </c>
      <c r="C702" s="8" t="s">
        <v>1389</v>
      </c>
      <c r="D702" s="9" t="str">
        <f>IFERROR(__xludf.DUMMYFUNCTION("GOOGLETRANSLATE(A702,""ru"",""en"")"),"Detergent Taigaet F307 for glossy floors and glass 5 l")</f>
        <v>Detergent Taigaet F307 for glossy floors and glass 5 l</v>
      </c>
      <c r="E702" s="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6" t="s">
        <v>1390</v>
      </c>
      <c r="B703" s="7" t="s">
        <v>1390</v>
      </c>
      <c r="C703" s="8" t="s">
        <v>1391</v>
      </c>
      <c r="D703" s="9" t="str">
        <f>IFERROR(__xludf.DUMMYFUNCTION("GOOGLETRANSLATE(A703,""ru"",""en"")"),"Means for manual washing dishes Taigteet K211 2 l")</f>
        <v>Means for manual washing dishes Taigteet K211 2 l</v>
      </c>
      <c r="E703" s="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6" t="s">
        <v>1392</v>
      </c>
      <c r="B704" s="7" t="s">
        <v>1392</v>
      </c>
      <c r="C704" s="8" t="s">
        <v>1393</v>
      </c>
      <c r="D704" s="9" t="str">
        <f>IFERROR(__xludf.DUMMYFUNCTION("GOOGLETRANSLATE(A704,""ru"",""en"")"),"Low acidic detergent taigaet H109 1 l")</f>
        <v>Low acidic detergent taigaet H109 1 l</v>
      </c>
      <c r="E704" s="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6" t="s">
        <v>1394</v>
      </c>
      <c r="B705" s="7" t="s">
        <v>1394</v>
      </c>
      <c r="C705" s="8" t="s">
        <v>1395</v>
      </c>
      <c r="D705" s="9" t="str">
        <f>IFERROR(__xludf.DUMMYFUNCTION("GOOGLETRANSLATE(A705,""ru"",""en"")"),"Universal degreasing Taigteet K205 1 l")</f>
        <v>Universal degreasing Taigteet K205 1 l</v>
      </c>
      <c r="E705" s="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6" t="s">
        <v>1396</v>
      </c>
      <c r="B706" s="7" t="s">
        <v>1396</v>
      </c>
      <c r="C706" s="8" t="s">
        <v>1397</v>
      </c>
      <c r="D706" s="9" t="str">
        <f>IFERROR(__xludf.DUMMYFUNCTION("GOOGLETRANSLATE(A706,""ru"",""en"")"),"Powerful tool for removing Nagara Taigteet K206 1 l")</f>
        <v>Powerful tool for removing Nagara Taigteet K206 1 l</v>
      </c>
      <c r="E706" s="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6" t="s">
        <v>1398</v>
      </c>
      <c r="B707" s="7" t="s">
        <v>1398</v>
      </c>
      <c r="C707" s="8" t="s">
        <v>1399</v>
      </c>
      <c r="D707" s="9" t="str">
        <f>IFERROR(__xludf.DUMMYFUNCTION("GOOGLETRANSLATE(A707,""ru"",""en"")"),"Chlorine-containing alkaline Taigteet K215 for cleaning (kitchen) 1 l")</f>
        <v>Chlorine-containing alkaline Taigteet K215 for cleaning (kitchen) 1 l</v>
      </c>
      <c r="E707" s="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6" t="s">
        <v>1400</v>
      </c>
      <c r="B708" s="7" t="s">
        <v>1400</v>
      </c>
      <c r="C708" s="8" t="s">
        <v>1401</v>
      </c>
      <c r="D708" s="9" t="str">
        <f>IFERROR(__xludf.DUMMYFUNCTION("GOOGLETRANSLATE(A708,""ru"",""en"")"),"Detergent Taigaet F307 for glossy floors and glass 1 l")</f>
        <v>Detergent Taigaet F307 for glossy floors and glass 1 l</v>
      </c>
      <c r="E708" s="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6" t="s">
        <v>1402</v>
      </c>
      <c r="B709" s="7" t="s">
        <v>1402</v>
      </c>
      <c r="C709" s="8" t="s">
        <v>1403</v>
      </c>
      <c r="D709" s="9" t="str">
        <f>IFERROR(__xludf.DUMMYFUNCTION("GOOGLETRANSLATE(A709,""ru"",""en"")"),"Sprayer under Taigty K-206 Foaming Cleaning 700 ml")</f>
        <v>Sprayer under Taigty K-206 Foaming Cleaning 700 ml</v>
      </c>
      <c r="E709" s="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6" t="s">
        <v>1404</v>
      </c>
      <c r="B710" s="7" t="s">
        <v>1404</v>
      </c>
      <c r="C710" s="8" t="s">
        <v>1405</v>
      </c>
      <c r="D710" s="9" t="str">
        <f>IFERROR(__xludf.DUMMYFUNCTION("GOOGLETRANSLATE(A710,""ru"",""en"")"),"Concentrated means for manual washing dishes Taigteet K-213 1 l")</f>
        <v>Concentrated means for manual washing dishes Taigteet K-213 1 l</v>
      </c>
      <c r="E710" s="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6" t="s">
        <v>1406</v>
      </c>
      <c r="B711" s="7" t="s">
        <v>1406</v>
      </c>
      <c r="C711" s="8" t="s">
        <v>1407</v>
      </c>
      <c r="D711" s="9" t="str">
        <f>IFERROR(__xludf.DUMMYFUNCTION("GOOGLETRANSLATE(A711,""ru"",""en"")"),"Concentrated means for manual washing dishes Taigteet K213 5 l")</f>
        <v>Concentrated means for manual washing dishes Taigteet K213 5 l</v>
      </c>
      <c r="E711" s="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6" t="s">
        <v>1408</v>
      </c>
      <c r="B712" s="7" t="s">
        <v>1408</v>
      </c>
      <c r="C712" s="8" t="s">
        <v>1409</v>
      </c>
      <c r="D712" s="9" t="str">
        <f>IFERROR(__xludf.DUMMYFUNCTION("GOOGLETRANSLATE(A712,""ru"",""en"")"),"Sponges for dishes Lemon Moon 96x64x27mm 5 pcs")</f>
        <v>Sponges for dishes Lemon Moon 96x64x27mm 5 pcs</v>
      </c>
      <c r="E712" s="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6" t="s">
        <v>1410</v>
      </c>
      <c r="B713" s="7" t="s">
        <v>1410</v>
      </c>
      <c r="C713" s="8" t="s">
        <v>1411</v>
      </c>
      <c r="D713" s="9" t="str">
        <f>IFERROR(__xludf.DUMMYFUNCTION("GOOGLETRANSLATE(A713,""ru"",""en"")"),"Sponges for dishes Lemon Moon 87x58x27mm 5 pcs")</f>
        <v>Sponges for dishes Lemon Moon 87x58x27mm 5 pcs</v>
      </c>
      <c r="E713" s="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6" t="s">
        <v>1412</v>
      </c>
      <c r="B714" s="7" t="s">
        <v>1412</v>
      </c>
      <c r="C714" s="8" t="s">
        <v>1413</v>
      </c>
      <c r="D714" s="9" t="str">
        <f>IFERROR(__xludf.DUMMYFUNCTION("GOOGLETRANSLATE(A714,""ru"",""en"")"),"Sponges for dishes Lemon Moon reticulated 96x64x33 mm 4 pcs")</f>
        <v>Sponges for dishes Lemon Moon reticulated 96x64x33 mm 4 pcs</v>
      </c>
      <c r="E714" s="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6" t="s">
        <v>1414</v>
      </c>
      <c r="B715" s="7" t="s">
        <v>1414</v>
      </c>
      <c r="C715" s="8" t="s">
        <v>1415</v>
      </c>
      <c r="D715" s="9" t="str">
        <f>IFERROR(__xludf.DUMMYFUNCTION("GOOGLETRANSLATE(A715,""ru"",""en"")"),"Napkin viscose lemon moon 34x38 cm 10 pcs")</f>
        <v>Napkin viscose lemon moon 34x38 cm 10 pcs</v>
      </c>
      <c r="E715" s="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6" t="s">
        <v>1416</v>
      </c>
      <c r="B716" s="7" t="s">
        <v>1416</v>
      </c>
      <c r="C716" s="8" t="s">
        <v>1417</v>
      </c>
      <c r="D716" s="9" t="str">
        <f>IFERROR(__xludf.DUMMYFUNCTION("GOOGLETRANSLATE(A716,""ru"",""en"")"),"Container for garbage swing beige marble 50 l")</f>
        <v>Container for garbage swing beige marble 50 l</v>
      </c>
      <c r="E716" s="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6" t="s">
        <v>1418</v>
      </c>
      <c r="B717" s="7" t="s">
        <v>1418</v>
      </c>
      <c r="C717" s="8" t="s">
        <v>1419</v>
      </c>
      <c r="D717" s="9" t="str">
        <f>IFERROR(__xludf.DUMMYFUNCTION("GOOGLETRANSLATE(A717,""ru"",""en"")"),"Washing Powder Vera Universal 3 kg")</f>
        <v>Washing Powder Vera Universal 3 kg</v>
      </c>
      <c r="E717" s="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6" t="s">
        <v>1420</v>
      </c>
      <c r="B718" s="7" t="s">
        <v>1420</v>
      </c>
      <c r="C718" s="8" t="s">
        <v>1421</v>
      </c>
      <c r="D718" s="9" t="str">
        <f>IFERROR(__xludf.DUMMYFUNCTION("GOOGLETRANSLATE(A718,""ru"",""en"")"),"Bags for garbage PND 35x42 cm 200 pcs")</f>
        <v>Bags for garbage PND 35x42 cm 200 pcs</v>
      </c>
      <c r="E718" s="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6" t="s">
        <v>286</v>
      </c>
      <c r="B719" s="7" t="s">
        <v>286</v>
      </c>
      <c r="C719" s="8" t="s">
        <v>287</v>
      </c>
      <c r="D719" s="9" t="str">
        <f>IFERROR(__xludf.DUMMYFUNCTION("GOOGLETRANSLATE(A719,""ru"",""en"")"),"Antiseptic for hand treatment DEEOR 1 L")</f>
        <v>Antiseptic for hand treatment DEEOR 1 L</v>
      </c>
      <c r="E719" s="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6" t="s">
        <v>1422</v>
      </c>
      <c r="B720" s="7" t="s">
        <v>1422</v>
      </c>
      <c r="C720" s="8" t="s">
        <v>1423</v>
      </c>
      <c r="D720" s="9" t="str">
        <f>IFERROR(__xludf.DUMMYFUNCTION("GOOGLETRANSLATE(A720,""ru"",""en"")"),"Polyrol For Furniture Pronto 5V1 Scarlet Vera 500 ml")</f>
        <v>Polyrol For Furniture Pronto 5V1 Scarlet Vera 500 ml</v>
      </c>
      <c r="E720" s="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6" t="s">
        <v>1424</v>
      </c>
      <c r="B721" s="7" t="s">
        <v>1424</v>
      </c>
      <c r="C721" s="8" t="s">
        <v>1425</v>
      </c>
      <c r="D721" s="9" t="str">
        <f>IFERROR(__xludf.DUMMYFUNCTION("GOOGLETRANSLATE(A721,""ru"",""en"")"),"Roll toilet paper dispenser 24 cm")</f>
        <v>Roll toilet paper dispenser 24 cm</v>
      </c>
      <c r="E721" s="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6" t="s">
        <v>1426</v>
      </c>
      <c r="B722" s="7" t="s">
        <v>1426</v>
      </c>
      <c r="C722" s="8" t="s">
        <v>1427</v>
      </c>
      <c r="D722" s="9" t="str">
        <f>IFERROR(__xludf.DUMMYFUNCTION("GOOGLETRANSLATE(A722,""ru"",""en"")"),"Dispenser seat for toilet")</f>
        <v>Dispenser seat for toilet</v>
      </c>
      <c r="E722" s="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6" t="s">
        <v>1428</v>
      </c>
      <c r="B723" s="7" t="s">
        <v>1428</v>
      </c>
      <c r="C723" s="8" t="s">
        <v>1429</v>
      </c>
      <c r="D723" s="9" t="str">
        <f>IFERROR(__xludf.DUMMYFUNCTION("GOOGLETRANSLATE(A723,""ru"",""en"")"),"Bookmarks with adhesive edge plastic neon 12x45 mm 5 blocks")</f>
        <v>Bookmarks with adhesive edge plastic neon 12x45 mm 5 blocks</v>
      </c>
      <c r="E723" s="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6" t="s">
        <v>1430</v>
      </c>
      <c r="B724" s="7" t="s">
        <v>1430</v>
      </c>
      <c r="C724" s="8" t="s">
        <v>1431</v>
      </c>
      <c r="D724" s="9" t="str">
        <f>IFERROR(__xludf.DUMMYFUNCTION("GOOGLETRANSLATE(A724,""ru"",""en"")"),"Mop Premium Universal 40 cm (pocket + Ear)")</f>
        <v>Mop Premium Universal 40 cm (pocket + Ear)</v>
      </c>
      <c r="E724" s="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6" t="s">
        <v>1432</v>
      </c>
      <c r="B725" s="7" t="s">
        <v>1432</v>
      </c>
      <c r="C725" s="8" t="s">
        <v>1433</v>
      </c>
      <c r="D725" s="9" t="str">
        <f>IFERROR(__xludf.DUMMYFUNCTION("GOOGLETRANSLATE(A725,""ru"",""en"")"),"Economy Flaunder 40 cm c fastening pocket")</f>
        <v>Economy Flaunder 40 cm c fastening pocket</v>
      </c>
      <c r="E725" s="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6" t="s">
        <v>1434</v>
      </c>
      <c r="B726" s="7" t="s">
        <v>1434</v>
      </c>
      <c r="C726" s="8" t="s">
        <v>1435</v>
      </c>
      <c r="D726" s="9" t="str">
        <f>IFERROR(__xludf.DUMMYFUNCTION("GOOGLETRANSLATE(A726,""ru"",""en"")"),"Economy Flaunder 50 cm c fastening pocket")</f>
        <v>Economy Flaunder 50 cm c fastening pocket</v>
      </c>
      <c r="E726" s="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6" t="s">
        <v>1436</v>
      </c>
      <c r="B727" s="7" t="s">
        <v>1436</v>
      </c>
      <c r="C727" s="8" t="s">
        <v>1437</v>
      </c>
      <c r="D727" s="9" t="str">
        <f>IFERROR(__xludf.DUMMYFUNCTION("GOOGLETRANSLATE(A727,""ru"",""en"")"),"Cleaning trolley 25 l + 25 liters with push nozzle")</f>
        <v>Cleaning trolley 25 l + 25 liters with push nozzle</v>
      </c>
      <c r="E727" s="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6" t="s">
        <v>1438</v>
      </c>
      <c r="B728" s="7" t="s">
        <v>1438</v>
      </c>
      <c r="C728" s="8" t="s">
        <v>1439</v>
      </c>
      <c r="D728" s="9" t="str">
        <f>IFERROR(__xludf.DUMMYFUNCTION("GOOGLETRANSLATE(A728,""ru"",""en"")"),"Telescopic handle 2 m two-section")</f>
        <v>Telescopic handle 2 m two-section</v>
      </c>
      <c r="E728" s="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6" t="s">
        <v>1440</v>
      </c>
      <c r="B729" s="7" t="s">
        <v>1440</v>
      </c>
      <c r="C729" s="8" t="s">
        <v>1441</v>
      </c>
      <c r="D729" s="9" t="str">
        <f>IFERROR(__xludf.DUMMYFUNCTION("GOOGLETRANSLATE(A729,""ru"",""en"")"),"Telescopic handle 3 m two-section")</f>
        <v>Telescopic handle 3 m two-section</v>
      </c>
      <c r="E729" s="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6" t="s">
        <v>1442</v>
      </c>
      <c r="B730" s="7" t="s">
        <v>1442</v>
      </c>
      <c r="C730" s="8" t="s">
        <v>1443</v>
      </c>
      <c r="D730" s="9" t="str">
        <f>IFERROR(__xludf.DUMMYFUNCTION("GOOGLETRANSLATE(A730,""ru"",""en"")"),"Scraper for glass surfaces HUNT 35 cm")</f>
        <v>Scraper for glass surfaces HUNT 35 cm</v>
      </c>
      <c r="E730" s="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6" t="s">
        <v>1444</v>
      </c>
      <c r="B731" s="7" t="s">
        <v>1444</v>
      </c>
      <c r="C731" s="8" t="s">
        <v>1445</v>
      </c>
      <c r="D731" s="9" t="str">
        <f>IFERROR(__xludf.DUMMYFUNCTION("GOOGLETRANSLATE(A731,""ru"",""en"")"),"Corn starch forks biodegradable beige 17.6 cm 50 pcs")</f>
        <v>Corn starch forks biodegradable beige 17.6 cm 50 pcs</v>
      </c>
      <c r="E731" s="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6" t="s">
        <v>1446</v>
      </c>
      <c r="B732" s="7" t="s">
        <v>1446</v>
      </c>
      <c r="C732" s="8" t="s">
        <v>1447</v>
      </c>
      <c r="D732" s="9" t="str">
        <f>IFERROR(__xludf.DUMMYFUNCTION("GOOGLETRANSLATE(A732,""ru"",""en"")"),"Corn Forky Starch Biodegradable Green 17.6 cm 50 pcs")</f>
        <v>Corn Forky Starch Biodegradable Green 17.6 cm 50 pcs</v>
      </c>
      <c r="E732" s="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6" t="s">
        <v>1448</v>
      </c>
      <c r="B733" s="7" t="s">
        <v>1448</v>
      </c>
      <c r="C733" s="8" t="s">
        <v>1449</v>
      </c>
      <c r="D733" s="9" t="str">
        <f>IFERROR(__xludf.DUMMYFUNCTION("GOOGLETRANSLATE(A733,""ru"",""en"")"),"Corn Forky Starch Biodegradable Green 15 cm 50 pcs")</f>
        <v>Corn Forky Starch Biodegradable Green 15 cm 50 pcs</v>
      </c>
      <c r="E733" s="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6" t="s">
        <v>1450</v>
      </c>
      <c r="B734" s="7" t="s">
        <v>1450</v>
      </c>
      <c r="C734" s="8" t="s">
        <v>1451</v>
      </c>
      <c r="D734" s="9" t="str">
        <f>IFERROR(__xludf.DUMMYFUNCTION("GOOGLETRANSLATE(A734,""ru"",""en"")"),"Spoons corn starch biodegradable beige 14.6 cm 50 pcs")</f>
        <v>Spoons corn starch biodegradable beige 14.6 cm 50 pcs</v>
      </c>
      <c r="E734" s="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6" t="s">
        <v>1452</v>
      </c>
      <c r="B735" s="7" t="s">
        <v>1452</v>
      </c>
      <c r="C735" s="8" t="s">
        <v>1453</v>
      </c>
      <c r="D735" s="9" t="str">
        <f>IFERROR(__xludf.DUMMYFUNCTION("GOOGLETRANSLATE(A735,""ru"",""en"")"),"Spoons corn starch biodegradable green 14.6 cm 50 pcs")</f>
        <v>Spoons corn starch biodegradable green 14.6 cm 50 pcs</v>
      </c>
      <c r="E735" s="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6" t="s">
        <v>1454</v>
      </c>
      <c r="B736" s="7" t="s">
        <v>1454</v>
      </c>
      <c r="C736" s="8" t="s">
        <v>1455</v>
      </c>
      <c r="D736" s="9" t="str">
        <f>IFERROR(__xludf.DUMMYFUNCTION("GOOGLETRANSLATE(A736,""ru"",""en"")"),"Knives corn starch biodegradable green 16 cm 50 pcs")</f>
        <v>Knives corn starch biodegradable green 16 cm 50 pcs</v>
      </c>
      <c r="E736" s="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6" t="s">
        <v>1456</v>
      </c>
      <c r="B737" s="7" t="s">
        <v>1456</v>
      </c>
      <c r="C737" s="8" t="s">
        <v>1457</v>
      </c>
      <c r="D737" s="9" t="str">
        <f>IFERROR(__xludf.DUMMYFUNCTION("GOOGLETRANSLATE(A737,""ru"",""en"")"),"Soup Biodegradable Sugar Cane 480 ml 50 pcs")</f>
        <v>Soup Biodegradable Sugar Cane 480 ml 50 pcs</v>
      </c>
      <c r="E737" s="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6" t="s">
        <v>1458</v>
      </c>
      <c r="B738" s="7" t="s">
        <v>1458</v>
      </c>
      <c r="C738" s="8" t="s">
        <v>1459</v>
      </c>
      <c r="D738" s="9" t="str">
        <f>IFERROR(__xludf.DUMMYFUNCTION("GOOGLETRANSLATE(A738,""ru"",""en"")"),"Plate biodegradable sugarcane 180 mm 50 pcs")</f>
        <v>Plate biodegradable sugarcane 180 mm 50 pcs</v>
      </c>
      <c r="E738" s="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6" t="s">
        <v>1460</v>
      </c>
      <c r="B739" s="7" t="s">
        <v>1460</v>
      </c>
      <c r="C739" s="8" t="s">
        <v>1461</v>
      </c>
      <c r="D739" s="9" t="str">
        <f>IFERROR(__xludf.DUMMYFUNCTION("GOOGLETRANSLATE(A739,""ru"",""en"")"),"Plate biodegradable sugarcane 230 mm 50 pcs")</f>
        <v>Plate biodegradable sugarcane 230 mm 50 pcs</v>
      </c>
      <c r="E739" s="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6" t="s">
        <v>1462</v>
      </c>
      <c r="B740" s="7" t="s">
        <v>1462</v>
      </c>
      <c r="C740" s="8" t="s">
        <v>1463</v>
      </c>
      <c r="D740" s="9" t="str">
        <f>IFERROR(__xludf.DUMMYFUNCTION("GOOGLETRANSLATE(A740,""ru"",""en"")"),"Glass 180 ml for hot drinks charge color 50 pcs")</f>
        <v>Glass 180 ml for hot drinks charge color 50 pcs</v>
      </c>
      <c r="E740" s="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6" t="s">
        <v>1464</v>
      </c>
      <c r="B741" s="7" t="s">
        <v>1464</v>
      </c>
      <c r="C741" s="8" t="s">
        <v>1465</v>
      </c>
      <c r="D741" s="9" t="str">
        <f>IFERROR(__xludf.DUMMYFUNCTION("GOOGLETRANSLATE(A741,""ru"",""en"")"),"Glass 250 ml for hot drinks Modern beige 50 pcs")</f>
        <v>Glass 250 ml for hot drinks Modern beige 50 pcs</v>
      </c>
      <c r="E741" s="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6" t="s">
        <v>1466</v>
      </c>
      <c r="B742" s="7" t="s">
        <v>1466</v>
      </c>
      <c r="C742" s="8" t="s">
        <v>1467</v>
      </c>
      <c r="D742" s="9" t="str">
        <f>IFERROR(__xludf.DUMMYFUNCTION("GOOGLETRANSLATE(A742,""ru"",""en"")"),"Plate paper round 225 mm 100 pcs")</f>
        <v>Plate paper round 225 mm 100 pcs</v>
      </c>
      <c r="E742" s="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6" t="s">
        <v>1468</v>
      </c>
      <c r="B743" s="7" t="s">
        <v>1468</v>
      </c>
      <c r="C743" s="8" t="s">
        <v>1469</v>
      </c>
      <c r="D743" s="9" t="str">
        <f>IFERROR(__xludf.DUMMYFUNCTION("GOOGLETRANSLATE(A743,""ru"",""en"")"),"Cleaning tool Sanoks 5 l")</f>
        <v>Cleaning tool Sanoks 5 l</v>
      </c>
      <c r="E743" s="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6" t="s">
        <v>1470</v>
      </c>
      <c r="B744" s="7" t="s">
        <v>1470</v>
      </c>
      <c r="C744" s="8" t="s">
        <v>1471</v>
      </c>
      <c r="D744" s="9" t="str">
        <f>IFERROR(__xludf.DUMMYFUNCTION("GOOGLETRANSLATE(A744,""ru"",""en"")"),"Container 108x82 mm 125 g 100 pieces")</f>
        <v>Container 108x82 mm 125 g 100 pieces</v>
      </c>
      <c r="E744" s="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6" t="s">
        <v>1472</v>
      </c>
      <c r="B745" s="7" t="s">
        <v>1472</v>
      </c>
      <c r="C745" s="8" t="s">
        <v>1473</v>
      </c>
      <c r="D745" s="9" t="str">
        <f>IFERROR(__xludf.DUMMYFUNCTION("GOOGLETRANSLATE(A745,""ru"",""en"")"),"Lunch box 2-section 100 pieces")</f>
        <v>Lunch box 2-section 100 pieces</v>
      </c>
      <c r="E745" s="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6" t="s">
        <v>1474</v>
      </c>
      <c r="B746" s="7" t="s">
        <v>1474</v>
      </c>
      <c r="C746" s="8" t="s">
        <v>1475</v>
      </c>
      <c r="D746" s="9" t="str">
        <f>IFERROR(__xludf.DUMMYFUNCTION("GOOGLETRANSLATE(A746,""ru"",""en"")"),"Lunch box 3-section 100 pieces")</f>
        <v>Lunch box 3-section 100 pieces</v>
      </c>
      <c r="E746" s="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6" t="s">
        <v>1476</v>
      </c>
      <c r="B747" s="7" t="s">
        <v>1476</v>
      </c>
      <c r="C747" s="8" t="s">
        <v>1477</v>
      </c>
      <c r="D747" s="9" t="str">
        <f>IFERROR(__xludf.DUMMYFUNCTION("GOOGLETRANSLATE(A747,""ru"",""en"")"),"Lunch box without sections 100 pcs")</f>
        <v>Lunch box without sections 100 pcs</v>
      </c>
      <c r="E747" s="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6" t="s">
        <v>1478</v>
      </c>
      <c r="B748" s="7" t="s">
        <v>1478</v>
      </c>
      <c r="C748" s="8" t="s">
        <v>1479</v>
      </c>
      <c r="D748" s="9" t="str">
        <f>IFERROR(__xludf.DUMMYFUNCTION("GOOGLETRANSLATE(A748,""ru"",""en"")"),"PET 95 cover dome with hole 50 pcs")</f>
        <v>PET 95 cover dome with hole 50 pcs</v>
      </c>
      <c r="E748" s="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6" t="s">
        <v>1480</v>
      </c>
      <c r="B749" s="7" t="s">
        <v>1480</v>
      </c>
      <c r="C749" s="8" t="s">
        <v>1481</v>
      </c>
      <c r="D749" s="9" t="str">
        <f>IFERROR(__xludf.DUMMYFUNCTION("GOOGLETRANSLATE(A749,""ru"",""en"")"),"Toothpicks with Bank Hard Economy 100 pcs")</f>
        <v>Toothpicks with Bank Hard Economy 100 pcs</v>
      </c>
      <c r="E749" s="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6" t="s">
        <v>1482</v>
      </c>
      <c r="B750" s="7" t="s">
        <v>1482</v>
      </c>
      <c r="C750" s="8" t="s">
        <v>1483</v>
      </c>
      <c r="D750" s="9" t="str">
        <f>IFERROR(__xludf.DUMMYFUNCTION("GOOGLETRANSLATE(A750,""ru"",""en"")"),"Sticks for sushi 23 cm in prostrate pack 100 pcs")</f>
        <v>Sticks for sushi 23 cm in prostrate pack 100 pcs</v>
      </c>
      <c r="E750" s="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6" t="s">
        <v>1484</v>
      </c>
      <c r="B751" s="7" t="s">
        <v>1484</v>
      </c>
      <c r="C751" s="8" t="s">
        <v>1485</v>
      </c>
      <c r="D751" s="9" t="str">
        <f>IFERROR(__xludf.DUMMYFUNCTION("GOOGLETRANSLATE(A751,""ru"",""en"")"),"Packing Packages PND Economy EuroBack for Dispenser 24x37 cm 8 μm 1000 pcs")</f>
        <v>Packing Packages PND Economy EuroBack for Dispenser 24x37 cm 8 μm 1000 pcs</v>
      </c>
      <c r="E751" s="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6" t="s">
        <v>1486</v>
      </c>
      <c r="B752" s="7" t="s">
        <v>1486</v>
      </c>
      <c r="C752" s="8" t="s">
        <v>1487</v>
      </c>
      <c r="D752" s="9" t="str">
        <f>IFERROR(__xludf.DUMMYFUNCTION("GOOGLETRANSLATE(A752,""ru"",""en"")"),"Tablecloth Flis Contentpal White 110-140")</f>
        <v>Tablecloth Flis Contentpal White 110-140</v>
      </c>
      <c r="E752" s="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6" t="s">
        <v>1488</v>
      </c>
      <c r="B753" s="7" t="s">
        <v>1488</v>
      </c>
      <c r="C753" s="8" t="s">
        <v>1489</v>
      </c>
      <c r="D753" s="9" t="str">
        <f>IFERROR(__xludf.DUMMYFUNCTION("GOOGLETRANSLATE(A753,""ru"",""en"")"),"Tablecloth Flis Contntentpak Salad 110-140")</f>
        <v>Tablecloth Flis Contntentpak Salad 110-140</v>
      </c>
      <c r="E753" s="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6" t="s">
        <v>1490</v>
      </c>
      <c r="B754" s="7" t="s">
        <v>1490</v>
      </c>
      <c r="C754" s="8" t="s">
        <v>1491</v>
      </c>
      <c r="D754" s="9" t="str">
        <f>IFERROR(__xludf.DUMMYFUNCTION("GOOGLETRANSLATE(A754,""ru"",""en"")"),"Confectionery bag H-45 100pcs")</f>
        <v>Confectionery bag H-45 100pcs</v>
      </c>
      <c r="E754" s="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6" t="s">
        <v>1492</v>
      </c>
      <c r="B755" s="7" t="s">
        <v>1492</v>
      </c>
      <c r="C755" s="8" t="s">
        <v>1493</v>
      </c>
      <c r="D755" s="9" t="str">
        <f>IFERROR(__xludf.DUMMYFUNCTION("GOOGLETRANSLATE(A755,""ru"",""en"")"),"Rag for sex Eco Cotton 60x80 cm")</f>
        <v>Rag for sex Eco Cotton 60x80 cm</v>
      </c>
      <c r="E755" s="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6" t="s">
        <v>1494</v>
      </c>
      <c r="B756" s="7" t="s">
        <v>1494</v>
      </c>
      <c r="C756" s="8" t="s">
        <v>1495</v>
      </c>
      <c r="D756" s="9" t="str">
        <f>IFERROR(__xludf.DUMMYFUNCTION("GOOGLETRANSLATE(A756,""ru"",""en"")"),"Microfiber napkin 29x29 cm green")</f>
        <v>Microfiber napkin 29x29 cm green</v>
      </c>
      <c r="E756" s="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6" t="s">
        <v>1496</v>
      </c>
      <c r="B757" s="7" t="s">
        <v>1496</v>
      </c>
      <c r="C757" s="8" t="s">
        <v>1497</v>
      </c>
      <c r="D757" s="9" t="str">
        <f>IFERROR(__xludf.DUMMYFUNCTION("GOOGLETRANSLATE(A757,""ru"",""en"")"),"Non-woven ovens protective hooded")</f>
        <v>Non-woven ovens protective hooded</v>
      </c>
      <c r="E757" s="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6" t="s">
        <v>1498</v>
      </c>
      <c r="B758" s="7" t="s">
        <v>1498</v>
      </c>
      <c r="C758" s="8" t="s">
        <v>1499</v>
      </c>
      <c r="D758" s="9" t="str">
        <f>IFERROR(__xludf.DUMMYFUNCTION("GOOGLETRANSLATE(A758,""ru"",""en"")"),"Protective glasses F1 Fiberon Profi")</f>
        <v>Protective glasses F1 Fiberon Profi</v>
      </c>
      <c r="E758" s="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6" t="s">
        <v>1500</v>
      </c>
      <c r="B759" s="7" t="s">
        <v>1500</v>
      </c>
      <c r="C759" s="8" t="s">
        <v>1501</v>
      </c>
      <c r="D759" s="9" t="str">
        <f>IFERROR(__xludf.DUMMYFUNCTION("GOOGLETRANSLATE(A759,""ru"",""en"")"),"Dichloofos Nadzor №1")</f>
        <v>Dichloofos Nadzor №1</v>
      </c>
      <c r="E759" s="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6" t="s">
        <v>1502</v>
      </c>
      <c r="B760" s="7" t="s">
        <v>1502</v>
      </c>
      <c r="C760" s="8" t="s">
        <v>1503</v>
      </c>
      <c r="D760" s="9" t="str">
        <f>IFERROR(__xludf.DUMMYFUNCTION("GOOGLETRANSLATE(A760,""ru"",""en"")"),"Tool for washing dishes Fairy green apple 450 ml")</f>
        <v>Tool for washing dishes Fairy green apple 450 ml</v>
      </c>
      <c r="E760" s="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6" t="s">
        <v>1504</v>
      </c>
      <c r="B761" s="7" t="s">
        <v>1504</v>
      </c>
      <c r="C761" s="8" t="s">
        <v>1505</v>
      </c>
      <c r="D761" s="9" t="str">
        <f>IFERROR(__xludf.DUMMYFUNCTION("GOOGLETRANSLATE(A761,""ru"",""en"")"),"Tool for washing dishes Fairy Juicy lemon 450 ml")</f>
        <v>Tool for washing dishes Fairy Juicy lemon 450 ml</v>
      </c>
      <c r="E761" s="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6" t="s">
        <v>1506</v>
      </c>
      <c r="B762" s="7" t="s">
        <v>1506</v>
      </c>
      <c r="C762" s="8" t="s">
        <v>1507</v>
      </c>
      <c r="D762" s="9" t="str">
        <f>IFERROR(__xludf.DUMMYFUNCTION("GOOGLETRANSLATE(A762,""ru"",""en"")"),"Gloves nitrile Nefoed Aviora black Rr XL 100 pieces")</f>
        <v>Gloves nitrile Nefoed Aviora black Rr XL 100 pieces</v>
      </c>
      <c r="E762" s="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6" t="s">
        <v>1508</v>
      </c>
      <c r="B763" s="7" t="s">
        <v>1508</v>
      </c>
      <c r="C763" s="8" t="s">
        <v>1509</v>
      </c>
      <c r="D763" s="9" t="str">
        <f>IFERROR(__xludf.DUMMYFUNCTION("GOOGLETRANSLATE(A763,""ru"",""en"")"),"Sushi sticks 23 cm bamboo in paper pack 100 pcs")</f>
        <v>Sushi sticks 23 cm bamboo in paper pack 100 pcs</v>
      </c>
      <c r="E763" s="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6" t="s">
        <v>1510</v>
      </c>
      <c r="B764" s="7" t="s">
        <v>1510</v>
      </c>
      <c r="C764" s="8" t="s">
        <v>1511</v>
      </c>
      <c r="D764" s="9" t="str">
        <f>IFERROR(__xludf.DUMMYFUNCTION("GOOGLETRANSLATE(A764,""ru"",""en"")"),"Baking paper Siliconized 57 x 78 cm White 500 l")</f>
        <v>Baking paper Siliconized 57 x 78 cm White 500 l</v>
      </c>
      <c r="E764" s="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6" t="s">
        <v>1512</v>
      </c>
      <c r="B765" s="7" t="s">
        <v>1512</v>
      </c>
      <c r="C765" s="8" t="s">
        <v>1513</v>
      </c>
      <c r="D765" s="9" t="str">
        <f>IFERROR(__xludf.DUMMYFUNCTION("GOOGLETRANSLATE(A765,""ru"",""en"")"),"Premium Plastic Fork Transparent 18 cm 50 pcs")</f>
        <v>Premium Plastic Fork Transparent 18 cm 50 pcs</v>
      </c>
      <c r="E765" s="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6" t="s">
        <v>1514</v>
      </c>
      <c r="B766" s="7" t="s">
        <v>1514</v>
      </c>
      <c r="C766" s="8" t="s">
        <v>1515</v>
      </c>
      <c r="D766" s="9" t="str">
        <f>IFERROR(__xludf.DUMMYFUNCTION("GOOGLETRANSLATE(A766,""ru"",""en"")"),"Spoons Premium Cutlery Plastic Transparent 18 cm 50 pcs")</f>
        <v>Spoons Premium Cutlery Plastic Transparent 18 cm 50 pcs</v>
      </c>
      <c r="E766" s="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6" t="s">
        <v>1516</v>
      </c>
      <c r="B767" s="7" t="s">
        <v>1516</v>
      </c>
      <c r="C767" s="8" t="s">
        <v>1517</v>
      </c>
      <c r="D767" s="9" t="str">
        <f>IFERROR(__xludf.DUMMYFUNCTION("GOOGLETRANSLATE(A767,""ru"",""en"")"),"Fork premium plastic black 18 cm 50 pcs")</f>
        <v>Fork premium plastic black 18 cm 50 pcs</v>
      </c>
      <c r="E767" s="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6" t="s">
        <v>1518</v>
      </c>
      <c r="B768" s="7" t="s">
        <v>1518</v>
      </c>
      <c r="C768" s="8" t="s">
        <v>1519</v>
      </c>
      <c r="D768" s="9" t="str">
        <f>IFERROR(__xludf.DUMMYFUNCTION("GOOGLETRANSLATE(A768,""ru"",""en"")"),"Spoons Premium Cutlery Plastic Black 18 cm 50 pcs")</f>
        <v>Spoons Premium Cutlery Plastic Black 18 cm 50 pcs</v>
      </c>
      <c r="E768" s="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6" t="s">
        <v>1520</v>
      </c>
      <c r="B769" s="7" t="s">
        <v>1520</v>
      </c>
      <c r="C769" s="8" t="s">
        <v>1521</v>
      </c>
      <c r="D769" s="9" t="str">
        <f>IFERROR(__xludf.DUMMYFUNCTION("GOOGLETRANSLATE(A769,""ru"",""en"")"),"Premium plastic knives transparent 18 cm 50 pcs")</f>
        <v>Premium plastic knives transparent 18 cm 50 pcs</v>
      </c>
      <c r="E769" s="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6" t="s">
        <v>1522</v>
      </c>
      <c r="B770" s="7" t="s">
        <v>1522</v>
      </c>
      <c r="C770" s="8" t="s">
        <v>1523</v>
      </c>
      <c r="D770" s="9" t="str">
        <f>IFERROR(__xludf.DUMMYFUNCTION("GOOGLETRANSLATE(A770,""ru"",""en"")"),"Polypropylene Polypropylene 1000 Tex 5 kg")</f>
        <v>Polypropylene Polypropylene 1000 Tex 5 kg</v>
      </c>
      <c r="E770" s="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6" t="s">
        <v>1524</v>
      </c>
      <c r="B771" s="7" t="s">
        <v>1524</v>
      </c>
      <c r="C771" s="8" t="s">
        <v>1525</v>
      </c>
      <c r="D771" s="9" t="str">
        <f>IFERROR(__xludf.DUMMYFUNCTION("GOOGLETRANSLATE(A771,""ru"",""en"")"),"MOP smarter velvet orange / mint 44x14 cm pocket")</f>
        <v>MOP smarter velvet orange / mint 44x14 cm pocket</v>
      </c>
      <c r="E771" s="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6" t="s">
        <v>1526</v>
      </c>
      <c r="B772" s="7" t="s">
        <v>1526</v>
      </c>
      <c r="C772" s="8" t="s">
        <v>1527</v>
      </c>
      <c r="D772" s="9" t="str">
        <f>IFERROR(__xludf.DUMMYFUNCTION("GOOGLETRANSLATE(A772,""ru"",""en"")"),"MOP smarter velvet orange / salad 44x14 cm pocket")</f>
        <v>MOP smarter velvet orange / salad 44x14 cm pocket</v>
      </c>
      <c r="E772" s="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6" t="s">
        <v>1528</v>
      </c>
      <c r="B773" s="7" t="s">
        <v>1528</v>
      </c>
      <c r="C773" s="8" t="s">
        <v>1529</v>
      </c>
      <c r="D773" s="9" t="str">
        <f>IFERROR(__xludf.DUMMYFUNCTION("GOOGLETRANSLATE(A773,""ru"",""en"")"),"Mop smarter Suite Yellow-Green Stripe 44x15 cm Pocket")</f>
        <v>Mop smarter Suite Yellow-Green Stripe 44x15 cm Pocket</v>
      </c>
      <c r="E773" s="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6" t="s">
        <v>1530</v>
      </c>
      <c r="B774" s="7" t="s">
        <v>1530</v>
      </c>
      <c r="C774" s="8" t="s">
        <v>1531</v>
      </c>
      <c r="D774" s="9" t="str">
        <f>IFERROR(__xludf.DUMMYFUNCTION("GOOGLETRANSLATE(A774,""ru"",""en"")"),"Drinks for drinks with corrugated color 5x210 mm 250 pcs")</f>
        <v>Drinks for drinks with corrugated color 5x210 mm 250 pcs</v>
      </c>
      <c r="E774" s="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6" t="s">
        <v>1532</v>
      </c>
      <c r="B775" s="7" t="s">
        <v>1532</v>
      </c>
      <c r="C775" s="8" t="s">
        <v>1533</v>
      </c>
      <c r="D775" s="9" t="str">
        <f>IFERROR(__xludf.DUMMYFUNCTION("GOOGLETRANSLATE(A775,""ru"",""en"")"),"Rolled Paper Towels Familia Rainbow Two-Layer 2 pcs")</f>
        <v>Rolled Paper Towels Familia Rainbow Two-Layer 2 pcs</v>
      </c>
      <c r="E775" s="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6" t="s">
        <v>1298</v>
      </c>
      <c r="B776" s="7" t="s">
        <v>1298</v>
      </c>
      <c r="C776" s="8" t="s">
        <v>1299</v>
      </c>
      <c r="D776" s="9" t="str">
        <f>IFERROR(__xludf.DUMMYFUNCTION("GOOGLETRANSLATE(A776,""ru"",""en"")"),"Thermometer TC-7AMK for refrigerators and freezing chambers -35 +50 gr")</f>
        <v>Thermometer TC-7AMK for refrigerators and freezing chambers -35 +50 gr</v>
      </c>
      <c r="E776" s="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6" t="s">
        <v>1534</v>
      </c>
      <c r="B777" s="7" t="s">
        <v>1534</v>
      </c>
      <c r="C777" s="8" t="s">
        <v>1535</v>
      </c>
      <c r="D777" s="9" t="str">
        <f>IFERROR(__xludf.DUMMYFUNCTION("GOOGLETRANSLATE(A777,""ru"",""en"")"),"Paper tubes 6x197 mm White-red stripes 250 pcs")</f>
        <v>Paper tubes 6x197 mm White-red stripes 250 pcs</v>
      </c>
      <c r="E777" s="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6" t="s">
        <v>1536</v>
      </c>
      <c r="B778" s="7" t="s">
        <v>1536</v>
      </c>
      <c r="C778" s="8" t="s">
        <v>1537</v>
      </c>
      <c r="D778" s="9" t="str">
        <f>IFERROR(__xludf.DUMMYFUNCTION("GOOGLETRANSLATE(A778,""ru"",""en"")"),"Paper tubes 6x197 mm White-blue strips 250 pcs")</f>
        <v>Paper tubes 6x197 mm White-blue strips 250 pcs</v>
      </c>
      <c r="E778" s="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6" t="s">
        <v>1538</v>
      </c>
      <c r="B779" s="7" t="s">
        <v>1538</v>
      </c>
      <c r="C779" s="8" t="s">
        <v>1539</v>
      </c>
      <c r="D779" s="9" t="str">
        <f>IFERROR(__xludf.DUMMYFUNCTION("GOOGLETRANSLATE(A779,""ru"",""en"")"),"Paper tubes 8x240mm White-red stripes 250 pcs")</f>
        <v>Paper tubes 8x240mm White-red stripes 250 pcs</v>
      </c>
      <c r="E779" s="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6" t="s">
        <v>1540</v>
      </c>
      <c r="B780" s="7" t="s">
        <v>1540</v>
      </c>
      <c r="C780" s="8" t="s">
        <v>1541</v>
      </c>
      <c r="D780" s="9" t="str">
        <f>IFERROR(__xludf.DUMMYFUNCTION("GOOGLETRANSLATE(A780,""ru"",""en"")"),"Hood-takes Charlotte White 100 pcs")</f>
        <v>Hood-takes Charlotte White 100 pcs</v>
      </c>
      <c r="E780" s="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6" t="s">
        <v>1542</v>
      </c>
      <c r="B781" s="7" t="s">
        <v>1542</v>
      </c>
      <c r="C781" s="8" t="s">
        <v>1543</v>
      </c>
      <c r="D781" s="9" t="str">
        <f>IFERROR(__xludf.DUMMYFUNCTION("GOOGLETRANSLATE(A781,""ru"",""en"")"),"Rag from microfiber Standard 60 x 80 cm 250 sm blue")</f>
        <v>Rag from microfiber Standard 60 x 80 cm 250 sm blue</v>
      </c>
      <c r="E781" s="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6" t="s">
        <v>1544</v>
      </c>
      <c r="B782" s="7" t="s">
        <v>1544</v>
      </c>
      <c r="C782" s="8" t="s">
        <v>1545</v>
      </c>
      <c r="D782" s="9" t="str">
        <f>IFERROR(__xludf.DUMMYFUNCTION("GOOGLETRANSLATE(A782,""ru"",""en"")"),"Leaf Paper Towels Interpaper V-Addition")</f>
        <v>Leaf Paper Towels Interpaper V-Addition</v>
      </c>
      <c r="E782" s="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6" t="s">
        <v>1546</v>
      </c>
      <c r="B783" s="7" t="s">
        <v>1546</v>
      </c>
      <c r="C783" s="8" t="s">
        <v>1547</v>
      </c>
      <c r="D783" s="9" t="str">
        <f>IFERROR(__xludf.DUMMYFUNCTION("GOOGLETRANSLATE(A783,""ru"",""en"")"),"Focus PREMIUM V Fold Toilet Paper")</f>
        <v>Focus PREMIUM V Fold Toilet Paper</v>
      </c>
      <c r="E783" s="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6" t="s">
        <v>1548</v>
      </c>
      <c r="B784" s="7" t="s">
        <v>1548</v>
      </c>
      <c r="C784" s="8" t="s">
        <v>1549</v>
      </c>
      <c r="D784" s="9" t="str">
        <f>IFERROR(__xludf.DUMMYFUNCTION("GOOGLETRANSLATE(A784,""ru"",""en"")"),"Three-glimmer business broom")</f>
        <v>Three-glimmer business broom</v>
      </c>
      <c r="E784" s="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6" t="s">
        <v>1550</v>
      </c>
      <c r="B785" s="7" t="s">
        <v>1550</v>
      </c>
      <c r="C785" s="8" t="s">
        <v>1551</v>
      </c>
      <c r="D785" s="9" t="str">
        <f>IFERROR(__xludf.DUMMYFUNCTION("GOOGLETRANSLATE(A785,""ru"",""en"")"),"Lunch box LB-1 white 100 pcs")</f>
        <v>Lunch box LB-1 white 100 pcs</v>
      </c>
      <c r="E785" s="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6" t="s">
        <v>1552</v>
      </c>
      <c r="B786" s="7" t="s">
        <v>1552</v>
      </c>
      <c r="C786" s="8" t="s">
        <v>1553</v>
      </c>
      <c r="D786" s="9" t="str">
        <f>IFERROR(__xludf.DUMMYFUNCTION("GOOGLETRANSLATE(A786,""ru"",""en"")"),"X / B Gloves 13 Class with Single Latex Coating")</f>
        <v>X / B Gloves 13 Class with Single Latex Coating</v>
      </c>
      <c r="E786" s="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6" t="s">
        <v>1554</v>
      </c>
      <c r="B787" s="7" t="s">
        <v>1554</v>
      </c>
      <c r="C787" s="8" t="s">
        <v>1555</v>
      </c>
      <c r="D787" s="9" t="str">
        <f>IFERROR(__xludf.DUMMYFUNCTION("GOOGLETRANSLATE(A787,""ru"",""en"")"),"Means for cleaning and polishing surfaces of stainless steel Taigty H104 0.65 l")</f>
        <v>Means for cleaning and polishing surfaces of stainless steel Taigty H104 0.65 l</v>
      </c>
      <c r="E787" s="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6" t="s">
        <v>1556</v>
      </c>
      <c r="B788" s="7" t="s">
        <v>1556</v>
      </c>
      <c r="C788" s="8" t="s">
        <v>1557</v>
      </c>
      <c r="D788" s="9" t="str">
        <f>IFERROR(__xludf.DUMMYFUNCTION("GOOGLETRANSLATE(A788,""ru"",""en"")"),"Concentrated taigte disinfectant K214 5 l")</f>
        <v>Concentrated taigte disinfectant K214 5 l</v>
      </c>
      <c r="E788" s="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6" t="s">
        <v>1558</v>
      </c>
      <c r="B789" s="7" t="s">
        <v>1558</v>
      </c>
      <c r="C789" s="8" t="s">
        <v>1559</v>
      </c>
      <c r="D789" s="9" t="str">
        <f>IFERROR(__xludf.DUMMYFUNCTION("GOOGLETRANSLATE(A789,""ru"",""en"")"),"Taigata Taigapet Topfit Exclusive 1 l")</f>
        <v>Taigata Taigapet Topfit Exclusive 1 l</v>
      </c>
      <c r="E789" s="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6" t="s">
        <v>1560</v>
      </c>
      <c r="B790" s="7" t="s">
        <v>1560</v>
      </c>
      <c r="C790" s="8" t="s">
        <v>1561</v>
      </c>
      <c r="D790" s="9" t="str">
        <f>IFERROR(__xludf.DUMMYFUNCTION("GOOGLETRANSLATE(A790,""ru"",""en"")"),"Disinfectant-skin antiseptic Taigteet P505 1 l")</f>
        <v>Disinfectant-skin antiseptic Taigteet P505 1 l</v>
      </c>
      <c r="E790" s="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6" t="s">
        <v>1562</v>
      </c>
      <c r="B791" s="7" t="s">
        <v>1562</v>
      </c>
      <c r="C791" s="8" t="s">
        <v>1563</v>
      </c>
      <c r="D791" s="9" t="str">
        <f>IFERROR(__xludf.DUMMYFUNCTION("GOOGLETRANSLATE(A791,""ru"",""en"")"),"Antibacterial foam soap Taigty deolin-n R506 1 l")</f>
        <v>Antibacterial foam soap Taigty deolin-n R506 1 l</v>
      </c>
      <c r="E791" s="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6" t="s">
        <v>1564</v>
      </c>
      <c r="B792" s="7" t="s">
        <v>1564</v>
      </c>
      <c r="C792" s="8" t="s">
        <v>1565</v>
      </c>
      <c r="D792" s="9" t="str">
        <f>IFERROR(__xludf.DUMMYFUNCTION("GOOGLETRANSLATE(A792,""ru"",""en"")"),"Concentrated Taigty Disinfectant Deson Ultra K-214 1 l")</f>
        <v>Concentrated Taigty Disinfectant Deson Ultra K-214 1 l</v>
      </c>
      <c r="E792" s="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6" t="s">
        <v>1566</v>
      </c>
      <c r="B793" s="7" t="s">
        <v>1566</v>
      </c>
      <c r="C793" s="8" t="s">
        <v>1567</v>
      </c>
      <c r="D793" s="9" t="str">
        <f>IFERROR(__xludf.DUMMYFUNCTION("GOOGLETRANSLATE(A793,""ru"",""en"")"),"Paper Snow Maiden A3, 500L, 80g / m2")</f>
        <v>Paper Snow Maiden A3, 500L, 80g / m2</v>
      </c>
      <c r="E793" s="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6" t="s">
        <v>1568</v>
      </c>
      <c r="B794" s="7" t="s">
        <v>1568</v>
      </c>
      <c r="C794" s="8" t="s">
        <v>1569</v>
      </c>
      <c r="D794" s="9" t="str">
        <f>IFERROR(__xludf.DUMMYFUNCTION("GOOGLETRANSLATE(A794,""ru"",""en"")"),"Broom sorghum with a stalk")</f>
        <v>Broom sorghum with a stalk</v>
      </c>
      <c r="E794" s="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6" t="s">
        <v>1570</v>
      </c>
      <c r="B795" s="7" t="s">
        <v>1570</v>
      </c>
      <c r="C795" s="8" t="s">
        <v>1571</v>
      </c>
      <c r="D795" s="9" t="str">
        <f>IFERROR(__xludf.DUMMYFUNCTION("GOOGLETRANSLATE(A795,""ru"",""en"")"),"Dishwashing detergent Vixan Economy chamomile 5 l")</f>
        <v>Dishwashing detergent Vixan Economy chamomile 5 l</v>
      </c>
      <c r="E795" s="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6" t="s">
        <v>1572</v>
      </c>
      <c r="B796" s="7" t="s">
        <v>1572</v>
      </c>
      <c r="C796" s="8" t="s">
        <v>1573</v>
      </c>
      <c r="D796" s="9" t="str">
        <f>IFERROR(__xludf.DUMMYFUNCTION("GOOGLETRANSLATE(A796,""ru"",""en"")"),"Hygrometer VIT-1 Verification to 03.2023")</f>
        <v>Hygrometer VIT-1 Verification to 03.2023</v>
      </c>
      <c r="E796" s="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6" t="s">
        <v>1574</v>
      </c>
      <c r="B797" s="7" t="s">
        <v>1574</v>
      </c>
      <c r="C797" s="8" t="s">
        <v>1575</v>
      </c>
      <c r="D797" s="9" t="str">
        <f>IFERROR(__xludf.DUMMYFUNCTION("GOOGLETRANSLATE(A797,""ru"",""en"")"),"Liquid soap Smartikon 5 l")</f>
        <v>Liquid soap Smartikon 5 l</v>
      </c>
      <c r="E797" s="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6" t="s">
        <v>1576</v>
      </c>
      <c r="B798" s="7" t="s">
        <v>1576</v>
      </c>
      <c r="C798" s="8" t="s">
        <v>1577</v>
      </c>
      <c r="D798" s="9" t="str">
        <f>IFERROR(__xludf.DUMMYFUNCTION("GOOGLETRANSLATE(A798,""ru"",""en"")"),"Cream-soap Smartikon 5 l")</f>
        <v>Cream-soap Smartikon 5 l</v>
      </c>
      <c r="E798" s="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6" t="s">
        <v>1578</v>
      </c>
      <c r="B799" s="7" t="s">
        <v>1578</v>
      </c>
      <c r="C799" s="8" t="s">
        <v>1579</v>
      </c>
      <c r="D799" s="9" t="str">
        <f>IFERROR(__xludf.DUMMYFUNCTION("GOOGLETRANSLATE(A799,""ru"",""en"")"),"Polyethylene disposable spout 100 pcs")</f>
        <v>Polyethylene disposable spout 100 pcs</v>
      </c>
      <c r="E799" s="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6" t="s">
        <v>1580</v>
      </c>
      <c r="B800" s="7" t="s">
        <v>1580</v>
      </c>
      <c r="C800" s="8" t="s">
        <v>1581</v>
      </c>
      <c r="D800" s="9" t="str">
        <f>IFERROR(__xludf.DUMMYFUNCTION("GOOGLETRANSLATE(A800,""ru"",""en"")"),"Black polyester gloves with nitrile coating PR 10")</f>
        <v>Black polyester gloves with nitrile coating PR 10</v>
      </c>
      <c r="E800" s="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6" t="s">
        <v>1582</v>
      </c>
      <c r="B801" s="7" t="s">
        <v>1582</v>
      </c>
      <c r="C801" s="8" t="s">
        <v>1583</v>
      </c>
      <c r="D801" s="9" t="str">
        <f>IFERROR(__xludf.DUMMYFUNCTION("GOOGLETRANSLATE(A801,""ru"",""en"")"),"Means Cleansing MSK Universal 11 kg")</f>
        <v>Means Cleansing MSK Universal 11 kg</v>
      </c>
      <c r="E801" s="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6" t="s">
        <v>1584</v>
      </c>
      <c r="B802" s="7" t="s">
        <v>1584</v>
      </c>
      <c r="C802" s="8" t="s">
        <v>1585</v>
      </c>
      <c r="D802" s="9" t="str">
        <f>IFERROR(__xludf.DUMMYFUNCTION("GOOGLETRANSLATE(A802,""ru"",""en"")"),"Glass 250 ml for hot beverages Black 50 pcs")</f>
        <v>Glass 250 ml for hot beverages Black 50 pcs</v>
      </c>
      <c r="E802" s="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6" t="s">
        <v>1586</v>
      </c>
      <c r="B803" s="7" t="s">
        <v>1586</v>
      </c>
      <c r="C803" s="8" t="s">
        <v>1587</v>
      </c>
      <c r="D803" s="9" t="str">
        <f>IFERROR(__xludf.DUMMYFUNCTION("GOOGLETRANSLATE(A803,""ru"",""en"")"),"Glass 250 ml for hot drinks Red 50 pcs")</f>
        <v>Glass 250 ml for hot drinks Red 50 pcs</v>
      </c>
      <c r="E803" s="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6" t="s">
        <v>1588</v>
      </c>
      <c r="B804" s="7" t="s">
        <v>1588</v>
      </c>
      <c r="C804" s="8" t="s">
        <v>1589</v>
      </c>
      <c r="D804" s="9" t="str">
        <f>IFERROR(__xludf.DUMMYFUNCTION("GOOGLETRANSLATE(A804,""ru"",""en"")"),"Glass 250 ml for hot drinks Yellow 50 pcs")</f>
        <v>Glass 250 ml for hot drinks Yellow 50 pcs</v>
      </c>
      <c r="E804" s="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6" t="s">
        <v>1590</v>
      </c>
      <c r="B805" s="7" t="s">
        <v>1590</v>
      </c>
      <c r="C805" s="8" t="s">
        <v>1591</v>
      </c>
      <c r="D805" s="9" t="str">
        <f>IFERROR(__xludf.DUMMYFUNCTION("GOOGLETRANSLATE(A805,""ru"",""en"")"),"Glass 250 ml for hot drinks Turkish coffee 50 pcs")</f>
        <v>Glass 250 ml for hot drinks Turkish coffee 50 pcs</v>
      </c>
      <c r="E805" s="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6" t="s">
        <v>1592</v>
      </c>
      <c r="B806" s="7" t="s">
        <v>1592</v>
      </c>
      <c r="C806" s="8" t="s">
        <v>1593</v>
      </c>
      <c r="D806" s="9" t="str">
        <f>IFERROR(__xludf.DUMMYFUNCTION("GOOGLETRANSLATE(A806,""ru"",""en"")"),"Plate paper round 185 mm 100 pcs")</f>
        <v>Plate paper round 185 mm 100 pcs</v>
      </c>
      <c r="E806" s="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6" t="s">
        <v>1594</v>
      </c>
      <c r="B807" s="7" t="s">
        <v>1594</v>
      </c>
      <c r="C807" s="8" t="s">
        <v>1595</v>
      </c>
      <c r="D807" s="9" t="str">
        <f>IFERROR(__xludf.DUMMYFUNCTION("GOOGLETRANSLATE(A807,""ru"",""en"")"),"Air Freshener Toilex Evening Cool 300 ml")</f>
        <v>Air Freshener Toilex Evening Cool 300 ml</v>
      </c>
      <c r="E807" s="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6" t="s">
        <v>1596</v>
      </c>
      <c r="B808" s="7" t="s">
        <v>1596</v>
      </c>
      <c r="C808" s="8" t="s">
        <v>1597</v>
      </c>
      <c r="D808" s="9" t="str">
        <f>IFERROR(__xludf.DUMMYFUNCTION("GOOGLETRANSLATE(A808,""ru"",""en"")"),"Air freshener toilex cherry with almonds 300 ml")</f>
        <v>Air freshener toilex cherry with almonds 300 ml</v>
      </c>
      <c r="E808" s="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6" t="s">
        <v>1598</v>
      </c>
      <c r="B809" s="7" t="s">
        <v>1598</v>
      </c>
      <c r="C809" s="8" t="s">
        <v>1599</v>
      </c>
      <c r="D809" s="9" t="str">
        <f>IFERROR(__xludf.DUMMYFUNCTION("GOOGLETRANSLATE(A809,""ru"",""en"")"),"Air Freshener Toilex Green Apple 300 ml")</f>
        <v>Air Freshener Toilex Green Apple 300 ml</v>
      </c>
      <c r="E809" s="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6" t="s">
        <v>1600</v>
      </c>
      <c r="B810" s="7" t="s">
        <v>1600</v>
      </c>
      <c r="C810" s="8" t="s">
        <v>1601</v>
      </c>
      <c r="D810" s="9" t="str">
        <f>IFERROR(__xludf.DUMMYFUNCTION("GOOGLETRANSLATE(A810,""ru"",""en"")"),"Air Freshener Toilex Forest Berry 300 ml")</f>
        <v>Air Freshener Toilex Forest Berry 300 ml</v>
      </c>
      <c r="E810" s="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6" t="s">
        <v>1602</v>
      </c>
      <c r="B811" s="7" t="s">
        <v>1602</v>
      </c>
      <c r="C811" s="8" t="s">
        <v>1603</v>
      </c>
      <c r="D811" s="9" t="str">
        <f>IFERROR(__xludf.DUMMYFUNCTION("GOOGLETRANSLATE(A811,""ru"",""en"")"),"Air Freshener Toilex Sea Breeze 300 ml")</f>
        <v>Air Freshener Toilex Sea Breeze 300 ml</v>
      </c>
      <c r="E811" s="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6" t="s">
        <v>1604</v>
      </c>
      <c r="B812" s="7" t="s">
        <v>1604</v>
      </c>
      <c r="C812" s="8" t="s">
        <v>1605</v>
      </c>
      <c r="D812" s="9" t="str">
        <f>IFERROR(__xludf.DUMMYFUNCTION("GOOGLETRANSLATE(A812,""ru"",""en"")"),"Air freshener toilex celestial line 300 ml")</f>
        <v>Air freshener toilex celestial line 300 ml</v>
      </c>
      <c r="E812" s="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6" t="s">
        <v>1606</v>
      </c>
      <c r="B813" s="7" t="s">
        <v>1606</v>
      </c>
      <c r="C813" s="8" t="s">
        <v>1607</v>
      </c>
      <c r="D813" s="9" t="str">
        <f>IFERROR(__xludf.DUMMYFUNCTION("GOOGLETRANSLATE(A813,""ru"",""en"")"),"Air freshener Tilex conifer 300 ml")</f>
        <v>Air freshener Tilex conifer 300 ml</v>
      </c>
      <c r="E813" s="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6" t="s">
        <v>1608</v>
      </c>
      <c r="B814" s="7" t="s">
        <v>1608</v>
      </c>
      <c r="C814" s="8" t="s">
        <v>1609</v>
      </c>
      <c r="D814" s="9" t="str">
        <f>IFERROR(__xludf.DUMMYFUNCTION("GOOGLETRANSLATE(A814,""ru"",""en"")"),"Air Freshener Toilex Citrus 300 ml")</f>
        <v>Air Freshener Toilex Citrus 300 ml</v>
      </c>
      <c r="E814" s="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6" t="s">
        <v>1610</v>
      </c>
      <c r="B815" s="7" t="s">
        <v>1610</v>
      </c>
      <c r="C815" s="8" t="s">
        <v>1611</v>
      </c>
      <c r="D815" s="9" t="str">
        <f>IFERROR(__xludf.DUMMYFUNCTION("GOOGLETRANSLATE(A815,""ru"",""en"")"),"Casual tape 57x12x17 tr")</f>
        <v>Casual tape 57x12x17 tr</v>
      </c>
      <c r="E815" s="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6" t="s">
        <v>1612</v>
      </c>
      <c r="B816" s="7" t="s">
        <v>1612</v>
      </c>
      <c r="C816" s="8" t="s">
        <v>1613</v>
      </c>
      <c r="D816" s="9" t="str">
        <f>IFERROR(__xludf.DUMMYFUNCTION("GOOGLETRANSLATE(A816,""ru"",""en"")"),"Separate glasses 200 ml 100 pcs")</f>
        <v>Separate glasses 200 ml 100 pcs</v>
      </c>
      <c r="E816" s="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6" t="s">
        <v>1614</v>
      </c>
      <c r="B817" s="7" t="s">
        <v>1614</v>
      </c>
      <c r="C817" s="8" t="s">
        <v>1615</v>
      </c>
      <c r="D817" s="9" t="str">
        <f>IFERROR(__xludf.DUMMYFUNCTION("GOOGLETRANSLATE(A817,""ru"",""en"")"),"Cups coffee brown 180 ml 70 pcs")</f>
        <v>Cups coffee brown 180 ml 70 pcs</v>
      </c>
      <c r="E817" s="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6" t="s">
        <v>1616</v>
      </c>
      <c r="B818" s="7" t="s">
        <v>1616</v>
      </c>
      <c r="C818" s="8" t="s">
        <v>1617</v>
      </c>
      <c r="D818" s="9" t="str">
        <f>IFERROR(__xludf.DUMMYFUNCTION("GOOGLETRANSLATE(A818,""ru"",""en"")"),"Cups Coffee White-Brown 200ml 50 pcs")</f>
        <v>Cups Coffee White-Brown 200ml 50 pcs</v>
      </c>
      <c r="E818" s="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6" t="s">
        <v>1618</v>
      </c>
      <c r="B819" s="7" t="s">
        <v>1618</v>
      </c>
      <c r="C819" s="8" t="s">
        <v>1619</v>
      </c>
      <c r="D819" s="9" t="str">
        <f>IFERROR(__xludf.DUMMYFUNCTION("GOOGLETRANSLATE(A819,""ru"",""en"")"),"Plastic plastic plastic 220mm 50 pcs")</f>
        <v>Plastic plastic plastic 220mm 50 pcs</v>
      </c>
      <c r="E819" s="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6" t="s">
        <v>1620</v>
      </c>
      <c r="B820" s="7" t="s">
        <v>1620</v>
      </c>
      <c r="C820" s="8" t="s">
        <v>1621</v>
      </c>
      <c r="D820" s="9" t="str">
        <f>IFERROR(__xludf.DUMMYFUNCTION("GOOGLETRANSLATE(A820,""ru"",""en"")"),"Gloves Household Lotus Contntentpak Rr S")</f>
        <v>Gloves Household Lotus Contntentpak Rr S</v>
      </c>
      <c r="E820" s="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6" t="s">
        <v>1622</v>
      </c>
      <c r="B821" s="7" t="s">
        <v>1622</v>
      </c>
      <c r="C821" s="8" t="s">
        <v>1623</v>
      </c>
      <c r="D821" s="9" t="str">
        <f>IFERROR(__xludf.DUMMYFUNCTION("GOOGLETRANSLATE(A821,""ru"",""en"")"),"Plugs Elite Plastic Transparent 18 cm 100 pcs")</f>
        <v>Plugs Elite Plastic Transparent 18 cm 100 pcs</v>
      </c>
      <c r="E821" s="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6" t="s">
        <v>1624</v>
      </c>
      <c r="B822" s="7" t="s">
        <v>1624</v>
      </c>
      <c r="C822" s="8" t="s">
        <v>1625</v>
      </c>
      <c r="D822" s="9" t="str">
        <f>IFERROR(__xludf.DUMMYFUNCTION("GOOGLETRANSLATE(A822,""ru"",""en"")"),"Knives Elite Plastic Transparent 18 cm 100 pcs")</f>
        <v>Knives Elite Plastic Transparent 18 cm 100 pcs</v>
      </c>
      <c r="E822" s="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6" t="s">
        <v>1626</v>
      </c>
      <c r="B823" s="7" t="s">
        <v>1626</v>
      </c>
      <c r="C823" s="8" t="s">
        <v>1627</v>
      </c>
      <c r="D823" s="9" t="str">
        <f>IFERROR(__xludf.DUMMYFUNCTION("GOOGLETRANSLATE(A823,""ru"",""en"")"),"Spoons Elite Table Plastic Transparent 18 cm 100 pcs")</f>
        <v>Spoons Elite Table Plastic Transparent 18 cm 100 pcs</v>
      </c>
      <c r="E823" s="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6" t="s">
        <v>1628</v>
      </c>
      <c r="B824" s="7" t="s">
        <v>1628</v>
      </c>
      <c r="C824" s="8" t="s">
        <v>1629</v>
      </c>
      <c r="D824" s="9" t="str">
        <f>IFERROR(__xludf.DUMMYFUNCTION("GOOGLETRANSLATE(A824,""ru"",""en"")"),"Paper Towels Focus Extra V-addition Single-layer 24x21.5 cm Cellulose")</f>
        <v>Paper Towels Focus Extra V-addition Single-layer 24x21.5 cm Cellulose</v>
      </c>
      <c r="E824" s="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6" t="s">
        <v>1274</v>
      </c>
      <c r="B825" s="7" t="s">
        <v>1274</v>
      </c>
      <c r="C825" s="8" t="s">
        <v>1275</v>
      </c>
      <c r="D825" s="9" t="str">
        <f>IFERROR(__xludf.DUMMYFUNCTION("GOOGLETRANSLATE(A825,""ru"",""en"")"),"Badge Silwerhof 95x56 mm")</f>
        <v>Badge Silwerhof 95x56 mm</v>
      </c>
      <c r="E825" s="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6" t="s">
        <v>1630</v>
      </c>
      <c r="B826" s="7" t="s">
        <v>1630</v>
      </c>
      <c r="C826" s="8" t="s">
        <v>1631</v>
      </c>
      <c r="D826" s="9" t="str">
        <f>IFERROR(__xludf.DUMMYFUNCTION("GOOGLETRANSLATE(A826,""ru"",""en"")"),"Decorative peaks soccer ball 70 pcs")</f>
        <v>Decorative peaks soccer ball 70 pcs</v>
      </c>
      <c r="E826" s="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6" t="s">
        <v>1632</v>
      </c>
      <c r="B827" s="7" t="s">
        <v>1632</v>
      </c>
      <c r="C827" s="8" t="s">
        <v>1633</v>
      </c>
      <c r="D827" s="9" t="str">
        <f>IFERROR(__xludf.DUMMYFUNCTION("GOOGLETRANSLATE(A827,""ru"",""en"")"),"Decorative peaks MINI Golf 15 cm 100 pcs")</f>
        <v>Decorative peaks MINI Golf 15 cm 100 pcs</v>
      </c>
      <c r="E827" s="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6" t="s">
        <v>1634</v>
      </c>
      <c r="B828" s="7" t="s">
        <v>1634</v>
      </c>
      <c r="C828" s="8" t="s">
        <v>1635</v>
      </c>
      <c r="D828" s="9" t="str">
        <f>IFERROR(__xludf.DUMMYFUNCTION("GOOGLETRANSLATE(A828,""ru"",""en"")"),"Decorative peaks Scarlet Heart 100 pcs")</f>
        <v>Decorative peaks Scarlet Heart 100 pcs</v>
      </c>
      <c r="E828" s="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6" t="s">
        <v>1636</v>
      </c>
      <c r="B829" s="7" t="s">
        <v>1636</v>
      </c>
      <c r="C829" s="8" t="s">
        <v>1637</v>
      </c>
      <c r="D829" s="9" t="str">
        <f>IFERROR(__xludf.DUMMYFUNCTION("GOOGLETRANSLATE(A829,""ru"",""en"")"),"Decorative peaks pearls assorted 100 pcs")</f>
        <v>Decorative peaks pearls assorted 100 pcs</v>
      </c>
      <c r="E829" s="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6" t="s">
        <v>1638</v>
      </c>
      <c r="B830" s="7" t="s">
        <v>1638</v>
      </c>
      <c r="C830" s="8" t="s">
        <v>1639</v>
      </c>
      <c r="D830" s="9" t="str">
        <f>IFERROR(__xludf.DUMMYFUNCTION("GOOGLETRANSLATE(A830,""ru"",""en"")"),"Synthetic broom Ecotec 50 cm bristle 5.5 cm")</f>
        <v>Synthetic broom Ecotec 50 cm bristle 5.5 cm</v>
      </c>
      <c r="E830" s="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6" t="s">
        <v>1640</v>
      </c>
      <c r="B831" s="7" t="s">
        <v>1640</v>
      </c>
      <c r="C831" s="8" t="s">
        <v>1641</v>
      </c>
      <c r="D831" s="9" t="str">
        <f>IFERROR(__xludf.DUMMYFUNCTION("GOOGLETRANSLATE(A831,""ru"",""en"")"),"Sponge profile with abrasive 85x65x41 mm 5 pcs")</f>
        <v>Sponge profile with abrasive 85x65x41 mm 5 pcs</v>
      </c>
      <c r="E831" s="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6" t="s">
        <v>1642</v>
      </c>
      <c r="B832" s="7" t="s">
        <v>1642</v>
      </c>
      <c r="C832" s="8" t="s">
        <v>1643</v>
      </c>
      <c r="D832" s="9" t="str">
        <f>IFERROR(__xludf.DUMMYFUNCTION("GOOGLETRANSLATE(A832,""ru"",""en"")"),"Drinks for drinks with corrugated 5x210 mm 250 pcs")</f>
        <v>Drinks for drinks with corrugated 5x210 mm 250 pcs</v>
      </c>
      <c r="E832" s="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6" t="s">
        <v>1644</v>
      </c>
      <c r="B833" s="7" t="s">
        <v>1644</v>
      </c>
      <c r="C833" s="8" t="s">
        <v>1645</v>
      </c>
      <c r="D833" s="9" t="str">
        <f>IFERROR(__xludf.DUMMYFUNCTION("GOOGLETRANSLATE(A833,""ru"",""en"")"),"Mop Universal 50 cm (pocket + ear)")</f>
        <v>Mop Universal 50 cm (pocket + ear)</v>
      </c>
      <c r="E833" s="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6" t="s">
        <v>1646</v>
      </c>
      <c r="B834" s="7" t="s">
        <v>1646</v>
      </c>
      <c r="C834" s="8" t="s">
        <v>1647</v>
      </c>
      <c r="D834" s="9" t="str">
        <f>IFERROR(__xludf.DUMMYFUNCTION("GOOGLETRANSLATE(A834,""ru"",""en"")"),"Paper Towels Veiro Professional Basic V-addition 250 l")</f>
        <v>Paper Towels Veiro Professional Basic V-addition 250 l</v>
      </c>
      <c r="E834" s="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6" t="s">
        <v>1648</v>
      </c>
      <c r="B835" s="7" t="s">
        <v>1648</v>
      </c>
      <c r="C835" s="8" t="s">
        <v>1649</v>
      </c>
      <c r="D835" s="9" t="str">
        <f>IFERROR(__xludf.DUMMYFUNCTION("GOOGLETRANSLATE(A835,""ru"",""en"")"),"Faber-Castell Pencil Corrector 2 pcs")</f>
        <v>Faber-Castell Pencil Corrector 2 pcs</v>
      </c>
      <c r="E835" s="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6" t="s">
        <v>1650</v>
      </c>
      <c r="B836" s="7" t="s">
        <v>1650</v>
      </c>
      <c r="C836" s="8" t="s">
        <v>1651</v>
      </c>
      <c r="D836" s="9" t="str">
        <f>IFERROR(__xludf.DUMMYFUNCTION("GOOGLETRANSLATE(A836,""ru"",""en"")"),"Faber-Castell 11 Object Special Forces")</f>
        <v>Faber-Castell 11 Object Special Forces</v>
      </c>
      <c r="E836" s="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6" t="s">
        <v>1652</v>
      </c>
      <c r="B837" s="7" t="s">
        <v>1652</v>
      </c>
      <c r="C837" s="8" t="s">
        <v>1653</v>
      </c>
      <c r="D837" s="9" t="str">
        <f>IFERROR(__xludf.DUMMYFUNCTION("GOOGLETRANSLATE(A837,""ru"",""en"")"),"Bags for garbage 35 l 50 pcs")</f>
        <v>Bags for garbage 35 l 50 pcs</v>
      </c>
      <c r="E837" s="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6" t="s">
        <v>1654</v>
      </c>
      <c r="B838" s="7" t="s">
        <v>1654</v>
      </c>
      <c r="C838" s="8" t="s">
        <v>1655</v>
      </c>
      <c r="D838" s="9" t="str">
        <f>IFERROR(__xludf.DUMMYFUNCTION("GOOGLETRANSLATE(A838,""ru"",""en"")"),"Means for washing glass Bigzz Lemon 500 ml")</f>
        <v>Means for washing glass Bigzz Lemon 500 ml</v>
      </c>
      <c r="E838" s="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6" t="s">
        <v>1656</v>
      </c>
      <c r="B839" s="7" t="s">
        <v>1656</v>
      </c>
      <c r="C839" s="8" t="s">
        <v>1657</v>
      </c>
      <c r="D839" s="9" t="str">
        <f>IFERROR(__xludf.DUMMYFUNCTION("GOOGLETRANSLATE(A839,""ru"",""en"")"),"Fabric x / b Wafer bleached 95 cm Mer.Ves")</f>
        <v>Fabric x / b Wafer bleached 95 cm Mer.Ves</v>
      </c>
      <c r="E839" s="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6" t="s">
        <v>1658</v>
      </c>
      <c r="B840" s="7" t="s">
        <v>1658</v>
      </c>
      <c r="C840" s="8" t="s">
        <v>1659</v>
      </c>
      <c r="D840" s="9" t="str">
        <f>IFERROR(__xludf.DUMMYFUNCTION("GOOGLETRANSLATE(A840,""ru"",""en"")"),"Fabric x / b Wafer bleached 95 cm Merne")</f>
        <v>Fabric x / b Wafer bleached 95 cm Merne</v>
      </c>
      <c r="E840" s="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6" t="s">
        <v>1660</v>
      </c>
      <c r="B841" s="7" t="s">
        <v>1660</v>
      </c>
      <c r="C841" s="8" t="s">
        <v>1661</v>
      </c>
      <c r="D841" s="9" t="str">
        <f>IFERROR(__xludf.DUMMYFUNCTION("GOOGLETRANSLATE(A841,""ru"",""en"")"),"Toilet paper Hatnik Eco 180 m")</f>
        <v>Toilet paper Hatnik Eco 180 m</v>
      </c>
      <c r="E841" s="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6" t="s">
        <v>1662</v>
      </c>
      <c r="B842" s="7" t="s">
        <v>1662</v>
      </c>
      <c r="C842" s="8" t="s">
        <v>1663</v>
      </c>
      <c r="D842" s="9" t="str">
        <f>IFERROR(__xludf.DUMMYFUNCTION("GOOGLETRANSLATE(A842,""ru"",""en"")"),"Drinks for drinks Direct transparent 5x125mm 400 pcs")</f>
        <v>Drinks for drinks Direct transparent 5x125mm 400 pcs</v>
      </c>
      <c r="E842" s="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6" t="s">
        <v>1664</v>
      </c>
      <c r="B843" s="7" t="s">
        <v>1664</v>
      </c>
      <c r="C843" s="8" t="s">
        <v>1665</v>
      </c>
      <c r="D843" s="9" t="str">
        <f>IFERROR(__xludf.DUMMYFUNCTION("GOOGLETRANSLATE(A843,""ru"",""en"")"),"Bucket Comfort Purple 12 l")</f>
        <v>Bucket Comfort Purple 12 l</v>
      </c>
      <c r="E843" s="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6" t="s">
        <v>1666</v>
      </c>
      <c r="B844" s="7" t="s">
        <v>1666</v>
      </c>
      <c r="C844" s="8" t="s">
        <v>1667</v>
      </c>
      <c r="D844" s="9" t="str">
        <f>IFERROR(__xludf.DUMMYFUNCTION("GOOGLETRANSLATE(A844,""ru"",""en"")"),"Bucket lock with lid 13 l")</f>
        <v>Bucket lock with lid 13 l</v>
      </c>
      <c r="E844" s="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6" t="s">
        <v>1668</v>
      </c>
      <c r="B845" s="7" t="s">
        <v>1668</v>
      </c>
      <c r="C845" s="8" t="s">
        <v>1669</v>
      </c>
      <c r="D845" s="9" t="str">
        <f>IFERROR(__xludf.DUMMYFUNCTION("GOOGLETRANSLATE(A845,""ru"",""en"")"),"Bottle Bottle With Sponge Small")</f>
        <v>Bottle Bottle With Sponge Small</v>
      </c>
      <c r="E845" s="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6" t="s">
        <v>1670</v>
      </c>
      <c r="B846" s="7" t="s">
        <v>1670</v>
      </c>
      <c r="C846" s="8" t="s">
        <v>1671</v>
      </c>
      <c r="D846" s="9" t="str">
        <f>IFERROR(__xludf.DUMMYFUNCTION("GOOGLETRANSLATE(A846,""ru"",""en"")"),"Taigaet C-405 stain remover for removal of glue, bitumen and gum 0.65 l")</f>
        <v>Taigaet C-405 stain remover for removal of glue, bitumen and gum 0.65 l</v>
      </c>
      <c r="E846" s="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6" t="s">
        <v>1672</v>
      </c>
      <c r="B847" s="7" t="s">
        <v>1672</v>
      </c>
      <c r="C847" s="8" t="s">
        <v>1673</v>
      </c>
      <c r="D847" s="9" t="str">
        <f>IFERROR(__xludf.DUMMYFUNCTION("GOOGLETRANSLATE(A847,""ru"",""en"")"),"Cleaning agent AJM Plus 5 l")</f>
        <v>Cleaning agent AJM Plus 5 l</v>
      </c>
      <c r="E847" s="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6" t="s">
        <v>1674</v>
      </c>
      <c r="B848" s="7" t="s">
        <v>1674</v>
      </c>
      <c r="C848" s="8" t="s">
        <v>1675</v>
      </c>
      <c r="D848" s="9" t="str">
        <f>IFERROR(__xludf.DUMMYFUNCTION("GOOGLETRANSLATE(A848,""ru"",""en"")"),"Vinyl Nefourren Gloves ADM R-R M 100 Pcs")</f>
        <v>Vinyl Nefourren Gloves ADM R-R M 100 Pcs</v>
      </c>
      <c r="E848" s="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6" t="s">
        <v>1676</v>
      </c>
      <c r="B849" s="7" t="s">
        <v>1676</v>
      </c>
      <c r="C849" s="8" t="s">
        <v>1677</v>
      </c>
      <c r="D849" s="9" t="str">
        <f>IFERROR(__xludf.DUMMYFUNCTION("GOOGLETRANSLATE(A849,""ru"",""en"")"),"Vinyl Nefourren Gloves Adm Rr L 100 Pcs")</f>
        <v>Vinyl Nefourren Gloves Adm Rr L 100 Pcs</v>
      </c>
      <c r="E849" s="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6" t="s">
        <v>1678</v>
      </c>
      <c r="B850" s="7" t="s">
        <v>1678</v>
      </c>
      <c r="C850" s="8" t="s">
        <v>1679</v>
      </c>
      <c r="D850" s="9" t="str">
        <f>IFERROR(__xludf.DUMMYFUNCTION("GOOGLETRANSLATE(A850,""ru"",""en"")"),"Dispenser toilet paper 150 m")</f>
        <v>Dispenser toilet paper 150 m</v>
      </c>
      <c r="E850" s="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6" t="s">
        <v>1680</v>
      </c>
      <c r="B851" s="7" t="s">
        <v>1680</v>
      </c>
      <c r="C851" s="8" t="s">
        <v>1681</v>
      </c>
      <c r="D851" s="9" t="str">
        <f>IFERROR(__xludf.DUMMYFUNCTION("GOOGLETRANSLATE(A851,""ru"",""en"")"),"Cleaning (shampoo) for manual washing of carpets Vanish Gold 750 ml")</f>
        <v>Cleaning (shampoo) for manual washing of carpets Vanish Gold 750 ml</v>
      </c>
      <c r="E851" s="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6" t="s">
        <v>1682</v>
      </c>
      <c r="B852" s="7" t="s">
        <v>1682</v>
      </c>
      <c r="C852" s="8" t="s">
        <v>1683</v>
      </c>
      <c r="D852" s="9" t="str">
        <f>IFERROR(__xludf.DUMMYFUNCTION("GOOGLETRANSLATE(A852,""ru"",""en"")"),"CF Cleaning Flower Purner for Bathroom 500 ml")</f>
        <v>CF Cleaning Flower Purner for Bathroom 500 ml</v>
      </c>
      <c r="E852" s="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6" t="s">
        <v>1684</v>
      </c>
      <c r="B853" s="7" t="s">
        <v>1684</v>
      </c>
      <c r="C853" s="8" t="s">
        <v>1685</v>
      </c>
      <c r="D853" s="9" t="str">
        <f>IFERROR(__xludf.DUMMYFUNCTION("GOOGLETRANSLATE(A853,""ru"",""en"")"),"Gloves Nitrile Nefoed Aviora black rr M 100 pieces")</f>
        <v>Gloves Nitrile Nefoed Aviora black rr M 100 pieces</v>
      </c>
      <c r="E853" s="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6" t="s">
        <v>1686</v>
      </c>
      <c r="B854" s="7" t="s">
        <v>1686</v>
      </c>
      <c r="C854" s="8" t="s">
        <v>1687</v>
      </c>
      <c r="D854" s="9" t="str">
        <f>IFERROR(__xludf.DUMMYFUNCTION("GOOGLETRANSLATE(A854,""ru"",""en"")"),"Gloves Nitrile Nefoed Aviora Black Rr L 100 pcs")</f>
        <v>Gloves Nitrile Nefoed Aviora Black Rr L 100 pcs</v>
      </c>
      <c r="E854" s="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6" t="s">
        <v>1688</v>
      </c>
      <c r="B855" s="7" t="s">
        <v>1688</v>
      </c>
      <c r="C855" s="8" t="s">
        <v>1689</v>
      </c>
      <c r="D855" s="9" t="str">
        <f>IFERROR(__xludf.DUMMYFUNCTION("GOOGLETRANSLATE(A855,""ru"",""en"")"),"Tool for washing dishes Fairy orange and lemon 450 ml")</f>
        <v>Tool for washing dishes Fairy orange and lemon 450 ml</v>
      </c>
      <c r="E855" s="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6" t="s">
        <v>1690</v>
      </c>
      <c r="B856" s="7" t="s">
        <v>1690</v>
      </c>
      <c r="C856" s="8" t="s">
        <v>1691</v>
      </c>
      <c r="D856" s="9" t="str">
        <f>IFERROR(__xludf.DUMMYFUNCTION("GOOGLETRANSLATE(A856,""ru"",""en"")"),"Soap toilet solid lime color 100 g")</f>
        <v>Soap toilet solid lime color 100 g</v>
      </c>
      <c r="E856" s="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6" t="s">
        <v>1692</v>
      </c>
      <c r="B857" s="7" t="s">
        <v>1692</v>
      </c>
      <c r="C857" s="8" t="s">
        <v>1693</v>
      </c>
      <c r="D857" s="9" t="str">
        <f>IFERROR(__xludf.DUMMYFUNCTION("GOOGLETRANSLATE(A857,""ru"",""en"")"),"Soap Toilet Solid Floral 100 g")</f>
        <v>Soap Toilet Solid Floral 100 g</v>
      </c>
      <c r="E857" s="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6" t="s">
        <v>1694</v>
      </c>
      <c r="B858" s="7" t="s">
        <v>1694</v>
      </c>
      <c r="C858" s="8" t="s">
        <v>1695</v>
      </c>
      <c r="D858" s="9" t="str">
        <f>IFERROR(__xludf.DUMMYFUNCTION("GOOGLETRANSLATE(A858,""ru"",""en"")"),"Paper Towels Meakshko V-addition Single-layer 23x23 cm Packed")</f>
        <v>Paper Towels Meakshko V-addition Single-layer 23x23 cm Packed</v>
      </c>
      <c r="E858" s="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6" t="s">
        <v>1696</v>
      </c>
      <c r="B859" s="7" t="s">
        <v>1696</v>
      </c>
      <c r="C859" s="8" t="s">
        <v>1697</v>
      </c>
      <c r="D859" s="9" t="str">
        <f>IFERROR(__xludf.DUMMYFUNCTION("GOOGLETRANSLATE(A859,""ru"",""en"")"),"Means Cleaning Peumolux Soda 5 Extra Dazzling White 480 g")</f>
        <v>Means Cleaning Peumolux Soda 5 Extra Dazzling White 480 g</v>
      </c>
      <c r="E859" s="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6" t="s">
        <v>1698</v>
      </c>
      <c r="B860" s="7" t="s">
        <v>1698</v>
      </c>
      <c r="C860" s="8" t="s">
        <v>1699</v>
      </c>
      <c r="D860" s="9" t="str">
        <f>IFERROR(__xludf.DUMMYFUNCTION("GOOGLETRANSLATE(A860,""ru"",""en"")"),"Means for cleaning ceramic coatings kerabline 5 l")</f>
        <v>Means for cleaning ceramic coatings kerabline 5 l</v>
      </c>
      <c r="E860" s="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6" t="s">
        <v>1700</v>
      </c>
      <c r="B861" s="7" t="s">
        <v>1700</v>
      </c>
      <c r="C861" s="8" t="s">
        <v>1701</v>
      </c>
      <c r="D861" s="9" t="str">
        <f>IFERROR(__xludf.DUMMYFUNCTION("GOOGLETRANSLATE(A861,""ru"",""en"")"),"Air freshener LIS RELAX Mountain air 300 ml")</f>
        <v>Air freshener LIS RELAX Mountain air 300 ml</v>
      </c>
      <c r="E861" s="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6" t="s">
        <v>1702</v>
      </c>
      <c r="B862" s="7" t="s">
        <v>1702</v>
      </c>
      <c r="C862" s="8" t="s">
        <v>1703</v>
      </c>
      <c r="D862" s="9" t="str">
        <f>IFERROR(__xludf.DUMMYFUNCTION("GOOGLETRANSLATE(A862,""ru"",""en"")"),"Air freshener LIS RELAX Forest after the rain 300 ml")</f>
        <v>Air freshener LIS RELAX Forest after the rain 300 ml</v>
      </c>
      <c r="E862" s="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6" t="s">
        <v>1704</v>
      </c>
      <c r="B863" s="7" t="s">
        <v>1704</v>
      </c>
      <c r="C863" s="8" t="s">
        <v>1705</v>
      </c>
      <c r="D863" s="9" t="str">
        <f>IFERROR(__xludf.DUMMYFUNCTION("GOOGLETRANSLATE(A863,""ru"",""en"")"),"Air freshener LIS RELAX beveled grass 300 ml")</f>
        <v>Air freshener LIS RELAX beveled grass 300 ml</v>
      </c>
      <c r="E863" s="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6" t="s">
        <v>1706</v>
      </c>
      <c r="B864" s="7" t="s">
        <v>1706</v>
      </c>
      <c r="C864" s="8" t="s">
        <v>1707</v>
      </c>
      <c r="D864" s="9" t="str">
        <f>IFERROR(__xludf.DUMMYFUNCTION("GOOGLETRANSLATE(A864,""ru"",""en"")"),"Shopping Soap Hostess 65% Shiny White 200 g")</f>
        <v>Shopping Soap Hostess 65% Shiny White 200 g</v>
      </c>
      <c r="E864" s="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6" t="s">
        <v>1708</v>
      </c>
      <c r="B865" s="7" t="s">
        <v>1708</v>
      </c>
      <c r="C865" s="8" t="s">
        <v>1709</v>
      </c>
      <c r="D865" s="9" t="str">
        <f>IFERROR(__xludf.DUMMYFUNCTION("GOOGLETRANSLATE(A865,""ru"",""en"")"),"Openwork Napkin Round Contentpaque 12 cm 250 pcs")</f>
        <v>Openwork Napkin Round Contentpaque 12 cm 250 pcs</v>
      </c>
      <c r="E865" s="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6" t="s">
        <v>1710</v>
      </c>
      <c r="B866" s="7" t="s">
        <v>1710</v>
      </c>
      <c r="C866" s="8" t="s">
        <v>1711</v>
      </c>
      <c r="D866" s="9" t="str">
        <f>IFERROR(__xludf.DUMMYFUNCTION("GOOGLETRANSLATE(A866,""ru"",""en"")"),"Openwork Napkin Round Contentpal 16 cm 250 pcs")</f>
        <v>Openwork Napkin Round Contentpal 16 cm 250 pcs</v>
      </c>
      <c r="E866" s="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6" t="s">
        <v>1712</v>
      </c>
      <c r="B867" s="7" t="s">
        <v>1712</v>
      </c>
      <c r="C867" s="8" t="s">
        <v>1713</v>
      </c>
      <c r="D867" s="9" t="str">
        <f>IFERROR(__xludf.DUMMYFUNCTION("GOOGLETRANSLATE(A867,""ru"",""en"")"),"Openwork Napkin Round Contentpal 18 cm 250 pcs")</f>
        <v>Openwork Napkin Round Contentpal 18 cm 250 pcs</v>
      </c>
      <c r="E867" s="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6" t="s">
        <v>1714</v>
      </c>
      <c r="B868" s="7" t="s">
        <v>1714</v>
      </c>
      <c r="C868" s="8" t="s">
        <v>1715</v>
      </c>
      <c r="D868" s="9" t="str">
        <f>IFERROR(__xludf.DUMMYFUNCTION("GOOGLETRANSLATE(A868,""ru"",""en"")"),"Lid for hot drinks 80 mm with valve white 100 pcs")</f>
        <v>Lid for hot drinks 80 mm with valve white 100 pcs</v>
      </c>
      <c r="E868" s="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6" t="s">
        <v>1716</v>
      </c>
      <c r="B869" s="7" t="s">
        <v>1716</v>
      </c>
      <c r="C869" s="8" t="s">
        <v>1717</v>
      </c>
      <c r="D869" s="9" t="str">
        <f>IFERROR(__xludf.DUMMYFUNCTION("GOOGLETRANSLATE(A869,""ru"",""en"")"),"Lid for hot drinks 80 mm with valve black 100 pcs")</f>
        <v>Lid for hot drinks 80 mm with valve black 100 pcs</v>
      </c>
      <c r="E869" s="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6" t="s">
        <v>1718</v>
      </c>
      <c r="B870" s="7" t="s">
        <v>1718</v>
      </c>
      <c r="C870" s="8" t="s">
        <v>1719</v>
      </c>
      <c r="D870" s="9" t="str">
        <f>IFERROR(__xludf.DUMMYFUNCTION("GOOGLETRANSLATE(A870,""ru"",""en"")"),"Lid for hot drinks 90 mm with valve black 100 pieces")</f>
        <v>Lid for hot drinks 90 mm with valve black 100 pieces</v>
      </c>
      <c r="E870" s="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6" t="s">
        <v>1720</v>
      </c>
      <c r="B871" s="7" t="s">
        <v>1720</v>
      </c>
      <c r="C871" s="8" t="s">
        <v>1721</v>
      </c>
      <c r="D871" s="9" t="str">
        <f>IFERROR(__xludf.DUMMYFUNCTION("GOOGLETRANSLATE(A871,""ru"",""en"")"),"Soup Paper Bank with Lid 445ml 25 pcs")</f>
        <v>Soup Paper Bank with Lid 445ml 25 pcs</v>
      </c>
      <c r="E871" s="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6" t="s">
        <v>1722</v>
      </c>
      <c r="B872" s="7" t="s">
        <v>1722</v>
      </c>
      <c r="C872" s="8" t="s">
        <v>1723</v>
      </c>
      <c r="D872" s="9" t="str">
        <f>IFERROR(__xludf.DUMMYFUNCTION("GOOGLETRANSLATE(A872,""ru"",""en"")"),"Paper container with plastic lid 350 ml 50 pcs")</f>
        <v>Paper container with plastic lid 350 ml 50 pcs</v>
      </c>
      <c r="E872" s="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6" t="s">
        <v>1724</v>
      </c>
      <c r="B873" s="7" t="s">
        <v>1724</v>
      </c>
      <c r="C873" s="8" t="s">
        <v>1725</v>
      </c>
      <c r="D873" s="9" t="str">
        <f>IFERROR(__xludf.DUMMYFUNCTION("GOOGLETRANSLATE(A873,""ru"",""en"")"),"Bowl for cold and hot products White 330 ml 50 pcs")</f>
        <v>Bowl for cold and hot products White 330 ml 50 pcs</v>
      </c>
      <c r="E873" s="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6" t="s">
        <v>1726</v>
      </c>
      <c r="B874" s="7" t="s">
        <v>1726</v>
      </c>
      <c r="C874" s="8" t="s">
        <v>1727</v>
      </c>
      <c r="D874" s="9" t="str">
        <f>IFERROR(__xludf.DUMMYFUNCTION("GOOGLETRANSLATE(A874,""ru"",""en"")"),"Means for removing fat Unicum Gold 500 ml")</f>
        <v>Means for removing fat Unicum Gold 500 ml</v>
      </c>
      <c r="E874" s="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6" t="s">
        <v>1728</v>
      </c>
      <c r="B875" s="7" t="s">
        <v>1728</v>
      </c>
      <c r="C875" s="8" t="s">
        <v>1729</v>
      </c>
      <c r="D875" s="9" t="str">
        <f>IFERROR(__xludf.DUMMYFUNCTION("GOOGLETRANSLATE(A875,""ru"",""en"")"),"Container 108x82 mm 200 g 100 pieces")</f>
        <v>Container 108x82 mm 200 g 100 pieces</v>
      </c>
      <c r="E875" s="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6" t="s">
        <v>1026</v>
      </c>
      <c r="B876" s="7" t="s">
        <v>1026</v>
      </c>
      <c r="C876" s="8" t="s">
        <v>1027</v>
      </c>
      <c r="D876" s="9" t="str">
        <f>IFERROR(__xludf.DUMMYFUNCTION("GOOGLETRANSLATE(A876,""ru"",""en"")"),"Container 108x82 mm 250 g 100 pcs")</f>
        <v>Container 108x82 mm 250 g 100 pcs</v>
      </c>
      <c r="E876" s="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6" t="s">
        <v>1730</v>
      </c>
      <c r="B877" s="7" t="s">
        <v>1730</v>
      </c>
      <c r="C877" s="8" t="s">
        <v>1731</v>
      </c>
      <c r="D877" s="9" t="str">
        <f>IFERROR(__xludf.DUMMYFUNCTION("GOOGLETRANSLATE(A877,""ru"",""en"")"),"Soup plate 600 ml 50 pcs")</f>
        <v>Soup plate 600 ml 50 pcs</v>
      </c>
      <c r="E877" s="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6" t="s">
        <v>1732</v>
      </c>
      <c r="B878" s="7" t="s">
        <v>1732</v>
      </c>
      <c r="C878" s="8" t="s">
        <v>1733</v>
      </c>
      <c r="D878" s="9" t="str">
        <f>IFERROR(__xludf.DUMMYFUNCTION("GOOGLETRANSLATE(A878,""ru"",""en"")"),"Drinks for drinks direct transparent 8x240 mm 250 pcs")</f>
        <v>Drinks for drinks direct transparent 8x240 mm 250 pcs</v>
      </c>
      <c r="E878" s="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6" t="s">
        <v>1734</v>
      </c>
      <c r="B879" s="7" t="s">
        <v>1734</v>
      </c>
      <c r="C879" s="8" t="s">
        <v>1735</v>
      </c>
      <c r="D879" s="9" t="str">
        <f>IFERROR(__xludf.DUMMYFUNCTION("GOOGLETRANSLATE(A879,""ru"",""en"")"),"Bathrobe visitor on buttons, sleeve on rubber band Rr XL white")</f>
        <v>Bathrobe visitor on buttons, sleeve on rubber band Rr XL white</v>
      </c>
      <c r="E879" s="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6" t="s">
        <v>1736</v>
      </c>
      <c r="B880" s="7" t="s">
        <v>1736</v>
      </c>
      <c r="C880" s="8" t="s">
        <v>1737</v>
      </c>
      <c r="D880" s="9" t="str">
        <f>IFERROR(__xludf.DUMMYFUNCTION("GOOGLETRANSLATE(A880,""ru"",""en"")"),"Confectionery bag N-35 100 pcs")</f>
        <v>Confectionery bag N-35 100 pcs</v>
      </c>
      <c r="E880" s="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6" t="s">
        <v>1738</v>
      </c>
      <c r="B881" s="7" t="s">
        <v>1738</v>
      </c>
      <c r="C881" s="8" t="s">
        <v>1739</v>
      </c>
      <c r="D881" s="9" t="str">
        <f>IFERROR(__xludf.DUMMYFUNCTION("GOOGLETRANSLATE(A881,""ru"",""en"")"),"Openwork Napkin Round Contentpacker 14 cm 250 pcs")</f>
        <v>Openwork Napkin Round Contentpacker 14 cm 250 pcs</v>
      </c>
      <c r="E881" s="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6" t="s">
        <v>1740</v>
      </c>
      <c r="B882" s="7" t="s">
        <v>1740</v>
      </c>
      <c r="C882" s="8" t="s">
        <v>1741</v>
      </c>
      <c r="D882" s="9" t="str">
        <f>IFERROR(__xludf.DUMMYFUNCTION("GOOGLETRANSLATE(A882,""ru"",""en"")"),"Bags for garbage Mirpack PVD 120 l 70x110 cm 50 μm 50 pcs")</f>
        <v>Bags for garbage Mirpack PVD 120 l 70x110 cm 50 μm 50 pcs</v>
      </c>
      <c r="E882" s="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6" t="s">
        <v>1742</v>
      </c>
      <c r="B883" s="7" t="s">
        <v>1742</v>
      </c>
      <c r="C883" s="8" t="s">
        <v>1743</v>
      </c>
      <c r="D883" s="9" t="str">
        <f>IFERROR(__xludf.DUMMYFUNCTION("GOOGLETRANSLATE(A883,""ru"",""en"")"),"Bags for garbage Mirpack PVD 120 l 70x110 cm 60 μm 50 pcs")</f>
        <v>Bags for garbage Mirpack PVD 120 l 70x110 cm 60 μm 50 pcs</v>
      </c>
      <c r="E883" s="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6" t="s">
        <v>1744</v>
      </c>
      <c r="B884" s="7" t="s">
        <v>1744</v>
      </c>
      <c r="C884" s="8" t="s">
        <v>1745</v>
      </c>
      <c r="D884" s="9" t="str">
        <f>IFERROR(__xludf.DUMMYFUNCTION("GOOGLETRANSLATE(A884,""ru"",""en"")"),"Bags for garbage Mirpack PVD 360 L 120x160 cm 50 μm 50 pcs")</f>
        <v>Bags for garbage Mirpack PVD 360 L 120x160 cm 50 μm 50 pcs</v>
      </c>
      <c r="E884" s="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6" t="s">
        <v>1746</v>
      </c>
      <c r="B885" s="7" t="s">
        <v>1746</v>
      </c>
      <c r="C885" s="8" t="s">
        <v>1747</v>
      </c>
      <c r="D885" s="9" t="str">
        <f>IFERROR(__xludf.DUMMYFUNCTION("GOOGLETRANSLATE(A885,""ru"",""en"")"),"Bags for garbage Mirpack PVD 120 l 70x110 cm 35 microns 10 pcs")</f>
        <v>Bags for garbage Mirpack PVD 120 l 70x110 cm 35 microns 10 pcs</v>
      </c>
      <c r="E885" s="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6" t="s">
        <v>1748</v>
      </c>
      <c r="B886" s="7" t="s">
        <v>1748</v>
      </c>
      <c r="C886" s="8" t="s">
        <v>1749</v>
      </c>
      <c r="D886" s="9" t="str">
        <f>IFERROR(__xludf.DUMMYFUNCTION("GOOGLETRANSLATE(A886,""ru"",""en"")"),"Bags for garbage Mirpack PVD 120 l 70x110 cm 40 microns 10 pcs")</f>
        <v>Bags for garbage Mirpack PVD 120 l 70x110 cm 40 microns 10 pcs</v>
      </c>
      <c r="E886" s="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6" t="s">
        <v>1750</v>
      </c>
      <c r="B887" s="7" t="s">
        <v>1750</v>
      </c>
      <c r="C887" s="8" t="s">
        <v>1751</v>
      </c>
      <c r="D887" s="9" t="str">
        <f>IFERROR(__xludf.DUMMYFUNCTION("GOOGLETRANSLATE(A887,""ru"",""en"")"),"Gloves Nitrile Nefoed Aviora Black Rr S 100 pcs")</f>
        <v>Gloves Nitrile Nefoed Aviora Black Rr S 100 pcs</v>
      </c>
      <c r="E887" s="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6" t="s">
        <v>1752</v>
      </c>
      <c r="B888" s="7" t="s">
        <v>1752</v>
      </c>
      <c r="C888" s="8" t="s">
        <v>1753</v>
      </c>
      <c r="D888" s="9" t="str">
        <f>IFERROR(__xludf.DUMMYFUNCTION("GOOGLETRANSLATE(A888,""ru"",""en"")"),"Openwork Napkin Round Aviora Paper 24 cm 250 pcs")</f>
        <v>Openwork Napkin Round Aviora Paper 24 cm 250 pcs</v>
      </c>
      <c r="E888" s="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6" t="s">
        <v>1754</v>
      </c>
      <c r="B889" s="7" t="s">
        <v>1754</v>
      </c>
      <c r="C889" s="8" t="s">
        <v>1755</v>
      </c>
      <c r="D889" s="9" t="str">
        <f>IFERROR(__xludf.DUMMYFUNCTION("GOOGLETRANSLATE(A889,""ru"",""en"")"),"Powerful tool for removing Nagar K206 2 l")</f>
        <v>Powerful tool for removing Nagar K206 2 l</v>
      </c>
      <c r="E889" s="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6" t="s">
        <v>1756</v>
      </c>
      <c r="B890" s="7" t="s">
        <v>1756</v>
      </c>
      <c r="C890" s="8" t="s">
        <v>1757</v>
      </c>
      <c r="D890" s="9" t="str">
        <f>IFERROR(__xludf.DUMMYFUNCTION("GOOGLETRANSLATE(A890,""ru"",""en"")"),"Tool Cleaning Peumolux Sea Breeze 480 g")</f>
        <v>Tool Cleaning Peumolux Sea Breeze 480 g</v>
      </c>
      <c r="E890" s="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6" t="s">
        <v>1758</v>
      </c>
      <c r="B891" s="7" t="s">
        <v>1758</v>
      </c>
      <c r="C891" s="8" t="s">
        <v>1759</v>
      </c>
      <c r="D891" s="9" t="str">
        <f>IFERROR(__xludf.DUMMYFUNCTION("GOOGLETRANSLATE(A891,""ru"",""en"")"),"Towel dispenser with central hood")</f>
        <v>Towel dispenser with central hood</v>
      </c>
      <c r="E891" s="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6" t="s">
        <v>1760</v>
      </c>
      <c r="B892" s="7" t="s">
        <v>1760</v>
      </c>
      <c r="C892" s="8" t="s">
        <v>1761</v>
      </c>
      <c r="D892" s="9" t="str">
        <f>IFERROR(__xludf.DUMMYFUNCTION("GOOGLETRANSLATE(A892,""ru"",""en"")"),"Cart chrome 2 buckets 25 l with push nozzle")</f>
        <v>Cart chrome 2 buckets 25 l with push nozzle</v>
      </c>
      <c r="E892" s="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6" t="s">
        <v>1762</v>
      </c>
      <c r="B893" s="7" t="s">
        <v>1762</v>
      </c>
      <c r="C893" s="8" t="s">
        <v>1763</v>
      </c>
      <c r="D893" s="9" t="str">
        <f>IFERROR(__xludf.DUMMYFUNCTION("GOOGLETRANSLATE(A893,""ru"",""en"")"),"Holder for fur coat 35 cm")</f>
        <v>Holder for fur coat 35 cm</v>
      </c>
      <c r="E893" s="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6" t="s">
        <v>1764</v>
      </c>
      <c r="B894" s="7" t="s">
        <v>1764</v>
      </c>
      <c r="C894" s="8" t="s">
        <v>1765</v>
      </c>
      <c r="D894" s="9" t="str">
        <f>IFERROR(__xludf.DUMMYFUNCTION("GOOGLETRANSLATE(A894,""ru"",""en"")"),"Telescopic handle 4 m Two-section V.2")</f>
        <v>Telescopic handle 4 m Two-section V.2</v>
      </c>
      <c r="E894" s="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6" t="s">
        <v>1766</v>
      </c>
      <c r="B895" s="7" t="s">
        <v>1766</v>
      </c>
      <c r="C895" s="8" t="s">
        <v>1767</v>
      </c>
      <c r="D895" s="9" t="str">
        <f>IFERROR(__xludf.DUMMYFUNCTION("GOOGLETRANSLATE(A895,""ru"",""en"")"),"Scraper for glass surfaces Premium 35 cm")</f>
        <v>Scraper for glass surfaces Premium 35 cm</v>
      </c>
      <c r="E895" s="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6" t="s">
        <v>1768</v>
      </c>
      <c r="B896" s="7" t="s">
        <v>1768</v>
      </c>
      <c r="C896" s="8" t="s">
        <v>1769</v>
      </c>
      <c r="D896" s="9" t="str">
        <f>IFERROR(__xludf.DUMMYFUNCTION("GOOGLETRANSLATE(A896,""ru"",""en"")"),"Scraper for glass surfaces Premium 45 cm")</f>
        <v>Scraper for glass surfaces Premium 45 cm</v>
      </c>
      <c r="E896" s="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6" t="s">
        <v>1770</v>
      </c>
      <c r="B897" s="7" t="s">
        <v>1770</v>
      </c>
      <c r="C897" s="8" t="s">
        <v>1771</v>
      </c>
      <c r="D897" s="9" t="str">
        <f>IFERROR(__xludf.DUMMYFUNCTION("GOOGLETRANSLATE(A897,""ru"",""en"")"),"Coat for washing windows 35 cm v.2")</f>
        <v>Coat for washing windows 35 cm v.2</v>
      </c>
      <c r="E897" s="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6" t="s">
        <v>1772</v>
      </c>
      <c r="B898" s="7" t="s">
        <v>1772</v>
      </c>
      <c r="C898" s="8" t="s">
        <v>1773</v>
      </c>
      <c r="D898" s="9" t="str">
        <f>IFERROR(__xludf.DUMMYFUNCTION("GOOGLETRANSLATE(A898,""ru"",""en"")"),"Foil Food Burning Durable 44 cm x 80 m 11 microns")</f>
        <v>Foil Food Burning Durable 44 cm x 80 m 11 microns</v>
      </c>
      <c r="E898" s="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6" t="s">
        <v>1774</v>
      </c>
      <c r="B899" s="7" t="s">
        <v>1774</v>
      </c>
      <c r="C899" s="8" t="s">
        <v>1775</v>
      </c>
      <c r="D899" s="9" t="str">
        <f>IFERROR(__xludf.DUMMYFUNCTION("GOOGLETRANSLATE(A899,""ru"",""en"")"),"Air Freshener Symphony Crystal Freshness 300 ml")</f>
        <v>Air Freshener Symphony Crystal Freshness 300 ml</v>
      </c>
      <c r="E899" s="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6" t="s">
        <v>1776</v>
      </c>
      <c r="B900" s="7" t="s">
        <v>1776</v>
      </c>
      <c r="C900" s="8" t="s">
        <v>1777</v>
      </c>
      <c r="D900" s="9" t="str">
        <f>IFERROR(__xludf.DUMMYFUNCTION("GOOGLETRANSLATE(A900,""ru"",""en"")"),"Air freshener Symphony charming magnolia 300 ml")</f>
        <v>Air freshener Symphony charming magnolia 300 ml</v>
      </c>
      <c r="E900" s="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6" t="s">
        <v>1778</v>
      </c>
      <c r="B901" s="7" t="s">
        <v>1778</v>
      </c>
      <c r="C901" s="8" t="s">
        <v>1779</v>
      </c>
      <c r="D901" s="9" t="str">
        <f>IFERROR(__xludf.DUMMYFUNCTION("GOOGLETRANSLATE(A901,""ru"",""en"")"),"Air Freshener Symphony Pearl Lagoon 300 ml")</f>
        <v>Air Freshener Symphony Pearl Lagoon 300 ml</v>
      </c>
      <c r="E901" s="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6" t="s">
        <v>1780</v>
      </c>
      <c r="B902" s="7" t="s">
        <v>1780</v>
      </c>
      <c r="C902" s="8" t="s">
        <v>1781</v>
      </c>
      <c r="D902" s="9" t="str">
        <f>IFERROR(__xludf.DUMMYFUNCTION("GOOGLETRANSLATE(A902,""ru"",""en"")"),"Bathrobe white economy disposable xybl012 on buttons 5 pcs")</f>
        <v>Bathrobe white economy disposable xybl012 on buttons 5 pcs</v>
      </c>
      <c r="E902" s="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6" t="s">
        <v>1782</v>
      </c>
      <c r="B903" s="7" t="s">
        <v>1782</v>
      </c>
      <c r="C903" s="8" t="s">
        <v>1783</v>
      </c>
      <c r="D903" s="9" t="str">
        <f>IFERROR(__xludf.DUMMYFUNCTION("GOOGLETRANSLATE(A903,""ru"",""en"")"),"Vinyl Nefourish Gloves ADM R-R XL 100 pcs")</f>
        <v>Vinyl Nefourish Gloves ADM R-R XL 100 pcs</v>
      </c>
      <c r="E903" s="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6" t="s">
        <v>1784</v>
      </c>
      <c r="B904" s="7" t="s">
        <v>1784</v>
      </c>
      <c r="C904" s="8" t="s">
        <v>1785</v>
      </c>
      <c r="D904" s="9" t="str">
        <f>IFERROR(__xludf.DUMMYFUNCTION("GOOGLETRANSLATE(A904,""ru"",""en"")"),"Gloves x / b 10 grade with PVC black 5/132-thread")</f>
        <v>Gloves x / b 10 grade with PVC black 5/132-thread</v>
      </c>
      <c r="E904" s="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6" t="s">
        <v>1786</v>
      </c>
      <c r="B905" s="7" t="s">
        <v>1786</v>
      </c>
      <c r="C905" s="8" t="s">
        <v>1787</v>
      </c>
      <c r="D905" s="9" t="str">
        <f>IFERROR(__xludf.DUMMYFUNCTION("GOOGLETRANSLATE(A905,""ru"",""en"")"),"Antiseptic for hand processing Septal 100 ml with spray")</f>
        <v>Antiseptic for hand processing Septal 100 ml with spray</v>
      </c>
      <c r="E905" s="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6" t="s">
        <v>1788</v>
      </c>
      <c r="B906" s="7" t="s">
        <v>1788</v>
      </c>
      <c r="C906" s="8" t="s">
        <v>1789</v>
      </c>
      <c r="D906" s="9" t="str">
        <f>IFERROR(__xludf.DUMMYFUNCTION("GOOGLETRANSLATE(A906,""ru"",""en"")"),"Disinfectant with detergent effect Incrept 10a 1 l")</f>
        <v>Disinfectant with detergent effect Incrept 10a 1 l</v>
      </c>
      <c r="E906" s="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6" t="s">
        <v>631</v>
      </c>
      <c r="B907" s="7" t="s">
        <v>631</v>
      </c>
      <c r="C907" s="8" t="s">
        <v>632</v>
      </c>
      <c r="D907" s="9" t="str">
        <f>IFERROR(__xludf.DUMMYFUNCTION("GOOGLETRANSLATE(A907,""ru"",""en"")"),"Soap liquid bacteriostatic fungistatic green 1 l")</f>
        <v>Soap liquid bacteriostatic fungistatic green 1 l</v>
      </c>
      <c r="E907" s="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6" t="s">
        <v>404</v>
      </c>
      <c r="B908" s="7" t="s">
        <v>404</v>
      </c>
      <c r="C908" s="8" t="s">
        <v>405</v>
      </c>
      <c r="D908" s="9" t="str">
        <f>IFERROR(__xludf.DUMMYFUNCTION("GOOGLETRANSLATE(A908,""ru"",""en"")"),"Liquid soap with a disinfecting effect of quintacept 1 l")</f>
        <v>Liquid soap with a disinfecting effect of quintacept 1 l</v>
      </c>
      <c r="E908" s="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6" t="s">
        <v>1790</v>
      </c>
      <c r="B909" s="7" t="s">
        <v>1790</v>
      </c>
      <c r="C909" s="8" t="s">
        <v>1791</v>
      </c>
      <c r="D909" s="9" t="str">
        <f>IFERROR(__xludf.DUMMYFUNCTION("GOOGLETRANSLATE(A909,""ru"",""en"")"),"Glass 330 ml For hot drinks White 50 pcs")</f>
        <v>Glass 330 ml For hot drinks White 50 pcs</v>
      </c>
      <c r="E909" s="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6" t="s">
        <v>1792</v>
      </c>
      <c r="B910" s="7" t="s">
        <v>1792</v>
      </c>
      <c r="C910" s="8" t="s">
        <v>1793</v>
      </c>
      <c r="D910" s="9" t="str">
        <f>IFERROR(__xludf.DUMMYFUNCTION("GOOGLETRANSLATE(A910,""ru"",""en"")"),"Decorative peaks card 400 pcs")</f>
        <v>Decorative peaks card 400 pcs</v>
      </c>
      <c r="E910" s="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6" t="s">
        <v>1794</v>
      </c>
      <c r="B911" s="7" t="s">
        <v>1794</v>
      </c>
      <c r="C911" s="8" t="s">
        <v>1795</v>
      </c>
      <c r="D911" s="9" t="str">
        <f>IFERROR(__xludf.DUMMYFUNCTION("GOOGLETRANSLATE(A911,""ru"",""en"")"),"Decorative peaks sword 500 pcs")</f>
        <v>Decorative peaks sword 500 pcs</v>
      </c>
      <c r="E911" s="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6" t="s">
        <v>1796</v>
      </c>
      <c r="B912" s="7" t="s">
        <v>1796</v>
      </c>
      <c r="C912" s="8" t="s">
        <v>1797</v>
      </c>
      <c r="D912" s="9" t="str">
        <f>IFERROR(__xludf.DUMMYFUNCTION("GOOGLETRANSLATE(A912,""ru"",""en"")"),"Gloves Economic Continentpal PR S")</f>
        <v>Gloves Economic Continentpal PR S</v>
      </c>
      <c r="E912" s="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6" t="s">
        <v>1798</v>
      </c>
      <c r="B913" s="7" t="s">
        <v>1798</v>
      </c>
      <c r="C913" s="8" t="s">
        <v>1799</v>
      </c>
      <c r="D913" s="9" t="str">
        <f>IFERROR(__xludf.DUMMYFUNCTION("GOOGLETRANSLATE(A913,""ru"",""en"")"),"Rag for floor hp 80x100 cm white")</f>
        <v>Rag for floor hp 80x100 cm white</v>
      </c>
      <c r="E913" s="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6" t="s">
        <v>1800</v>
      </c>
      <c r="B914" s="7" t="s">
        <v>1800</v>
      </c>
      <c r="C914" s="8" t="s">
        <v>1801</v>
      </c>
      <c r="D914" s="9" t="str">
        <f>IFERROR(__xludf.DUMMYFUNCTION("GOOGLETRANSLATE(A914,""ru"",""en"")"),"Microfiber Napkin Ultra 29x29 cm Yellow")</f>
        <v>Microfiber Napkin Ultra 29x29 cm Yellow</v>
      </c>
      <c r="E914" s="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6" t="s">
        <v>1802</v>
      </c>
      <c r="B915" s="7" t="s">
        <v>1802</v>
      </c>
      <c r="C915" s="8" t="s">
        <v>1495</v>
      </c>
      <c r="D915" s="9" t="str">
        <f>IFERROR(__xludf.DUMMYFUNCTION("GOOGLETRANSLATE(A915,""ru"",""en"")"),"Microfiber Napkin Ultra 29x29 cm Green")</f>
        <v>Microfiber Napkin Ultra 29x29 cm Green</v>
      </c>
      <c r="E915" s="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6" t="s">
        <v>1803</v>
      </c>
      <c r="B916" s="7" t="s">
        <v>1803</v>
      </c>
      <c r="C916" s="8" t="s">
        <v>1804</v>
      </c>
      <c r="D916" s="9" t="str">
        <f>IFERROR(__xludf.DUMMYFUNCTION("GOOGLETRANSLATE(A916,""ru"",""en"")"),"Microfiber Napkin Ultra 29x29 cm Red")</f>
        <v>Microfiber Napkin Ultra 29x29 cm Red</v>
      </c>
      <c r="E916" s="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6" t="s">
        <v>1805</v>
      </c>
      <c r="B917" s="7" t="s">
        <v>1805</v>
      </c>
      <c r="C917" s="8" t="s">
        <v>1806</v>
      </c>
      <c r="D917" s="9" t="str">
        <f>IFERROR(__xludf.DUMMYFUNCTION("GOOGLETRANSLATE(A917,""ru"",""en"")"),"Microfiber napkin 30x30 cm for optics and glasses purple")</f>
        <v>Microfiber napkin 30x30 cm for optics and glasses purple</v>
      </c>
      <c r="E917" s="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6" t="s">
        <v>966</v>
      </c>
      <c r="B918" s="7" t="s">
        <v>966</v>
      </c>
      <c r="C918" s="8" t="s">
        <v>967</v>
      </c>
      <c r="D918" s="9" t="str">
        <f>IFERROR(__xludf.DUMMYFUNCTION("GOOGLETRANSLATE(A918,""ru"",""en"")"),"Means for emergency disinfection of dew spray 5 l")</f>
        <v>Means for emergency disinfection of dew spray 5 l</v>
      </c>
      <c r="E918" s="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6" t="s">
        <v>1807</v>
      </c>
      <c r="B919" s="7" t="s">
        <v>1807</v>
      </c>
      <c r="C919" s="8" t="s">
        <v>1808</v>
      </c>
      <c r="D919" s="9" t="str">
        <f>IFERROR(__xludf.DUMMYFUNCTION("GOOGLETRANSLATE(A919,""ru"",""en"")"),"Automatic air freshener Air Wick juicy mango 250 ml")</f>
        <v>Automatic air freshener Air Wick juicy mango 250 ml</v>
      </c>
      <c r="E919" s="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6" t="s">
        <v>1809</v>
      </c>
      <c r="B920" s="7" t="s">
        <v>1809</v>
      </c>
      <c r="C920" s="8" t="s">
        <v>1810</v>
      </c>
      <c r="D920" s="9" t="str">
        <f>IFERROR(__xludf.DUMMYFUNCTION("GOOGLETRANSLATE(A920,""ru"",""en"")"),"Broom sorghum 3-firmware luxury-2")</f>
        <v>Broom sorghum 3-firmware luxury-2</v>
      </c>
      <c r="E920" s="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6" t="s">
        <v>1811</v>
      </c>
      <c r="B921" s="7" t="s">
        <v>1811</v>
      </c>
      <c r="C921" s="8" t="s">
        <v>1812</v>
      </c>
      <c r="D921" s="9" t="str">
        <f>IFERROR(__xludf.DUMMYFUNCTION("GOOGLETRANSLATE(A921,""ru"",""en"")"),"Gloves Elastomer Aviora rr m 100 pieces")</f>
        <v>Gloves Elastomer Aviora rr m 100 pieces</v>
      </c>
      <c r="E921" s="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6" t="s">
        <v>1813</v>
      </c>
      <c r="B922" s="7" t="s">
        <v>1813</v>
      </c>
      <c r="C922" s="8" t="s">
        <v>1814</v>
      </c>
      <c r="D922" s="9" t="str">
        <f>IFERROR(__xludf.DUMMYFUNCTION("GOOGLETRANSLATE(A922,""ru"",""en"")"),"Gloves Elastomer Aviora Rr L 100 pcs")</f>
        <v>Gloves Elastomer Aviora Rr L 100 pcs</v>
      </c>
      <c r="E922" s="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6" t="s">
        <v>28</v>
      </c>
      <c r="B923" s="7" t="s">
        <v>28</v>
      </c>
      <c r="C923" s="8" t="s">
        <v>29</v>
      </c>
      <c r="D923" s="9" t="str">
        <f>IFERROR(__xludf.DUMMYFUNCTION("GOOGLETRANSLATE(A923,""ru"",""en"")"),"Antiseptic for hand processing septal 1 l")</f>
        <v>Antiseptic for hand processing septal 1 l</v>
      </c>
      <c r="E923" s="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6" t="s">
        <v>1815</v>
      </c>
      <c r="B924" s="7" t="s">
        <v>1815</v>
      </c>
      <c r="C924" s="8" t="s">
        <v>1816</v>
      </c>
      <c r="D924" s="9" t="str">
        <f>IFERROR(__xludf.DUMMYFUNCTION("GOOGLETRANSLATE(A924,""ru"",""en"")"),"Domestos cleaning agent Freshness of Atlantic 1 l")</f>
        <v>Domestos cleaning agent Freshness of Atlantic 1 l</v>
      </c>
      <c r="E924" s="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6" t="s">
        <v>1817</v>
      </c>
      <c r="B925" s="7" t="s">
        <v>1817</v>
      </c>
      <c r="C925" s="8" t="s">
        <v>1818</v>
      </c>
      <c r="D925" s="9" t="str">
        <f>IFERROR(__xludf.DUMMYFUNCTION("GOOGLETRANSLATE(A925,""ru"",""en"")"),"Fabric x / b Wafer bleached 95 cm Mer.Polnomer")</f>
        <v>Fabric x / b Wafer bleached 95 cm Mer.Polnomer</v>
      </c>
      <c r="E925" s="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6" t="s">
        <v>1819</v>
      </c>
      <c r="B926" s="7" t="s">
        <v>1819</v>
      </c>
      <c r="C926" s="8" t="s">
        <v>1820</v>
      </c>
      <c r="D926" s="9" t="str">
        <f>IFERROR(__xludf.DUMMYFUNCTION("GOOGLETRANSLATE(A926,""ru"",""en"")"),"Means for washing glass CIF Ease of purity 500 ml")</f>
        <v>Means for washing glass CIF Ease of purity 500 ml</v>
      </c>
      <c r="E926" s="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6" t="s">
        <v>1821</v>
      </c>
      <c r="B927" s="7" t="s">
        <v>1821</v>
      </c>
      <c r="C927" s="8" t="s">
        <v>1822</v>
      </c>
      <c r="D927" s="9" t="str">
        <f>IFERROR(__xludf.DUMMYFUNCTION("GOOGLETRANSLATE(A927,""ru"",""en"")"),"A highly concentrated disinfectant with washable properties of 5 liters")</f>
        <v>A highly concentrated disinfectant with washable properties of 5 liters</v>
      </c>
      <c r="E927" s="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6" t="s">
        <v>1823</v>
      </c>
      <c r="B928" s="7" t="s">
        <v>1823</v>
      </c>
      <c r="C928" s="8" t="s">
        <v>1824</v>
      </c>
      <c r="D928" s="9" t="str">
        <f>IFERROR(__xludf.DUMMYFUNCTION("GOOGLETRANSLATE(A928,""ru"",""en"")"),"Meakshko-200 Maxi toilet paper for dispensers")</f>
        <v>Meakshko-200 Maxi toilet paper for dispensers</v>
      </c>
      <c r="E928" s="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6" t="s">
        <v>1825</v>
      </c>
      <c r="B929" s="7" t="s">
        <v>1825</v>
      </c>
      <c r="C929" s="8" t="s">
        <v>1826</v>
      </c>
      <c r="D929" s="9" t="str">
        <f>IFERROR(__xludf.DUMMYFUNCTION("GOOGLETRANSLATE(A929,""ru"",""en"")"),"Mirpack garbage bags PCD Premium + 60 l 20 microns 10 pcs")</f>
        <v>Mirpack garbage bags PCD Premium + 60 l 20 microns 10 pcs</v>
      </c>
      <c r="E929" s="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6" t="s">
        <v>1827</v>
      </c>
      <c r="B930" s="7" t="s">
        <v>1827</v>
      </c>
      <c r="C930" s="8" t="s">
        <v>1828</v>
      </c>
      <c r="D930" s="9" t="str">
        <f>IFERROR(__xludf.DUMMYFUNCTION("GOOGLETRANSLATE(A930,""ru"",""en"")"),"Bags for garbage Mirpack PVD 180 l 90x110 cm 45 microns 50 pcs")</f>
        <v>Bags for garbage Mirpack PVD 180 l 90x110 cm 45 microns 50 pcs</v>
      </c>
      <c r="E930" s="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6" t="s">
        <v>1829</v>
      </c>
      <c r="B931" s="7" t="s">
        <v>1829</v>
      </c>
      <c r="C931" s="8" t="s">
        <v>1830</v>
      </c>
      <c r="D931" s="9" t="str">
        <f>IFERROR(__xludf.DUMMYFUNCTION("GOOGLETRANSLATE(A931,""ru"",""en"")"),"Bags for garbage Mirpack PVD 180 l 90x110 cm 50 μm 50 pcs")</f>
        <v>Bags for garbage Mirpack PVD 180 l 90x110 cm 50 μm 50 pcs</v>
      </c>
      <c r="E931" s="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6" t="s">
        <v>1831</v>
      </c>
      <c r="B932" s="7" t="s">
        <v>1831</v>
      </c>
      <c r="C932" s="8" t="s">
        <v>1832</v>
      </c>
      <c r="D932" s="9" t="str">
        <f>IFERROR(__xludf.DUMMYFUNCTION("GOOGLETRANSLATE(A932,""ru"",""en"")"),"Bags for garbage Mirpack PVD 240 L 90x125 cm 50 μm 50 pcs")</f>
        <v>Bags for garbage Mirpack PVD 240 L 90x125 cm 50 μm 50 pcs</v>
      </c>
      <c r="E932" s="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6" t="s">
        <v>1833</v>
      </c>
      <c r="B933" s="7" t="s">
        <v>1833</v>
      </c>
      <c r="C933" s="8" t="s">
        <v>1834</v>
      </c>
      <c r="D933" s="9" t="str">
        <f>IFERROR(__xludf.DUMMYFUNCTION("GOOGLETRANSLATE(A933,""ru"",""en"")"),"Bags for garbage Mirpack PVD 240 l 90x125 cm 70 microns 50 pcs")</f>
        <v>Bags for garbage Mirpack PVD 240 l 90x125 cm 70 microns 50 pcs</v>
      </c>
      <c r="E933" s="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6" t="s">
        <v>1835</v>
      </c>
      <c r="B934" s="7" t="s">
        <v>1835</v>
      </c>
      <c r="C934" s="8" t="s">
        <v>1836</v>
      </c>
      <c r="D934" s="9" t="str">
        <f>IFERROR(__xludf.DUMMYFUNCTION("GOOGLETRANSLATE(A934,""ru"",""en"")"),"Antiseptic for hand processing ESTADEZ C322 neutral 5 l")</f>
        <v>Antiseptic for hand processing ESTADEZ C322 neutral 5 l</v>
      </c>
      <c r="E934" s="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6" t="s">
        <v>1837</v>
      </c>
      <c r="B935" s="7" t="s">
        <v>1837</v>
      </c>
      <c r="C935" s="8" t="s">
        <v>1838</v>
      </c>
      <c r="D935" s="9" t="str">
        <f>IFERROR(__xludf.DUMMYFUNCTION("GOOGLETRANSLATE(A935,""ru"",""en"")"),"Mop Ultraspin Mini White")</f>
        <v>Mop Ultraspin Mini White</v>
      </c>
      <c r="E935" s="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6" t="s">
        <v>1839</v>
      </c>
      <c r="B936" s="7" t="s">
        <v>1839</v>
      </c>
      <c r="C936" s="8" t="s">
        <v>1840</v>
      </c>
      <c r="D936" s="9" t="str">
        <f>IFERROR(__xludf.DUMMYFUNCTION("GOOGLETRANSLATE(A936,""ru"",""en"")"),"Fan rake 13 teeth without a cut")</f>
        <v>Fan rake 13 teeth without a cut</v>
      </c>
      <c r="E936" s="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6" t="s">
        <v>1841</v>
      </c>
      <c r="B937" s="7" t="s">
        <v>1841</v>
      </c>
      <c r="C937" s="8" t="s">
        <v>1842</v>
      </c>
      <c r="D937" s="9" t="str">
        <f>IFERROR(__xludf.DUMMYFUNCTION("GOOGLETRANSLATE(A937,""ru"",""en"")"),"Liquid soap purely antibacterial 300 ml")</f>
        <v>Liquid soap purely antibacterial 300 ml</v>
      </c>
      <c r="E937" s="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6" t="s">
        <v>1843</v>
      </c>
      <c r="B938" s="7" t="s">
        <v>1843</v>
      </c>
      <c r="C938" s="8" t="s">
        <v>1844</v>
      </c>
      <c r="D938" s="9" t="str">
        <f>IFERROR(__xludf.DUMMYFUNCTION("GOOGLETRANSLATE(A938,""ru"",""en"")"),"Liquid soap purely semmey 500 ml")</f>
        <v>Liquid soap purely semmey 500 ml</v>
      </c>
      <c r="E938" s="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6" t="s">
        <v>1845</v>
      </c>
      <c r="B939" s="7" t="s">
        <v>1845</v>
      </c>
      <c r="C939" s="8" t="s">
        <v>1846</v>
      </c>
      <c r="D939" s="9" t="str">
        <f>IFERROR(__xludf.DUMMYFUNCTION("GOOGLETRANSLATE(A939,""ru"",""en"")"),"Packaging fabric 01c3-shr 110 cm")</f>
        <v>Packaging fabric 01c3-shr 110 cm</v>
      </c>
      <c r="E939" s="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6" t="s">
        <v>1847</v>
      </c>
      <c r="B940" s="7" t="s">
        <v>1847</v>
      </c>
      <c r="C940" s="8" t="s">
        <v>1848</v>
      </c>
      <c r="D940" s="9" t="str">
        <f>IFERROR(__xludf.DUMMYFUNCTION("GOOGLETRANSLATE(A940,""ru"",""en"")"),"Packaging fabric 4C79-shr 110 cm")</f>
        <v>Packaging fabric 4C79-shr 110 cm</v>
      </c>
      <c r="E940" s="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6" t="s">
        <v>1849</v>
      </c>
      <c r="B941" s="7" t="s">
        <v>1849</v>
      </c>
      <c r="C941" s="8" t="s">
        <v>1850</v>
      </c>
      <c r="D941" s="9" t="str">
        <f>IFERROR(__xludf.DUMMYFUNCTION("GOOGLETRANSLATE(A941,""ru"",""en"")"),"Broom sorghum 3-firmware luxury-3")</f>
        <v>Broom sorghum 3-firmware luxury-3</v>
      </c>
      <c r="E941" s="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6" t="s">
        <v>1851</v>
      </c>
      <c r="B942" s="7" t="s">
        <v>1851</v>
      </c>
      <c r="C942" s="8" t="s">
        <v>1852</v>
      </c>
      <c r="D942" s="9" t="str">
        <f>IFERROR(__xludf.DUMMYFUNCTION("GOOGLETRANSLATE(A942,""ru"",""en"")"),"Cleaning agent Sanoks-ultra 750 ml")</f>
        <v>Cleaning agent Sanoks-ultra 750 ml</v>
      </c>
      <c r="E942" s="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6" t="s">
        <v>1853</v>
      </c>
      <c r="B943" s="7" t="s">
        <v>1853</v>
      </c>
      <c r="C943" s="8" t="s">
        <v>1854</v>
      </c>
      <c r="D943" s="9" t="str">
        <f>IFERROR(__xludf.DUMMYFUNCTION("GOOGLETRANSLATE(A943,""ru"",""en"")"),"Wristborne disinfectant foam 10 l")</f>
        <v>Wristborne disinfectant foam 10 l</v>
      </c>
      <c r="E943" s="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6" t="s">
        <v>1855</v>
      </c>
      <c r="B944" s="7" t="s">
        <v>1855</v>
      </c>
      <c r="C944" s="8" t="s">
        <v>1856</v>
      </c>
      <c r="D944" s="9" t="str">
        <f>IFERROR(__xludf.DUMMYFUNCTION("GOOGLETRANSLATE(A944,""ru"",""en"")"),"Wolving disinfectant foam 5 l")</f>
        <v>Wolving disinfectant foam 5 l</v>
      </c>
      <c r="E944" s="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6" t="s">
        <v>1857</v>
      </c>
      <c r="B945" s="7" t="s">
        <v>1857</v>
      </c>
      <c r="C945" s="8" t="s">
        <v>1858</v>
      </c>
      <c r="D945" s="9" t="str">
        <f>IFERROR(__xludf.DUMMYFUNCTION("GOOGLETRANSLATE(A945,""ru"",""en"")"),"Bahils Max S on two elastic bands 100 pieces")</f>
        <v>Bahils Max S on two elastic bands 100 pieces</v>
      </c>
      <c r="E945" s="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6" t="s">
        <v>1859</v>
      </c>
      <c r="B946" s="7" t="s">
        <v>1859</v>
      </c>
      <c r="C946" s="8" t="s">
        <v>1860</v>
      </c>
      <c r="D946" s="9" t="str">
        <f>IFERROR(__xludf.DUMMYFUNCTION("GOOGLETRANSLATE(A946,""ru"",""en"")"),"Lid for hot drinks 90 mm with valve white 100 pcs")</f>
        <v>Lid for hot drinks 90 mm with valve white 100 pcs</v>
      </c>
      <c r="E946" s="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6" t="s">
        <v>1861</v>
      </c>
      <c r="B947" s="7" t="s">
        <v>1861</v>
      </c>
      <c r="C947" s="8" t="s">
        <v>1862</v>
      </c>
      <c r="D947" s="9" t="str">
        <f>IFERROR(__xludf.DUMMYFUNCTION("GOOGLETRANSLATE(A947,""ru"",""en"")"),"A glass of 250 ml for hot drinks white IP 50 pcs")</f>
        <v>A glass of 250 ml for hot drinks white IP 50 pcs</v>
      </c>
      <c r="E947" s="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6" t="s">
        <v>1863</v>
      </c>
      <c r="B948" s="7" t="s">
        <v>1863</v>
      </c>
      <c r="C948" s="8" t="s">
        <v>1864</v>
      </c>
      <c r="D948" s="9" t="str">
        <f>IFERROR(__xludf.DUMMYFUNCTION("GOOGLETRANSLATE(A948,""ru"",""en"")"),"Air freshener toilex after rain 300 ml")</f>
        <v>Air freshener toilex after rain 300 ml</v>
      </c>
      <c r="E948" s="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6" t="s">
        <v>1865</v>
      </c>
      <c r="B949" s="7" t="s">
        <v>1865</v>
      </c>
      <c r="C949" s="8" t="s">
        <v>1866</v>
      </c>
      <c r="D949" s="9" t="str">
        <f>IFERROR(__xludf.DUMMYFUNCTION("GOOGLETRANSLATE(A949,""ru"",""en"")"),"Container Packs-Uniti 108x82 mm 500 g 100 pcs")</f>
        <v>Container Packs-Uniti 108x82 mm 500 g 100 pcs</v>
      </c>
      <c r="E949" s="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6" t="s">
        <v>1867</v>
      </c>
      <c r="B950" s="7" t="s">
        <v>1867</v>
      </c>
      <c r="C950" s="8" t="s">
        <v>1868</v>
      </c>
      <c r="D950" s="9" t="str">
        <f>IFERROR(__xludf.DUMMYFUNCTION("GOOGLETRANSLATE(A950,""ru"",""en"")"),"Cover to the Container of the Upax-Uniti 108x82 mm 50 pcs")</f>
        <v>Cover to the Container of the Upax-Uniti 108x82 mm 50 pcs</v>
      </c>
      <c r="E950" s="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6" t="s">
        <v>1869</v>
      </c>
      <c r="B951" s="7" t="s">
        <v>1869</v>
      </c>
      <c r="C951" s="8" t="s">
        <v>1870</v>
      </c>
      <c r="D951" s="9" t="str">
        <f>IFERROR(__xludf.DUMMYFUNCTION("GOOGLETRANSLATE(A951,""ru"",""en"")"),"Plastic plates 205 mm 50 pcs")</f>
        <v>Plastic plates 205 mm 50 pcs</v>
      </c>
      <c r="E951" s="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6" t="s">
        <v>1871</v>
      </c>
      <c r="B952" s="7" t="s">
        <v>1871</v>
      </c>
      <c r="C952" s="8" t="s">
        <v>1872</v>
      </c>
      <c r="D952" s="9" t="str">
        <f>IFERROR(__xludf.DUMMYFUNCTION("GOOGLETRANSLATE(A952,""ru"",""en"")"),"Packing PND Packages Economy EuroBack for Dispenser 25x40 cm 10 μm 1000 pcs")</f>
        <v>Packing PND Packages Economy EuroBack for Dispenser 25x40 cm 10 μm 1000 pcs</v>
      </c>
      <c r="E952" s="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6" t="s">
        <v>1873</v>
      </c>
      <c r="B953" s="7" t="s">
        <v>1873</v>
      </c>
      <c r="C953" s="8" t="s">
        <v>1874</v>
      </c>
      <c r="D953" s="9" t="str">
        <f>IFERROR(__xludf.DUMMYFUNCTION("GOOGLETRANSLATE(A953,""ru"",""en"")"),"Microfiber rag 50x60 cm turquoise")</f>
        <v>Microfiber rag 50x60 cm turquoise</v>
      </c>
      <c r="E953" s="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6" t="s">
        <v>1875</v>
      </c>
      <c r="B954" s="7" t="s">
        <v>1875</v>
      </c>
      <c r="C954" s="8" t="s">
        <v>1876</v>
      </c>
      <c r="D954" s="9" t="str">
        <f>IFERROR(__xludf.DUMMYFUNCTION("GOOGLETRANSLATE(A954,""ru"",""en"")"),"Microfiber rag 50x80 cm green")</f>
        <v>Microfiber rag 50x80 cm green</v>
      </c>
      <c r="E954" s="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6" t="s">
        <v>1877</v>
      </c>
      <c r="B955" s="7" t="s">
        <v>1877</v>
      </c>
      <c r="C955" s="8" t="s">
        <v>1878</v>
      </c>
      <c r="D955" s="9" t="str">
        <f>IFERROR(__xludf.DUMMYFUNCTION("GOOGLETRANSLATE(A955,""ru"",""en"")"),"Detergent with disinfectant effect Deosil 20 5 l")</f>
        <v>Detergent with disinfectant effect Deosil 20 5 l</v>
      </c>
      <c r="E955" s="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6" t="s">
        <v>1879</v>
      </c>
      <c r="B956" s="7" t="s">
        <v>1879</v>
      </c>
      <c r="C956" s="8" t="s">
        <v>1880</v>
      </c>
      <c r="D956" s="9" t="str">
        <f>IFERROR(__xludf.DUMMYFUNCTION("GOOGLETRANSLATE(A956,""ru"",""en"")"),"Detergent with disinfectant effect Deosil 20 1 l")</f>
        <v>Detergent with disinfectant effect Deosil 20 1 l</v>
      </c>
      <c r="E956" s="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6" t="s">
        <v>1881</v>
      </c>
      <c r="B957" s="7" t="s">
        <v>1881</v>
      </c>
      <c r="C957" s="8" t="s">
        <v>1882</v>
      </c>
      <c r="D957" s="9" t="str">
        <f>IFERROR(__xludf.DUMMYFUNCTION("GOOGLETRANSLATE(A957,""ru"",""en"")"),"Cleaning agent Tresinol 8 1 l")</f>
        <v>Cleaning agent Tresinol 8 1 l</v>
      </c>
      <c r="E957" s="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6" t="s">
        <v>1883</v>
      </c>
      <c r="B958" s="7" t="s">
        <v>1883</v>
      </c>
      <c r="C958" s="8" t="s">
        <v>1884</v>
      </c>
      <c r="D958" s="9" t="str">
        <f>IFERROR(__xludf.DUMMYFUNCTION("GOOGLETRANSLATE(A958,""ru"",""en"")"),"Cleaning agent Tresinol 8 5 l")</f>
        <v>Cleaning agent Tresinol 8 5 l</v>
      </c>
      <c r="E958" s="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6" t="s">
        <v>1885</v>
      </c>
      <c r="B959" s="7" t="s">
        <v>1885</v>
      </c>
      <c r="C959" s="8" t="s">
        <v>1886</v>
      </c>
      <c r="D959" s="9" t="str">
        <f>IFERROR(__xludf.DUMMYFUNCTION("GOOGLETRANSLATE(A959,""ru"",""en"")"),"Dishwashing detergent bavisnab 5 l")</f>
        <v>Dishwashing detergent bavisnab 5 l</v>
      </c>
      <c r="E959" s="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6" t="s">
        <v>1887</v>
      </c>
      <c r="B960" s="7" t="s">
        <v>1887</v>
      </c>
      <c r="C960" s="8" t="s">
        <v>1888</v>
      </c>
      <c r="D960" s="9" t="str">
        <f>IFERROR(__xludf.DUMMYFUNCTION("GOOGLETRANSLATE(A960,""ru"",""en"")"),"Grite Professional Economy Extra Single Layer Gray Towels")</f>
        <v>Grite Professional Economy Extra Single Layer Gray Towels</v>
      </c>
      <c r="E960" s="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6" t="s">
        <v>1889</v>
      </c>
      <c r="B961" s="7" t="s">
        <v>1889</v>
      </c>
      <c r="C961" s="8" t="s">
        <v>1890</v>
      </c>
      <c r="D961" s="9" t="str">
        <f>IFERROR(__xludf.DUMMYFUNCTION("GOOGLETRANSLATE(A961,""ru"",""en"")"),"Replaceable Block for Air Freshener Glade Automatic Tenderness Casses and Sandal 269 ml")</f>
        <v>Replaceable Block for Air Freshener Glade Automatic Tenderness Casses and Sandal 269 ml</v>
      </c>
      <c r="E961" s="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6" t="s">
        <v>1891</v>
      </c>
      <c r="B962" s="7" t="s">
        <v>1891</v>
      </c>
      <c r="C962" s="8" t="s">
        <v>1892</v>
      </c>
      <c r="D962" s="9" t="str">
        <f>IFERROR(__xludf.DUMMYFUNCTION("GOOGLETRANSLATE(A962,""ru"",""en"")"),"Automatic air freshener Glade Automatic Freshness of linen 269 ml")</f>
        <v>Automatic air freshener Glade Automatic Freshness of linen 269 ml</v>
      </c>
      <c r="E962" s="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6" t="s">
        <v>1893</v>
      </c>
      <c r="B963" s="7" t="s">
        <v>1893</v>
      </c>
      <c r="C963" s="8" t="s">
        <v>1894</v>
      </c>
      <c r="D963" s="9" t="str">
        <f>IFERROR(__xludf.DUMMYFUNCTION("GOOGLETRANSLATE(A963,""ru"",""en"")"),"Automatic air freshener GLADE Automatic Strawberry Hit 269 ml")</f>
        <v>Automatic air freshener GLADE Automatic Strawberry Hit 269 ml</v>
      </c>
      <c r="E963" s="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6" t="s">
        <v>1895</v>
      </c>
      <c r="B964" s="7" t="s">
        <v>1895</v>
      </c>
      <c r="C964" s="8" t="s">
        <v>1896</v>
      </c>
      <c r="D964" s="9" t="str">
        <f>IFERROR(__xludf.DUMMYFUNCTION("GOOGLETRANSLATE(A964,""ru"",""en"")"),"Automatic air freshener GLADE Automatic Spicy Lounge 269 ml")</f>
        <v>Automatic air freshener GLADE Automatic Spicy Lounge 269 ml</v>
      </c>
      <c r="E964" s="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6" t="s">
        <v>1897</v>
      </c>
      <c r="B965" s="7" t="s">
        <v>1897</v>
      </c>
      <c r="C965" s="8" t="s">
        <v>1898</v>
      </c>
      <c r="D965" s="9" t="str">
        <f>IFERROR(__xludf.DUMMYFUNCTION("GOOGLETRANSLATE(A965,""ru"",""en"")"),"Tool for washing dishes Fairy juicy lemon 900 ml")</f>
        <v>Tool for washing dishes Fairy juicy lemon 900 ml</v>
      </c>
      <c r="E965" s="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6" t="s">
        <v>770</v>
      </c>
      <c r="B966" s="7" t="s">
        <v>770</v>
      </c>
      <c r="C966" s="8" t="s">
        <v>771</v>
      </c>
      <c r="D966" s="9" t="str">
        <f>IFERROR(__xludf.DUMMYFUNCTION("GOOGLETRANSLATE(A966,""ru"",""en"")"),"Washing fluid for floors and walls Mr. Proper Ocean 1 l")</f>
        <v>Washing fluid for floors and walls Mr. Proper Ocean 1 l</v>
      </c>
      <c r="E966" s="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6" t="s">
        <v>1899</v>
      </c>
      <c r="B967" s="7" t="s">
        <v>1899</v>
      </c>
      <c r="C967" s="8" t="s">
        <v>1900</v>
      </c>
      <c r="D967" s="9" t="str">
        <f>IFERROR(__xludf.DUMMYFUNCTION("GOOGLETRANSLATE(A967,""ru"",""en"")"),"Means Cleaning Peumolux Aromatherapy Lavender Oil 480 g")</f>
        <v>Means Cleaning Peumolux Aromatherapy Lavender Oil 480 g</v>
      </c>
      <c r="E967" s="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6" t="s">
        <v>1901</v>
      </c>
      <c r="B968" s="7" t="s">
        <v>1901</v>
      </c>
      <c r="C968" s="8" t="s">
        <v>1902</v>
      </c>
      <c r="D968" s="9" t="str">
        <f>IFERROR(__xludf.DUMMYFUNCTION("GOOGLETRANSLATE(A968,""ru"",""en"")"),"Hood-takes Charlotte Blue 100 pcs")</f>
        <v>Hood-takes Charlotte Blue 100 pcs</v>
      </c>
      <c r="E968" s="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6" t="s">
        <v>1903</v>
      </c>
      <c r="B969" s="7" t="s">
        <v>1903</v>
      </c>
      <c r="C969" s="8" t="s">
        <v>1904</v>
      </c>
      <c r="D969" s="9" t="str">
        <f>IFERROR(__xludf.DUMMYFUNCTION("GOOGLETRANSLATE(A969,""ru"",""en"")"),"Air freshener LIS RELAX marine surf 300 ml")</f>
        <v>Air freshener LIS RELAX marine surf 300 ml</v>
      </c>
      <c r="E969" s="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6" t="s">
        <v>1905</v>
      </c>
      <c r="B970" s="7" t="s">
        <v>1905</v>
      </c>
      <c r="C970" s="8" t="s">
        <v>1906</v>
      </c>
      <c r="D970" s="9" t="str">
        <f>IFERROR(__xludf.DUMMYFUNCTION("GOOGLETRANSLATE(A970,""ru"",""en"")"),"Packing tape 66 x 48")</f>
        <v>Packing tape 66 x 48</v>
      </c>
      <c r="E970" s="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6" t="s">
        <v>1907</v>
      </c>
      <c r="B971" s="7" t="s">
        <v>1907</v>
      </c>
      <c r="C971" s="8" t="s">
        <v>1908</v>
      </c>
      <c r="D971" s="9" t="str">
        <f>IFERROR(__xludf.DUMMYFUNCTION("GOOGLETRANSLATE(A971,""ru"",""en"")"),"Means for washing dishes Sorti Glycerin 900 ml")</f>
        <v>Means for washing dishes Sorti Glycerin 900 ml</v>
      </c>
      <c r="E971" s="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6" t="s">
        <v>1909</v>
      </c>
      <c r="B972" s="7" t="s">
        <v>1909</v>
      </c>
      <c r="C972" s="8" t="s">
        <v>1910</v>
      </c>
      <c r="D972" s="9" t="str">
        <f>IFERROR(__xludf.DUMMYFUNCTION("GOOGLETRANSLATE(A972,""ru"",""en"")"),"Liquid soap with hut 5 l")</f>
        <v>Liquid soap with hut 5 l</v>
      </c>
      <c r="E972" s="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6" t="s">
        <v>1911</v>
      </c>
      <c r="B973" s="7" t="s">
        <v>1911</v>
      </c>
      <c r="C973" s="8" t="s">
        <v>1912</v>
      </c>
      <c r="D973" s="9" t="str">
        <f>IFERROR(__xludf.DUMMYFUNCTION("GOOGLETRANSLATE(A973,""ru"",""en"")"),"Berlingo adhesive tape 19 mm x 33 m transparent")</f>
        <v>Berlingo adhesive tape 19 mm x 33 m transparent</v>
      </c>
      <c r="E973" s="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6" t="s">
        <v>1913</v>
      </c>
      <c r="B974" s="7" t="s">
        <v>1913</v>
      </c>
      <c r="C974" s="8" t="s">
        <v>1914</v>
      </c>
      <c r="D974" s="9" t="str">
        <f>IFERROR(__xludf.DUMMYFUNCTION("GOOGLETRANSLATE(A974,""ru"",""en"")"),"Concentrated Lingerie Frozch Almond Milk 750 ml")</f>
        <v>Concentrated Lingerie Frozch Almond Milk 750 ml</v>
      </c>
      <c r="E974" s="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6" t="s">
        <v>1915</v>
      </c>
      <c r="B975" s="7" t="s">
        <v>1915</v>
      </c>
      <c r="C975" s="8" t="s">
        <v>1916</v>
      </c>
      <c r="D975" s="9" t="str">
        <f>IFERROR(__xludf.DUMMYFUNCTION("GOOGLETRANSLATE(A975,""ru"",""en"")"),"Raincoat Komfi Eva with a hood on the buttons green")</f>
        <v>Raincoat Komfi Eva with a hood on the buttons green</v>
      </c>
      <c r="E975" s="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6" t="s">
        <v>1917</v>
      </c>
      <c r="B976" s="7" t="s">
        <v>1917</v>
      </c>
      <c r="C976" s="8" t="s">
        <v>1918</v>
      </c>
      <c r="D976" s="9" t="str">
        <f>IFERROR(__xludf.DUMMYFUNCTION("GOOGLETRANSLATE(A976,""ru"",""en"")"),"Raincoat Komfi Eva Hooded on Buttons Blue")</f>
        <v>Raincoat Komfi Eva Hooded on Buttons Blue</v>
      </c>
      <c r="E976" s="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6" t="s">
        <v>1919</v>
      </c>
      <c r="B977" s="7" t="s">
        <v>1919</v>
      </c>
      <c r="C977" s="8" t="s">
        <v>1920</v>
      </c>
      <c r="D977" s="9" t="str">
        <f>IFERROR(__xludf.DUMMYFUNCTION("GOOGLETRANSLATE(A977,""ru"",""en"")"),"Concentrated Lingerie Frozch Freshness 750 ml")</f>
        <v>Concentrated Lingerie Frozch Freshness 750 ml</v>
      </c>
      <c r="E977" s="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6" t="s">
        <v>1921</v>
      </c>
      <c r="B978" s="7" t="s">
        <v>1921</v>
      </c>
      <c r="C978" s="8" t="s">
        <v>1922</v>
      </c>
      <c r="D978" s="9" t="str">
        <f>IFERROR(__xludf.DUMMYFUNCTION("GOOGLETRANSLATE(A978,""ru"",""en"")"),"Concentrated Lingerie Frozch Aloe Vera 750 ml")</f>
        <v>Concentrated Lingerie Frozch Aloe Vera 750 ml</v>
      </c>
      <c r="E978" s="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6" t="s">
        <v>1923</v>
      </c>
      <c r="B979" s="7" t="s">
        <v>1923</v>
      </c>
      <c r="C979" s="8" t="s">
        <v>1924</v>
      </c>
      <c r="D979" s="9" t="str">
        <f>IFERROR(__xludf.DUMMYFUNCTION("GOOGLETRANSLATE(A979,""ru"",""en"")"),"Garbage Container with Beige Marble Pedal 19 l")</f>
        <v>Garbage Container with Beige Marble Pedal 19 l</v>
      </c>
      <c r="E979" s="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6" t="s">
        <v>1925</v>
      </c>
      <c r="B980" s="7" t="s">
        <v>1925</v>
      </c>
      <c r="C980" s="8" t="s">
        <v>1926</v>
      </c>
      <c r="D980" s="9" t="str">
        <f>IFERROR(__xludf.DUMMYFUNCTION("GOOGLETRANSLATE(A980,""ru"",""en"")"),"Packages polyethylene green 55 x 80 cm 65 μm 100 pcs")</f>
        <v>Packages polyethylene green 55 x 80 cm 65 μm 100 pcs</v>
      </c>
      <c r="E980" s="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6" t="s">
        <v>1927</v>
      </c>
      <c r="B981" s="7" t="s">
        <v>1927</v>
      </c>
      <c r="C981" s="8" t="s">
        <v>1928</v>
      </c>
      <c r="D981" s="9" t="str">
        <f>IFERROR(__xludf.DUMMYFUNCTION("GOOGLETRANSLATE(A981,""ru"",""en"")"),"Economy bucket purple 10 l")</f>
        <v>Economy bucket purple 10 l</v>
      </c>
      <c r="E981" s="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6" t="s">
        <v>1929</v>
      </c>
      <c r="B982" s="7" t="s">
        <v>1929</v>
      </c>
      <c r="C982" s="8" t="s">
        <v>1930</v>
      </c>
      <c r="D982" s="9" t="str">
        <f>IFERROR(__xludf.DUMMYFUNCTION("GOOGLETRANSLATE(A982,""ru"",""en"")"),"Classic bucket with a spout of 11 l")</f>
        <v>Classic bucket with a spout of 11 l</v>
      </c>
      <c r="E982" s="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6" t="s">
        <v>1931</v>
      </c>
      <c r="B983" s="7" t="s">
        <v>1931</v>
      </c>
      <c r="C983" s="8" t="s">
        <v>1932</v>
      </c>
      <c r="D983" s="9" t="str">
        <f>IFERROR(__xludf.DUMMYFUNCTION("GOOGLETRANSLATE(A983,""ru"",""en"")"),"Bucket comfort Pink 5 l")</f>
        <v>Bucket comfort Pink 5 l</v>
      </c>
      <c r="E983" s="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6" t="s">
        <v>1933</v>
      </c>
      <c r="B984" s="7" t="s">
        <v>1933</v>
      </c>
      <c r="C984" s="8" t="s">
        <v>1934</v>
      </c>
      <c r="D984" s="9" t="str">
        <f>IFERROR(__xludf.DUMMYFUNCTION("GOOGLETRANSLATE(A984,""ru"",""en"")"),"Yursh Unitaase Mix")</f>
        <v>Yursh Unitaase Mix</v>
      </c>
      <c r="E984" s="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6" t="s">
        <v>1935</v>
      </c>
      <c r="B985" s="7" t="s">
        <v>1935</v>
      </c>
      <c r="C985" s="8" t="s">
        <v>1936</v>
      </c>
      <c r="D985" s="9" t="str">
        <f>IFERROR(__xludf.DUMMYFUNCTION("GOOGLETRANSLATE(A985,""ru"",""en"")"),"Set WC white white")</f>
        <v>Set WC white white</v>
      </c>
      <c r="E985" s="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6" t="s">
        <v>1937</v>
      </c>
      <c r="B986" s="7" t="s">
        <v>1937</v>
      </c>
      <c r="C986" s="8" t="s">
        <v>1938</v>
      </c>
      <c r="D986" s="9" t="str">
        <f>IFERROR(__xludf.DUMMYFUNCTION("GOOGLETRANSLATE(A986,""ru"",""en"")"),"WC Square White Set")</f>
        <v>WC Square White Set</v>
      </c>
      <c r="E986" s="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6" t="s">
        <v>1939</v>
      </c>
      <c r="B987" s="7" t="s">
        <v>1939</v>
      </c>
      <c r="C987" s="8" t="s">
        <v>1940</v>
      </c>
      <c r="D987" s="9" t="str">
        <f>IFERROR(__xludf.DUMMYFUNCTION("GOOGLETRANSLATE(A987,""ru"",""en"")"),"Set WC Bell White")</f>
        <v>Set WC Bell White</v>
      </c>
      <c r="E987" s="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6" t="s">
        <v>1941</v>
      </c>
      <c r="B988" s="7" t="s">
        <v>1941</v>
      </c>
      <c r="C988" s="8" t="s">
        <v>1942</v>
      </c>
      <c r="D988" s="9" t="str">
        <f>IFERROR(__xludf.DUMMYFUNCTION("GOOGLETRANSLATE(A988,""ru"",""en"")"),"Metal sponges for dishes Mamontenok Chistolyby Spiral 2 pcs")</f>
        <v>Metal sponges for dishes Mamontenok Chistolyby Spiral 2 pcs</v>
      </c>
      <c r="E988" s="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6" t="s">
        <v>1943</v>
      </c>
      <c r="B989" s="7" t="s">
        <v>1943</v>
      </c>
      <c r="C989" s="8" t="s">
        <v>1944</v>
      </c>
      <c r="D989" s="9" t="str">
        <f>IFERROR(__xludf.DUMMYFUNCTION("GOOGLETRANSLATE(A989,""ru"",""en"")"),"Large iron brush")</f>
        <v>Large iron brush</v>
      </c>
      <c r="E989" s="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6" t="s">
        <v>1945</v>
      </c>
      <c r="B990" s="7" t="s">
        <v>1945</v>
      </c>
      <c r="C990" s="8" t="s">
        <v>1946</v>
      </c>
      <c r="D990" s="9" t="str">
        <f>IFERROR(__xludf.DUMMYFUNCTION("GOOGLETRANSLATE(A990,""ru"",""en"")"),"Brush iron")</f>
        <v>Brush iron</v>
      </c>
      <c r="E990" s="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6" t="s">
        <v>1947</v>
      </c>
      <c r="B991" s="7" t="s">
        <v>1947</v>
      </c>
      <c r="C991" s="8" t="s">
        <v>1948</v>
      </c>
      <c r="D991" s="9" t="str">
        <f>IFERROR(__xludf.DUMMYFUNCTION("GOOGLETRANSLATE(A991,""ru"",""en"")"),"Brush sweeping Agatha")</f>
        <v>Brush sweeping Agatha</v>
      </c>
      <c r="E991" s="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6" t="s">
        <v>1949</v>
      </c>
      <c r="B992" s="7" t="s">
        <v>1949</v>
      </c>
      <c r="C992" s="8" t="s">
        <v>1950</v>
      </c>
      <c r="D992" s="9" t="str">
        <f>IFERROR(__xludf.DUMMYFUNCTION("GOOGLETRANSLATE(A992,""ru"",""en"")"),"Brush sweeping wing")</f>
        <v>Brush sweeping wing</v>
      </c>
      <c r="E992" s="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6" t="s">
        <v>1951</v>
      </c>
      <c r="B993" s="7" t="s">
        <v>1951</v>
      </c>
      <c r="C993" s="8" t="s">
        <v>1952</v>
      </c>
      <c r="D993" s="9" t="str">
        <f>IFERROR(__xludf.DUMMYFUNCTION("GOOGLETRANSLATE(A993,""ru"",""en"")"),"Brush sweeping Lady Brooke")</f>
        <v>Brush sweeping Lady Brooke</v>
      </c>
      <c r="E993" s="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6" t="s">
        <v>1953</v>
      </c>
      <c r="B994" s="7" t="s">
        <v>1953</v>
      </c>
      <c r="C994" s="8" t="s">
        <v>1954</v>
      </c>
      <c r="D994" s="9" t="str">
        <f>IFERROR(__xludf.DUMMYFUNCTION("GOOGLETRANSLATE(A994,""ru"",""en"")"),"Brush sweeping monica")</f>
        <v>Brush sweeping monica</v>
      </c>
      <c r="E994" s="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6" t="s">
        <v>90</v>
      </c>
      <c r="B995" s="7" t="s">
        <v>90</v>
      </c>
      <c r="C995" s="8" t="s">
        <v>91</v>
      </c>
      <c r="D995" s="9" t="str">
        <f>IFERROR(__xludf.DUMMYFUNCTION("GOOGLETRANSLATE(A995,""ru"",""en"")"),"Brush sweeping nova")</f>
        <v>Brush sweeping nova</v>
      </c>
      <c r="E995" s="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6" t="s">
        <v>1955</v>
      </c>
      <c r="B996" s="7" t="s">
        <v>1955</v>
      </c>
      <c r="C996" s="8" t="s">
        <v>1956</v>
      </c>
      <c r="D996" s="9" t="str">
        <f>IFERROR(__xludf.DUMMYFUNCTION("GOOGLETRANSLATE(A996,""ru"",""en"")"),"Brush tough slipper")</f>
        <v>Brush tough slipper</v>
      </c>
      <c r="E996" s="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6" t="s">
        <v>1957</v>
      </c>
      <c r="B997" s="7" t="s">
        <v>1957</v>
      </c>
      <c r="C997" s="8" t="s">
        <v>1958</v>
      </c>
      <c r="D997" s="9" t="str">
        <f>IFERROR(__xludf.DUMMYFUNCTION("GOOGLETRANSLATE(A997,""ru"",""en"")"),"Brush sweeping Elissa")</f>
        <v>Brush sweeping Elissa</v>
      </c>
      <c r="E997" s="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6" t="s">
        <v>420</v>
      </c>
      <c r="B998" s="7" t="s">
        <v>420</v>
      </c>
      <c r="C998" s="8" t="s">
        <v>421</v>
      </c>
      <c r="D998" s="9" t="str">
        <f>IFERROR(__xludf.DUMMYFUNCTION("GOOGLETRANSLATE(A998,""ru"",""en"")"),"Malaya sweeping brush")</f>
        <v>Malaya sweeping brush</v>
      </c>
      <c r="E998" s="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6" t="s">
        <v>98</v>
      </c>
      <c r="B999" s="7" t="s">
        <v>98</v>
      </c>
      <c r="C999" s="8" t="s">
        <v>99</v>
      </c>
      <c r="D999" s="9" t="str">
        <f>IFERROR(__xludf.DUMMYFUNCTION("GOOGLETRANSLATE(A999,""ru"",""en"")"),"Garden Street Brush with High Bristle")</f>
        <v>Garden Street Brush with High Bristle</v>
      </c>
      <c r="E999" s="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6" t="s">
        <v>1959</v>
      </c>
      <c r="B1000" s="7" t="s">
        <v>1959</v>
      </c>
      <c r="C1000" s="8" t="s">
        <v>1960</v>
      </c>
      <c r="D1000" s="9" t="str">
        <f>IFERROR(__xludf.DUMMYFUNCTION("GOOGLETRANSLATE(A1000,""ru"",""en"")"),"Large brush")</f>
        <v>Large brush</v>
      </c>
      <c r="E1000" s="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6" t="s">
        <v>1961</v>
      </c>
      <c r="B1001" s="7" t="s">
        <v>1961</v>
      </c>
      <c r="C1001" s="8" t="s">
        <v>1962</v>
      </c>
      <c r="D1001" s="9" t="str">
        <f>IFERROR(__xludf.DUMMYFUNCTION("GOOGLETRANSLATE(A1001,""ru"",""en"")"),"Bags for garbage night 120 l 10 pcs")</f>
        <v>Bags for garbage night 120 l 10 pcs</v>
      </c>
      <c r="E1001" s="8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6" t="s">
        <v>1963</v>
      </c>
      <c r="B1002" s="7" t="s">
        <v>1963</v>
      </c>
      <c r="C1002" s="8" t="s">
        <v>1964</v>
      </c>
      <c r="D1002" s="9" t="str">
        <f>IFERROR(__xludf.DUMMYFUNCTION("GOOGLETRANSLATE(A1002,""ru"",""en"")"),"COF CLEANING TOOL OF NATURE FOR KITCHEN 500 ml")</f>
        <v>COF CLEANING TOOL OF NATURE FOR KITCHEN 500 ml</v>
      </c>
      <c r="E1002" s="8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6" t="s">
        <v>1965</v>
      </c>
      <c r="B1003" s="7" t="s">
        <v>1965</v>
      </c>
      <c r="C1003" s="8" t="s">
        <v>1966</v>
      </c>
      <c r="D1003" s="9" t="str">
        <f>IFERROR(__xludf.DUMMYFUNCTION("GOOGLETRANSLATE(A1003,""ru"",""en"")"),"Plate paper rectangular 200 x 130 x 10 mm 100 pcs")</f>
        <v>Plate paper rectangular 200 x 130 x 10 mm 100 pcs</v>
      </c>
      <c r="E1003" s="8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6" t="s">
        <v>1967</v>
      </c>
      <c r="B1004" s="7" t="s">
        <v>1967</v>
      </c>
      <c r="C1004" s="8" t="s">
        <v>1968</v>
      </c>
      <c r="D1004" s="9" t="str">
        <f>IFERROR(__xludf.DUMMYFUNCTION("GOOGLETRANSLATE(A1004,""ru"",""en"")"),"Cousings 80ml 80 pcs")</f>
        <v>Cousings 80ml 80 pcs</v>
      </c>
      <c r="E1004" s="8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6" t="s">
        <v>1969</v>
      </c>
      <c r="B1005" s="7" t="s">
        <v>1969</v>
      </c>
      <c r="C1005" s="8" t="s">
        <v>1970</v>
      </c>
      <c r="D1005" s="9" t="str">
        <f>IFERROR(__xludf.DUMMYFUNCTION("GOOGLETRANSLATE(A1005,""ru"",""en"")"),"Microfiber Napkin 29x29 cm Coral")</f>
        <v>Microfiber Napkin 29x29 cm Coral</v>
      </c>
      <c r="E1005" s="8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6" t="s">
        <v>1971</v>
      </c>
      <c r="B1006" s="7" t="s">
        <v>1971</v>
      </c>
      <c r="C1006" s="8" t="s">
        <v>1972</v>
      </c>
      <c r="D1006" s="9" t="str">
        <f>IFERROR(__xludf.DUMMYFUNCTION("GOOGLETRANSLATE(A1006,""ru"",""en"")"),"Microfiber Napkin 29x29 cm Metal")</f>
        <v>Microfiber Napkin 29x29 cm Metal</v>
      </c>
      <c r="E1006" s="8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6" t="s">
        <v>1973</v>
      </c>
      <c r="B1007" s="7" t="s">
        <v>1973</v>
      </c>
      <c r="C1007" s="8" t="s">
        <v>1974</v>
      </c>
      <c r="D1007" s="9" t="str">
        <f>IFERROR(__xludf.DUMMYFUNCTION("GOOGLETRANSLATE(A1007,""ru"",""en"")"),"Microfiber Napkin 29x29 cm Mint")</f>
        <v>Microfiber Napkin 29x29 cm Mint</v>
      </c>
      <c r="E1007" s="8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6" t="s">
        <v>1975</v>
      </c>
      <c r="B1008" s="7" t="s">
        <v>1975</v>
      </c>
      <c r="C1008" s="8" t="s">
        <v>1976</v>
      </c>
      <c r="D1008" s="9" t="str">
        <f>IFERROR(__xludf.DUMMYFUNCTION("GOOGLETRANSLATE(A1008,""ru"",""en"")"),"Microfiber Napkin 29x29 cm Green Sugper")</f>
        <v>Microfiber Napkin 29x29 cm Green Sugper</v>
      </c>
      <c r="E1008" s="8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6" t="s">
        <v>1977</v>
      </c>
      <c r="B1009" s="7" t="s">
        <v>1977</v>
      </c>
      <c r="C1009" s="8" t="s">
        <v>1978</v>
      </c>
      <c r="D1009" s="9" t="str">
        <f>IFERROR(__xludf.DUMMYFUNCTION("GOOGLETRANSLATE(A1009,""ru"",""en"")"),"Microfiber napkin 30x30 cm for optics and glass turquoise")</f>
        <v>Microfiber napkin 30x30 cm for optics and glass turquoise</v>
      </c>
      <c r="E1009" s="8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6" t="s">
        <v>1979</v>
      </c>
      <c r="B1010" s="7" t="s">
        <v>1979</v>
      </c>
      <c r="C1010" s="8" t="s">
        <v>1980</v>
      </c>
      <c r="D1010" s="9" t="str">
        <f>IFERROR(__xludf.DUMMYFUNCTION("GOOGLETRANSLATE(A1010,""ru"",""en"")"),"Premium plastic knives Black 18 cm 50 pcs")</f>
        <v>Premium plastic knives Black 18 cm 50 pcs</v>
      </c>
      <c r="E1010" s="8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6" t="s">
        <v>1981</v>
      </c>
      <c r="B1011" s="7" t="s">
        <v>1981</v>
      </c>
      <c r="C1011" s="8" t="s">
        <v>1982</v>
      </c>
      <c r="D1011" s="9" t="str">
        <f>IFERROR(__xludf.DUMMYFUNCTION("GOOGLETRANSLATE(A1011,""ru"",""en"")"),"Sticks for sushi 20 cm in proster pack 100 pcs")</f>
        <v>Sticks for sushi 20 cm in proster pack 100 pcs</v>
      </c>
      <c r="E1011" s="8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6" t="s">
        <v>934</v>
      </c>
      <c r="B1012" s="7" t="s">
        <v>934</v>
      </c>
      <c r="C1012" s="8" t="s">
        <v>935</v>
      </c>
      <c r="D1012" s="9" t="str">
        <f>IFERROR(__xludf.DUMMYFUNCTION("GOOGLETRANSLATE(A1012,""ru"",""en"")"),"Washing fluid for floors and walls Mr. Proper lemon 1 l")</f>
        <v>Washing fluid for floors and walls Mr. Proper lemon 1 l</v>
      </c>
      <c r="E1012" s="8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6" t="s">
        <v>1983</v>
      </c>
      <c r="B1013" s="7" t="s">
        <v>1983</v>
      </c>
      <c r="C1013" s="8" t="s">
        <v>1984</v>
      </c>
      <c r="D1013" s="9" t="str">
        <f>IFERROR(__xludf.DUMMYFUNCTION("GOOGLETRANSLATE(A1013,""ru"",""en"")"),"Soap liquid AJM Econom 500 ml with push pool")</f>
        <v>Soap liquid AJM Econom 500 ml with push pool</v>
      </c>
      <c r="E1013" s="8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6" t="s">
        <v>1985</v>
      </c>
      <c r="B1014" s="7" t="s">
        <v>1985</v>
      </c>
      <c r="C1014" s="8" t="s">
        <v>1986</v>
      </c>
      <c r="D1014" s="9" t="str">
        <f>IFERROR(__xludf.DUMMYFUNCTION("GOOGLETRANSLATE(A1014,""ru"",""en"")"),"Replaceable Block for Air Freshener Glade Automatic Spicy Lounge 269 ml")</f>
        <v>Replaceable Block for Air Freshener Glade Automatic Spicy Lounge 269 ml</v>
      </c>
      <c r="E1014" s="8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6" t="s">
        <v>1987</v>
      </c>
      <c r="B1015" s="7" t="s">
        <v>1987</v>
      </c>
      <c r="C1015" s="8" t="s">
        <v>1988</v>
      </c>
      <c r="D1015" s="9" t="str">
        <f>IFERROR(__xludf.DUMMYFUNCTION("GOOGLETRANSLATE(A1015,""ru"",""en"")"),"Holder for toilet paper with lid")</f>
        <v>Holder for toilet paper with lid</v>
      </c>
      <c r="E1015" s="8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6" t="s">
        <v>1989</v>
      </c>
      <c r="B1016" s="7" t="s">
        <v>1989</v>
      </c>
      <c r="C1016" s="8" t="s">
        <v>1990</v>
      </c>
      <c r="D1016" s="9" t="str">
        <f>IFERROR(__xludf.DUMMYFUNCTION("GOOGLETRANSLATE(A1016,""ru"",""en"")"),"MEBELUX furniture polyrolol with wax 300 ml")</f>
        <v>MEBELUX furniture polyrolol with wax 300 ml</v>
      </c>
      <c r="E1016" s="8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6" t="s">
        <v>1991</v>
      </c>
      <c r="B1017" s="7" t="s">
        <v>1991</v>
      </c>
      <c r="C1017" s="8" t="s">
        <v>1992</v>
      </c>
      <c r="D1017" s="9" t="str">
        <f>IFERROR(__xludf.DUMMYFUNCTION("GOOGLETRANSLATE(A1017,""ru"",""en"")"),"CIF cleaning spray for giving for mangals and lattice 500 ml")</f>
        <v>CIF cleaning spray for giving for mangals and lattice 500 ml</v>
      </c>
      <c r="E1017" s="8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6" t="s">
        <v>1963</v>
      </c>
      <c r="B1018" s="7" t="s">
        <v>1963</v>
      </c>
      <c r="C1018" s="8" t="s">
        <v>1964</v>
      </c>
      <c r="D1018" s="9" t="str">
        <f>IFERROR(__xludf.DUMMYFUNCTION("GOOGLETRANSLATE(A1018,""ru"",""en"")"),"COF CLEANING TOOL OF NATURE FOR KITCHEN 500 ml")</f>
        <v>COF CLEANING TOOL OF NATURE FOR KITCHEN 500 ml</v>
      </c>
      <c r="E1018" s="8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6" t="s">
        <v>1993</v>
      </c>
      <c r="B1019" s="7" t="s">
        <v>1993</v>
      </c>
      <c r="C1019" s="8" t="s">
        <v>1994</v>
      </c>
      <c r="D1019" s="9" t="str">
        <f>IFERROR(__xludf.DUMMYFUNCTION("GOOGLETRANSLATE(A1019,""ru"",""en"")"),"COF CLEANING TOOL OF NATURE FOR PLAYING 500 ml")</f>
        <v>COF CLEANING TOOL OF NATURE FOR PLAYING 500 ml</v>
      </c>
      <c r="E1019" s="8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6" t="s">
        <v>1995</v>
      </c>
      <c r="B1020" s="7" t="s">
        <v>1995</v>
      </c>
      <c r="C1020" s="8" t="s">
        <v>1996</v>
      </c>
      <c r="D1020" s="9" t="str">
        <f>IFERROR(__xludf.DUMMYFUNCTION("GOOGLETRANSLATE(A1020,""ru"",""en"")"),"CIF cleaning gel for all types of surfaces invigorating citrus 750 ml")</f>
        <v>CIF cleaning gel for all types of surfaces invigorating citrus 750 ml</v>
      </c>
      <c r="E1020" s="8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6" t="s">
        <v>1997</v>
      </c>
      <c r="B1021" s="7" t="s">
        <v>1997</v>
      </c>
      <c r="C1021" s="8" t="s">
        <v>1998</v>
      </c>
      <c r="D1021" s="9" t="str">
        <f>IFERROR(__xludf.DUMMYFUNCTION("GOOGLETRANSLATE(A1021,""ru"",""en"")"),"CIF cleaning gel for all types of surfaces Olive lavender 750 ml")</f>
        <v>CIF cleaning gel for all types of surfaces Olive lavender 750 ml</v>
      </c>
      <c r="E1021" s="8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6" t="s">
        <v>1999</v>
      </c>
      <c r="B1022" s="7" t="s">
        <v>1999</v>
      </c>
      <c r="C1022" s="8" t="s">
        <v>2000</v>
      </c>
      <c r="D1022" s="9" t="str">
        <f>IFERROR(__xludf.DUMMYFUNCTION("GOOGLETRANSLATE(A1022,""ru"",""en"")"),"Cleaning gel CIF for all types of surfaces Flower bouquet 750 ml")</f>
        <v>Cleaning gel CIF for all types of surfaces Flower bouquet 750 ml</v>
      </c>
      <c r="E1022" s="8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6" t="s">
        <v>2001</v>
      </c>
      <c r="B1023" s="7" t="s">
        <v>2001</v>
      </c>
      <c r="C1023" s="8" t="s">
        <v>2002</v>
      </c>
      <c r="D1023" s="9" t="str">
        <f>IFERROR(__xludf.DUMMYFUNCTION("GOOGLETRANSLATE(A1023,""ru"",""en"")"),"Domestos Cleaner Lemon Freshness 1 l")</f>
        <v>Domestos Cleaner Lemon Freshness 1 l</v>
      </c>
      <c r="E1023" s="8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6" t="s">
        <v>2003</v>
      </c>
      <c r="B1024" s="7" t="s">
        <v>2003</v>
      </c>
      <c r="C1024" s="8" t="s">
        <v>2004</v>
      </c>
      <c r="D1024" s="9" t="str">
        <f>IFERROR(__xludf.DUMMYFUNCTION("GOOGLETRANSLATE(A1024,""ru"",""en"")"),"Means for emergency disinfection of dew spray 0.75 l")</f>
        <v>Means for emergency disinfection of dew spray 0.75 l</v>
      </c>
      <c r="E1024" s="8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6" t="s">
        <v>2005</v>
      </c>
      <c r="B1025" s="7" t="s">
        <v>2005</v>
      </c>
      <c r="C1025" s="8" t="s">
        <v>2006</v>
      </c>
      <c r="D1025" s="9" t="str">
        <f>IFERROR(__xludf.DUMMYFUNCTION("GOOGLETRANSLATE(A1025,""ru"",""en"")"),"Disinfecting-detergent Anaxpt 1 l")</f>
        <v>Disinfecting-detergent Anaxpt 1 l</v>
      </c>
      <c r="E1025" s="8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6" t="s">
        <v>1788</v>
      </c>
      <c r="B1026" s="7" t="s">
        <v>1788</v>
      </c>
      <c r="C1026" s="8" t="s">
        <v>1789</v>
      </c>
      <c r="D1026" s="9" t="str">
        <f>IFERROR(__xludf.DUMMYFUNCTION("GOOGLETRANSLATE(A1026,""ru"",""en"")"),"Disinfectant with detergent effect Incrept 10a 1 l")</f>
        <v>Disinfectant with detergent effect Incrept 10a 1 l</v>
      </c>
      <c r="E1026" s="8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6" t="s">
        <v>2007</v>
      </c>
      <c r="B1027" s="7" t="s">
        <v>2007</v>
      </c>
      <c r="C1027" s="8" t="s">
        <v>2008</v>
      </c>
      <c r="D1027" s="9" t="str">
        <f>IFERROR(__xludf.DUMMYFUNCTION("GOOGLETRANSLATE(A1027,""ru"",""en"")"),"Zewa Deluxe toilet paper without fragrance 4 pcs")</f>
        <v>Zewa Deluxe toilet paper without fragrance 4 pcs</v>
      </c>
      <c r="E1027" s="8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6" t="s">
        <v>2009</v>
      </c>
      <c r="B1028" s="7" t="s">
        <v>2009</v>
      </c>
      <c r="C1028" s="8" t="s">
        <v>2010</v>
      </c>
      <c r="D1028" s="9" t="str">
        <f>IFERROR(__xludf.DUMMYFUNCTION("GOOGLETRANSLATE(A1028,""ru"",""en"")"),"Gelean-like concentrated foam acid detergent unisan 1 l")</f>
        <v>Gelean-like concentrated foam acid detergent unisan 1 l</v>
      </c>
      <c r="E1028" s="8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6" t="s">
        <v>2011</v>
      </c>
      <c r="B1029" s="7" t="s">
        <v>2011</v>
      </c>
      <c r="C1029" s="8" t="s">
        <v>2012</v>
      </c>
      <c r="D1029" s="9" t="str">
        <f>IFERROR(__xludf.DUMMYFUNCTION("GOOGLETRANSLATE(A1029,""ru"",""en"")"),"Paper Paper Dispenser Puff-5125 White")</f>
        <v>Paper Paper Dispenser Puff-5125 White</v>
      </c>
      <c r="E1029" s="8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6" t="s">
        <v>2013</v>
      </c>
      <c r="B1030" s="7" t="s">
        <v>2013</v>
      </c>
      <c r="C1030" s="8" t="s">
        <v>2014</v>
      </c>
      <c r="D1030" s="9" t="str">
        <f>IFERROR(__xludf.DUMMYFUNCTION("GOOGLETRANSLATE(A1030,""ru"",""en"")"),"Mesh for urinal Cool Mint")</f>
        <v>Mesh for urinal Cool Mint</v>
      </c>
      <c r="E1030" s="8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6" t="s">
        <v>2015</v>
      </c>
      <c r="B1031" s="7" t="s">
        <v>2015</v>
      </c>
      <c r="C1031" s="8" t="s">
        <v>2016</v>
      </c>
      <c r="D1031" s="9" t="str">
        <f>IFERROR(__xludf.DUMMYFUNCTION("GOOGLETRANSLATE(A1031,""ru"",""en"")"),"Cleaning agent AJM Plus 1 l")</f>
        <v>Cleaning agent AJM Plus 1 l</v>
      </c>
      <c r="E1031" s="8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6" t="s">
        <v>2017</v>
      </c>
      <c r="B1032" s="7" t="s">
        <v>2017</v>
      </c>
      <c r="C1032" s="8" t="s">
        <v>2018</v>
      </c>
      <c r="D1032" s="9" t="str">
        <f>IFERROR(__xludf.DUMMYFUNCTION("GOOGLETRANSLATE(A1032,""ru"",""en"")"),"Means for washing dishes Sorti Balm with vitamin E 900 ml")</f>
        <v>Means for washing dishes Sorti Balm with vitamin E 900 ml</v>
      </c>
      <c r="E1032" s="8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6" t="s">
        <v>1054</v>
      </c>
      <c r="B1033" s="7" t="s">
        <v>1054</v>
      </c>
      <c r="C1033" s="8" t="s">
        <v>1055</v>
      </c>
      <c r="D1033" s="9" t="str">
        <f>IFERROR(__xludf.DUMMYFUNCTION("GOOGLETRANSLATE(A1033,""ru"",""en"")"),"Adhesive tape (scotch) 48 mm x 66 m transparent 40 microns")</f>
        <v>Adhesive tape (scotch) 48 mm x 66 m transparent 40 microns</v>
      </c>
      <c r="E1033" s="8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6" t="s">
        <v>2019</v>
      </c>
      <c r="B1034" s="7" t="s">
        <v>2019</v>
      </c>
      <c r="C1034" s="8" t="s">
        <v>2020</v>
      </c>
      <c r="D1034" s="9" t="str">
        <f>IFERROR(__xludf.DUMMYFUNCTION("GOOGLETRANSLATE(A1034,""ru"",""en"")"),"Adhesive Tape (Scotch) 48 mm x 66 m Transparent 45 microns")</f>
        <v>Adhesive Tape (Scotch) 48 mm x 66 m Transparent 45 microns</v>
      </c>
      <c r="E1034" s="8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6" t="s">
        <v>2021</v>
      </c>
      <c r="B1035" s="7" t="s">
        <v>2021</v>
      </c>
      <c r="C1035" s="8" t="s">
        <v>2022</v>
      </c>
      <c r="D1035" s="9" t="str">
        <f>IFERROR(__xludf.DUMMYFUNCTION("GOOGLETRANSLATE(A1035,""ru"",""en"")"),"Kraft package on removal, 220 x 120 x 290 mm, rectangular bottom 1000 pcs")</f>
        <v>Kraft package on removal, 220 x 120 x 290 mm, rectangular bottom 1000 pcs</v>
      </c>
      <c r="E1035" s="8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6" t="s">
        <v>2023</v>
      </c>
      <c r="B1036" s="7" t="s">
        <v>2023</v>
      </c>
      <c r="C1036" s="8" t="s">
        <v>2024</v>
      </c>
      <c r="D1036" s="9" t="str">
        <f>IFERROR(__xludf.DUMMYFUNCTION("GOOGLETRANSLATE(A1036,""ru"",""en"")"),"Kraft packages for potatoes froth 175 x 110 + 50 mm greased with printing 100 pcs")</f>
        <v>Kraft packages for potatoes froth 175 x 110 + 50 mm greased with printing 100 pcs</v>
      </c>
      <c r="E1036" s="8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6" t="s">
        <v>2025</v>
      </c>
      <c r="B1037" s="7" t="s">
        <v>2025</v>
      </c>
      <c r="C1037" s="8" t="s">
        <v>2026</v>
      </c>
      <c r="D1037" s="9" t="str">
        <f>IFERROR(__xludf.DUMMYFUNCTION("GOOGLETRANSLATE(A1037,""ru"",""en"")"),"Bathrobe visitor on buttons, white xybl012")</f>
        <v>Bathrobe visitor on buttons, white xybl012</v>
      </c>
      <c r="E1037" s="8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6" t="s">
        <v>2027</v>
      </c>
      <c r="B1038" s="7" t="s">
        <v>2027</v>
      </c>
      <c r="C1038" s="8" t="s">
        <v>2028</v>
      </c>
      <c r="D1038" s="9" t="str">
        <f>IFERROR(__xludf.DUMMYFUNCTION("GOOGLETRANSLATE(A1038,""ru"",""en"")"),"Tool Cleaning Peumolux Dazzling white 480 g")</f>
        <v>Tool Cleaning Peumolux Dazzling white 480 g</v>
      </c>
      <c r="E1038" s="8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6" t="s">
        <v>2029</v>
      </c>
      <c r="B1039" s="7" t="s">
        <v>2029</v>
      </c>
      <c r="C1039" s="8" t="s">
        <v>2030</v>
      </c>
      <c r="D1039" s="9" t="str">
        <f>IFERROR(__xludf.DUMMYFUNCTION("GOOGLETRANSLATE(A1039,""ru"",""en"")"),"Plate biodegradable sugarcane 260 mm 50 pcs")</f>
        <v>Plate biodegradable sugarcane 260 mm 50 pcs</v>
      </c>
      <c r="E1039" s="8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6" t="s">
        <v>2031</v>
      </c>
      <c r="B1040" s="7" t="s">
        <v>2031</v>
      </c>
      <c r="C1040" s="8" t="s">
        <v>2032</v>
      </c>
      <c r="D1040" s="9" t="str">
        <f>IFERROR(__xludf.DUMMYFUNCTION("GOOGLETRANSLATE(A1040,""ru"",""en"")"),"Glass 180 ml for hot drinks white 50 pcs")</f>
        <v>Glass 180 ml for hot drinks white 50 pcs</v>
      </c>
      <c r="E1040" s="8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6" t="s">
        <v>2033</v>
      </c>
      <c r="B1041" s="7" t="s">
        <v>2033</v>
      </c>
      <c r="C1041" s="8" t="s">
        <v>2034</v>
      </c>
      <c r="D1041" s="9" t="str">
        <f>IFERROR(__xludf.DUMMYFUNCTION("GOOGLETRANSLATE(A1041,""ru"",""en"")"),"Glass 350 ml for hot drinks white 50 pcs")</f>
        <v>Glass 350 ml for hot drinks white 50 pcs</v>
      </c>
      <c r="E1041" s="8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6" t="s">
        <v>2035</v>
      </c>
      <c r="B1042" s="7" t="s">
        <v>2035</v>
      </c>
      <c r="C1042" s="8" t="s">
        <v>2036</v>
      </c>
      <c r="D1042" s="9" t="str">
        <f>IFERROR(__xludf.DUMMYFUNCTION("GOOGLETRANSLATE(A1042,""ru"",""en"")"),"Glass 350 ml for hot drinks Latte 50 pcs")</f>
        <v>Glass 350 ml for hot drinks Latte 50 pcs</v>
      </c>
      <c r="E1042" s="8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6" t="s">
        <v>2037</v>
      </c>
      <c r="B1043" s="7" t="s">
        <v>2037</v>
      </c>
      <c r="C1043" s="8" t="s">
        <v>2038</v>
      </c>
      <c r="D1043" s="9" t="str">
        <f>IFERROR(__xludf.DUMMYFUNCTION("GOOGLETRANSLATE(A1043,""ru"",""en"")"),"A glass of 350 ml for hot drinks Modern beige 50 pcs")</f>
        <v>A glass of 350 ml for hot drinks Modern beige 50 pcs</v>
      </c>
      <c r="E1043" s="8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6" t="s">
        <v>2039</v>
      </c>
      <c r="B1044" s="7" t="s">
        <v>2039</v>
      </c>
      <c r="C1044" s="8" t="s">
        <v>2040</v>
      </c>
      <c r="D1044" s="9" t="str">
        <f>IFERROR(__xludf.DUMMYFUNCTION("GOOGLETRANSLATE(A1044,""ru"",""en"")"),"Glass 350 ml for hot drinks black 50 pcs")</f>
        <v>Glass 350 ml for hot drinks black 50 pcs</v>
      </c>
      <c r="E1044" s="8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6" t="s">
        <v>2041</v>
      </c>
      <c r="B1045" s="7" t="s">
        <v>2041</v>
      </c>
      <c r="C1045" s="8" t="s">
        <v>2042</v>
      </c>
      <c r="D1045" s="9" t="str">
        <f>IFERROR(__xludf.DUMMYFUNCTION("GOOGLETRANSLATE(A1045,""ru"",""en"")"),"Soup 230 mm depth 18 mm 100pcs")</f>
        <v>Soup 230 mm depth 18 mm 100pcs</v>
      </c>
      <c r="E1045" s="8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6" t="s">
        <v>2043</v>
      </c>
      <c r="B1046" s="7" t="s">
        <v>2043</v>
      </c>
      <c r="C1046" s="8" t="s">
        <v>2044</v>
      </c>
      <c r="D1046" s="9" t="str">
        <f>IFERROR(__xludf.DUMMYFUNCTION("GOOGLETRANSLATE(A1046,""ru"",""en"")"),"Bowl for cold and hot products 500 ml 50 pcs")</f>
        <v>Bowl for cold and hot products 500 ml 50 pcs</v>
      </c>
      <c r="E1046" s="8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6" t="s">
        <v>2045</v>
      </c>
      <c r="B1047" s="7" t="s">
        <v>2045</v>
      </c>
      <c r="C1047" s="8" t="s">
        <v>2046</v>
      </c>
      <c r="D1047" s="9" t="str">
        <f>IFERROR(__xludf.DUMMYFUNCTION("GOOGLETRANSLATE(A1047,""ru"",""en"")"),"Decorative peaks golf 12 cm 100 pcs")</f>
        <v>Decorative peaks golf 12 cm 100 pcs</v>
      </c>
      <c r="E1047" s="8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6" t="s">
        <v>2047</v>
      </c>
      <c r="B1048" s="7" t="s">
        <v>2047</v>
      </c>
      <c r="C1048" s="8" t="s">
        <v>2048</v>
      </c>
      <c r="D1048" s="9" t="str">
        <f>IFERROR(__xludf.DUMMYFUNCTION("GOOGLETRANSLATE(A1048,""ru"",""en"")"),"Decorative peaks golf 18 cm 100 pcs")</f>
        <v>Decorative peaks golf 18 cm 100 pcs</v>
      </c>
      <c r="E1048" s="8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6" t="s">
        <v>2049</v>
      </c>
      <c r="B1049" s="7" t="s">
        <v>2049</v>
      </c>
      <c r="C1049" s="8" t="s">
        <v>2050</v>
      </c>
      <c r="D1049" s="9" t="str">
        <f>IFERROR(__xludf.DUMMYFUNCTION("GOOGLETRANSLATE(A1049,""ru"",""en"")"),"Gloves Economic Continentpak Rr L L L")</f>
        <v>Gloves Economic Continentpak Rr L L L</v>
      </c>
      <c r="E1049" s="8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6" t="s">
        <v>2051</v>
      </c>
      <c r="B1050" s="7" t="s">
        <v>2051</v>
      </c>
      <c r="C1050" s="8" t="s">
        <v>2052</v>
      </c>
      <c r="D1050" s="9" t="str">
        <f>IFERROR(__xludf.DUMMYFUNCTION("GOOGLETRANSLATE(A1050,""ru"",""en"")"),"Paper tubes 6 x 197 mm white-red zigzag 100 pcs")</f>
        <v>Paper tubes 6 x 197 mm white-red zigzag 100 pcs</v>
      </c>
      <c r="E1050" s="8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6" t="s">
        <v>2053</v>
      </c>
      <c r="B1051" s="7" t="s">
        <v>2053</v>
      </c>
      <c r="C1051" s="8" t="s">
        <v>2054</v>
      </c>
      <c r="D1051" s="9" t="str">
        <f>IFERROR(__xludf.DUMMYFUNCTION("GOOGLETRANSLATE(A1051,""ru"",""en"")"),"Microfiber nozzle Ultraspin Mini Vileda 531141/152901")</f>
        <v>Microfiber nozzle Ultraspin Mini Vileda 531141/152901</v>
      </c>
      <c r="E1051" s="8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6" t="s">
        <v>2055</v>
      </c>
      <c r="B1052" s="7" t="s">
        <v>2055</v>
      </c>
      <c r="C1052" s="8" t="s">
        <v>2056</v>
      </c>
      <c r="D1052" s="9" t="str">
        <f>IFERROR(__xludf.DUMMYFUNCTION("GOOGLETRANSLATE(A1052,""ru"",""en"")"),"Little nonwoven CPP flashing 2.5 mm 160 cm density 180 g / m2 white")</f>
        <v>Little nonwoven CPP flashing 2.5 mm 160 cm density 180 g / m2 white</v>
      </c>
      <c r="E1052" s="8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6" t="s">
        <v>148</v>
      </c>
      <c r="B1053" s="7" t="s">
        <v>148</v>
      </c>
      <c r="C1053" s="8" t="s">
        <v>149</v>
      </c>
      <c r="D1053" s="9" t="str">
        <f>IFERROR(__xludf.DUMMYFUNCTION("GOOGLETRANSLATE(A1053,""ru"",""en"")"),"Powder cleaning universal TMS 900 g")</f>
        <v>Powder cleaning universal TMS 900 g</v>
      </c>
      <c r="E1053" s="8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6" t="s">
        <v>2057</v>
      </c>
      <c r="B1054" s="7" t="s">
        <v>2057</v>
      </c>
      <c r="C1054" s="8" t="s">
        <v>2058</v>
      </c>
      <c r="D1054" s="9" t="str">
        <f>IFERROR(__xludf.DUMMYFUNCTION("GOOGLETRANSLATE(A1054,""ru"",""en"")"),"Sheet paper towels GRITE ECONOMY V-addition 250 pcs")</f>
        <v>Sheet paper towels GRITE ECONOMY V-addition 250 pcs</v>
      </c>
      <c r="E1054" s="8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6" t="s">
        <v>2059</v>
      </c>
      <c r="B1055" s="7" t="s">
        <v>2059</v>
      </c>
      <c r="C1055" s="8" t="s">
        <v>2060</v>
      </c>
      <c r="D1055" s="9" t="str">
        <f>IFERROR(__xludf.DUMMYFUNCTION("GOOGLETRANSLATE(A1055,""ru"",""en"")"),"Package Mike PND 28х55 cm 13 μm transparent 3570 pcs")</f>
        <v>Package Mike PND 28х55 cm 13 μm transparent 3570 pcs</v>
      </c>
      <c r="E1055" s="8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6" t="s">
        <v>2061</v>
      </c>
      <c r="B1056" s="7" t="s">
        <v>2061</v>
      </c>
      <c r="C1056" s="8" t="s">
        <v>2062</v>
      </c>
      <c r="D1056" s="9" t="str">
        <f>IFERROR(__xludf.DUMMYFUNCTION("GOOGLETRANSLATE(A1056,""ru"",""en"")"),"Package Mike PND 35x65 cm 14 microns transparent 1690 pcs")</f>
        <v>Package Mike PND 35x65 cm 14 microns transparent 1690 pcs</v>
      </c>
      <c r="E1056" s="8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6" t="s">
        <v>2063</v>
      </c>
      <c r="B1057" s="7" t="s">
        <v>2063</v>
      </c>
      <c r="C1057" s="8" t="s">
        <v>2064</v>
      </c>
      <c r="D1057" s="9" t="str">
        <f>IFERROR(__xludf.DUMMYFUNCTION("GOOGLETRANSLATE(A1057,""ru"",""en"")"),"Equipment toilet paper Economy 150")</f>
        <v>Equipment toilet paper Economy 150</v>
      </c>
      <c r="E1057" s="8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6" t="s">
        <v>2065</v>
      </c>
      <c r="B1058" s="7" t="s">
        <v>2065</v>
      </c>
      <c r="C1058" s="8" t="s">
        <v>2066</v>
      </c>
      <c r="D1058" s="9" t="str">
        <f>IFERROR(__xludf.DUMMYFUNCTION("GOOGLETRANSLATE(A1058,""ru"",""en"")"),"Toilet paper Hatnik 100")</f>
        <v>Toilet paper Hatnik 100</v>
      </c>
      <c r="E1058" s="8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6" t="s">
        <v>2067</v>
      </c>
      <c r="B1059" s="7" t="s">
        <v>2067</v>
      </c>
      <c r="C1059" s="8" t="s">
        <v>2068</v>
      </c>
      <c r="D1059" s="9" t="str">
        <f>IFERROR(__xludf.DUMMYFUNCTION("GOOGLETRANSLATE(A1059,""ru"",""en"")"),"Mop coat white yellow strip 50 x 15 cm pocket + Ear TV-50-15")</f>
        <v>Mop coat white yellow strip 50 x 15 cm pocket + Ear TV-50-15</v>
      </c>
      <c r="E1059" s="8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6" t="s">
        <v>2069</v>
      </c>
      <c r="B1060" s="7" t="s">
        <v>2069</v>
      </c>
      <c r="C1060" s="8" t="s">
        <v>2070</v>
      </c>
      <c r="D1060" s="9" t="str">
        <f>IFERROR(__xludf.DUMMYFUNCTION("GOOGLETRANSLATE(A1060,""ru"",""en"")"),"Nitrile gloves reinforced with long cuff rr M 50 pcs")</f>
        <v>Nitrile gloves reinforced with long cuff rr M 50 pcs</v>
      </c>
      <c r="E1060" s="8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6" t="s">
        <v>2071</v>
      </c>
      <c r="B1061" s="7" t="s">
        <v>2071</v>
      </c>
      <c r="C1061" s="8" t="s">
        <v>2072</v>
      </c>
      <c r="D1061" s="9" t="str">
        <f>IFERROR(__xludf.DUMMYFUNCTION("GOOGLETRANSLATE(A1061,""ru"",""en"")"),"Nitrile gloves reinforced with long cuff rr L 50 pcs")</f>
        <v>Nitrile gloves reinforced with long cuff rr L 50 pcs</v>
      </c>
      <c r="E1061" s="8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6" t="s">
        <v>2073</v>
      </c>
      <c r="B1062" s="7" t="s">
        <v>2073</v>
      </c>
      <c r="C1062" s="8" t="s">
        <v>2074</v>
      </c>
      <c r="D1062" s="9" t="str">
        <f>IFERROR(__xludf.DUMMYFUNCTION("GOOGLETRANSLATE(A1062,""ru"",""en"")"),"Gloves nitrile reinforced with long cuff Rr XL 50 pcs")</f>
        <v>Gloves nitrile reinforced with long cuff Rr XL 50 pcs</v>
      </c>
      <c r="E1062" s="8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6" t="s">
        <v>2075</v>
      </c>
      <c r="B1063" s="7" t="s">
        <v>2075</v>
      </c>
      <c r="C1063" s="8" t="s">
        <v>2076</v>
      </c>
      <c r="D1063" s="9" t="str">
        <f>IFERROR(__xludf.DUMMYFUNCTION("GOOGLETRANSLATE(A1063,""ru"",""en"")"),"Klebebander 48 mm shy tape 40 microns")</f>
        <v>Klebebander 48 mm shy tape 40 microns</v>
      </c>
      <c r="E1063" s="8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6" t="s">
        <v>2077</v>
      </c>
      <c r="B1064" s="7" t="s">
        <v>2077</v>
      </c>
      <c r="C1064" s="8" t="s">
        <v>2078</v>
      </c>
      <c r="D1064" s="9" t="str">
        <f>IFERROR(__xludf.DUMMYFUNCTION("GOOGLETRANSLATE(A1064,""ru"",""en"")"),"Klebebander 50mm White Adhesive Tape 40 microns")</f>
        <v>Klebebander 50mm White Adhesive Tape 40 microns</v>
      </c>
      <c r="E1064" s="8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6" t="s">
        <v>2079</v>
      </c>
      <c r="B1065" s="7" t="s">
        <v>2079</v>
      </c>
      <c r="C1065" s="8" t="s">
        <v>2080</v>
      </c>
      <c r="D1065" s="9" t="str">
        <f>IFERROR(__xludf.DUMMYFUNCTION("GOOGLETRANSLATE(A1065,""ru"",""en"")"),"Tape Painting Adhesive (Sucking) Klebebander 38 mm Art.010")</f>
        <v>Tape Painting Adhesive (Sucking) Klebebander 38 mm Art.010</v>
      </c>
      <c r="E1065" s="8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6" t="s">
        <v>2081</v>
      </c>
      <c r="B1066" s="7" t="s">
        <v>2081</v>
      </c>
      <c r="C1066" s="8" t="s">
        <v>2082</v>
      </c>
      <c r="D1066" s="9" t="str">
        <f>IFERROR(__xludf.DUMMYFUNCTION("GOOGLETRANSLATE(A1066,""ru"",""en"")"),"Tape painter adhesive (strong) Klebebander 48 mm x 20 m")</f>
        <v>Tape painter adhesive (strong) Klebebander 48 mm x 20 m</v>
      </c>
      <c r="E1066" s="8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6" t="s">
        <v>2083</v>
      </c>
      <c r="B1067" s="7" t="s">
        <v>2083</v>
      </c>
      <c r="C1067" s="8" t="s">
        <v>2084</v>
      </c>
      <c r="D1067" s="9" t="str">
        <f>IFERROR(__xludf.DUMMYFUNCTION("GOOGLETRANSLATE(A1067,""ru"",""en"")"),"Polypropylene cord 4 mm x 20 m assorted")</f>
        <v>Polypropylene cord 4 mm x 20 m assorted</v>
      </c>
      <c r="E1067" s="8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6" t="s">
        <v>2085</v>
      </c>
      <c r="B1068" s="7" t="s">
        <v>2085</v>
      </c>
      <c r="C1068" s="8" t="s">
        <v>2086</v>
      </c>
      <c r="D1068" s="9" t="str">
        <f>IFERROR(__xludf.DUMMYFUNCTION("GOOGLETRANSLATE(A1068,""ru"",""en"")"),"Paper for baking Extra 300 x 8 burying in a shoe shrinkage")</f>
        <v>Paper for baking Extra 300 x 8 burying in a shoe shrinkage</v>
      </c>
      <c r="E1068" s="8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6" t="s">
        <v>2087</v>
      </c>
      <c r="B1069" s="7" t="s">
        <v>2087</v>
      </c>
      <c r="C1069" s="8" t="s">
        <v>2088</v>
      </c>
      <c r="D1069" s="9" t="str">
        <f>IFERROR(__xludf.DUMMYFUNCTION("GOOGLETRANSLATE(A1069,""ru"",""en"")"),"Gel syringe from cockroaches 20 ml Nadzor")</f>
        <v>Gel syringe from cockroaches 20 ml Nadzor</v>
      </c>
      <c r="E1069" s="8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6" t="s">
        <v>2089</v>
      </c>
      <c r="B1070" s="7" t="s">
        <v>2089</v>
      </c>
      <c r="C1070" s="8" t="s">
        <v>2090</v>
      </c>
      <c r="D1070" s="9" t="str">
        <f>IFERROR(__xludf.DUMMYFUNCTION("GOOGLETRANSLATE(A1070,""ru"",""en"")"),"Washing Powder Tide Automatic Color with Siberian Herbs Aroma 3 kg")</f>
        <v>Washing Powder Tide Automatic Color with Siberian Herbs Aroma 3 kg</v>
      </c>
      <c r="E1070" s="8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6" t="s">
        <v>2091</v>
      </c>
      <c r="B1071" s="7" t="s">
        <v>2091</v>
      </c>
      <c r="C1071" s="8" t="s">
        <v>2092</v>
      </c>
      <c r="D1071" s="9" t="str">
        <f>IFERROR(__xludf.DUMMYFUNCTION("GOOGLETRANSLATE(A1071,""ru"",""en"")"),"Hanger for outerwear P 52-54 black")</f>
        <v>Hanger for outerwear P 52-54 black</v>
      </c>
      <c r="E1071" s="8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6" t="s">
        <v>2093</v>
      </c>
      <c r="B1072" s="7" t="s">
        <v>2093</v>
      </c>
      <c r="C1072" s="8" t="s">
        <v>2094</v>
      </c>
      <c r="D1072" s="9" t="str">
        <f>IFERROR(__xludf.DUMMYFUNCTION("GOOGLETRANSLATE(A1072,""ru"",""en"")"),"Water vapor Good Way with a rubber band 25 cm Mix S-01")</f>
        <v>Water vapor Good Way with a rubber band 25 cm Mix S-01</v>
      </c>
      <c r="E1072" s="8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6" t="s">
        <v>2095</v>
      </c>
      <c r="B1073" s="7" t="s">
        <v>2095</v>
      </c>
      <c r="C1073" s="8" t="s">
        <v>2096</v>
      </c>
      <c r="D1073" s="9" t="str">
        <f>IFERROR(__xludf.DUMMYFUNCTION("GOOGLETRANSLATE(A1073,""ru"",""en"")"),"Sponge for dishes in the braid mammoth porcelain gloss 2 pcs")</f>
        <v>Sponge for dishes in the braid mammoth porcelain gloss 2 pcs</v>
      </c>
      <c r="E1073" s="8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6" t="s">
        <v>2097</v>
      </c>
      <c r="B1074" s="7" t="s">
        <v>2097</v>
      </c>
      <c r="C1074" s="8" t="s">
        <v>2098</v>
      </c>
      <c r="D1074" s="9" t="str">
        <f>IFERROR(__xludf.DUMMYFUNCTION("GOOGLETRANSLATE(A1074,""ru"",""en"")"),"Container for microwave and freezing 500 ml Square mix")</f>
        <v>Container for microwave and freezing 500 ml Square mix</v>
      </c>
      <c r="E1074" s="8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6" t="s">
        <v>2099</v>
      </c>
      <c r="B1075" s="7" t="s">
        <v>2099</v>
      </c>
      <c r="C1075" s="8" t="s">
        <v>2100</v>
      </c>
      <c r="D1075" s="9" t="str">
        <f>IFERROR(__xludf.DUMMYFUNCTION("GOOGLETRANSLATE(A1075,""ru"",""en"")"),"Container for microwave and freezing 900 ml Square mix")</f>
        <v>Container for microwave and freezing 900 ml Square mix</v>
      </c>
      <c r="E1075" s="8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6" t="s">
        <v>2101</v>
      </c>
      <c r="B1076" s="7" t="s">
        <v>2101</v>
      </c>
      <c r="C1076" s="8" t="s">
        <v>2102</v>
      </c>
      <c r="D1076" s="9" t="str">
        <f>IFERROR(__xludf.DUMMYFUNCTION("GOOGLETRANSLATE(A1076,""ru"",""en"")"),"Container for microwave and freezing 1.5 liter square mix")</f>
        <v>Container for microwave and freezing 1.5 liter square mix</v>
      </c>
      <c r="E1076" s="8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6" t="s">
        <v>2103</v>
      </c>
      <c r="B1077" s="7" t="s">
        <v>2103</v>
      </c>
      <c r="C1077" s="8" t="s">
        <v>2104</v>
      </c>
      <c r="D1077" s="9" t="str">
        <f>IFERROR(__xludf.DUMMYFUNCTION("GOOGLETRANSLATE(A1077,""ru"",""en"")"),"Latex gloves Small PR L L L")</f>
        <v>Latex gloves Small PR L L L</v>
      </c>
      <c r="E1077" s="8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6" t="s">
        <v>2105</v>
      </c>
      <c r="B1078" s="7" t="s">
        <v>2105</v>
      </c>
      <c r="C1078" s="8" t="s">
        <v>2106</v>
      </c>
      <c r="D1078" s="9" t="str">
        <f>IFERROR(__xludf.DUMMYFUNCTION("GOOGLETRANSLATE(A1078,""ru"",""en"")"),"Mop for floors Mammoth porcelain blue mop yellow")</f>
        <v>Mop for floors Mammoth porcelain blue mop yellow</v>
      </c>
      <c r="E1078" s="8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6" t="s">
        <v>2107</v>
      </c>
      <c r="B1079" s="7" t="s">
        <v>2107</v>
      </c>
      <c r="C1079" s="8" t="s">
        <v>2108</v>
      </c>
      <c r="D1079" s="9" t="str">
        <f>IFERROR(__xludf.DUMMYFUNCTION("GOOGLETRANSLATE(A1079,""ru"",""en"")"),"Mop for sex Umnichka 120 cm green with rubberized cutlets")</f>
        <v>Mop for sex Umnichka 120 cm green with rubberized cutlets</v>
      </c>
      <c r="E1079" s="8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6" t="s">
        <v>2109</v>
      </c>
      <c r="B1080" s="7" t="s">
        <v>2109</v>
      </c>
      <c r="C1080" s="8" t="s">
        <v>2110</v>
      </c>
      <c r="D1080" s="9" t="str">
        <f>IFERROR(__xludf.DUMMYFUNCTION("GOOGLETRANSLATE(A1080,""ru"",""en"")"),"Brush Iron Maxi Mammoth Chisty")</f>
        <v>Brush Iron Maxi Mammoth Chisty</v>
      </c>
      <c r="E1080" s="8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6" t="s">
        <v>2111</v>
      </c>
      <c r="B1081" s="7" t="s">
        <v>2111</v>
      </c>
      <c r="C1081" s="8" t="s">
        <v>2112</v>
      </c>
      <c r="D1081" s="9" t="str">
        <f>IFERROR(__xludf.DUMMYFUNCTION("GOOGLETRANSLATE(A1081,""ru"",""en"")"),"PVC isol 15 mm 20 m yellow")</f>
        <v>PVC isol 15 mm 20 m yellow</v>
      </c>
      <c r="E1081" s="8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6" t="s">
        <v>2113</v>
      </c>
      <c r="B1082" s="7" t="s">
        <v>2113</v>
      </c>
      <c r="C1082" s="8" t="s">
        <v>2114</v>
      </c>
      <c r="D1082" s="9" t="str">
        <f>IFERROR(__xludf.DUMMYFUNCTION("GOOGLETRANSLATE(A1082,""ru"",""en"")"),"15 mm 20 m PVC isol 15 mm")</f>
        <v>15 mm 20 m PVC isol 15 mm</v>
      </c>
      <c r="E1082" s="8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6" t="s">
        <v>2115</v>
      </c>
      <c r="B1083" s="7" t="s">
        <v>2115</v>
      </c>
      <c r="C1083" s="8" t="s">
        <v>2116</v>
      </c>
      <c r="D1083" s="9" t="str">
        <f>IFERROR(__xludf.DUMMYFUNCTION("GOOGLETRANSLATE(A1083,""ru"",""en"")"),"PVC isol 15 mm 20 m blue")</f>
        <v>PVC isol 15 mm 20 m blue</v>
      </c>
      <c r="E1083" s="8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6" t="s">
        <v>2117</v>
      </c>
      <c r="B1084" s="7" t="s">
        <v>2117</v>
      </c>
      <c r="C1084" s="8" t="s">
        <v>2118</v>
      </c>
      <c r="D1084" s="9" t="str">
        <f>IFERROR(__xludf.DUMMYFUNCTION("GOOGLETRANSLATE(A1084,""ru"",""en"")"),"PVC 15 mm 20 m isolent black")</f>
        <v>PVC 15 mm 20 m isolent black</v>
      </c>
      <c r="E1084" s="8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6" t="s">
        <v>2119</v>
      </c>
      <c r="B1085" s="7" t="s">
        <v>2119</v>
      </c>
      <c r="C1085" s="8" t="s">
        <v>2120</v>
      </c>
      <c r="D1085" s="9" t="str">
        <f>IFERROR(__xludf.DUMMYFUNCTION("GOOGLETRANSLATE(A1085,""ru"",""en"")"),"Spoons corn starch biodegradable beige 15 cm 50 pcs")</f>
        <v>Spoons corn starch biodegradable beige 15 cm 50 pcs</v>
      </c>
      <c r="E1085" s="8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6" t="s">
        <v>2121</v>
      </c>
      <c r="B1086" s="7" t="s">
        <v>2121</v>
      </c>
      <c r="C1086" s="8" t="s">
        <v>2122</v>
      </c>
      <c r="D1086" s="9" t="str">
        <f>IFERROR(__xludf.DUMMYFUNCTION("GOOGLETRANSLATE(A1086,""ru"",""en"")"),"Glass 250 ml for hot drinks Coffee Time 50 pcs")</f>
        <v>Glass 250 ml for hot drinks Coffee Time 50 pcs</v>
      </c>
      <c r="E1086" s="8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6" t="s">
        <v>2123</v>
      </c>
      <c r="B1087" s="7" t="s">
        <v>2123</v>
      </c>
      <c r="C1087" s="8" t="s">
        <v>2124</v>
      </c>
      <c r="D1087" s="9" t="str">
        <f>IFERROR(__xludf.DUMMYFUNCTION("GOOGLETRANSLATE(A1087,""ru"",""en"")"),"Glass 250 ml for hot drinks Green 50 pcs")</f>
        <v>Glass 250 ml for hot drinks Green 50 pcs</v>
      </c>
      <c r="E1087" s="8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6" t="s">
        <v>2125</v>
      </c>
      <c r="B1088" s="7" t="s">
        <v>2125</v>
      </c>
      <c r="C1088" s="8" t="s">
        <v>2126</v>
      </c>
      <c r="D1088" s="9" t="str">
        <f>IFERROR(__xludf.DUMMYFUNCTION("GOOGLETRANSLATE(A1088,""ru"",""en"")"),"Glass 250 ml for hot drinks cheerful panda mix 50 pcs")</f>
        <v>Glass 250 ml for hot drinks cheerful panda mix 50 pcs</v>
      </c>
      <c r="E1088" s="8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6" t="s">
        <v>2127</v>
      </c>
      <c r="B1089" s="7" t="s">
        <v>2127</v>
      </c>
      <c r="C1089" s="8" t="s">
        <v>2128</v>
      </c>
      <c r="D1089" s="9" t="str">
        <f>IFERROR(__xludf.DUMMYFUNCTION("GOOGLETRANSLATE(A1089,""ru"",""en"")"),"Glass 250 ml for hot drinks loading 50 pcs")</f>
        <v>Glass 250 ml for hot drinks loading 50 pcs</v>
      </c>
      <c r="E1089" s="8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6" t="s">
        <v>2129</v>
      </c>
      <c r="B1090" s="7" t="s">
        <v>2129</v>
      </c>
      <c r="C1090" s="8" t="s">
        <v>2130</v>
      </c>
      <c r="D1090" s="9" t="str">
        <f>IFERROR(__xludf.DUMMYFUNCTION("GOOGLETRANSLATE(A1090,""ru"",""en"")"),"Glass 250 ml for hot drinks early morning 50 pcs")</f>
        <v>Glass 250 ml for hot drinks early morning 50 pcs</v>
      </c>
      <c r="E1090" s="8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6" t="s">
        <v>2131</v>
      </c>
      <c r="B1091" s="7" t="s">
        <v>2131</v>
      </c>
      <c r="C1091" s="8" t="s">
        <v>2132</v>
      </c>
      <c r="D1091" s="9" t="str">
        <f>IFERROR(__xludf.DUMMYFUNCTION("GOOGLETRANSLATE(A1091,""ru"",""en"")"),"Air Freshener Toilex Mint Grape 300 ml")</f>
        <v>Air Freshener Toilex Mint Grape 300 ml</v>
      </c>
      <c r="E1091" s="8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6" t="s">
        <v>2133</v>
      </c>
      <c r="B1092" s="7" t="s">
        <v>2133</v>
      </c>
      <c r="C1092" s="8" t="s">
        <v>2134</v>
      </c>
      <c r="D1092" s="9" t="str">
        <f>IFERROR(__xludf.DUMMYFUNCTION("GOOGLETRANSLATE(A1092,""ru"",""en"")"),"Decorative ribbon 5 mm 500 yards white")</f>
        <v>Decorative ribbon 5 mm 500 yards white</v>
      </c>
      <c r="E1092" s="8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6" t="s">
        <v>2135</v>
      </c>
      <c r="B1093" s="7" t="s">
        <v>2135</v>
      </c>
      <c r="C1093" s="8" t="s">
        <v>2136</v>
      </c>
      <c r="D1093" s="9" t="str">
        <f>IFERROR(__xludf.DUMMYFUNCTION("GOOGLETRANSLATE(A1093,""ru"",""en"")"),"Decorative ribbon 5 mm 500 yards red")</f>
        <v>Decorative ribbon 5 mm 500 yards red</v>
      </c>
      <c r="E1093" s="8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6" t="s">
        <v>2137</v>
      </c>
      <c r="B1094" s="7" t="s">
        <v>2137</v>
      </c>
      <c r="C1094" s="8" t="s">
        <v>2138</v>
      </c>
      <c r="D1094" s="9" t="str">
        <f>IFERROR(__xludf.DUMMYFUNCTION("GOOGLETRANSLATE(A1094,""ru"",""en"")"),"Drinks for drinks with corrugated 5x210 250 pcs")</f>
        <v>Drinks for drinks with corrugated 5x210 250 pcs</v>
      </c>
      <c r="E1094" s="8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6" t="s">
        <v>2139</v>
      </c>
      <c r="B1095" s="7" t="s">
        <v>2139</v>
      </c>
      <c r="C1095" s="8" t="s">
        <v>2140</v>
      </c>
      <c r="D1095" s="9" t="str">
        <f>IFERROR(__xludf.DUMMYFUNCTION("GOOGLETRANSLATE(A1095,""ru"",""en"")"),"Replaceable nozzle for mop 50 cm x / b")</f>
        <v>Replaceable nozzle for mop 50 cm x / b</v>
      </c>
      <c r="E1095" s="8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6" t="s">
        <v>1688</v>
      </c>
      <c r="B1096" s="7" t="s">
        <v>1688</v>
      </c>
      <c r="C1096" s="8" t="s">
        <v>1689</v>
      </c>
      <c r="D1096" s="9" t="str">
        <f>IFERROR(__xludf.DUMMYFUNCTION("GOOGLETRANSLATE(A1096,""ru"",""en"")"),"Tool for washing dishes Fairy orange and lemon 450 ml")</f>
        <v>Tool for washing dishes Fairy orange and lemon 450 ml</v>
      </c>
      <c r="E1096" s="8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6" t="s">
        <v>2141</v>
      </c>
      <c r="B1097" s="7" t="s">
        <v>2141</v>
      </c>
      <c r="C1097" s="8" t="s">
        <v>2142</v>
      </c>
      <c r="D1097" s="9" t="str">
        <f>IFERROR(__xludf.DUMMYFUNCTION("GOOGLETRANSLATE(A1097,""ru"",""en"")"),"Cleaning detergent thing 55 g")</f>
        <v>Cleaning detergent thing 55 g</v>
      </c>
      <c r="E1097" s="8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6" t="s">
        <v>2143</v>
      </c>
      <c r="B1098" s="7" t="s">
        <v>2143</v>
      </c>
      <c r="C1098" s="8" t="s">
        <v>2144</v>
      </c>
      <c r="D1098" s="9" t="str">
        <f>IFERROR(__xludf.DUMMYFUNCTION("GOOGLETRANSLATE(A1098,""ru"",""en"")"),"Antiseptic for hand processing septal with a discount 0.09 l")</f>
        <v>Antiseptic for hand processing septal with a discount 0.09 l</v>
      </c>
      <c r="E1098" s="8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6" t="s">
        <v>2145</v>
      </c>
      <c r="B1099" s="7" t="s">
        <v>2145</v>
      </c>
      <c r="C1099" s="8" t="s">
        <v>2146</v>
      </c>
      <c r="D1099" s="9" t="str">
        <f>IFERROR(__xludf.DUMMYFUNCTION("GOOGLETRANSLATE(A1099,""ru"",""en"")"),"Antiseptic for hand processing septal 5 l")</f>
        <v>Antiseptic for hand processing septal 5 l</v>
      </c>
      <c r="E1099" s="8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6" t="s">
        <v>2147</v>
      </c>
      <c r="B1100" s="7" t="s">
        <v>2147</v>
      </c>
      <c r="C1100" s="8" t="s">
        <v>2148</v>
      </c>
      <c r="D1100" s="9" t="str">
        <f>IFERROR(__xludf.DUMMYFUNCTION("GOOGLETRANSLATE(A1100,""ru"",""en"")"),"PVC 3 mm 20 m isolent red")</f>
        <v>PVC 3 mm 20 m isolent red</v>
      </c>
      <c r="E1100" s="8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6" t="s">
        <v>2149</v>
      </c>
      <c r="B1101" s="7" t="s">
        <v>2149</v>
      </c>
      <c r="C1101" s="8" t="s">
        <v>2150</v>
      </c>
      <c r="D1101" s="9" t="str">
        <f>IFERROR(__xludf.DUMMYFUNCTION("GOOGLETRANSLATE(A1101,""ru"",""en"")"),"Charlotte Aviora Non Woven White Cap 100 pcs")</f>
        <v>Charlotte Aviora Non Woven White Cap 100 pcs</v>
      </c>
      <c r="E1101" s="8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6" t="s">
        <v>2151</v>
      </c>
      <c r="B1102" s="7" t="s">
        <v>2151</v>
      </c>
      <c r="C1102" s="8" t="s">
        <v>2152</v>
      </c>
      <c r="D1102" s="9" t="str">
        <f>IFERROR(__xludf.DUMMYFUNCTION("GOOGLETRANSLATE(A1102,""ru"",""en"")"),"Three-layered disposable masks with nose clamp 50 pcs")</f>
        <v>Three-layered disposable masks with nose clamp 50 pcs</v>
      </c>
      <c r="E1102" s="8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6" t="s">
        <v>2153</v>
      </c>
      <c r="B1103" s="7" t="s">
        <v>2153</v>
      </c>
      <c r="C1103" s="8" t="s">
        <v>2154</v>
      </c>
      <c r="D1103" s="9" t="str">
        <f>IFERROR(__xludf.DUMMYFUNCTION("GOOGLETRANSLATE(A1103,""ru"",""en"")"),"Package Mike PND 28х55 cm 13 microns transparent 100 pcs")</f>
        <v>Package Mike PND 28х55 cm 13 microns transparent 100 pcs</v>
      </c>
      <c r="E1103" s="8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6" t="s">
        <v>2155</v>
      </c>
      <c r="B1104" s="7" t="s">
        <v>2155</v>
      </c>
      <c r="C1104" s="8" t="s">
        <v>2156</v>
      </c>
      <c r="D1104" s="9" t="str">
        <f>IFERROR(__xludf.DUMMYFUNCTION("GOOGLETRANSLATE(A1104,""ru"",""en"")"),"Package Mike PND 35x65 cm 14 microns transparent 100 pcs")</f>
        <v>Package Mike PND 35x65 cm 14 microns transparent 100 pcs</v>
      </c>
      <c r="E1104" s="8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6" t="s">
        <v>2157</v>
      </c>
      <c r="B1105" s="7" t="s">
        <v>2157</v>
      </c>
      <c r="C1105" s="8" t="s">
        <v>2158</v>
      </c>
      <c r="D1105" s="9" t="str">
        <f>IFERROR(__xludf.DUMMYFUNCTION("GOOGLETRANSLATE(A1105,""ru"",""en"")"),"Vinyl Disposable Gloves Rr M M 100 Pcs")</f>
        <v>Vinyl Disposable Gloves Rr M M 100 Pcs</v>
      </c>
      <c r="E1105" s="8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6" t="s">
        <v>2159</v>
      </c>
      <c r="B1106" s="7" t="s">
        <v>2159</v>
      </c>
      <c r="C1106" s="8" t="s">
        <v>2160</v>
      </c>
      <c r="D1106" s="9" t="str">
        <f>IFERROR(__xludf.DUMMYFUNCTION("GOOGLETRANSLATE(A1106,""ru"",""en"")"),"Vinyl disposable gloves Rr L 100 pcs")</f>
        <v>Vinyl disposable gloves Rr L 100 pcs</v>
      </c>
      <c r="E1106" s="8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6" t="s">
        <v>2147</v>
      </c>
      <c r="B1107" s="7" t="s">
        <v>2147</v>
      </c>
      <c r="C1107" s="8" t="s">
        <v>2148</v>
      </c>
      <c r="D1107" s="9" t="str">
        <f>IFERROR(__xludf.DUMMYFUNCTION("GOOGLETRANSLATE(A1107,""ru"",""en"")"),"PVC 3 mm 20 m isolent red")</f>
        <v>PVC 3 mm 20 m isolent red</v>
      </c>
      <c r="E1107" s="8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6" t="s">
        <v>2161</v>
      </c>
      <c r="B1108" s="7" t="s">
        <v>2161</v>
      </c>
      <c r="C1108" s="8" t="s">
        <v>2162</v>
      </c>
      <c r="D1108" s="9" t="str">
        <f>IFERROR(__xludf.DUMMYFUNCTION("GOOGLETRANSLATE(A1108,""ru"",""en"")"),"Broom on the cutlets of sorghum")</f>
        <v>Broom on the cutlets of sorghum</v>
      </c>
      <c r="E1108" s="8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6" t="s">
        <v>2163</v>
      </c>
      <c r="B1109" s="7" t="s">
        <v>2163</v>
      </c>
      <c r="C1109" s="8" t="s">
        <v>2164</v>
      </c>
      <c r="D1109" s="9" t="str">
        <f>IFERROR(__xludf.DUMMYFUNCTION("GOOGLETRANSLATE(A1109,""ru"",""en"")"),"Electric kettle Home Element He-KT180")</f>
        <v>Electric kettle Home Element He-KT180</v>
      </c>
      <c r="E1109" s="8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6" t="s">
        <v>2165</v>
      </c>
      <c r="B1110" s="7" t="s">
        <v>2165</v>
      </c>
      <c r="C1110" s="8" t="s">
        <v>2166</v>
      </c>
      <c r="D1110" s="9" t="str">
        <f>IFERROR(__xludf.DUMMYFUNCTION("GOOGLETRANSLATE(A1110,""ru"",""en"")"),"Microfiber Napkin 29x29 cm Green LM200E11")</f>
        <v>Microfiber Napkin 29x29 cm Green LM200E11</v>
      </c>
      <c r="E1110" s="8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6" t="s">
        <v>2167</v>
      </c>
      <c r="B1111" s="7" t="s">
        <v>2167</v>
      </c>
      <c r="C1111" s="8" t="s">
        <v>2168</v>
      </c>
      <c r="D1111" s="9" t="str">
        <f>IFERROR(__xludf.DUMMYFUNCTION("GOOGLETRANSLATE(A1111,""ru"",""en"")"),"Means Cleaning Sannel Termitite 5 l")</f>
        <v>Means Cleaning Sannel Termitite 5 l</v>
      </c>
      <c r="E1111" s="8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6" t="s">
        <v>394</v>
      </c>
      <c r="B1112" s="7" t="s">
        <v>394</v>
      </c>
      <c r="C1112" s="8" t="s">
        <v>395</v>
      </c>
      <c r="D1112" s="9" t="str">
        <f>IFERROR(__xludf.DUMMYFUNCTION("GOOGLETRANSLATE(A1112,""ru"",""en"")"),"Tool for washing dishes Fairy Gentle hands Tea tree and mint 450 ml")</f>
        <v>Tool for washing dishes Fairy Gentle hands Tea tree and mint 450 ml</v>
      </c>
      <c r="E1112" s="8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6" t="s">
        <v>2169</v>
      </c>
      <c r="B1113" s="7" t="s">
        <v>2169</v>
      </c>
      <c r="C1113" s="8" t="s">
        <v>2170</v>
      </c>
      <c r="D1113" s="9" t="str">
        <f>IFERROR(__xludf.DUMMYFUNCTION("GOOGLETRANSLATE(A1113,""ru"",""en"")"),"Means for cleaning sanitary and technical products DOMI 750 ml")</f>
        <v>Means for cleaning sanitary and technical products DOMI 750 ml</v>
      </c>
      <c r="E1113" s="8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6" t="s">
        <v>2171</v>
      </c>
      <c r="B1114" s="7" t="s">
        <v>2171</v>
      </c>
      <c r="C1114" s="8" t="s">
        <v>2172</v>
      </c>
      <c r="D1114" s="9" t="str">
        <f>IFERROR(__xludf.DUMMYFUNCTION("GOOGLETRANSLATE(A1114,""ru"",""en"")"),"Bags for garbage Mirpack PVD 120 l 70x110 cm 25 microns 50 pcs")</f>
        <v>Bags for garbage Mirpack PVD 120 l 70x110 cm 25 microns 50 pcs</v>
      </c>
      <c r="E1114" s="8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6" t="s">
        <v>2173</v>
      </c>
      <c r="B1115" s="7" t="s">
        <v>2173</v>
      </c>
      <c r="C1115" s="8" t="s">
        <v>2174</v>
      </c>
      <c r="D1115" s="9" t="str">
        <f>IFERROR(__xludf.DUMMYFUNCTION("GOOGLETRANSLATE(A1115,""ru"",""en"")"),"Replaceable unit for air freshener GLADE Automatic Peony and juicy berries 269 ml")</f>
        <v>Replaceable unit for air freshener GLADE Automatic Peony and juicy berries 269 ml</v>
      </c>
      <c r="E1115" s="8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6" t="s">
        <v>246</v>
      </c>
      <c r="B1116" s="7" t="s">
        <v>246</v>
      </c>
      <c r="C1116" s="8" t="s">
        <v>247</v>
      </c>
      <c r="D1116" s="9" t="str">
        <f>IFERROR(__xludf.DUMMYFUNCTION("GOOGLETRANSLATE(A1116,""ru"",""en"")"),"Economic Soap 72% 200 g of Russia")</f>
        <v>Economic Soap 72% 200 g of Russia</v>
      </c>
      <c r="E1116" s="8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6" t="s">
        <v>2175</v>
      </c>
      <c r="B1117" s="7" t="s">
        <v>2175</v>
      </c>
      <c r="C1117" s="8" t="s">
        <v>2176</v>
      </c>
      <c r="D1117" s="9" t="str">
        <f>IFERROR(__xludf.DUMMYFUNCTION("GOOGLETRANSLATE(A1117,""ru"",""en"")"),"Polymer tape signal for fences 50 mm x 200 m white-red non-flog")</f>
        <v>Polymer tape signal for fences 50 mm x 200 m white-red non-flog</v>
      </c>
      <c r="E1117" s="8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6" t="s">
        <v>2177</v>
      </c>
      <c r="B1118" s="7" t="s">
        <v>2177</v>
      </c>
      <c r="C1118" s="8" t="s">
        <v>2178</v>
      </c>
      <c r="D1118" s="9" t="str">
        <f>IFERROR(__xludf.DUMMYFUNCTION("GOOGLETRANSLATE(A1118,""ru"",""en"")"),"Double-sided polypropylene tape KLEBEBANDER 50 mm x 5 m")</f>
        <v>Double-sided polypropylene tape KLEBEBANDER 50 mm x 5 m</v>
      </c>
      <c r="E1118" s="8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6" t="s">
        <v>2179</v>
      </c>
      <c r="B1119" s="7" t="s">
        <v>2179</v>
      </c>
      <c r="C1119" s="8" t="s">
        <v>2180</v>
      </c>
      <c r="D1119" s="9" t="str">
        <f>IFERROR(__xludf.DUMMYFUNCTION("GOOGLETRANSLATE(A1119,""ru"",""en"")"),"Polymer marking tape with sticky layer 50 mm x 25 m white-red sticky")</f>
        <v>Polymer marking tape with sticky layer 50 mm x 25 m white-red sticky</v>
      </c>
      <c r="E1119" s="8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6" t="s">
        <v>2181</v>
      </c>
      <c r="B1120" s="7" t="s">
        <v>2181</v>
      </c>
      <c r="C1120" s="8" t="s">
        <v>2182</v>
      </c>
      <c r="D1120" s="9" t="str">
        <f>IFERROR(__xludf.DUMMYFUNCTION("GOOGLETRANSLATE(A1120,""ru"",""en"")"),"Adm Blue Bowls 100 pcs")</f>
        <v>Adm Blue Bowls 100 pcs</v>
      </c>
      <c r="E1120" s="8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6" t="s">
        <v>1496</v>
      </c>
      <c r="B1121" s="7" t="s">
        <v>1496</v>
      </c>
      <c r="C1121" s="8" t="s">
        <v>1497</v>
      </c>
      <c r="D1121" s="9" t="str">
        <f>IFERROR(__xludf.DUMMYFUNCTION("GOOGLETRANSLATE(A1121,""ru"",""en"")"),"Non-woven ovens protective hooded")</f>
        <v>Non-woven ovens protective hooded</v>
      </c>
      <c r="E1121" s="8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6" t="s">
        <v>2183</v>
      </c>
      <c r="B1122" s="7" t="s">
        <v>2183</v>
      </c>
      <c r="C1122" s="8" t="s">
        <v>2184</v>
      </c>
      <c r="D1122" s="9" t="str">
        <f>IFERROR(__xludf.DUMMYFUNCTION("GOOGLETRANSLATE(A1122,""ru"",""en"")"),"Three-wane masks ADM 50 pcs")</f>
        <v>Three-wane masks ADM 50 pcs</v>
      </c>
      <c r="E1122" s="8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6" t="s">
        <v>2185</v>
      </c>
      <c r="B1123" s="7" t="s">
        <v>2185</v>
      </c>
      <c r="C1123" s="8" t="s">
        <v>2186</v>
      </c>
      <c r="D1123" s="9" t="str">
        <f>IFERROR(__xludf.DUMMYFUNCTION("GOOGLETRANSLATE(A1123,""ru"",""en"")"),"Adhesive a.d.m. Super 3G.")</f>
        <v>Adhesive a.d.m. Super 3G.</v>
      </c>
      <c r="E1123" s="8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6" t="s">
        <v>2187</v>
      </c>
      <c r="B1124" s="7" t="s">
        <v>2187</v>
      </c>
      <c r="C1124" s="8" t="s">
        <v>2188</v>
      </c>
      <c r="D1124" s="9" t="str">
        <f>IFERROR(__xludf.DUMMYFUNCTION("GOOGLETRANSLATE(A1124,""ru"",""en"")"),"Paper for baking ADM EXTRA 30 cm x 8 m in heat shrink")</f>
        <v>Paper for baking ADM EXTRA 30 cm x 8 m in heat shrink</v>
      </c>
      <c r="E1124" s="8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6" t="s">
        <v>2189</v>
      </c>
      <c r="B1125" s="7" t="s">
        <v>2189</v>
      </c>
      <c r="C1125" s="8" t="s">
        <v>2190</v>
      </c>
      <c r="D1125" s="9" t="str">
        <f>IFERROR(__xludf.DUMMYFUNCTION("GOOGLETRANSLATE(A1125,""ru"",""en"")"),"Latex gloves Nefourish Gloves Rr s 50 pcs")</f>
        <v>Latex gloves Nefourish Gloves Rr s 50 pcs</v>
      </c>
      <c r="E1125" s="8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6" t="s">
        <v>2191</v>
      </c>
      <c r="B1126" s="7" t="s">
        <v>2191</v>
      </c>
      <c r="C1126" s="8" t="s">
        <v>2192</v>
      </c>
      <c r="D1126" s="9" t="str">
        <f>IFERROR(__xludf.DUMMYFUNCTION("GOOGLETRANSLATE(A1126,""ru"",""en"")"),"Latex gloves Discarded Rr s 100 pcs OPD050S")</f>
        <v>Latex gloves Discarded Rr s 100 pcs OPD050S</v>
      </c>
      <c r="E1126" s="8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6" t="s">
        <v>2193</v>
      </c>
      <c r="B1127" s="7" t="s">
        <v>2193</v>
      </c>
      <c r="C1127" s="8" t="s">
        <v>2194</v>
      </c>
      <c r="D1127" s="9" t="str">
        <f>IFERROR(__xludf.DUMMYFUNCTION("GOOGLETRANSLATE(A1127,""ru"",""en"")"),"X / B Gloves 10 Class with PVC Light 5/132 7.5")</f>
        <v>X / B Gloves 10 Class with PVC Light 5/132 7.5</v>
      </c>
      <c r="E1127" s="8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6" t="s">
        <v>2195</v>
      </c>
      <c r="B1128" s="7" t="s">
        <v>2195</v>
      </c>
      <c r="C1128" s="8" t="s">
        <v>2196</v>
      </c>
      <c r="D1128" s="9" t="str">
        <f>IFERROR(__xludf.DUMMYFUNCTION("GOOGLETRANSLATE(A1128,""ru"",""en"")"),"Lid for hot drinks 90 mm with valve-plug transparent 50 pcs")</f>
        <v>Lid for hot drinks 90 mm with valve-plug transparent 50 pcs</v>
      </c>
      <c r="E1128" s="8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6" t="s">
        <v>2197</v>
      </c>
      <c r="B1129" s="7" t="s">
        <v>2197</v>
      </c>
      <c r="C1129" s="8" t="s">
        <v>2198</v>
      </c>
      <c r="D1129" s="9" t="str">
        <f>IFERROR(__xludf.DUMMYFUNCTION("GOOGLETRANSLATE(A1129,""ru"",""en"")"),"Cover for hot drinks 90 mm with valve-plug white 50 pcs")</f>
        <v>Cover for hot drinks 90 mm with valve-plug white 50 pcs</v>
      </c>
      <c r="E1129" s="8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6" t="s">
        <v>2199</v>
      </c>
      <c r="B1130" s="7" t="s">
        <v>2199</v>
      </c>
      <c r="C1130" s="8" t="s">
        <v>2200</v>
      </c>
      <c r="D1130" s="9" t="str">
        <f>IFERROR(__xludf.DUMMYFUNCTION("GOOGLETRANSLATE(A1130,""ru"",""en"")"),"Lid for hot drinks 90 mm with valve-plug black 50 pcs")</f>
        <v>Lid for hot drinks 90 mm with valve-plug black 50 pcs</v>
      </c>
      <c r="E1130" s="8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6" t="s">
        <v>2201</v>
      </c>
      <c r="B1131" s="7" t="s">
        <v>2201</v>
      </c>
      <c r="C1131" s="8" t="s">
        <v>2202</v>
      </c>
      <c r="D1131" s="9" t="str">
        <f>IFERROR(__xludf.DUMMYFUNCTION("GOOGLETRANSLATE(A1131,""ru"",""en"")"),"Glass 250 ml for hot drinks Blue 50 pcs")</f>
        <v>Glass 250 ml for hot drinks Blue 50 pcs</v>
      </c>
      <c r="E1131" s="8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6" t="s">
        <v>2203</v>
      </c>
      <c r="B1132" s="7" t="s">
        <v>2203</v>
      </c>
      <c r="C1132" s="8" t="s">
        <v>2204</v>
      </c>
      <c r="D1132" s="9" t="str">
        <f>IFERROR(__xludf.DUMMYFUNCTION("GOOGLETRANSLATE(A1132,""ru"",""en"")"),"Soup Paper Bank with Lid 340 ml 25 PCS")</f>
        <v>Soup Paper Bank with Lid 340 ml 25 PCS</v>
      </c>
      <c r="E1132" s="8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6" t="s">
        <v>2205</v>
      </c>
      <c r="B1133" s="7" t="s">
        <v>2205</v>
      </c>
      <c r="C1133" s="8" t="s">
        <v>2206</v>
      </c>
      <c r="D1133" s="9" t="str">
        <f>IFERROR(__xludf.DUMMYFUNCTION("GOOGLETRANSLATE(A1133,""ru"",""en"")"),"Paper container with plastic lid 500 ml 50 pcs")</f>
        <v>Paper container with plastic lid 500 ml 50 pcs</v>
      </c>
      <c r="E1133" s="8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6" t="s">
        <v>2207</v>
      </c>
      <c r="B1134" s="7" t="s">
        <v>2207</v>
      </c>
      <c r="C1134" s="8" t="s">
        <v>2208</v>
      </c>
      <c r="D1134" s="9" t="str">
        <f>IFERROR(__xludf.DUMMYFUNCTION("GOOGLETRANSLATE(A1134,""ru"",""en"")"),"Cover for bowls 330 ml D-114 mm 50 pcs")</f>
        <v>Cover for bowls 330 ml D-114 mm 50 pcs</v>
      </c>
      <c r="E1134" s="8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6" t="s">
        <v>2209</v>
      </c>
      <c r="B1135" s="7" t="s">
        <v>2209</v>
      </c>
      <c r="C1135" s="8" t="s">
        <v>2210</v>
      </c>
      <c r="D1135" s="9" t="str">
        <f>IFERROR(__xludf.DUMMYFUNCTION("GOOGLETRANSLATE(A1135,""ru"",""en"")"),"Cover for Bowl 500 ml D-121mm 50 pcs")</f>
        <v>Cover for Bowl 500 ml D-121mm 50 pcs</v>
      </c>
      <c r="E1135" s="8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6" t="s">
        <v>2211</v>
      </c>
      <c r="B1136" s="7" t="s">
        <v>2211</v>
      </c>
      <c r="C1136" s="8" t="s">
        <v>2212</v>
      </c>
      <c r="D1136" s="9" t="str">
        <f>IFERROR(__xludf.DUMMYFUNCTION("GOOGLETRANSLATE(A1136,""ru"",""en"")"),"Corner Paper 140-160 Custling 2500 pcs")</f>
        <v>Corner Paper 140-160 Custling 2500 pcs</v>
      </c>
      <c r="E1136" s="8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6" t="s">
        <v>886</v>
      </c>
      <c r="B1137" s="7" t="s">
        <v>886</v>
      </c>
      <c r="C1137" s="8" t="s">
        <v>887</v>
      </c>
      <c r="D1137" s="9" t="str">
        <f>IFERROR(__xludf.DUMMYFUNCTION("GOOGLETRANSLATE(A1137,""ru"",""en"")"),"Disposable glasses 500 ml 50 pcs")</f>
        <v>Disposable glasses 500 ml 50 pcs</v>
      </c>
      <c r="E1137" s="8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6" t="s">
        <v>2213</v>
      </c>
      <c r="B1138" s="7" t="s">
        <v>2213</v>
      </c>
      <c r="C1138" s="8" t="s">
        <v>2214</v>
      </c>
      <c r="D1138" s="9" t="str">
        <f>IFERROR(__xludf.DUMMYFUNCTION("GOOGLETRANSLATE(A1138,""ru"",""en"")"),"Picker wooden 18 cm 1000 pcs")</f>
        <v>Picker wooden 18 cm 1000 pcs</v>
      </c>
      <c r="E1138" s="8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6" t="s">
        <v>2215</v>
      </c>
      <c r="B1139" s="7" t="s">
        <v>2215</v>
      </c>
      <c r="C1139" s="8" t="s">
        <v>2216</v>
      </c>
      <c r="D1139" s="9" t="str">
        <f>IFERROR(__xludf.DUMMYFUNCTION("GOOGLETRANSLATE(A1139,""ru"",""en"")"),"Microfiber Napkin 30x30 cm for optics and glass Sea wave")</f>
        <v>Microfiber Napkin 30x30 cm for optics and glass Sea wave</v>
      </c>
      <c r="E1139" s="8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6" t="s">
        <v>2217</v>
      </c>
      <c r="B1140" s="7" t="s">
        <v>2217</v>
      </c>
      <c r="C1140" s="8" t="s">
        <v>2218</v>
      </c>
      <c r="D1140" s="9" t="str">
        <f>IFERROR(__xludf.DUMMYFUNCTION("GOOGLETRANSLATE(A1140,""ru"",""en"")"),"Microfiber rag Standard 40 x 60 cm 250 sm blue")</f>
        <v>Microfiber rag Standard 40 x 60 cm 250 sm blue</v>
      </c>
      <c r="E1140" s="8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6" t="s">
        <v>2219</v>
      </c>
      <c r="B1141" s="7" t="s">
        <v>2219</v>
      </c>
      <c r="C1141" s="8" t="s">
        <v>2220</v>
      </c>
      <c r="D1141" s="9" t="str">
        <f>IFERROR(__xludf.DUMMYFUNCTION("GOOGLETRANSLATE(A1141,""ru"",""en"")"),"Rag from microfiber Standard 40 x 60 cm 250 square green")</f>
        <v>Rag from microfiber Standard 40 x 60 cm 250 square green</v>
      </c>
      <c r="E1141" s="8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6" t="s">
        <v>2221</v>
      </c>
      <c r="B1142" s="7" t="s">
        <v>2221</v>
      </c>
      <c r="C1142" s="8" t="s">
        <v>2222</v>
      </c>
      <c r="D1142" s="9" t="str">
        <f>IFERROR(__xludf.DUMMYFUNCTION("GOOGLETRANSLATE(A1142,""ru"",""en"")"),"Rag from microfiber Standard 40 x 60 cm 250 square red")</f>
        <v>Rag from microfiber Standard 40 x 60 cm 250 square red</v>
      </c>
      <c r="E1142" s="8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6" t="s">
        <v>2223</v>
      </c>
      <c r="B1143" s="7" t="s">
        <v>2223</v>
      </c>
      <c r="C1143" s="8" t="s">
        <v>2224</v>
      </c>
      <c r="D1143" s="9" t="str">
        <f>IFERROR(__xludf.DUMMYFUNCTION("GOOGLETRANSLATE(A1143,""ru"",""en"")"),"Rag of microfiber 60 x 80 cm 250 pl purple")</f>
        <v>Rag of microfiber 60 x 80 cm 250 pl purple</v>
      </c>
      <c r="E1143" s="8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6" t="s">
        <v>2225</v>
      </c>
      <c r="B1144" s="7" t="s">
        <v>2225</v>
      </c>
      <c r="C1144" s="8" t="s">
        <v>2226</v>
      </c>
      <c r="D1144" s="9" t="str">
        <f>IFERROR(__xludf.DUMMYFUNCTION("GOOGLETRANSLATE(A1144,""ru"",""en"")"),"Microfiber rag 80 x 100 cm 250 pl blue")</f>
        <v>Microfiber rag 80 x 100 cm 250 pl blue</v>
      </c>
      <c r="E1144" s="8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6" t="s">
        <v>2227</v>
      </c>
      <c r="B1145" s="7" t="s">
        <v>2227</v>
      </c>
      <c r="C1145" s="8" t="s">
        <v>2228</v>
      </c>
      <c r="D1145" s="9" t="str">
        <f>IFERROR(__xludf.DUMMYFUNCTION("GOOGLETRANSLATE(A1145,""ru"",""en"")"),"Microfiber rag 80 x 100 cm 250 pl orange")</f>
        <v>Microfiber rag 80 x 100 cm 250 pl orange</v>
      </c>
      <c r="E1145" s="8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6" t="s">
        <v>2229</v>
      </c>
      <c r="B1146" s="7" t="s">
        <v>2229</v>
      </c>
      <c r="C1146" s="8" t="s">
        <v>2230</v>
      </c>
      <c r="D1146" s="9" t="str">
        <f>IFERROR(__xludf.DUMMYFUNCTION("GOOGLETRANSLATE(A1146,""ru"",""en"")"),"Holder for two glasses 150 pcs")</f>
        <v>Holder for two glasses 150 pcs</v>
      </c>
      <c r="E1146" s="8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6" t="s">
        <v>635</v>
      </c>
      <c r="B1147" s="7" t="s">
        <v>635</v>
      </c>
      <c r="C1147" s="8" t="s">
        <v>636</v>
      </c>
      <c r="D1147" s="9" t="str">
        <f>IFERROR(__xludf.DUMMYFUNCTION("GOOGLETRANSLATE(A1147,""ru"",""en"")"),"Drinks for drinks with corrugated black 5x210 mm 250 pcs")</f>
        <v>Drinks for drinks with corrugated black 5x210 mm 250 pcs</v>
      </c>
      <c r="E1147" s="8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6" t="s">
        <v>2231</v>
      </c>
      <c r="B1148" s="7" t="s">
        <v>2231</v>
      </c>
      <c r="C1148" s="8" t="s">
        <v>2232</v>
      </c>
      <c r="D1148" s="9" t="str">
        <f>IFERROR(__xludf.DUMMYFUNCTION("GOOGLETRANSLATE(A1148,""ru"",""en"")"),"Liquid non-freezing glass-timer ???")</f>
        <v>Liquid non-freezing glass-timer ???</v>
      </c>
      <c r="E1148" s="8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6" t="s">
        <v>2233</v>
      </c>
      <c r="B1149" s="7" t="s">
        <v>2233</v>
      </c>
      <c r="C1149" s="8" t="s">
        <v>2234</v>
      </c>
      <c r="D1149" s="9" t="str">
        <f>IFERROR(__xludf.DUMMYFUNCTION("GOOGLETRANSLATE(A1149,""ru"",""en"")"),"Means for removing Fat Unicum Gold 3 l")</f>
        <v>Means for removing Fat Unicum Gold 3 l</v>
      </c>
      <c r="E1149" s="8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6" t="s">
        <v>2235</v>
      </c>
      <c r="B1150" s="7" t="s">
        <v>2235</v>
      </c>
      <c r="C1150" s="8" t="s">
        <v>2236</v>
      </c>
      <c r="D1150" s="9" t="str">
        <f>IFERROR(__xludf.DUMMYFUNCTION("GOOGLETRANSLATE(A1150,""ru"",""en"")"),"Cotton twine 2.5 kg")</f>
        <v>Cotton twine 2.5 kg</v>
      </c>
      <c r="E1150" s="8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6" t="s">
        <v>2237</v>
      </c>
      <c r="B1151" s="7" t="s">
        <v>2237</v>
      </c>
      <c r="C1151" s="8" t="s">
        <v>2238</v>
      </c>
      <c r="D1151" s="9" t="str">
        <f>IFERROR(__xludf.DUMMYFUNCTION("GOOGLETRANSLATE(A1151,""ru"",""en"")"),"Shovel for snow 3-boor 46 x 35 cm with aluminum strip 1.5 mm without a cuticle")</f>
        <v>Shovel for snow 3-boor 46 x 35 cm with aluminum strip 1.5 mm without a cuticle</v>
      </c>
      <c r="E1151" s="8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6" t="s">
        <v>2239</v>
      </c>
      <c r="B1152" s="7" t="s">
        <v>2239</v>
      </c>
      <c r="C1152" s="8" t="s">
        <v>2240</v>
      </c>
      <c r="D1152" s="9" t="str">
        <f>IFERROR(__xludf.DUMMYFUNCTION("GOOGLETRANSLATE(A1152,""ru"",""en"")"),"Shovel for snow 3-boor 46 x 35 cm sheet 0.8 mm without cutlets")</f>
        <v>Shovel for snow 3-boor 46 x 35 cm sheet 0.8 mm without cutlets</v>
      </c>
      <c r="E1152" s="8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6" t="s">
        <v>2241</v>
      </c>
      <c r="B1153" s="7" t="s">
        <v>2241</v>
      </c>
      <c r="C1153" s="8" t="s">
        <v>2242</v>
      </c>
      <c r="D1153" s="9" t="str">
        <f>IFERROR(__xludf.DUMMYFUNCTION("GOOGLETRANSLATE(A1153,""ru"",""en"")"),"Cream Cleaning CIF Lilk Freshness 500 ml")</f>
        <v>Cream Cleaning CIF Lilk Freshness 500 ml</v>
      </c>
      <c r="E1153" s="8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6" t="s">
        <v>2243</v>
      </c>
      <c r="B1154" s="7" t="s">
        <v>2243</v>
      </c>
      <c r="C1154" s="8" t="s">
        <v>2244</v>
      </c>
      <c r="D1154" s="9" t="str">
        <f>IFERROR(__xludf.DUMMYFUNCTION("GOOGLETRANSLATE(A1154,""ru"",""en"")"),"Cream Cleaning CIF Ultra White 450 ml")</f>
        <v>Cream Cleaning CIF Ultra White 450 ml</v>
      </c>
      <c r="E1154" s="8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6" t="s">
        <v>2245</v>
      </c>
      <c r="B1155" s="7" t="s">
        <v>2245</v>
      </c>
      <c r="C1155" s="8" t="s">
        <v>2246</v>
      </c>
      <c r="D1155" s="9" t="str">
        <f>IFERROR(__xludf.DUMMYFUNCTION("GOOGLETRANSLATE(A1155,""ru"",""en"")"),"Broom Round Standard with Cushion")</f>
        <v>Broom Round Standard with Cushion</v>
      </c>
      <c r="E1155" s="8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6" t="s">
        <v>2247</v>
      </c>
      <c r="B1156" s="7" t="s">
        <v>2247</v>
      </c>
      <c r="C1156" s="8" t="s">
        <v>2248</v>
      </c>
      <c r="D1156" s="9" t="str">
        <f>IFERROR(__xludf.DUMMYFUNCTION("GOOGLETRANSLATE(A1156,""ru"",""en"")"),"Dispenser Dispenser KSITEX DD-6010 1 L")</f>
        <v>Dispenser Dispenser KSITEX DD-6010 1 L</v>
      </c>
      <c r="E1156" s="8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6" t="s">
        <v>2249</v>
      </c>
      <c r="B1157" s="7" t="s">
        <v>2249</v>
      </c>
      <c r="C1157" s="8" t="s">
        <v>2250</v>
      </c>
      <c r="D1157" s="9" t="str">
        <f>IFERROR(__xludf.DUMMYFUNCTION("GOOGLETRANSLATE(A1157,""ru"",""en"")"),"Air freshener LIS RELAX Fruit ice 300 ml")</f>
        <v>Air freshener LIS RELAX Fruit ice 300 ml</v>
      </c>
      <c r="E1157" s="8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6" t="s">
        <v>2251</v>
      </c>
      <c r="B1158" s="7" t="s">
        <v>2251</v>
      </c>
      <c r="C1158" s="8" t="s">
        <v>2252</v>
      </c>
      <c r="D1158" s="9" t="str">
        <f>IFERROR(__xludf.DUMMYFUNCTION("GOOGLETRANSLATE(A1158,""ru"",""en"")"),"PVC isol 15 mm 20 m green")</f>
        <v>PVC isol 15 mm 20 m green</v>
      </c>
      <c r="E1158" s="8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6" t="s">
        <v>2253</v>
      </c>
      <c r="B1159" s="7" t="s">
        <v>2253</v>
      </c>
      <c r="C1159" s="8" t="s">
        <v>2254</v>
      </c>
      <c r="D1159" s="9" t="str">
        <f>IFERROR(__xludf.DUMMYFUNCTION("GOOGLETRANSLATE(A1159,""ru"",""en"")"),"Broom sorghum 6-firmware")</f>
        <v>Broom sorghum 6-firmware</v>
      </c>
      <c r="E1159" s="8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6" t="s">
        <v>2255</v>
      </c>
      <c r="B1160" s="7" t="s">
        <v>2255</v>
      </c>
      <c r="C1160" s="8" t="s">
        <v>2256</v>
      </c>
      <c r="D1160" s="9" t="str">
        <f>IFERROR(__xludf.DUMMYFUNCTION("GOOGLETRANSLATE(A1160,""ru"",""en"")"),"Soap liquid bacteriostatic fungistatic green 5 l")</f>
        <v>Soap liquid bacteriostatic fungistatic green 5 l</v>
      </c>
      <c r="E1160" s="8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6" t="s">
        <v>2257</v>
      </c>
      <c r="B1161" s="7" t="s">
        <v>2257</v>
      </c>
      <c r="C1161" s="8" t="s">
        <v>2258</v>
      </c>
      <c r="D1161" s="9" t="str">
        <f>IFERROR(__xludf.DUMMYFUNCTION("GOOGLETRANSLATE(A1161,""ru"",""en"")"),"Leather gloves Spille red on lining 35 cm Rr 14")</f>
        <v>Leather gloves Spille red on lining 35 cm Rr 14</v>
      </c>
      <c r="E1161" s="8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6" t="s">
        <v>2259</v>
      </c>
      <c r="B1162" s="7" t="s">
        <v>2259</v>
      </c>
      <c r="C1162" s="8" t="s">
        <v>2260</v>
      </c>
      <c r="D1162" s="9" t="str">
        <f>IFERROR(__xludf.DUMMYFUNCTION("GOOGLETRANSLATE(A1162,""ru"",""en"")"),"Sheet Paper Towels Lasla Econom V-Addition Single-Line")</f>
        <v>Sheet Paper Towels Lasla Econom V-Addition Single-Line</v>
      </c>
      <c r="E1162" s="8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6" t="s">
        <v>2261</v>
      </c>
      <c r="B1163" s="7" t="s">
        <v>2261</v>
      </c>
      <c r="C1163" s="8" t="s">
        <v>2262</v>
      </c>
      <c r="D1163" s="9" t="str">
        <f>IFERROR(__xludf.DUMMYFUNCTION("GOOGLETRANSLATE(A1163,""ru"",""en"")"),"Polyester gloves with nitrile coating Flower TR-800")</f>
        <v>Polyester gloves with nitrile coating Flower TR-800</v>
      </c>
      <c r="E1163" s="8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6" t="s">
        <v>2263</v>
      </c>
      <c r="B1164" s="7" t="s">
        <v>2263</v>
      </c>
      <c r="C1164" s="8" t="s">
        <v>2264</v>
      </c>
      <c r="D1164" s="9" t="str">
        <f>IFERROR(__xludf.DUMMYFUNCTION("GOOGLETRANSLATE(A1164,""ru"",""en"")"),"Gloves x / b white polyester with PU coating TR-540 rr 9")</f>
        <v>Gloves x / b white polyester with PU coating TR-540 rr 9</v>
      </c>
      <c r="E1164" s="8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6" t="s">
        <v>2265</v>
      </c>
      <c r="B1165" s="7" t="s">
        <v>2265</v>
      </c>
      <c r="C1165" s="8" t="s">
        <v>2266</v>
      </c>
      <c r="D1165" s="9" t="str">
        <f>IFERROR(__xludf.DUMMYFUNCTION("GOOGLETRANSLATE(A1165,""ru"",""en"")"),"Gloves x / b Orna with orange foamed TR-794 rr 9")</f>
        <v>Gloves x / b Orna with orange foamed TR-794 rr 9</v>
      </c>
      <c r="E1165" s="8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6" t="s">
        <v>2267</v>
      </c>
      <c r="B1166" s="7" t="s">
        <v>2267</v>
      </c>
      <c r="C1166" s="8" t="s">
        <v>2268</v>
      </c>
      <c r="D1166" s="9" t="str">
        <f>IFERROR(__xludf.DUMMYFUNCTION("GOOGLETRANSLATE(A1166,""ru"",""en"")"),"Polyester Gloves with Latex Covered TR-311")</f>
        <v>Polyester Gloves with Latex Covered TR-311</v>
      </c>
      <c r="E1166" s="8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6" t="s">
        <v>2269</v>
      </c>
      <c r="B1167" s="7" t="s">
        <v>2269</v>
      </c>
      <c r="C1167" s="8" t="s">
        <v>2270</v>
      </c>
      <c r="D1167" s="9" t="str">
        <f>IFERROR(__xludf.DUMMYFUNCTION("GOOGLETRANSLATE(A1167,""ru"",""en"")"),"Gloves X / B coated with yellow nitrile TR-507")</f>
        <v>Gloves X / B coated with yellow nitrile TR-507</v>
      </c>
      <c r="E1167" s="8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6" t="s">
        <v>2271</v>
      </c>
      <c r="B1168" s="7" t="s">
        <v>2271</v>
      </c>
      <c r="C1168" s="8" t="s">
        <v>2272</v>
      </c>
      <c r="D1168" s="9" t="str">
        <f>IFERROR(__xludf.DUMMYFUNCTION("GOOGLETRANSLATE(A1168,""ru"",""en"")"),"Leather gloves Spillar 35 cm TR-707 PR 14")</f>
        <v>Leather gloves Spillar 35 cm TR-707 PR 14</v>
      </c>
      <c r="E1168" s="8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6" t="s">
        <v>2273</v>
      </c>
      <c r="B1169" s="7" t="s">
        <v>2273</v>
      </c>
      <c r="C1169" s="8" t="s">
        <v>2274</v>
      </c>
      <c r="D1169" s="9" t="str">
        <f>IFERROR(__xludf.DUMMYFUNCTION("GOOGLETRANSLATE(A1169,""ru"",""en"")"),"Knitted gloves with full red PVC TR-302 coating")</f>
        <v>Knitted gloves with full red PVC TR-302 coating</v>
      </c>
      <c r="E1169" s="8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6" t="s">
        <v>2275</v>
      </c>
      <c r="B1170" s="7" t="s">
        <v>2275</v>
      </c>
      <c r="C1170" s="8" t="s">
        <v>2276</v>
      </c>
      <c r="D1170" s="9" t="str">
        <f>IFERROR(__xludf.DUMMYFUNCTION("GOOGLETRANSLATE(A1170,""ru"",""en"")"),"Wooden box 530 x 220 x 68 mm")</f>
        <v>Wooden box 530 x 220 x 68 mm</v>
      </c>
      <c r="E1170" s="8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6" t="s">
        <v>2277</v>
      </c>
      <c r="B1171" s="7" t="s">
        <v>2277</v>
      </c>
      <c r="C1171" s="8" t="s">
        <v>2278</v>
      </c>
      <c r="D1171" s="9" t="str">
        <f>IFERROR(__xludf.DUMMYFUNCTION("GOOGLETRANSLATE(A1171,""ru"",""en"")"),"Wooden box 260 x 220 x 68 mm")</f>
        <v>Wooden box 260 x 220 x 68 mm</v>
      </c>
      <c r="E1171" s="8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6" t="s">
        <v>2279</v>
      </c>
      <c r="B1172" s="7" t="s">
        <v>2279</v>
      </c>
      <c r="C1172" s="8" t="s">
        <v>2280</v>
      </c>
      <c r="D1172" s="9" t="str">
        <f>IFERROR(__xludf.DUMMYFUNCTION("GOOGLETRANSLATE(A1172,""ru"",""en"")"),"Wooden box 310 x 250 x 65 mm")</f>
        <v>Wooden box 310 x 250 x 65 mm</v>
      </c>
      <c r="E1172" s="8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6" t="s">
        <v>2281</v>
      </c>
      <c r="B1173" s="7" t="s">
        <v>2281</v>
      </c>
      <c r="C1173" s="8" t="s">
        <v>2282</v>
      </c>
      <c r="D1173" s="9" t="str">
        <f>IFERROR(__xludf.DUMMYFUNCTION("GOOGLETRANSLATE(A1173,""ru"",""en"")"),"Wooden box 430 x 280 x 65 mm")</f>
        <v>Wooden box 430 x 280 x 65 mm</v>
      </c>
      <c r="E1173" s="8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6" t="s">
        <v>2283</v>
      </c>
      <c r="B1174" s="7" t="s">
        <v>2283</v>
      </c>
      <c r="C1174" s="8" t="s">
        <v>2284</v>
      </c>
      <c r="D1174" s="9" t="str">
        <f>IFERROR(__xludf.DUMMYFUNCTION("GOOGLETRANSLATE(A1174,""ru"",""en"")"),"Wooden box 520 x 210 x 65 mm")</f>
        <v>Wooden box 520 x 210 x 65 mm</v>
      </c>
      <c r="E1174" s="8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6" t="s">
        <v>2285</v>
      </c>
      <c r="B1175" s="7" t="s">
        <v>2285</v>
      </c>
      <c r="C1175" s="8" t="s">
        <v>2286</v>
      </c>
      <c r="D1175" s="9" t="str">
        <f>IFERROR(__xludf.DUMMYFUNCTION("GOOGLETRANSLATE(A1175,""ru"",""en"")"),"MOS NZS029-WP 50 cm Pocket + Ear")</f>
        <v>MOS NZS029-WP 50 cm Pocket + Ear</v>
      </c>
      <c r="E1175" s="8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6" t="s">
        <v>2287</v>
      </c>
      <c r="B1176" s="7" t="s">
        <v>2287</v>
      </c>
      <c r="C1176" s="8" t="s">
        <v>2288</v>
      </c>
      <c r="D1176" s="9" t="str">
        <f>IFERROR(__xludf.DUMMYFUNCTION("GOOGLETRANSLATE(A1176,""ru"",""en"")"),"Cream-soap tender 5 l")</f>
        <v>Cream-soap tender 5 l</v>
      </c>
      <c r="E1176" s="8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6" t="s">
        <v>2289</v>
      </c>
      <c r="B1177" s="7" t="s">
        <v>2289</v>
      </c>
      <c r="C1177" s="8" t="s">
        <v>2290</v>
      </c>
      <c r="D1177" s="9" t="str">
        <f>IFERROR(__xludf.DUMMYFUNCTION("GOOGLETRANSLATE(A1177,""ru"",""en"")"),"Means for removal of styling with washing and dishwashers SIGMA-M 500 ml")</f>
        <v>Means for removal of styling with washing and dishwashers SIGMA-M 500 ml</v>
      </c>
      <c r="E1177" s="8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6" t="s">
        <v>2291</v>
      </c>
      <c r="B1178" s="7" t="s">
        <v>2291</v>
      </c>
      <c r="C1178" s="8" t="s">
        <v>2292</v>
      </c>
      <c r="D1178" s="9" t="str">
        <f>IFERROR(__xludf.DUMMYFUNCTION("GOOGLETRANSLATE(A1178,""ru"",""en"")"),"Liquid soap antibacterial AJM 500 ml")</f>
        <v>Liquid soap antibacterial AJM 500 ml</v>
      </c>
      <c r="E1178" s="8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6" t="s">
        <v>2293</v>
      </c>
      <c r="B1179" s="7" t="s">
        <v>2293</v>
      </c>
      <c r="C1179" s="8" t="s">
        <v>2294</v>
      </c>
      <c r="D1179" s="9" t="str">
        <f>IFERROR(__xludf.DUMMYFUNCTION("GOOGLETRANSLATE(A1179,""ru"",""en"")"),"Microfiber napkin 29x29 cm yellow")</f>
        <v>Microfiber napkin 29x29 cm yellow</v>
      </c>
      <c r="E1179" s="8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6" t="s">
        <v>304</v>
      </c>
      <c r="B1180" s="7" t="s">
        <v>304</v>
      </c>
      <c r="C1180" s="8" t="s">
        <v>305</v>
      </c>
      <c r="D1180" s="9" t="str">
        <f>IFERROR(__xludf.DUMMYFUNCTION("GOOGLETRANSLATE(A1180,""ru"",""en"")"),"Economic Soap 65% 200 g of Russia")</f>
        <v>Economic Soap 65% 200 g of Russia</v>
      </c>
      <c r="E1180" s="8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6" t="s">
        <v>2295</v>
      </c>
      <c r="B1181" s="7" t="s">
        <v>2295</v>
      </c>
      <c r="C1181" s="8" t="s">
        <v>2296</v>
      </c>
      <c r="D1181" s="9" t="str">
        <f>IFERROR(__xludf.DUMMYFUNCTION("GOOGLETRANSLATE(A1181,""ru"",""en"")"),"Gloves Technical Acid-Points (KSP), Type 2, Rr 10")</f>
        <v>Gloves Technical Acid-Points (KSP), Type 2, Rr 10</v>
      </c>
      <c r="E1181" s="8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6" t="s">
        <v>2297</v>
      </c>
      <c r="B1182" s="7" t="s">
        <v>2297</v>
      </c>
      <c r="C1182" s="8" t="s">
        <v>2298</v>
      </c>
      <c r="D1182" s="9" t="str">
        <f>IFERROR(__xludf.DUMMYFUNCTION("GOOGLETRANSLATE(A1182,""ru"",""en"")"),"Gloves Technical Acid Equile Pieces (KSH) Type 2 Rr 8")</f>
        <v>Gloves Technical Acid Equile Pieces (KSH) Type 2 Rr 8</v>
      </c>
      <c r="E1182" s="8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6" t="s">
        <v>2299</v>
      </c>
      <c r="B1183" s="7" t="s">
        <v>2299</v>
      </c>
      <c r="C1183" s="8" t="s">
        <v>2300</v>
      </c>
      <c r="D1183" s="9" t="str">
        <f>IFERROR(__xludf.DUMMYFUNCTION("GOOGLETRANSLATE(A1183,""ru"",""en"")"),"Gloves Technical Acid-Point (KSH) Type 2 Rr 9")</f>
        <v>Gloves Technical Acid-Point (KSH) Type 2 Rr 9</v>
      </c>
      <c r="E1183" s="8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6" t="s">
        <v>2301</v>
      </c>
      <c r="B1184" s="7" t="s">
        <v>2301</v>
      </c>
      <c r="C1184" s="8" t="s">
        <v>2302</v>
      </c>
      <c r="D1184" s="9" t="str">
        <f>IFERROR(__xludf.DUMMYFUNCTION("GOOGLETRANSLATE(A1184,""ru"",""en"")"),"Gloves Technical Acid-Point (KSH) Type 1 PR 1")</f>
        <v>Gloves Technical Acid-Point (KSH) Type 1 PR 1</v>
      </c>
      <c r="E1184" s="8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6" t="s">
        <v>2303</v>
      </c>
      <c r="B1185" s="7" t="s">
        <v>2303</v>
      </c>
      <c r="C1185" s="8" t="s">
        <v>2304</v>
      </c>
      <c r="D1185" s="9" t="str">
        <f>IFERROR(__xludf.DUMMYFUNCTION("GOOGLETRANSLATE(A1185,""ru"",""en"")"),"Air freshener Symphony fragrant lilac 300 ml")</f>
        <v>Air freshener Symphony fragrant lilac 300 ml</v>
      </c>
      <c r="E1185" s="8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6" t="s">
        <v>2305</v>
      </c>
      <c r="B1186" s="7" t="s">
        <v>2305</v>
      </c>
      <c r="C1186" s="8" t="s">
        <v>2306</v>
      </c>
      <c r="D1186" s="9" t="str">
        <f>IFERROR(__xludf.DUMMYFUNCTION("GOOGLETRANSLATE(A1186,""ru"",""en"")"),"Automatic air freshener Glade Automatic Azure wave and magnolia 269 ml")</f>
        <v>Automatic air freshener Glade Automatic Azure wave and magnolia 269 ml</v>
      </c>
      <c r="E1186" s="8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6" t="s">
        <v>684</v>
      </c>
      <c r="B1187" s="7" t="s">
        <v>684</v>
      </c>
      <c r="C1187" s="8" t="s">
        <v>685</v>
      </c>
      <c r="D1187" s="9" t="str">
        <f>IFERROR(__xludf.DUMMYFUNCTION("GOOGLETRANSLATE(A1187,""ru"",""en"")"),"NPK193 60 cm Flaunder c fastening pocket")</f>
        <v>NPK193 60 cm Flaunder c fastening pocket</v>
      </c>
      <c r="E1187" s="8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6" t="s">
        <v>2307</v>
      </c>
      <c r="B1188" s="7" t="s">
        <v>2307</v>
      </c>
      <c r="C1188" s="8" t="s">
        <v>2308</v>
      </c>
      <c r="D1188" s="9" t="str">
        <f>IFERROR(__xludf.DUMMYFUNCTION("GOOGLETRANSLATE(A1188,""ru"",""en"")"),"Cleaner for plumbing Sanfor Wagon lemon freshness 1 l")</f>
        <v>Cleaner for plumbing Sanfor Wagon lemon freshness 1 l</v>
      </c>
      <c r="E1188" s="8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6" t="s">
        <v>2309</v>
      </c>
      <c r="B1189" s="7" t="s">
        <v>2309</v>
      </c>
      <c r="C1189" s="8" t="s">
        <v>2310</v>
      </c>
      <c r="D1189" s="9" t="str">
        <f>IFERROR(__xludf.DUMMYFUNCTION("GOOGLETRANSLATE(A1189,""ru"",""en"")"),"Spoons corn starch biodegradable white 14.5 cm 50 pcs")</f>
        <v>Spoons corn starch biodegradable white 14.5 cm 50 pcs</v>
      </c>
      <c r="E1189" s="8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6" t="s">
        <v>2311</v>
      </c>
      <c r="B1190" s="7" t="s">
        <v>2311</v>
      </c>
      <c r="C1190" s="8" t="s">
        <v>2312</v>
      </c>
      <c r="D1190" s="9" t="str">
        <f>IFERROR(__xludf.DUMMYFUNCTION("GOOGLETRANSLATE(A1190,""ru"",""en"")"),"Cover for paper cup for soup 390 ml 50 pcs")</f>
        <v>Cover for paper cup for soup 390 ml 50 pcs</v>
      </c>
      <c r="E1190" s="8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6" t="s">
        <v>2313</v>
      </c>
      <c r="B1191" s="7" t="s">
        <v>2313</v>
      </c>
      <c r="C1191" s="8" t="s">
        <v>2314</v>
      </c>
      <c r="D1191" s="9" t="str">
        <f>IFERROR(__xludf.DUMMYFUNCTION("GOOGLETRANSLATE(A1191,""ru"",""en"")"),"Forks Corn starch biodegradable white 15,8 cm 50 pcs")</f>
        <v>Forks Corn starch biodegradable white 15,8 cm 50 pcs</v>
      </c>
      <c r="E1191" s="8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6" t="s">
        <v>2315</v>
      </c>
      <c r="B1192" s="7" t="s">
        <v>2315</v>
      </c>
      <c r="C1192" s="8" t="s">
        <v>2316</v>
      </c>
      <c r="D1192" s="9" t="str">
        <f>IFERROR(__xludf.DUMMYFUNCTION("GOOGLETRANSLATE(A1192,""ru"",""en"")"),"Disamer universal 1000 ml")</f>
        <v>Disamer universal 1000 ml</v>
      </c>
      <c r="E1192" s="8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6" t="s">
        <v>2317</v>
      </c>
      <c r="B1193" s="7" t="s">
        <v>2317</v>
      </c>
      <c r="C1193" s="8" t="s">
        <v>2318</v>
      </c>
      <c r="D1193" s="9" t="str">
        <f>IFERROR(__xludf.DUMMYFUNCTION("GOOGLETRANSLATE(A1193,""ru"",""en"")"),"Means Disinfectant R508 Skin Antiseptic Cartridge 1 l")</f>
        <v>Means Disinfectant R508 Skin Antiseptic Cartridge 1 l</v>
      </c>
      <c r="E1193" s="8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6" t="s">
        <v>2319</v>
      </c>
      <c r="B1194" s="7" t="s">
        <v>2319</v>
      </c>
      <c r="C1194" s="8" t="s">
        <v>2320</v>
      </c>
      <c r="D1194" s="9" t="str">
        <f>IFERROR(__xludf.DUMMYFUNCTION("GOOGLETRANSLATE(A1194,""ru"",""en"")"),"Automatic air freshener GLADE Automatic Peony and juicy berries 269 ml")</f>
        <v>Automatic air freshener GLADE Automatic Peony and juicy berries 269 ml</v>
      </c>
      <c r="E1194" s="8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6" t="s">
        <v>2321</v>
      </c>
      <c r="B1195" s="7" t="s">
        <v>2321</v>
      </c>
      <c r="C1195" s="8" t="s">
        <v>2322</v>
      </c>
      <c r="D1195" s="9" t="str">
        <f>IFERROR(__xludf.DUMMYFUNCTION("GOOGLETRANSLATE(A1195,""ru"",""en"")"),"Napkin for glass and mirrors Turnitter from microfiber 35 x 35 cm")</f>
        <v>Napkin for glass and mirrors Turnitter from microfiber 35 x 35 cm</v>
      </c>
      <c r="E1195" s="8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6" t="s">
        <v>2323</v>
      </c>
      <c r="B1196" s="7" t="s">
        <v>2323</v>
      </c>
      <c r="C1196" s="8" t="s">
        <v>2324</v>
      </c>
      <c r="D1196" s="9" t="str">
        <f>IFERROR(__xludf.DUMMYFUNCTION("GOOGLETRANSLATE(A1196,""ru"",""en"")"),"Napkin Torny of microfiber Blue 35 x 35 cm")</f>
        <v>Napkin Torny of microfiber Blue 35 x 35 cm</v>
      </c>
      <c r="E1196" s="8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6" t="s">
        <v>2325</v>
      </c>
      <c r="B1197" s="7" t="s">
        <v>2325</v>
      </c>
      <c r="C1197" s="8" t="s">
        <v>2326</v>
      </c>
      <c r="D1197" s="9" t="str">
        <f>IFERROR(__xludf.DUMMYFUNCTION("GOOGLETRANSLATE(A1197,""ru"",""en"")"),"Napkin viscose 30 x 38 cm Yellowless packaging")</f>
        <v>Napkin viscose 30 x 38 cm Yellowless packaging</v>
      </c>
      <c r="E1197" s="8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6" t="s">
        <v>2327</v>
      </c>
      <c r="B1198" s="7" t="s">
        <v>2327</v>
      </c>
      <c r="C1198" s="8" t="s">
        <v>2328</v>
      </c>
      <c r="D1198" s="9" t="str">
        <f>IFERROR(__xludf.DUMMYFUNCTION("GOOGLETRANSLATE(A1198,""ru"",""en"")"),"Packing packages Aviora Extra 24 x 37 cm 500 pcs")</f>
        <v>Packing packages Aviora Extra 24 x 37 cm 500 pcs</v>
      </c>
      <c r="E1198" s="8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6" t="s">
        <v>2329</v>
      </c>
      <c r="B1199" s="7" t="s">
        <v>2329</v>
      </c>
      <c r="C1199" s="8" t="s">
        <v>2330</v>
      </c>
      <c r="D1199" s="9" t="str">
        <f>IFERROR(__xludf.DUMMYFUNCTION("GOOGLETRANSLATE(A1199,""ru"",""en"")"),"Packing packages Aviora Extra 25 x 40 cm 500 pcs")</f>
        <v>Packing packages Aviora Extra 25 x 40 cm 500 pcs</v>
      </c>
      <c r="E1199" s="8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6" t="s">
        <v>2331</v>
      </c>
      <c r="B1200" s="7" t="s">
        <v>2331</v>
      </c>
      <c r="C1200" s="8" t="s">
        <v>2332</v>
      </c>
      <c r="D1200" s="9" t="str">
        <f>IFERROR(__xludf.DUMMYFUNCTION("GOOGLETRANSLATE(A1200,""ru"",""en"")"),"Greasedeller Unicum Grizzly 500 ml")</f>
        <v>Greasedeller Unicum Grizzly 500 ml</v>
      </c>
      <c r="E1200" s="8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6" t="s">
        <v>2333</v>
      </c>
      <c r="B1201" s="7" t="s">
        <v>2333</v>
      </c>
      <c r="C1201" s="8" t="s">
        <v>2334</v>
      </c>
      <c r="D1201" s="9" t="str">
        <f>IFERROR(__xludf.DUMMYFUNCTION("GOOGLETRANSLATE(A1201,""ru"",""en"")"),"Sponges for dishes Mamontenok puzzle Maxi 5 pcs")</f>
        <v>Sponges for dishes Mamontenok puzzle Maxi 5 pcs</v>
      </c>
      <c r="E1201" s="8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6" t="s">
        <v>2335</v>
      </c>
      <c r="B1202" s="7" t="s">
        <v>2335</v>
      </c>
      <c r="C1202" s="8" t="s">
        <v>2336</v>
      </c>
      <c r="D1202" s="9" t="str">
        <f>IFERROR(__xludf.DUMMYFUNCTION("GOOGLETRANSLATE(A1202,""ru"",""en"")"),"Sponges for dishes Small MINI 5 pcs")</f>
        <v>Sponges for dishes Small MINI 5 pcs</v>
      </c>
      <c r="E1202" s="8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6" t="s">
        <v>2337</v>
      </c>
      <c r="B1203" s="7" t="s">
        <v>2337</v>
      </c>
      <c r="C1203" s="8" t="s">
        <v>2338</v>
      </c>
      <c r="D1203" s="9" t="str">
        <f>IFERROR(__xludf.DUMMYFUNCTION("GOOGLETRANSLATE(A1203,""ru"",""en"")"),"Shovel for snow 42 x 40 x 11 cm with metal edge and cutlets")</f>
        <v>Shovel for snow 42 x 40 x 11 cm with metal edge and cutlets</v>
      </c>
      <c r="E1203" s="8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6" t="s">
        <v>2339</v>
      </c>
      <c r="B1204" s="7" t="s">
        <v>2339</v>
      </c>
      <c r="C1204" s="8" t="s">
        <v>2340</v>
      </c>
      <c r="D1204" s="9" t="str">
        <f>IFERROR(__xludf.DUMMYFUNCTION("GOOGLETRANSLATE(A1204,""ru"",""en"")"),"Tablecloth Polyethylene Good Way 120 x 220 cm Mix Colors")</f>
        <v>Tablecloth Polyethylene Good Way 120 x 220 cm Mix Colors</v>
      </c>
      <c r="E1204" s="8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6" t="s">
        <v>2341</v>
      </c>
      <c r="B1205" s="7" t="s">
        <v>2341</v>
      </c>
      <c r="C1205" s="8" t="s">
        <v>2342</v>
      </c>
      <c r="D1205" s="9" t="str">
        <f>IFERROR(__xludf.DUMMYFUNCTION("GOOGLETRANSLATE(A1205,""ru"",""en"")"),"Scoop for garbage MPG7440")</f>
        <v>Scoop for garbage MPG7440</v>
      </c>
      <c r="E1205" s="8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6" t="s">
        <v>2343</v>
      </c>
      <c r="B1206" s="7" t="s">
        <v>2343</v>
      </c>
      <c r="C1206" s="8" t="s">
        <v>2344</v>
      </c>
      <c r="D1206" s="9" t="str">
        <f>IFERROR(__xludf.DUMMYFUNCTION("GOOGLETRANSLATE(A1206,""ru"",""en"")"),"Cookware Brush Small")</f>
        <v>Cookware Brush Small</v>
      </c>
      <c r="E1206" s="8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6" t="s">
        <v>2345</v>
      </c>
      <c r="B1207" s="7" t="s">
        <v>2345</v>
      </c>
      <c r="C1207" s="8" t="s">
        <v>2346</v>
      </c>
      <c r="D1207" s="9" t="str">
        <f>IFERROR(__xludf.DUMMYFUNCTION("GOOGLETRANSLATE(A1207,""ru"",""en"")"),"Foldable brush and scoop Liviva")</f>
        <v>Foldable brush and scoop Liviva</v>
      </c>
      <c r="E1207" s="8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6" t="s">
        <v>2347</v>
      </c>
      <c r="B1208" s="7" t="s">
        <v>2347</v>
      </c>
      <c r="C1208" s="8" t="s">
        <v>2348</v>
      </c>
      <c r="D1208" s="9" t="str">
        <f>IFERROR(__xludf.DUMMYFUNCTION("GOOGLETRANSLATE(A1208,""ru"",""en"")"),"Spa Cane Spa 350ml D-130mm Depth 60mm 50 pcs")</f>
        <v>Spa Cane Spa 350ml D-130mm Depth 60mm 50 pcs</v>
      </c>
      <c r="E1208" s="8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6" t="s">
        <v>2349</v>
      </c>
      <c r="B1209" s="7" t="s">
        <v>2349</v>
      </c>
      <c r="C1209" s="8" t="s">
        <v>2350</v>
      </c>
      <c r="D1209" s="9" t="str">
        <f>IFERROR(__xludf.DUMMYFUNCTION("GOOGLETRANSLATE(A1209,""ru"",""en"")"),"Lunch box 3-section 230 x 228 x 85 mm from sugarcane 50 pcs")</f>
        <v>Lunch box 3-section 230 x 228 x 85 mm from sugarcane 50 pcs</v>
      </c>
      <c r="E1209" s="8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6" t="s">
        <v>2351</v>
      </c>
      <c r="B1210" s="7" t="s">
        <v>2351</v>
      </c>
      <c r="C1210" s="8" t="s">
        <v>2352</v>
      </c>
      <c r="D1210" s="9" t="str">
        <f>IFERROR(__xludf.DUMMYFUNCTION("GOOGLETRANSLATE(A1210,""ru"",""en"")"),"Bank for soup with cover DOECO 445 ml Eco Soup 16W 75 x 100mm 25 pcs")</f>
        <v>Bank for soup with cover DOECO 445 ml Eco Soup 16W 75 x 100mm 25 pcs</v>
      </c>
      <c r="E1210" s="8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6" t="s">
        <v>2353</v>
      </c>
      <c r="B1211" s="7" t="s">
        <v>2353</v>
      </c>
      <c r="C1211" s="8" t="s">
        <v>2354</v>
      </c>
      <c r="D1211" s="9" t="str">
        <f>IFERROR(__xludf.DUMMYFUNCTION("GOOGLETRANSLATE(A1211,""ru"",""en"")"),"Paper tubes 8 x 195 mm small polka dot red and white 250 pcs")</f>
        <v>Paper tubes 8 x 195 mm small polka dot red and white 250 pcs</v>
      </c>
      <c r="E1211" s="8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6" t="s">
        <v>2355</v>
      </c>
      <c r="B1212" s="7" t="s">
        <v>2355</v>
      </c>
      <c r="C1212" s="8" t="s">
        <v>2356</v>
      </c>
      <c r="D1212" s="9" t="str">
        <f>IFERROR(__xludf.DUMMYFUNCTION("GOOGLETRANSLATE(A1212,""ru"",""en"")"),"Foamed polystyrene container 500 ml 50 pcs")</f>
        <v>Foamed polystyrene container 500 ml 50 pcs</v>
      </c>
      <c r="E1212" s="8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6" t="s">
        <v>2357</v>
      </c>
      <c r="B1213" s="7" t="s">
        <v>2357</v>
      </c>
      <c r="C1213" s="8" t="s">
        <v>2358</v>
      </c>
      <c r="D1213" s="9" t="str">
        <f>IFERROR(__xludf.DUMMYFUNCTION("GOOGLETRANSLATE(A1213,""ru"",""en"")"),"Concentrated rinse for linen frosch Rosehip 750 ml")</f>
        <v>Concentrated rinse for linen frosch Rosehip 750 ml</v>
      </c>
      <c r="E1213" s="8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6" t="s">
        <v>2359</v>
      </c>
      <c r="B1214" s="7" t="s">
        <v>2359</v>
      </c>
      <c r="C1214" s="8" t="s">
        <v>2360</v>
      </c>
      <c r="D1214" s="9" t="str">
        <f>IFERROR(__xludf.DUMMYFUNCTION("GOOGLETRANSLATE(A1214,""ru"",""en"")"),"Hand Soap Foam Soft Tork Cartridge 1 l")</f>
        <v>Hand Soap Foam Soft Tork Cartridge 1 l</v>
      </c>
      <c r="E1214" s="8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6" t="s">
        <v>2361</v>
      </c>
      <c r="B1215" s="7" t="s">
        <v>2361</v>
      </c>
      <c r="C1215" s="8" t="s">
        <v>2362</v>
      </c>
      <c r="D1215" s="9" t="str">
        <f>IFERROR(__xludf.DUMMYFUNCTION("GOOGLETRANSLATE(A1215,""ru"",""en"")"),"Film Food Stretch 8 μm 30 cm")</f>
        <v>Film Food Stretch 8 μm 30 cm</v>
      </c>
      <c r="E1215" s="8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6" t="s">
        <v>1704</v>
      </c>
      <c r="B1216" s="7" t="s">
        <v>1704</v>
      </c>
      <c r="C1216" s="8" t="s">
        <v>1705</v>
      </c>
      <c r="D1216" s="9" t="str">
        <f>IFERROR(__xludf.DUMMYFUNCTION("GOOGLETRANSLATE(A1216,""ru"",""en"")"),"Air freshener LIS RELAX beveled grass 300 ml")</f>
        <v>Air freshener LIS RELAX beveled grass 300 ml</v>
      </c>
      <c r="E1216" s="8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6" t="s">
        <v>2363</v>
      </c>
      <c r="B1217" s="7" t="s">
        <v>2363</v>
      </c>
      <c r="C1217" s="8" t="s">
        <v>2364</v>
      </c>
      <c r="D1217" s="9" t="str">
        <f>IFERROR(__xludf.DUMMYFUNCTION("GOOGLETRANSLATE(A1217,""ru"",""en"")"),"Glass paper for soup 390 ml kraft 50 pcs")</f>
        <v>Glass paper for soup 390 ml kraft 50 pcs</v>
      </c>
      <c r="E1217" s="8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6" t="s">
        <v>2365</v>
      </c>
      <c r="B1218" s="7" t="s">
        <v>2365</v>
      </c>
      <c r="C1218" s="8" t="s">
        <v>2366</v>
      </c>
      <c r="D1218" s="9" t="str">
        <f>IFERROR(__xludf.DUMMYFUNCTION("GOOGLETRANSLATE(A1218,""ru"",""en"")"),"Snow shovel 9 plastic 410 x 460 mm with a cutlets and a V-handle")</f>
        <v>Snow shovel 9 plastic 410 x 460 mm with a cutlets and a V-handle</v>
      </c>
      <c r="E1218" s="8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6" t="s">
        <v>2367</v>
      </c>
      <c r="B1219" s="7" t="s">
        <v>2367</v>
      </c>
      <c r="C1219" s="8" t="s">
        <v>2368</v>
      </c>
      <c r="D1219" s="9" t="str">
        <f>IFERROR(__xludf.DUMMYFUNCTION("GOOGLETRANSLATE(A1219,""ru"",""en"")"),"Liquid soap foaming Merida Bali Plus banana 700 ml")</f>
        <v>Liquid soap foaming Merida Bali Plus banana 700 ml</v>
      </c>
      <c r="E1219" s="8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6" t="s">
        <v>2369</v>
      </c>
      <c r="B1220" s="7" t="s">
        <v>2369</v>
      </c>
      <c r="C1220" s="8" t="s">
        <v>2370</v>
      </c>
      <c r="D1220" s="9" t="str">
        <f>IFERROR(__xludf.DUMMYFUNCTION("GOOGLETRANSLATE(A1220,""ru"",""en"")"),"Snow shovel 3-boor galvanized 480 x 340 mm")</f>
        <v>Snow shovel 3-boor galvanized 480 x 340 mm</v>
      </c>
      <c r="E1220" s="8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6" t="s">
        <v>2371</v>
      </c>
      <c r="B1221" s="7" t="s">
        <v>2371</v>
      </c>
      <c r="C1221" s="8" t="s">
        <v>2372</v>
      </c>
      <c r="D1221" s="9" t="str">
        <f>IFERROR(__xludf.DUMMYFUNCTION("GOOGLETRANSLATE(A1221,""ru"",""en"")"),"Galvanized shovel 1 -go-boat 500 x 375 mm")</f>
        <v>Galvanized shovel 1 -go-boat 500 x 375 mm</v>
      </c>
      <c r="E1221" s="8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6" t="s">
        <v>2373</v>
      </c>
      <c r="B1222" s="7" t="s">
        <v>2373</v>
      </c>
      <c r="C1222" s="8" t="s">
        <v>2374</v>
      </c>
      <c r="D1222" s="9" t="str">
        <f>IFERROR(__xludf.DUMMYFUNCTION("GOOGLETRANSLATE(A1222,""ru"",""en"")"),"Knives corn starch biodegradable beige 18,6 cm 50 pcs")</f>
        <v>Knives corn starch biodegradable beige 18,6 cm 50 pcs</v>
      </c>
      <c r="E1222" s="8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6" t="s">
        <v>2375</v>
      </c>
      <c r="B1223" s="7" t="s">
        <v>2375</v>
      </c>
      <c r="C1223" s="8" t="s">
        <v>2376</v>
      </c>
      <c r="D1223" s="9" t="str">
        <f>IFERROR(__xludf.DUMMYFUNCTION("GOOGLETRANSLATE(A1223,""ru"",""en"")"),"Paper tubes 6 x 197 mm Kraft 100 pcs")</f>
        <v>Paper tubes 6 x 197 mm Kraft 100 pcs</v>
      </c>
      <c r="E1223" s="8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6" t="s">
        <v>2377</v>
      </c>
      <c r="B1224" s="7" t="s">
        <v>2377</v>
      </c>
      <c r="C1224" s="8" t="s">
        <v>2378</v>
      </c>
      <c r="D1224" s="9" t="str">
        <f>IFERROR(__xludf.DUMMYFUNCTION("GOOGLETRANSLATE(A1224,""ru"",""en"")"),"Paper tubes 6 x 197 mm black 100 pieces")</f>
        <v>Paper tubes 6 x 197 mm black 100 pieces</v>
      </c>
      <c r="E1224" s="8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6" t="s">
        <v>2379</v>
      </c>
      <c r="B1225" s="7" t="s">
        <v>2379</v>
      </c>
      <c r="C1225" s="8" t="s">
        <v>2380</v>
      </c>
      <c r="D1225" s="9" t="str">
        <f>IFERROR(__xludf.DUMMYFUNCTION("GOOGLETRANSLATE(A1225,""ru"",""en"")"),"Paper tubes 6 x 197 mm Stars 250 pcs")</f>
        <v>Paper tubes 6 x 197 mm Stars 250 pcs</v>
      </c>
      <c r="E1225" s="8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6" t="s">
        <v>2381</v>
      </c>
      <c r="B1226" s="7" t="s">
        <v>2381</v>
      </c>
      <c r="C1226" s="8" t="s">
        <v>2382</v>
      </c>
      <c r="D1226" s="9" t="str">
        <f>IFERROR(__xludf.DUMMYFUNCTION("GOOGLETRANSLATE(A1226,""ru"",""en"")"),"Paper tubes 6 x 197 mm blue zigzag 250 pcs")</f>
        <v>Paper tubes 6 x 197 mm blue zigzag 250 pcs</v>
      </c>
      <c r="E1226" s="8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6" t="s">
        <v>2383</v>
      </c>
      <c r="B1227" s="7" t="s">
        <v>2383</v>
      </c>
      <c r="C1227" s="8" t="s">
        <v>2384</v>
      </c>
      <c r="D1227" s="9" t="str">
        <f>IFERROR(__xludf.DUMMYFUNCTION("GOOGLETRANSLATE(A1227,""ru"",""en"")"),"Paper tubes 8 x 240 mm Golden strips 250 pcs")</f>
        <v>Paper tubes 8 x 240 mm Golden strips 250 pcs</v>
      </c>
      <c r="E1227" s="8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6" t="s">
        <v>2385</v>
      </c>
      <c r="B1228" s="7" t="s">
        <v>2385</v>
      </c>
      <c r="C1228" s="8" t="s">
        <v>2386</v>
      </c>
      <c r="D1228" s="9" t="str">
        <f>IFERROR(__xludf.DUMMYFUNCTION("GOOGLETRANSLATE(A1228,""ru"",""en"")"),"Paper tubes 8 x 240 mm black 250 pcs")</f>
        <v>Paper tubes 8 x 240 mm black 250 pcs</v>
      </c>
      <c r="E1228" s="8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6" t="s">
        <v>2387</v>
      </c>
      <c r="B1229" s="7" t="s">
        <v>2387</v>
      </c>
      <c r="C1229" s="8" t="s">
        <v>2388</v>
      </c>
      <c r="D1229" s="9" t="str">
        <f>IFERROR(__xludf.DUMMYFUNCTION("GOOGLETRANSLATE(A1229,""ru"",""en"")"),"Cover for hot drinks 80 mm with valve-plug transparent 100 pcs")</f>
        <v>Cover for hot drinks 80 mm with valve-plug transparent 100 pcs</v>
      </c>
      <c r="E1229" s="8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6" t="s">
        <v>2389</v>
      </c>
      <c r="B1230" s="7" t="s">
        <v>2389</v>
      </c>
      <c r="C1230" s="8" t="s">
        <v>2390</v>
      </c>
      <c r="D1230" s="9" t="str">
        <f>IFERROR(__xludf.DUMMYFUNCTION("GOOGLETRANSLATE(A1230,""ru"",""en"")"),"Lid for hot drinks 80 mm with valve-plug black 50 pcs")</f>
        <v>Lid for hot drinks 80 mm with valve-plug black 50 pcs</v>
      </c>
      <c r="E1230" s="8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6" t="s">
        <v>2391</v>
      </c>
      <c r="B1231" s="7" t="s">
        <v>2391</v>
      </c>
      <c r="C1231" s="8" t="s">
        <v>2392</v>
      </c>
      <c r="D1231" s="9" t="str">
        <f>IFERROR(__xludf.DUMMYFUNCTION("GOOGLETRANSLATE(A1231,""ru"",""en"")"),"Glass 250 ml for hot drinks Try Our Cofee 50 pcs")</f>
        <v>Glass 250 ml for hot drinks Try Our Cofee 50 pcs</v>
      </c>
      <c r="E1231" s="8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6" t="s">
        <v>2393</v>
      </c>
      <c r="B1232" s="7" t="s">
        <v>2393</v>
      </c>
      <c r="C1232" s="8" t="s">
        <v>2394</v>
      </c>
      <c r="D1232" s="9" t="str">
        <f>IFERROR(__xludf.DUMMYFUNCTION("GOOGLETRANSLATE(A1232,""ru"",""en"")"),"Glass 400 ml for hot drinks black 50 pcs")</f>
        <v>Glass 400 ml for hot drinks black 50 pcs</v>
      </c>
      <c r="E1232" s="8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6" t="s">
        <v>2395</v>
      </c>
      <c r="B1233" s="7" t="s">
        <v>2395</v>
      </c>
      <c r="C1233" s="8" t="s">
        <v>2396</v>
      </c>
      <c r="D1233" s="9" t="str">
        <f>IFERROR(__xludf.DUMMYFUNCTION("GOOGLETRANSLATE(A1233,""ru"",""en"")"),"Paper container with plastic lid 400 ml Black Edition 50 pcs")</f>
        <v>Paper container with plastic lid 400 ml Black Edition 50 pcs</v>
      </c>
      <c r="E1233" s="8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6" t="s">
        <v>2397</v>
      </c>
      <c r="B1234" s="7" t="s">
        <v>2397</v>
      </c>
      <c r="C1234" s="8" t="s">
        <v>2398</v>
      </c>
      <c r="D1234" s="9" t="str">
        <f>IFERROR(__xludf.DUMMYFUNCTION("GOOGLETRANSLATE(A1234,""ru"",""en"")"),"Bowl for cold and hot Kraft products 330 ml 50 pcs")</f>
        <v>Bowl for cold and hot Kraft products 330 ml 50 pcs</v>
      </c>
      <c r="E1234" s="8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6" t="s">
        <v>2399</v>
      </c>
      <c r="B1235" s="7" t="s">
        <v>2399</v>
      </c>
      <c r="C1235" s="8" t="s">
        <v>2400</v>
      </c>
      <c r="D1235" s="9" t="str">
        <f>IFERROR(__xludf.DUMMYFUNCTION("GOOGLETRANSLATE(A1235,""ru"",""en"")"),"Plastic plates 205 mm 100 pcs")</f>
        <v>Plastic plates 205 mm 100 pcs</v>
      </c>
      <c r="E1235" s="8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6" t="s">
        <v>2401</v>
      </c>
      <c r="B1236" s="7" t="s">
        <v>2401</v>
      </c>
      <c r="C1236" s="8" t="s">
        <v>2402</v>
      </c>
      <c r="D1236" s="9" t="str">
        <f>IFERROR(__xludf.DUMMYFUNCTION("GOOGLETRANSLATE(A1236,""ru"",""en"")"),"Tablecloth polyethylene 120 x 150 cm in assortment 26 microns")</f>
        <v>Tablecloth polyethylene 120 x 150 cm in assortment 26 microns</v>
      </c>
      <c r="E1236" s="8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6" t="s">
        <v>2403</v>
      </c>
      <c r="B1237" s="7" t="s">
        <v>2403</v>
      </c>
      <c r="C1237" s="8" t="s">
        <v>2404</v>
      </c>
      <c r="D1237" s="9" t="str">
        <f>IFERROR(__xludf.DUMMYFUNCTION("GOOGLETRANSLATE(A1237,""ru"",""en"")"),"Lunch box 3-section Sugar Cane 50 pcs")</f>
        <v>Lunch box 3-section Sugar Cane 50 pcs</v>
      </c>
      <c r="E1237" s="8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6" t="s">
        <v>2405</v>
      </c>
      <c r="B1238" s="7" t="s">
        <v>2405</v>
      </c>
      <c r="C1238" s="8" t="s">
        <v>2406</v>
      </c>
      <c r="D1238" s="9" t="str">
        <f>IFERROR(__xludf.DUMMYFUNCTION("GOOGLETRANSLATE(A1238,""ru"",""en"")"),"Knives corn starch biodegradable green 18.6 cm 50 pcs")</f>
        <v>Knives corn starch biodegradable green 18.6 cm 50 pcs</v>
      </c>
      <c r="E1238" s="8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6" t="s">
        <v>2407</v>
      </c>
      <c r="B1239" s="7" t="s">
        <v>2407</v>
      </c>
      <c r="C1239" s="8" t="s">
        <v>2408</v>
      </c>
      <c r="D1239" s="9" t="str">
        <f>IFERROR(__xludf.DUMMYFUNCTION("GOOGLETRANSLATE(A1239,""ru"",""en"")"),"Film Food Stretch 8 μm 45 cm")</f>
        <v>Film Food Stretch 8 μm 45 cm</v>
      </c>
      <c r="E1239" s="8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6" t="s">
        <v>2409</v>
      </c>
      <c r="B1240" s="7" t="s">
        <v>2409</v>
      </c>
      <c r="C1240" s="8" t="s">
        <v>2410</v>
      </c>
      <c r="D1240" s="9" t="str">
        <f>IFERROR(__xludf.DUMMYFUNCTION("GOOGLETRANSLATE(A1240,""ru"",""en"")"),"Dishwashing detergent 500 ml")</f>
        <v>Dishwashing detergent 500 ml</v>
      </c>
      <c r="E1240" s="8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6" t="s">
        <v>2411</v>
      </c>
      <c r="B1241" s="7" t="s">
        <v>2411</v>
      </c>
      <c r="C1241" s="8" t="s">
        <v>2412</v>
      </c>
      <c r="D1241" s="9" t="str">
        <f>IFERROR(__xludf.DUMMYFUNCTION("GOOGLETRANSLATE(A1241,""ru"",""en"")"),"Cream soap dew spring bouquet violet and milk 5 l")</f>
        <v>Cream soap dew spring bouquet violet and milk 5 l</v>
      </c>
      <c r="E1241" s="8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6" t="s">
        <v>2413</v>
      </c>
      <c r="B1242" s="7" t="s">
        <v>2413</v>
      </c>
      <c r="C1242" s="8" t="s">
        <v>2414</v>
      </c>
      <c r="D1242" s="9" t="str">
        <f>IFERROR(__xludf.DUMMYFUNCTION("GOOGLETRANSLATE(A1242,""ru"",""en"")"),"Toilet soap Children's 90 g")</f>
        <v>Toilet soap Children's 90 g</v>
      </c>
      <c r="E1242" s="8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6" t="s">
        <v>2415</v>
      </c>
      <c r="B1243" s="7" t="s">
        <v>2415</v>
      </c>
      <c r="C1243" s="8" t="s">
        <v>2416</v>
      </c>
      <c r="D1243" s="9" t="str">
        <f>IFERROR(__xludf.DUMMYFUNCTION("GOOGLETRANSLATE(A1243,""ru"",""en"")"),"Liquid soap AJM ECONOM 500 ml")</f>
        <v>Liquid soap AJM ECONOM 500 ml</v>
      </c>
      <c r="E1243" s="8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6" t="s">
        <v>2417</v>
      </c>
      <c r="B1244" s="7" t="s">
        <v>2417</v>
      </c>
      <c r="C1244" s="8" t="s">
        <v>2418</v>
      </c>
      <c r="D1244" s="9" t="str">
        <f>IFERROR(__xludf.DUMMYFUNCTION("GOOGLETRANSLATE(A1244,""ru"",""en"")"),"Microfiber Napkin 29x29 cm Blue LM200E2")</f>
        <v>Microfiber Napkin 29x29 cm Blue LM200E2</v>
      </c>
      <c r="E1244" s="8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6" t="s">
        <v>2419</v>
      </c>
      <c r="B1245" s="7" t="s">
        <v>2419</v>
      </c>
      <c r="C1245" s="8" t="s">
        <v>2420</v>
      </c>
      <c r="D1245" s="9" t="str">
        <f>IFERROR(__xludf.DUMMYFUNCTION("GOOGLETRANSLATE(A1245,""ru"",""en"")"),"Viscose napkins in roll 25 x 25 cm 50 pcs")</f>
        <v>Viscose napkins in roll 25 x 25 cm 50 pcs</v>
      </c>
      <c r="E1245" s="8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6" t="s">
        <v>2421</v>
      </c>
      <c r="B1246" s="7" t="s">
        <v>2421</v>
      </c>
      <c r="C1246" s="8" t="s">
        <v>2422</v>
      </c>
      <c r="D1246" s="9" t="str">
        <f>IFERROR(__xludf.DUMMYFUNCTION("GOOGLETRANSLATE(A1246,""ru"",""en"")"),"Maxi-4 detergent")</f>
        <v>Maxi-4 detergent</v>
      </c>
      <c r="E1246" s="8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6" t="s">
        <v>2423</v>
      </c>
      <c r="B1247" s="7" t="s">
        <v>2423</v>
      </c>
      <c r="C1247" s="8" t="s">
        <v>2424</v>
      </c>
      <c r="D1247" s="9" t="str">
        <f>IFERROR(__xludf.DUMMYFUNCTION("GOOGLETRANSLATE(A1247,""ru"",""en"")"),"Handle 140 x 22 in Assortment Blue")</f>
        <v>Handle 140 x 22 in Assortment Blue</v>
      </c>
      <c r="E1247" s="8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6" t="s">
        <v>2425</v>
      </c>
      <c r="B1248" s="7" t="s">
        <v>2425</v>
      </c>
      <c r="C1248" s="8" t="s">
        <v>2426</v>
      </c>
      <c r="D1248" s="9" t="str">
        <f>IFERROR(__xludf.DUMMYFUNCTION("GOOGLETRANSLATE(A1248,""ru"",""en"")"),"Metal cutting 21 x 1200 mm Plastic with thread")</f>
        <v>Metal cutting 21 x 1200 mm Plastic with thread</v>
      </c>
      <c r="E1248" s="8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6" t="s">
        <v>2001</v>
      </c>
      <c r="B1249" s="7" t="s">
        <v>2001</v>
      </c>
      <c r="C1249" s="8" t="s">
        <v>2002</v>
      </c>
      <c r="D1249" s="9" t="str">
        <f>IFERROR(__xludf.DUMMYFUNCTION("GOOGLETRANSLATE(A1249,""ru"",""en"")"),"Domestos Cleaner Lemon Freshness 1 l")</f>
        <v>Domestos Cleaner Lemon Freshness 1 l</v>
      </c>
      <c r="E1249" s="8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6" t="s">
        <v>2427</v>
      </c>
      <c r="B1250" s="7" t="s">
        <v>2427</v>
      </c>
      <c r="C1250" s="8" t="s">
        <v>2428</v>
      </c>
      <c r="D1250" s="9" t="str">
        <f>IFERROR(__xludf.DUMMYFUNCTION("GOOGLETRANSLATE(A1250,""ru"",""en"")"),"Paper Towels Meakshko V-addition Single-layer 23x23 cm 25 g / m cellulose")</f>
        <v>Paper Towels Meakshko V-addition Single-layer 23x23 cm 25 g / m cellulose</v>
      </c>
      <c r="E1250" s="8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6" t="s">
        <v>2429</v>
      </c>
      <c r="B1251" s="7" t="s">
        <v>2429</v>
      </c>
      <c r="C1251" s="8" t="s">
        <v>2430</v>
      </c>
      <c r="D1251" s="9" t="str">
        <f>IFERROR(__xludf.DUMMYFUNCTION("GOOGLETRANSLATE(A1251,""ru"",""en"")"),"Cleaning Means for Kitchen Sanitar 1 Minute 500 ml")</f>
        <v>Cleaning Means for Kitchen Sanitar 1 Minute 500 ml</v>
      </c>
      <c r="E1251" s="8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6" t="s">
        <v>2431</v>
      </c>
      <c r="B1252" s="7" t="s">
        <v>2431</v>
      </c>
      <c r="C1252" s="8" t="s">
        <v>2432</v>
      </c>
      <c r="D1252" s="9" t="str">
        <f>IFERROR(__xludf.DUMMYFUNCTION("GOOGLETRANSLATE(A1252,""ru"",""en"")"),"Megalusux cleansing agent 5 l")</f>
        <v>Megalusux cleansing agent 5 l</v>
      </c>
      <c r="E1252" s="8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6" t="s">
        <v>2433</v>
      </c>
      <c r="B1253" s="7" t="s">
        <v>2433</v>
      </c>
      <c r="C1253" s="8" t="s">
        <v>2434</v>
      </c>
      <c r="D1253" s="9" t="str">
        <f>IFERROR(__xludf.DUMMYFUNCTION("GOOGLETRANSLATE(A1253,""ru"",""en"")"),"Slopad Snowplow Plastic LSP-4")</f>
        <v>Slopad Snowplow Plastic LSP-4</v>
      </c>
      <c r="E1253" s="8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6" t="s">
        <v>2435</v>
      </c>
      <c r="B1254" s="7" t="s">
        <v>2435</v>
      </c>
      <c r="C1254" s="8" t="s">
        <v>2436</v>
      </c>
      <c r="D1254" s="9" t="str">
        <f>IFERROR(__xludf.DUMMYFUNCTION("GOOGLETRANSLATE(A1254,""ru"",""en"")"),"Container universal FoodTogo with window 1400 ml 250 x 150 x 40 mm 150 pcs")</f>
        <v>Container universal FoodTogo with window 1400 ml 250 x 150 x 40 mm 150 pcs</v>
      </c>
      <c r="E1254" s="8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6" t="s">
        <v>2437</v>
      </c>
      <c r="B1255" s="7" t="s">
        <v>2437</v>
      </c>
      <c r="C1255" s="8" t="s">
        <v>2438</v>
      </c>
      <c r="D1255" s="9" t="str">
        <f>IFERROR(__xludf.DUMMYFUNCTION("GOOGLETRANSLATE(A1255,""ru"",""en"")"),"Paper plate rectangular 220 x 140 x 20 mm 50 pcs")</f>
        <v>Paper plate rectangular 220 x 140 x 20 mm 50 pcs</v>
      </c>
      <c r="E1255" s="8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6" t="s">
        <v>2439</v>
      </c>
      <c r="B1256" s="7" t="s">
        <v>2439</v>
      </c>
      <c r="C1256" s="8" t="s">
        <v>2440</v>
      </c>
      <c r="D1256" s="9" t="str">
        <f>IFERROR(__xludf.DUMMYFUNCTION("GOOGLETRANSLATE(A1256,""ru"",""en"")"),"Container universal Foodtogo with window 300 ml 100 x 80 x 35 mm 100 pcs")</f>
        <v>Container universal Foodtogo with window 300 ml 100 x 80 x 35 mm 100 pcs</v>
      </c>
      <c r="E1256" s="8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6" t="s">
        <v>2441</v>
      </c>
      <c r="B1257" s="7" t="s">
        <v>2441</v>
      </c>
      <c r="C1257" s="8" t="s">
        <v>2442</v>
      </c>
      <c r="D1257" s="9" t="str">
        <f>IFERROR(__xludf.DUMMYFUNCTION("GOOGLETRANSLATE(A1257,""ru"",""en"")"),"Container universal FoodTogo with window 1000 ml 200 x 120 x 40 mm 50 pcs")</f>
        <v>Container universal FoodTogo with window 1000 ml 200 x 120 x 40 mm 50 pcs</v>
      </c>
      <c r="E1257" s="8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6" t="s">
        <v>2443</v>
      </c>
      <c r="B1258" s="7" t="s">
        <v>2443</v>
      </c>
      <c r="C1258" s="8" t="s">
        <v>2444</v>
      </c>
      <c r="D1258" s="9" t="str">
        <f>IFERROR(__xludf.DUMMYFUNCTION("GOOGLETRANSLATE(A1258,""ru"",""en"")"),"Container universal FoodTogo with window 1200 ml 150 x 100 x 70 mm 50 pcs")</f>
        <v>Container universal FoodTogo with window 1200 ml 150 x 100 x 70 mm 50 pcs</v>
      </c>
      <c r="E1258" s="8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6" t="s">
        <v>2445</v>
      </c>
      <c r="B1259" s="7" t="s">
        <v>2445</v>
      </c>
      <c r="C1259" s="8" t="s">
        <v>2446</v>
      </c>
      <c r="D1259" s="9" t="str">
        <f>IFERROR(__xludf.DUMMYFUNCTION("GOOGLETRANSLATE(A1259,""ru"",""en"")"),"Container universal FoodTogo with window 1500 ml 200 x 200 x 40 mm 100 pcs")</f>
        <v>Container universal FoodTogo with window 1500 ml 200 x 200 x 40 mm 100 pcs</v>
      </c>
      <c r="E1259" s="8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6" t="s">
        <v>2447</v>
      </c>
      <c r="B1260" s="7" t="s">
        <v>2447</v>
      </c>
      <c r="C1260" s="8" t="s">
        <v>2448</v>
      </c>
      <c r="D1260" s="9" t="str">
        <f>IFERROR(__xludf.DUMMYFUNCTION("GOOGLETRANSLATE(A1260,""ru"",""en"")"),"Paper plate Round kraft 180 mm 100 pcs")</f>
        <v>Paper plate Round kraft 180 mm 100 pcs</v>
      </c>
      <c r="E1260" s="8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6" t="s">
        <v>2449</v>
      </c>
      <c r="B1261" s="7" t="s">
        <v>2449</v>
      </c>
      <c r="C1261" s="8" t="s">
        <v>2450</v>
      </c>
      <c r="D1261" s="9" t="str">
        <f>IFERROR(__xludf.DUMMYFUNCTION("GOOGLETRANSLATE(A1261,""ru"",""en"")"),"Container universal FoodTogo with window 1000 ml Retractable 200 x 120 x 40 mm 150 pcs")</f>
        <v>Container universal FoodTogo with window 1000 ml Retractable 200 x 120 x 40 mm 150 pcs</v>
      </c>
      <c r="E1261" s="8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6" t="s">
        <v>2451</v>
      </c>
      <c r="B1262" s="7" t="s">
        <v>2451</v>
      </c>
      <c r="C1262" s="8" t="s">
        <v>2452</v>
      </c>
      <c r="D1262" s="9" t="str">
        <f>IFERROR(__xludf.DUMMYFUNCTION("GOOGLETRANSLATE(A1262,""ru"",""en"")"),"Salad coat with lid 450 ml Kraft / white 145 x 98 x 45 mm 50 pcs")</f>
        <v>Salad coat with lid 450 ml Kraft / white 145 x 98 x 45 mm 50 pcs</v>
      </c>
      <c r="E1262" s="8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6" t="s">
        <v>2453</v>
      </c>
      <c r="B1263" s="7" t="s">
        <v>2453</v>
      </c>
      <c r="C1263" s="8" t="s">
        <v>2454</v>
      </c>
      <c r="D1263" s="9" t="str">
        <f>IFERROR(__xludf.DUMMYFUNCTION("GOOGLETRANSLATE(A1263,""ru"",""en"")"),"Salad coat with lid 450 ml Kraft / black 145 x 98 x 45 mm 50 pcs")</f>
        <v>Salad coat with lid 450 ml Kraft / black 145 x 98 x 45 mm 50 pcs</v>
      </c>
      <c r="E1263" s="8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6" t="s">
        <v>2455</v>
      </c>
      <c r="B1264" s="7" t="s">
        <v>2455</v>
      </c>
      <c r="C1264" s="8" t="s">
        <v>2456</v>
      </c>
      <c r="D1264" s="9" t="str">
        <f>IFERROR(__xludf.DUMMYFUNCTION("GOOGLETRANSLATE(A1264,""ru"",""en"")"),"Salad Cover with lid 850 ml Kraft / white 170 x 135 x 48 mm 50 pcs")</f>
        <v>Salad Cover with lid 850 ml Kraft / white 170 x 135 x 48 mm 50 pcs</v>
      </c>
      <c r="E1264" s="8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6" t="s">
        <v>2457</v>
      </c>
      <c r="B1265" s="7" t="s">
        <v>2457</v>
      </c>
      <c r="C1265" s="8" t="s">
        <v>2458</v>
      </c>
      <c r="D1265" s="9" t="str">
        <f>IFERROR(__xludf.DUMMYFUNCTION("GOOGLETRANSLATE(A1265,""ru"",""en"")"),"Salad coat with lid 850 ml Kraft / black 170 x 135 x 48 mm 50 pcs")</f>
        <v>Salad coat with lid 850 ml Kraft / black 170 x 135 x 48 mm 50 pcs</v>
      </c>
      <c r="E1265" s="8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6" t="s">
        <v>2459</v>
      </c>
      <c r="B1266" s="7" t="s">
        <v>2459</v>
      </c>
      <c r="C1266" s="8" t="s">
        <v>2460</v>
      </c>
      <c r="D1266" s="9" t="str">
        <f>IFERROR(__xludf.DUMMYFUNCTION("GOOGLETRANSLATE(A1266,""ru"",""en"")"),"Openwork Napkin Round Hill 26 cm 250 pcs")</f>
        <v>Openwork Napkin Round Hill 26 cm 250 pcs</v>
      </c>
      <c r="E1266" s="8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6" t="s">
        <v>2461</v>
      </c>
      <c r="B1267" s="7" t="s">
        <v>2461</v>
      </c>
      <c r="C1267" s="8" t="s">
        <v>2462</v>
      </c>
      <c r="D1267" s="9" t="str">
        <f>IFERROR(__xludf.DUMMYFUNCTION("GOOGLETRANSLATE(A1267,""ru"",""en"")"),"TDM PVC isol 0.13 x 15 mm Black 20 m")</f>
        <v>TDM PVC isol 0.13 x 15 mm Black 20 m</v>
      </c>
      <c r="E1267" s="8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6" t="s">
        <v>2463</v>
      </c>
      <c r="B1268" s="7" t="s">
        <v>2463</v>
      </c>
      <c r="C1268" s="8" t="s">
        <v>2464</v>
      </c>
      <c r="D1268" s="9" t="str">
        <f>IFERROR(__xludf.DUMMYFUNCTION("GOOGLETRANSLATE(A1268,""ru"",""en"")"),"CAP 2-28 White Cap")</f>
        <v>CAP 2-28 White Cap</v>
      </c>
      <c r="E1268" s="8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6" t="s">
        <v>2465</v>
      </c>
      <c r="B1269" s="7" t="s">
        <v>2465</v>
      </c>
      <c r="C1269" s="8" t="s">
        <v>2466</v>
      </c>
      <c r="D1269" s="9" t="str">
        <f>IFERROR(__xludf.DUMMYFUNCTION("GOOGLETRANSLATE(A1269,""ru"",""en"")"),"Dispense wipes Focus Optium 250 l")</f>
        <v>Dispense wipes Focus Optium 250 l</v>
      </c>
      <c r="E1269" s="8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6" t="s">
        <v>2467</v>
      </c>
      <c r="B1270" s="7" t="s">
        <v>2467</v>
      </c>
      <c r="C1270" s="8" t="s">
        <v>2468</v>
      </c>
      <c r="D1270" s="9" t="str">
        <f>IFERROR(__xludf.DUMMYFUNCTION("GOOGLETRANSLATE(A1270,""ru"",""en"")"),"Dispenser for liquid soap SOLINNE 1628 380 ml")</f>
        <v>Dispenser for liquid soap SOLINNE 1628 380 ml</v>
      </c>
      <c r="E1270" s="8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6" t="s">
        <v>2469</v>
      </c>
      <c r="B1271" s="7" t="s">
        <v>2469</v>
      </c>
      <c r="C1271" s="8" t="s">
        <v>2470</v>
      </c>
      <c r="D1271" s="9" t="str">
        <f>IFERROR(__xludf.DUMMYFUNCTION("GOOGLETRANSLATE(A1271,""ru"",""en"")"),"Air Conditioning for Linen Vernel Peony and White Tea 910 ml")</f>
        <v>Air Conditioning for Linen Vernel Peony and White Tea 910 ml</v>
      </c>
      <c r="E1271" s="8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6" t="s">
        <v>2471</v>
      </c>
      <c r="B1272" s="7" t="s">
        <v>2471</v>
      </c>
      <c r="C1272" s="8" t="s">
        <v>2472</v>
      </c>
      <c r="D1272" s="9" t="str">
        <f>IFERROR(__xludf.DUMMYFUNCTION("GOOGLETRANSLATE(A1272,""ru"",""en"")"),"Tool for washing dishes Fairy Gentle hands Chamomile and vitamin E 450 ml")</f>
        <v>Tool for washing dishes Fairy Gentle hands Chamomile and vitamin E 450 ml</v>
      </c>
      <c r="E1272" s="8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6" t="s">
        <v>2473</v>
      </c>
      <c r="B1273" s="7" t="s">
        <v>2473</v>
      </c>
      <c r="C1273" s="8" t="s">
        <v>2474</v>
      </c>
      <c r="D1273" s="9" t="str">
        <f>IFERROR(__xludf.DUMMYFUNCTION("GOOGLETRANSLATE(A1273,""ru"",""en"")"),"MOS nmz-8240 40 cm pocket")</f>
        <v>MOS nmz-8240 40 cm pocket</v>
      </c>
      <c r="E1273" s="8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6" t="s">
        <v>2475</v>
      </c>
      <c r="B1274" s="7" t="s">
        <v>2475</v>
      </c>
      <c r="C1274" s="8" t="s">
        <v>2476</v>
      </c>
      <c r="D1274" s="9" t="str">
        <f>IFERROR(__xludf.DUMMYFUNCTION("GOOGLETRANSLATE(A1274,""ru"",""en"")"),"Sugar Cane 52 x 17 mm plate 50 pcs")</f>
        <v>Sugar Cane 52 x 17 mm plate 50 pcs</v>
      </c>
      <c r="E1274" s="8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6" t="s">
        <v>2477</v>
      </c>
      <c r="B1275" s="7" t="s">
        <v>2477</v>
      </c>
      <c r="C1275" s="8" t="s">
        <v>2478</v>
      </c>
      <c r="D1275" s="9" t="str">
        <f>IFERROR(__xludf.DUMMYFUNCTION("GOOGLETRANSLATE(A1275,""ru"",""en"")"),"Glass 500 ml for hot drinks white 50 pcs")</f>
        <v>Glass 500 ml for hot drinks white 50 pcs</v>
      </c>
      <c r="E1275" s="8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6" t="s">
        <v>2479</v>
      </c>
      <c r="B1276" s="7" t="s">
        <v>2479</v>
      </c>
      <c r="C1276" s="8" t="s">
        <v>2480</v>
      </c>
      <c r="D1276" s="9" t="str">
        <f>IFERROR(__xludf.DUMMYFUNCTION("GOOGLETRANSLATE(A1276,""ru"",""en"")"),"BELLE bleach oxygen-containing 500 g")</f>
        <v>BELLE bleach oxygen-containing 500 g</v>
      </c>
      <c r="E1276" s="8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6" t="s">
        <v>2481</v>
      </c>
      <c r="B1277" s="7" t="s">
        <v>2481</v>
      </c>
      <c r="C1277" s="8" t="s">
        <v>2482</v>
      </c>
      <c r="D1277" s="9" t="str">
        <f>IFERROR(__xludf.DUMMYFUNCTION("GOOGLETRANSLATE(A1277,""ru"",""en"")"),"Burzova broom")</f>
        <v>Burzova broom</v>
      </c>
      <c r="E1277" s="8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6" t="s">
        <v>2483</v>
      </c>
      <c r="B1278" s="7" t="s">
        <v>2483</v>
      </c>
      <c r="C1278" s="8" t="s">
        <v>2484</v>
      </c>
      <c r="D1278" s="9" t="str">
        <f>IFERROR(__xludf.DUMMYFUNCTION("GOOGLETRANSLATE(A1278,""ru"",""en"")"),"Motorus cleansing agent 10 l")</f>
        <v>Motorus cleansing agent 10 l</v>
      </c>
      <c r="E1278" s="8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6" t="s">
        <v>2485</v>
      </c>
      <c r="B1279" s="7" t="s">
        <v>2485</v>
      </c>
      <c r="C1279" s="8" t="s">
        <v>2486</v>
      </c>
      <c r="D1279" s="9" t="str">
        <f>IFERROR(__xludf.DUMMYFUNCTION("GOOGLETRANSLATE(A1279,""ru"",""en"")"),"Mopes 40 cm Universal NPK195 Pocket and Ears")</f>
        <v>Mopes 40 cm Universal NPK195 Pocket and Ears</v>
      </c>
      <c r="E1279" s="8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6" t="s">
        <v>2487</v>
      </c>
      <c r="B1280" s="7" t="s">
        <v>2487</v>
      </c>
      <c r="C1280" s="8" t="s">
        <v>2488</v>
      </c>
      <c r="D1280" s="9" t="str">
        <f>IFERROR(__xludf.DUMMYFUNCTION("GOOGLETRANSLATE(A1280,""ru"",""en"")"),"Synthetic broom Ecotec 100 cm bristle 7 cm")</f>
        <v>Synthetic broom Ecotec 100 cm bristle 7 cm</v>
      </c>
      <c r="E1280" s="8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6" t="s">
        <v>2489</v>
      </c>
      <c r="B1281" s="7" t="s">
        <v>2489</v>
      </c>
      <c r="C1281" s="8" t="s">
        <v>2490</v>
      </c>
      <c r="D1281" s="9" t="str">
        <f>IFERROR(__xludf.DUMMYFUNCTION("GOOGLETRANSLATE(A1281,""ru"",""en"")"),"Replaceable Block for Air Freshener Glade Automatic Ocean Oasis 269 ml")</f>
        <v>Replaceable Block for Air Freshener Glade Automatic Ocean Oasis 269 ml</v>
      </c>
      <c r="E1281" s="8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6" t="s">
        <v>2491</v>
      </c>
      <c r="B1282" s="7" t="s">
        <v>2491</v>
      </c>
      <c r="C1282" s="8" t="s">
        <v>2492</v>
      </c>
      <c r="D1282" s="9" t="str">
        <f>IFERROR(__xludf.DUMMYFUNCTION("GOOGLETRANSLATE(A1282,""ru"",""en"")"),"Paper Soup container with plastic lid 480 ml 50 pcs")</f>
        <v>Paper Soup container with plastic lid 480 ml 50 pcs</v>
      </c>
      <c r="E1282" s="8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6" t="s">
        <v>2493</v>
      </c>
      <c r="B1283" s="7" t="s">
        <v>2493</v>
      </c>
      <c r="C1283" s="8" t="s">
        <v>2494</v>
      </c>
      <c r="D1283" s="9" t="str">
        <f>IFERROR(__xludf.DUMMYFUNCTION("GOOGLETRANSLATE(A1283,""ru"",""en"")"),"Paper tubes 8 x 240 mm black 150 pcs")</f>
        <v>Paper tubes 8 x 240 mm black 150 pcs</v>
      </c>
      <c r="E1283" s="8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6" t="s">
        <v>2495</v>
      </c>
      <c r="B1284" s="7" t="s">
        <v>2495</v>
      </c>
      <c r="C1284" s="8" t="s">
        <v>2496</v>
      </c>
      <c r="D1284" s="9" t="str">
        <f>IFERROR(__xludf.DUMMYFUNCTION("GOOGLETRANSLATE(A1284,""ru"",""en"")"),"Washing Powder Viksan-Universal Automatic 500 g")</f>
        <v>Washing Powder Viksan-Universal Automatic 500 g</v>
      </c>
      <c r="E1284" s="8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6" t="s">
        <v>2497</v>
      </c>
      <c r="B1285" s="7" t="s">
        <v>2497</v>
      </c>
      <c r="C1285" s="8" t="s">
        <v>2498</v>
      </c>
      <c r="D1285" s="9" t="str">
        <f>IFERROR(__xludf.DUMMYFUNCTION("GOOGLETRANSLATE(A1285,""ru"",""en"")"),"Granular means for removing blocks Unicum Tornado 600 g")</f>
        <v>Granular means for removing blocks Unicum Tornado 600 g</v>
      </c>
      <c r="E1285" s="8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6" t="s">
        <v>2499</v>
      </c>
      <c r="B1286" s="7" t="s">
        <v>2499</v>
      </c>
      <c r="C1286" s="8" t="s">
        <v>2500</v>
      </c>
      <c r="D1286" s="9" t="str">
        <f>IFERROR(__xludf.DUMMYFUNCTION("GOOGLETRANSLATE(A1286,""ru"",""en"")"),"Greasedeller Unicum Gold 500 ml")</f>
        <v>Greasedeller Unicum Gold 500 ml</v>
      </c>
      <c r="E1286" s="8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6" t="s">
        <v>2501</v>
      </c>
      <c r="B1287" s="7" t="s">
        <v>2501</v>
      </c>
      <c r="C1287" s="8" t="s">
        <v>2502</v>
      </c>
      <c r="D1287" s="9" t="str">
        <f>IFERROR(__xludf.DUMMYFUNCTION("GOOGLETRANSLATE(A1287,""ru"",""en"")"),"Greasedeller Unicum Gold 750 ml")</f>
        <v>Greasedeller Unicum Gold 750 ml</v>
      </c>
      <c r="E1287" s="8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6" t="s">
        <v>2503</v>
      </c>
      <c r="B1288" s="7" t="s">
        <v>2503</v>
      </c>
      <c r="C1288" s="8" t="s">
        <v>2504</v>
      </c>
      <c r="D1288" s="9" t="str">
        <f>IFERROR(__xludf.DUMMYFUNCTION("GOOGLETRANSLATE(A1288,""ru"",""en"")"),"Means for removing mold and fungus Unicum 500 ml")</f>
        <v>Means for removing mold and fungus Unicum 500 ml</v>
      </c>
      <c r="E1288" s="8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6" t="s">
        <v>2505</v>
      </c>
      <c r="B1289" s="7" t="s">
        <v>2505</v>
      </c>
      <c r="C1289" s="8" t="s">
        <v>2506</v>
      </c>
      <c r="D1289" s="9" t="str">
        <f>IFERROR(__xludf.DUMMYFUNCTION("GOOGLETRANSLATE(A1289,""ru"",""en"")"),"Tool for cleaning acrylic baths and shower Cabin Unicum 500 ml")</f>
        <v>Tool for cleaning acrylic baths and shower Cabin Unicum 500 ml</v>
      </c>
      <c r="E1289" s="8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6" t="s">
        <v>2507</v>
      </c>
      <c r="B1290" s="7" t="s">
        <v>2507</v>
      </c>
      <c r="C1290" s="8" t="s">
        <v>2508</v>
      </c>
      <c r="D1290" s="9" t="str">
        <f>IFERROR(__xludf.DUMMYFUNCTION("GOOGLETRANSLATE(A1290,""ru"",""en"")"),"Cleaning Means Unicum 500 ml")</f>
        <v>Cleaning Means Unicum 500 ml</v>
      </c>
      <c r="E1290" s="8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6" t="s">
        <v>2509</v>
      </c>
      <c r="B1291" s="7" t="s">
        <v>2509</v>
      </c>
      <c r="C1291" s="8" t="s">
        <v>2510</v>
      </c>
      <c r="D1291" s="9" t="str">
        <f>IFERROR(__xludf.DUMMYFUNCTION("GOOGLETRANSLATE(A1291,""ru"",""en"")"),"Remedy for rust and lime plated Unicum 500 ml")</f>
        <v>Remedy for rust and lime plated Unicum 500 ml</v>
      </c>
      <c r="E1291" s="8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6" t="s">
        <v>2511</v>
      </c>
      <c r="B1292" s="7" t="s">
        <v>2511</v>
      </c>
      <c r="C1292" s="8" t="s">
        <v>2512</v>
      </c>
      <c r="D1292" s="9" t="str">
        <f>IFERROR(__xludf.DUMMYFUNCTION("GOOGLETRANSLATE(A1292,""ru"",""en"")"),"Automatic Air Wick Air Freshener Flowering Cherry 250 ml")</f>
        <v>Automatic Air Wick Air Freshener Flowering Cherry 250 ml</v>
      </c>
      <c r="E1292" s="8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6" t="s">
        <v>398</v>
      </c>
      <c r="B1293" s="7" t="s">
        <v>398</v>
      </c>
      <c r="C1293" s="8" t="s">
        <v>399</v>
      </c>
      <c r="D1293" s="9" t="str">
        <f>IFERROR(__xludf.DUMMYFUNCTION("GOOGLETRANSLATE(A1293,""ru"",""en"")"),"Automatic air freshener Air Wick Tenderness of silk and lilies 250 ml")</f>
        <v>Automatic air freshener Air Wick Tenderness of silk and lilies 250 ml</v>
      </c>
      <c r="E1293" s="8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6" t="s">
        <v>2513</v>
      </c>
      <c r="B1294" s="7" t="s">
        <v>2513</v>
      </c>
      <c r="C1294" s="8" t="s">
        <v>2514</v>
      </c>
      <c r="D1294" s="9" t="str">
        <f>IFERROR(__xludf.DUMMYFUNCTION("GOOGLETRANSLATE(A1294,""ru"",""en"")"),"Automatic Air Wick Air Freshener Blue Lagoon 250 ml")</f>
        <v>Automatic Air Wick Air Freshener Blue Lagoon 250 ml</v>
      </c>
      <c r="E1294" s="8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6" t="s">
        <v>2515</v>
      </c>
      <c r="B1295" s="7" t="s">
        <v>2515</v>
      </c>
      <c r="C1295" s="8" t="s">
        <v>2516</v>
      </c>
      <c r="D1295" s="9" t="str">
        <f>IFERROR(__xludf.DUMMYFUNCTION("GOOGLETRANSLATE(A1295,""ru"",""en"")"),"Replaceable block for air freshener AIR WICK Anti-bac Orange and Bergamot 250 ml")</f>
        <v>Replaceable block for air freshener AIR WICK Anti-bac Orange and Bergamot 250 ml</v>
      </c>
      <c r="E1295" s="8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6" t="s">
        <v>2517</v>
      </c>
      <c r="B1296" s="7" t="s">
        <v>2517</v>
      </c>
      <c r="C1296" s="8" t="s">
        <v>2518</v>
      </c>
      <c r="D1296" s="9" t="str">
        <f>IFERROR(__xludf.DUMMYFUNCTION("GOOGLETRANSLATE(A1296,""ru"",""en"")"),"Replaceable unit for air freshener Air Wick Air freshness 250 ml")</f>
        <v>Replaceable unit for air freshener Air Wick Air freshness 250 ml</v>
      </c>
      <c r="E1296" s="8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6" t="s">
        <v>2519</v>
      </c>
      <c r="B1297" s="7" t="s">
        <v>2519</v>
      </c>
      <c r="C1297" s="8" t="s">
        <v>2520</v>
      </c>
      <c r="D1297" s="9" t="str">
        <f>IFERROR(__xludf.DUMMYFUNCTION("GOOGLETRANSLATE(A1297,""ru"",""en"")"),"Replaceable block for air freshener Air Wick Blue Lagoon 250 ml")</f>
        <v>Replaceable block for air freshener Air Wick Blue Lagoon 250 ml</v>
      </c>
      <c r="E1297" s="8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6" t="s">
        <v>900</v>
      </c>
      <c r="B1298" s="7" t="s">
        <v>900</v>
      </c>
      <c r="C1298" s="8" t="s">
        <v>901</v>
      </c>
      <c r="D1298" s="9" t="str">
        <f>IFERROR(__xludf.DUMMYFUNCTION("GOOGLETRANSLATE(A1298,""ru"",""en"")"),"Replaceable unit for air freshener Air Wick Wild grenade 250 ml")</f>
        <v>Replaceable unit for air freshener Air Wick Wild grenade 250 ml</v>
      </c>
      <c r="E1298" s="8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6" t="s">
        <v>348</v>
      </c>
      <c r="B1299" s="7" t="s">
        <v>348</v>
      </c>
      <c r="C1299" s="8" t="s">
        <v>349</v>
      </c>
      <c r="D1299" s="9" t="str">
        <f>IFERROR(__xludf.DUMMYFUNCTION("GOOGLETRANSLATE(A1299,""ru"",""en"")"),"Replaceable Block for Air Wick Magnolia Air Freshener and Flowering Cherry 250 ml")</f>
        <v>Replaceable Block for Air Wick Magnolia Air Freshener and Flowering Cherry 250 ml</v>
      </c>
      <c r="E1299" s="8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6" t="s">
        <v>402</v>
      </c>
      <c r="B1300" s="7" t="s">
        <v>402</v>
      </c>
      <c r="C1300" s="8" t="s">
        <v>403</v>
      </c>
      <c r="D1300" s="9" t="str">
        <f>IFERROR(__xludf.DUMMYFUNCTION("GOOGLETRANSLATE(A1300,""ru"",""en"")"),"Replaceable unit for Air Wick air freshener Tenderness of silk and lily 250 ml")</f>
        <v>Replaceable unit for Air Wick air freshener Tenderness of silk and lily 250 ml</v>
      </c>
      <c r="E1300" s="8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6" t="s">
        <v>346</v>
      </c>
      <c r="B1301" s="7" t="s">
        <v>346</v>
      </c>
      <c r="C1301" s="8" t="s">
        <v>347</v>
      </c>
      <c r="D1301" s="9" t="str">
        <f>IFERROR(__xludf.DUMMYFUNCTION("GOOGLETRANSLATE(A1301,""ru"",""en"")"),"Replaceable Block for Air Freshener Air Wick Paradise Flowers 250 ml")</f>
        <v>Replaceable Block for Air Freshener Air Wick Paradise Flowers 250 ml</v>
      </c>
      <c r="E1301" s="8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6" t="s">
        <v>2521</v>
      </c>
      <c r="B1302" s="7" t="s">
        <v>2521</v>
      </c>
      <c r="C1302" s="8" t="s">
        <v>2522</v>
      </c>
      <c r="D1302" s="9" t="str">
        <f>IFERROR(__xludf.DUMMYFUNCTION("GOOGLETRANSLATE(A1302,""ru"",""en"")"),"Replaceable unit for air freshener AIR WICK Paradise Delight 250 ml")</f>
        <v>Replaceable unit for air freshener AIR WICK Paradise Delight 250 ml</v>
      </c>
      <c r="E1302" s="8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6" t="s">
        <v>2523</v>
      </c>
      <c r="B1303" s="7" t="s">
        <v>2523</v>
      </c>
      <c r="C1303" s="8" t="s">
        <v>2524</v>
      </c>
      <c r="D1303" s="9" t="str">
        <f>IFERROR(__xludf.DUMMYFUNCTION("GOOGLETRANSLATE(A1303,""ru"",""en"")"),"Replaceable unit for air freshener Air Wick Freshness of waterfall 250 ml")</f>
        <v>Replaceable unit for air freshener Air Wick Freshness of waterfall 250 ml</v>
      </c>
      <c r="E1303" s="8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6" t="s">
        <v>1170</v>
      </c>
      <c r="B1304" s="7" t="s">
        <v>1170</v>
      </c>
      <c r="C1304" s="8" t="s">
        <v>1171</v>
      </c>
      <c r="D1304" s="9" t="str">
        <f>IFERROR(__xludf.DUMMYFUNCTION("GOOGLETRANSLATE(A1304,""ru"",""en"")"),"Replaceable unit for air freshener AIR WICK Fairy Garden 250 ml")</f>
        <v>Replaceable unit for air freshener AIR WICK Fairy Garden 250 ml</v>
      </c>
      <c r="E1304" s="8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6" t="s">
        <v>2525</v>
      </c>
      <c r="B1305" s="7" t="s">
        <v>2525</v>
      </c>
      <c r="C1305" s="8" t="s">
        <v>2526</v>
      </c>
      <c r="D1305" s="9" t="str">
        <f>IFERROR(__xludf.DUMMYFUNCTION("GOOGLETRANSLATE(A1305,""ru"",""en"")"),"Means Cleaning for the bathroom Cillit Bang Active foam 600 ml")</f>
        <v>Means Cleaning for the bathroom Cillit Bang Active foam 600 ml</v>
      </c>
      <c r="E1305" s="8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6" t="s">
        <v>2527</v>
      </c>
      <c r="B1306" s="7" t="s">
        <v>2527</v>
      </c>
      <c r="C1306" s="8" t="s">
        <v>2528</v>
      </c>
      <c r="D1306" s="9" t="str">
        <f>IFERROR(__xludf.DUMMYFUNCTION("GOOGLETRANSLATE(A1306,""ru"",""en"")"),"Cleaning tool for Rust Removal Cillit 450 ml")</f>
        <v>Cleaning tool for Rust Removal Cillit 450 ml</v>
      </c>
      <c r="E1306" s="8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6" t="s">
        <v>2529</v>
      </c>
      <c r="B1307" s="7" t="s">
        <v>2529</v>
      </c>
      <c r="C1307" s="8" t="s">
        <v>2530</v>
      </c>
      <c r="D1307" s="9" t="str">
        <f>IFERROR(__xludf.DUMMYFUNCTION("GOOGLETRANSLATE(A1307,""ru"",""en"")"),"Air Freshener Rio Antitabach 300 ml")</f>
        <v>Air Freshener Rio Antitabach 300 ml</v>
      </c>
      <c r="E1307" s="8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6" t="s">
        <v>2531</v>
      </c>
      <c r="B1308" s="7" t="s">
        <v>2531</v>
      </c>
      <c r="C1308" s="8" t="s">
        <v>2532</v>
      </c>
      <c r="D1308" s="9" t="str">
        <f>IFERROR(__xludf.DUMMYFUNCTION("GOOGLETRANSLATE(A1308,""ru"",""en"")"),"Air Freshener Rio Waterfall 300 ml")</f>
        <v>Air Freshener Rio Waterfall 300 ml</v>
      </c>
      <c r="E1308" s="8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6" t="s">
        <v>2533</v>
      </c>
      <c r="B1309" s="7" t="s">
        <v>2533</v>
      </c>
      <c r="C1309" s="8" t="s">
        <v>2534</v>
      </c>
      <c r="D1309" s="9" t="str">
        <f>IFERROR(__xludf.DUMMYFUNCTION("GOOGLETRANSLATE(A1309,""ru"",""en"")"),"Air Freshener RIO Mountain Freshness 300 ml")</f>
        <v>Air Freshener RIO Mountain Freshness 300 ml</v>
      </c>
      <c r="E1309" s="8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6" t="s">
        <v>2535</v>
      </c>
      <c r="B1310" s="7" t="s">
        <v>2535</v>
      </c>
      <c r="C1310" s="8" t="s">
        <v>2536</v>
      </c>
      <c r="D1310" s="9" t="str">
        <f>IFERROR(__xludf.DUMMYFUNCTION("GOOGLETRANSLATE(A1310,""ru"",""en"")"),"Air Freshener Rio Green Apple 300 ml")</f>
        <v>Air Freshener Rio Green Apple 300 ml</v>
      </c>
      <c r="E1310" s="8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6" t="s">
        <v>2537</v>
      </c>
      <c r="B1311" s="7" t="s">
        <v>2537</v>
      </c>
      <c r="C1311" s="8" t="s">
        <v>2538</v>
      </c>
      <c r="D1311" s="9" t="str">
        <f>IFERROR(__xludf.DUMMYFUNCTION("GOOGLETRANSLATE(A1311,""ru"",""en"")"),"Air freshener Rio Lemon 300 ml")</f>
        <v>Air freshener Rio Lemon 300 ml</v>
      </c>
      <c r="E1311" s="8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6" t="s">
        <v>2539</v>
      </c>
      <c r="B1312" s="7" t="s">
        <v>2539</v>
      </c>
      <c r="C1312" s="8" t="s">
        <v>2540</v>
      </c>
      <c r="D1312" s="9" t="str">
        <f>IFERROR(__xludf.DUMMYFUNCTION("GOOGLETRANSLATE(A1312,""ru"",""en"")"),"Air Freshener Rio Sea Freshness 300 ml")</f>
        <v>Air Freshener Rio Sea Freshness 300 ml</v>
      </c>
      <c r="E1312" s="8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6" t="s">
        <v>2541</v>
      </c>
      <c r="B1313" s="7" t="s">
        <v>2541</v>
      </c>
      <c r="C1313" s="8" t="s">
        <v>2542</v>
      </c>
      <c r="D1313" s="9" t="str">
        <f>IFERROR(__xludf.DUMMYFUNCTION("GOOGLETRANSLATE(A1313,""ru"",""en"")"),"Air freshener RIO Freshness of dew 300 ml")</f>
        <v>Air freshener RIO Freshness of dew 300 ml</v>
      </c>
      <c r="E1313" s="8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6" t="s">
        <v>2543</v>
      </c>
      <c r="B1314" s="7" t="s">
        <v>2543</v>
      </c>
      <c r="C1314" s="8" t="s">
        <v>2544</v>
      </c>
      <c r="D1314" s="9" t="str">
        <f>IFERROR(__xludf.DUMMYFUNCTION("GOOGLETRANSLATE(A1314,""ru"",""en"")"),"Air freshener RIO coniferous forest 300 ml")</f>
        <v>Air freshener RIO coniferous forest 300 ml</v>
      </c>
      <c r="E1314" s="8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6" t="s">
        <v>2545</v>
      </c>
      <c r="B1315" s="7" t="s">
        <v>2545</v>
      </c>
      <c r="C1315" s="8" t="s">
        <v>2546</v>
      </c>
      <c r="D1315" s="9" t="str">
        <f>IFERROR(__xludf.DUMMYFUNCTION("GOOGLETRANSLATE(A1315,""ru"",""en"")"),"Lenor Linor Conditioner Children's 1 l")</f>
        <v>Lenor Linor Conditioner Children's 1 l</v>
      </c>
      <c r="E1315" s="8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6" t="s">
        <v>2547</v>
      </c>
      <c r="B1316" s="7" t="s">
        <v>2547</v>
      </c>
      <c r="C1316" s="8" t="s">
        <v>2548</v>
      </c>
      <c r="D1316" s="9" t="str">
        <f>IFERROR(__xludf.DUMMYFUNCTION("GOOGLETRANSLATE(A1316,""ru"",""en"")"),"Lenor air conditioner oil Shea Shi 1 l")</f>
        <v>Lenor air conditioner oil Shea Shi 1 l</v>
      </c>
      <c r="E1316" s="8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>
      <c r="A1317" s="6" t="s">
        <v>2549</v>
      </c>
      <c r="B1317" s="7" t="s">
        <v>2549</v>
      </c>
      <c r="C1317" s="8" t="s">
        <v>2550</v>
      </c>
      <c r="D1317" s="9" t="str">
        <f>IFERROR(__xludf.DUMMYFUNCTION("GOOGLETRANSLATE(A1317,""ru"",""en"")"),"Lenor Liner Scandinavian Spring 1 l")</f>
        <v>Lenor Liner Scandinavian Spring 1 l</v>
      </c>
      <c r="E1317" s="8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6" t="s">
        <v>1688</v>
      </c>
      <c r="B1318" s="7" t="s">
        <v>1688</v>
      </c>
      <c r="C1318" s="8" t="s">
        <v>1689</v>
      </c>
      <c r="D1318" s="9" t="str">
        <f>IFERROR(__xludf.DUMMYFUNCTION("GOOGLETRANSLATE(A1318,""ru"",""en"")"),"Tool for washing dishes Fairy orange and lemon 450 ml")</f>
        <v>Tool for washing dishes Fairy orange and lemon 450 ml</v>
      </c>
      <c r="E1318" s="8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6" t="s">
        <v>2551</v>
      </c>
      <c r="B1319" s="7" t="s">
        <v>2551</v>
      </c>
      <c r="C1319" s="8" t="s">
        <v>2552</v>
      </c>
      <c r="D1319" s="9" t="str">
        <f>IFERROR(__xludf.DUMMYFUNCTION("GOOGLETRANSLATE(A1319,""ru"",""en"")"),"Tool for washing dishes Fairy orange and lemon 900 ml")</f>
        <v>Tool for washing dishes Fairy orange and lemon 900 ml</v>
      </c>
      <c r="E1319" s="8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6" t="s">
        <v>1502</v>
      </c>
      <c r="B1320" s="7" t="s">
        <v>1502</v>
      </c>
      <c r="C1320" s="8" t="s">
        <v>1503</v>
      </c>
      <c r="D1320" s="9" t="str">
        <f>IFERROR(__xludf.DUMMYFUNCTION("GOOGLETRANSLATE(A1320,""ru"",""en"")"),"Tool for washing dishes Fairy green apple 450 ml")</f>
        <v>Tool for washing dishes Fairy green apple 450 ml</v>
      </c>
      <c r="E1320" s="8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6" t="s">
        <v>762</v>
      </c>
      <c r="B1321" s="7" t="s">
        <v>762</v>
      </c>
      <c r="C1321" s="8" t="s">
        <v>763</v>
      </c>
      <c r="D1321" s="9" t="str">
        <f>IFERROR(__xludf.DUMMYFUNCTION("GOOGLETRANSLATE(A1321,""ru"",""en"")"),"Tool for washing dishes Fairy Green apple 900 ml")</f>
        <v>Tool for washing dishes Fairy Green apple 900 ml</v>
      </c>
      <c r="E1321" s="8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6" t="s">
        <v>2553</v>
      </c>
      <c r="B1322" s="7" t="s">
        <v>2553</v>
      </c>
      <c r="C1322" s="8" t="s">
        <v>2554</v>
      </c>
      <c r="D1322" s="9" t="str">
        <f>IFERROR(__xludf.DUMMYFUNCTION("GOOGLETRANSLATE(A1322,""ru"",""en"")"),"Tool for washing dishes Fairy Pink Jasmine and Aloe Vera 450 ml")</f>
        <v>Tool for washing dishes Fairy Pink Jasmine and Aloe Vera 450 ml</v>
      </c>
      <c r="E1322" s="8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6" t="s">
        <v>2471</v>
      </c>
      <c r="B1323" s="7" t="s">
        <v>2471</v>
      </c>
      <c r="C1323" s="8" t="s">
        <v>2472</v>
      </c>
      <c r="D1323" s="9" t="str">
        <f>IFERROR(__xludf.DUMMYFUNCTION("GOOGLETRANSLATE(A1323,""ru"",""en"")"),"Tool for washing dishes Fairy Gentle hands Chamomile and vitamin E 450 ml")</f>
        <v>Tool for washing dishes Fairy Gentle hands Chamomile and vitamin E 450 ml</v>
      </c>
      <c r="E1323" s="8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6" t="s">
        <v>720</v>
      </c>
      <c r="B1324" s="7" t="s">
        <v>720</v>
      </c>
      <c r="C1324" s="8" t="s">
        <v>721</v>
      </c>
      <c r="D1324" s="9" t="str">
        <f>IFERROR(__xludf.DUMMYFUNCTION("GOOGLETRANSLATE(A1324,""ru"",""en"")"),"Tools for washing dishes Fairy Gentle hands chamomile and vitamin E 900 ml")</f>
        <v>Tools for washing dishes Fairy Gentle hands chamomile and vitamin E 900 ml</v>
      </c>
      <c r="E1324" s="8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6" t="s">
        <v>394</v>
      </c>
      <c r="B1325" s="7" t="s">
        <v>394</v>
      </c>
      <c r="C1325" s="8" t="s">
        <v>395</v>
      </c>
      <c r="D1325" s="9" t="str">
        <f>IFERROR(__xludf.DUMMYFUNCTION("GOOGLETRANSLATE(A1325,""ru"",""en"")"),"Tool for washing dishes Fairy Gentle hands Tea tree and mint 450 ml")</f>
        <v>Tool for washing dishes Fairy Gentle hands Tea tree and mint 450 ml</v>
      </c>
      <c r="E1325" s="8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6" t="s">
        <v>2555</v>
      </c>
      <c r="B1326" s="7" t="s">
        <v>2555</v>
      </c>
      <c r="C1326" s="8" t="s">
        <v>2556</v>
      </c>
      <c r="D1326" s="9" t="str">
        <f>IFERROR(__xludf.DUMMYFUNCTION("GOOGLETRANSLATE(A1326,""ru"",""en"")"),"Tool for washing dishes Fairy Gentle hands Tea tree and mint 900 ml")</f>
        <v>Tool for washing dishes Fairy Gentle hands Tea tree and mint 900 ml</v>
      </c>
      <c r="E1326" s="8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6" t="s">
        <v>1504</v>
      </c>
      <c r="B1327" s="7" t="s">
        <v>1504</v>
      </c>
      <c r="C1327" s="8" t="s">
        <v>1505</v>
      </c>
      <c r="D1327" s="9" t="str">
        <f>IFERROR(__xludf.DUMMYFUNCTION("GOOGLETRANSLATE(A1327,""ru"",""en"")"),"Tool for washing dishes Fairy Juicy lemon 450 ml")</f>
        <v>Tool for washing dishes Fairy Juicy lemon 450 ml</v>
      </c>
      <c r="E1327" s="8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>
      <c r="A1328" s="6" t="s">
        <v>2557</v>
      </c>
      <c r="B1328" s="7" t="s">
        <v>2557</v>
      </c>
      <c r="C1328" s="8" t="s">
        <v>2558</v>
      </c>
      <c r="D1328" s="9" t="str">
        <f>IFERROR(__xludf.DUMMYFUNCTION("GOOGLETRANSLATE(A1328,""ru"",""en"")"),"Tool for washing dishes Fairy juicy lemon 900 ml")</f>
        <v>Tool for washing dishes Fairy juicy lemon 900 ml</v>
      </c>
      <c r="E1328" s="8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6" t="s">
        <v>2559</v>
      </c>
      <c r="B1329" s="7" t="s">
        <v>2559</v>
      </c>
      <c r="C1329" s="8" t="s">
        <v>2560</v>
      </c>
      <c r="D1329" s="9" t="str">
        <f>IFERROR(__xludf.DUMMYFUNCTION("GOOGLETRANSLATE(A1329,""ru"",""en"")"),"Means cleaner for glass Mr. Muscle Economy with ammonic alcohol 500 ml")</f>
        <v>Means cleaner for glass Mr. Muscle Economy with ammonic alcohol 500 ml</v>
      </c>
      <c r="E1329" s="8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6" t="s">
        <v>2561</v>
      </c>
      <c r="B1330" s="7" t="s">
        <v>2561</v>
      </c>
      <c r="C1330" s="8" t="s">
        <v>2562</v>
      </c>
      <c r="D1330" s="9" t="str">
        <f>IFERROR(__xludf.DUMMYFUNCTION("GOOGLETRANSLATE(A1330,""ru"",""en"")"),"Bos-plus liquid bleach 1.2 l")</f>
        <v>Bos-plus liquid bleach 1.2 l</v>
      </c>
      <c r="E1330" s="8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6" t="s">
        <v>944</v>
      </c>
      <c r="B1331" s="7" t="s">
        <v>944</v>
      </c>
      <c r="C1331" s="8" t="s">
        <v>945</v>
      </c>
      <c r="D1331" s="9" t="str">
        <f>IFERROR(__xludf.DUMMYFUNCTION("GOOGLETRANSLATE(A1331,""ru"",""en"")"),"Bleaching powder BOS PLUS MAX 600 g")</f>
        <v>Bleaching powder BOS PLUS MAX 600 g</v>
      </c>
      <c r="E1331" s="8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6" t="s">
        <v>2563</v>
      </c>
      <c r="B1332" s="7" t="s">
        <v>2563</v>
      </c>
      <c r="C1332" s="8" t="s">
        <v>2564</v>
      </c>
      <c r="D1332" s="9" t="str">
        <f>IFERROR(__xludf.DUMMYFUNCTION("GOOGLETRANSLATE(A1332,""ru"",""en"")"),"Tool cleaning saohl gel 750 ml")</f>
        <v>Tool cleaning saohl gel 750 ml</v>
      </c>
      <c r="E1332" s="8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>
      <c r="A1333" s="6" t="s">
        <v>2565</v>
      </c>
      <c r="B1333" s="7" t="s">
        <v>2565</v>
      </c>
      <c r="C1333" s="8" t="s">
        <v>2566</v>
      </c>
      <c r="D1333" s="9" t="str">
        <f>IFERROR(__xludf.DUMMYFUNCTION("GOOGLETRANSLATE(A1333,""ru"",""en"")"),"Means Cleaning Saloni from Rust 750 ml")</f>
        <v>Means Cleaning Saloni from Rust 750 ml</v>
      </c>
      <c r="E1333" s="8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6" t="s">
        <v>2567</v>
      </c>
      <c r="B1334" s="7" t="s">
        <v>2567</v>
      </c>
      <c r="C1334" s="8" t="s">
        <v>1852</v>
      </c>
      <c r="D1334" s="9" t="str">
        <f>IFERROR(__xludf.DUMMYFUNCTION("GOOGLETRANSLATE(A1334,""ru"",""en"")"),"Means Cleaning Sanoks Ultra 750 ml")</f>
        <v>Means Cleaning Sanoks Ultra 750 ml</v>
      </c>
      <c r="E1334" s="8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6" t="s">
        <v>2568</v>
      </c>
      <c r="B1335" s="7" t="s">
        <v>2568</v>
      </c>
      <c r="C1335" s="8" t="s">
        <v>2569</v>
      </c>
      <c r="D1335" s="9" t="str">
        <f>IFERROR(__xludf.DUMMYFUNCTION("GOOGLETRANSLATE(A1335,""ru"",""en"")"),"Liquid Means for Floor Stork Green Breeze 950 ml")</f>
        <v>Liquid Means for Floor Stork Green Breeze 950 ml</v>
      </c>
      <c r="E1335" s="8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6" t="s">
        <v>2570</v>
      </c>
      <c r="B1336" s="7" t="s">
        <v>2570</v>
      </c>
      <c r="C1336" s="8" t="s">
        <v>2571</v>
      </c>
      <c r="D1336" s="9" t="str">
        <f>IFERROR(__xludf.DUMMYFUNCTION("GOOGLETRANSLATE(A1336,""ru"",""en"")"),"Liquid Means for Floors Stork Petal Roses in White Night 950 ml")</f>
        <v>Liquid Means for Floors Stork Petal Roses in White Night 950 ml</v>
      </c>
      <c r="E1336" s="8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6" t="s">
        <v>2572</v>
      </c>
      <c r="B1337" s="7" t="s">
        <v>2572</v>
      </c>
      <c r="C1337" s="8" t="s">
        <v>2573</v>
      </c>
      <c r="D1337" s="9" t="str">
        <f>IFERROR(__xludf.DUMMYFUNCTION("GOOGLETRANSLATE(A1337,""ru"",""en"")"),"Liquid Means for Floors Stork Lilac Fog 950 ml")</f>
        <v>Liquid Means for Floors Stork Lilac Fog 950 ml</v>
      </c>
      <c r="E1337" s="8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6" t="s">
        <v>2574</v>
      </c>
      <c r="B1338" s="7" t="s">
        <v>2574</v>
      </c>
      <c r="C1338" s="8" t="s">
        <v>2575</v>
      </c>
      <c r="D1338" s="9" t="str">
        <f>IFERROR(__xludf.DUMMYFUNCTION("GOOGLETRANSLATE(A1338,""ru"",""en"")"),"Spray Sanelit Antipleborn 500 ml")</f>
        <v>Spray Sanelit Antipleborn 500 ml</v>
      </c>
      <c r="E1338" s="8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6" t="s">
        <v>2576</v>
      </c>
      <c r="B1339" s="7" t="s">
        <v>2576</v>
      </c>
      <c r="C1339" s="8" t="s">
        <v>2577</v>
      </c>
      <c r="D1339" s="9" t="str">
        <f>IFERROR(__xludf.DUMMYFUNCTION("GOOGLETRANSLATE(A1339,""ru"",""en"")"),"Soda Calcinated Flora 600 g")</f>
        <v>Soda Calcinated Flora 600 g</v>
      </c>
      <c r="E1339" s="8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6" t="s">
        <v>2578</v>
      </c>
      <c r="B1340" s="7" t="s">
        <v>2578</v>
      </c>
      <c r="C1340" s="8" t="s">
        <v>2579</v>
      </c>
      <c r="D1340" s="9" t="str">
        <f>IFERROR(__xludf.DUMMYFUNCTION("GOOGLETRANSLATE(A1340,""ru"",""en"")"),"Cleaning agent for plumbing Sanfor wagon Summer rain 1 l")</f>
        <v>Cleaning agent for plumbing Sanfor wagon Summer rain 1 l</v>
      </c>
      <c r="E1340" s="8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6" t="s">
        <v>2580</v>
      </c>
      <c r="B1341" s="7" t="s">
        <v>2580</v>
      </c>
      <c r="C1341" s="8" t="s">
        <v>2581</v>
      </c>
      <c r="D1341" s="9" t="str">
        <f>IFERROR(__xludf.DUMMYFUNCTION("GOOGLETRANSLATE(A1341,""ru"",""en"")"),"Cleaning agent for plumbing SanFor wagon sea breeze 1 l")</f>
        <v>Cleaning agent for plumbing SanFor wagon sea breeze 1 l</v>
      </c>
      <c r="E1341" s="8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>
      <c r="A1342" s="6" t="s">
        <v>2582</v>
      </c>
      <c r="B1342" s="7" t="s">
        <v>2582</v>
      </c>
      <c r="C1342" s="8" t="s">
        <v>2583</v>
      </c>
      <c r="D1342" s="9" t="str">
        <f>IFERROR(__xludf.DUMMYFUNCTION("GOOGLETRANSLATE(A1342,""ru"",""en"")"),"Bags for garbage Mirpack PVD 60 l 45 μm 20 pcs")</f>
        <v>Bags for garbage Mirpack PVD 60 l 45 μm 20 pcs</v>
      </c>
      <c r="E1342" s="8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6" t="s">
        <v>2584</v>
      </c>
      <c r="B1343" s="7" t="s">
        <v>2584</v>
      </c>
      <c r="C1343" s="8" t="s">
        <v>2585</v>
      </c>
      <c r="D1343" s="9" t="str">
        <f>IFERROR(__xludf.DUMMYFUNCTION("GOOGLETRANSLATE(A1343,""ru"",""en"")"),"Flower 40 x 11 cm c fastening pocket NP191")</f>
        <v>Flower 40 x 11 cm c fastening pocket NP191</v>
      </c>
      <c r="E1343" s="8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6" t="s">
        <v>2586</v>
      </c>
      <c r="B1344" s="7" t="s">
        <v>2586</v>
      </c>
      <c r="C1344" s="8" t="s">
        <v>2587</v>
      </c>
      <c r="D1344" s="9" t="str">
        <f>IFERROR(__xludf.DUMMYFUNCTION("GOOGLETRANSLATE(A1344,""ru"",""en"")"),"Flower 60 x 15 cm c fastening pocket NP193")</f>
        <v>Flower 60 x 15 cm c fastening pocket NP193</v>
      </c>
      <c r="E1344" s="8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6" t="s">
        <v>2588</v>
      </c>
      <c r="B1345" s="7" t="s">
        <v>2588</v>
      </c>
      <c r="C1345" s="8" t="s">
        <v>2589</v>
      </c>
      <c r="D1345" s="9" t="str">
        <f>IFERROR(__xludf.DUMMYFUNCTION("GOOGLETRANSLATE(A1345,""ru"",""en"")"),"Handle-stick aluminum 130 cm D-22 mm without thread")</f>
        <v>Handle-stick aluminum 130 cm D-22 mm without thread</v>
      </c>
      <c r="E1345" s="8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6" t="s">
        <v>2590</v>
      </c>
      <c r="B1346" s="7" t="s">
        <v>2590</v>
      </c>
      <c r="C1346" s="8" t="s">
        <v>2591</v>
      </c>
      <c r="D1346" s="9" t="str">
        <f>IFERROR(__xludf.DUMMYFUNCTION("GOOGLETRANSLATE(A1346,""ru"",""en"")"),"Block for cleansing toilet DOMESTOS POWER 5 Crystal Cleanliness 55 g")</f>
        <v>Block for cleansing toilet DOMESTOS POWER 5 Crystal Cleanliness 55 g</v>
      </c>
      <c r="E1346" s="8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6" t="s">
        <v>2592</v>
      </c>
      <c r="B1347" s="7" t="s">
        <v>2592</v>
      </c>
      <c r="C1347" s="8" t="s">
        <v>2593</v>
      </c>
      <c r="D1347" s="9" t="str">
        <f>IFERROR(__xludf.DUMMYFUNCTION("GOOGLETRANSLATE(A1347,""ru"",""en"")"),"Block for cleansing toilet DOMESTOS POWER 5 lavender 55 g")</f>
        <v>Block for cleansing toilet DOMESTOS POWER 5 lavender 55 g</v>
      </c>
      <c r="E1347" s="8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6" t="s">
        <v>2594</v>
      </c>
      <c r="B1348" s="7" t="s">
        <v>2594</v>
      </c>
      <c r="C1348" s="8" t="s">
        <v>2595</v>
      </c>
      <c r="D1348" s="9" t="str">
        <f>IFERROR(__xludf.DUMMYFUNCTION("GOOGLETRANSLATE(A1348,""ru"",""en"")"),"Block for cleaning the toilet DOMESTOS POWER 5 ice avalanche 55 g")</f>
        <v>Block for cleaning the toilet DOMESTOS POWER 5 ice avalanche 55 g</v>
      </c>
      <c r="E1348" s="8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6" t="s">
        <v>2596</v>
      </c>
      <c r="B1349" s="7" t="s">
        <v>2596</v>
      </c>
      <c r="C1349" s="8" t="s">
        <v>2597</v>
      </c>
      <c r="D1349" s="9" t="str">
        <f>IFERROR(__xludf.DUMMYFUNCTION("GOOGLETRANSLATE(A1349,""ru"",""en"")"),"Block for cleansing toilet DOMESTOS POWER 5 Ice Magnolia 55 g")</f>
        <v>Block for cleansing toilet DOMESTOS POWER 5 Ice Magnolia 55 g</v>
      </c>
      <c r="E1349" s="8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6" t="s">
        <v>2598</v>
      </c>
      <c r="B1350" s="7" t="s">
        <v>2598</v>
      </c>
      <c r="C1350" s="8" t="s">
        <v>2599</v>
      </c>
      <c r="D1350" s="9" t="str">
        <f>IFERROR(__xludf.DUMMYFUNCTION("GOOGLETRANSLATE(A1350,""ru"",""en"")"),"Pendant for the toilet DOMESTOS Atlantic 40 g")</f>
        <v>Pendant for the toilet DOMESTOS Atlantic 40 g</v>
      </c>
      <c r="E1350" s="8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6" t="s">
        <v>2600</v>
      </c>
      <c r="B1351" s="7" t="s">
        <v>2600</v>
      </c>
      <c r="C1351" s="8" t="s">
        <v>2601</v>
      </c>
      <c r="D1351" s="9" t="str">
        <f>IFERROR(__xludf.DUMMYFUNCTION("GOOGLETRANSLATE(A1351,""ru"",""en"")"),"Cleaning agent for bathroom CIF Ease of purity 500 ml")</f>
        <v>Cleaning agent for bathroom CIF Ease of purity 500 ml</v>
      </c>
      <c r="E1351" s="8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6" t="s">
        <v>2602</v>
      </c>
      <c r="B1352" s="7" t="s">
        <v>2602</v>
      </c>
      <c r="C1352" s="8" t="s">
        <v>2603</v>
      </c>
      <c r="D1352" s="9" t="str">
        <f>IFERROR(__xludf.DUMMYFUNCTION("GOOGLETRANSLATE(A1352,""ru"",""en"")"),"Cleaning facility for kitchen CIF Ease of cleanliness 500 ml")</f>
        <v>Cleaning facility for kitchen CIF Ease of cleanliness 500 ml</v>
      </c>
      <c r="E1352" s="8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>
      <c r="A1353" s="6" t="s">
        <v>2604</v>
      </c>
      <c r="B1353" s="7" t="s">
        <v>2604</v>
      </c>
      <c r="C1353" s="8" t="s">
        <v>2605</v>
      </c>
      <c r="D1353" s="9" t="str">
        <f>IFERROR(__xludf.DUMMYFUNCTION("GOOGLETRANSLATE(A1353,""ru"",""en"")"),"Cleaning Means CIF Brilliant Effect 500 ml")</f>
        <v>Cleaning Means CIF Brilliant Effect 500 ml</v>
      </c>
      <c r="E1353" s="8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6" t="s">
        <v>2606</v>
      </c>
      <c r="B1354" s="7" t="s">
        <v>2606</v>
      </c>
      <c r="C1354" s="8" t="s">
        <v>2607</v>
      </c>
      <c r="D1354" s="9" t="str">
        <f>IFERROR(__xludf.DUMMYFUNCTION("GOOGLETRANSLATE(A1354,""ru"",""en"")"),"Cheating CIF CIF Lilk Freshness 500 ml")</f>
        <v>Cheating CIF CIF Lilk Freshness 500 ml</v>
      </c>
      <c r="E1354" s="8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6" t="s">
        <v>2608</v>
      </c>
      <c r="B1355" s="7" t="s">
        <v>2608</v>
      </c>
      <c r="C1355" s="8" t="s">
        <v>2609</v>
      </c>
      <c r="D1355" s="9" t="str">
        <f>IFERROR(__xludf.DUMMYFUNCTION("GOOGLETRANSLATE(A1355,""ru"",""en"")"),"CIF Cream Cream Normal (asset Fresh) 250 ml")</f>
        <v>CIF Cream Cream Normal (asset Fresh) 250 ml</v>
      </c>
      <c r="E1355" s="8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6" t="s">
        <v>2610</v>
      </c>
      <c r="B1356" s="7" t="s">
        <v>2610</v>
      </c>
      <c r="C1356" s="8" t="s">
        <v>2611</v>
      </c>
      <c r="D1356" s="9" t="str">
        <f>IFERROR(__xludf.DUMMYFUNCTION("GOOGLETRANSLATE(A1356,""ru"",""en"")"),"Chitting Spray Universal CIF Antibacterial 500 ml")</f>
        <v>Chitting Spray Universal CIF Antibacterial 500 ml</v>
      </c>
      <c r="E1356" s="8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6" t="s">
        <v>2612</v>
      </c>
      <c r="B1357" s="7" t="s">
        <v>2612</v>
      </c>
      <c r="C1357" s="8" t="s">
        <v>2613</v>
      </c>
      <c r="D1357" s="9" t="str">
        <f>IFERROR(__xludf.DUMMYFUNCTION("GOOGLETRANSLATE(A1357,""ru"",""en"")"),"Chitting Spray Universal CIF Ultra Fast 500 ml")</f>
        <v>Chitting Spray Universal CIF Ultra Fast 500 ml</v>
      </c>
      <c r="E1357" s="8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6" t="s">
        <v>2614</v>
      </c>
      <c r="B1358" s="7" t="s">
        <v>2614</v>
      </c>
      <c r="C1358" s="8" t="s">
        <v>2615</v>
      </c>
      <c r="D1358" s="9" t="str">
        <f>IFERROR(__xludf.DUMMYFUNCTION("GOOGLETRANSLATE(A1358,""ru"",""en"")"),"Hand Cream Velvet Handles Protective 80ml")</f>
        <v>Hand Cream Velvet Handles Protective 80ml</v>
      </c>
      <c r="E1358" s="8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6" t="s">
        <v>2616</v>
      </c>
      <c r="B1359" s="7" t="s">
        <v>2616</v>
      </c>
      <c r="C1359" s="8" t="s">
        <v>2617</v>
      </c>
      <c r="D1359" s="9" t="str">
        <f>IFERROR(__xludf.DUMMYFUNCTION("GOOGLETRANSLATE(A1359,""ru"",""en"")"),"Hand Cream Velvet Handles Nourishing 80 ml")</f>
        <v>Hand Cream Velvet Handles Nourishing 80 ml</v>
      </c>
      <c r="E1359" s="8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6" t="s">
        <v>2618</v>
      </c>
      <c r="B1360" s="7" t="s">
        <v>2618</v>
      </c>
      <c r="C1360" s="8" t="s">
        <v>2619</v>
      </c>
      <c r="D1360" s="9" t="str">
        <f>IFERROR(__xludf.DUMMYFUNCTION("GOOGLETRANSLATE(A1360,""ru"",""en"")"),"Knitted gloves without PVC gray 10 cl. 4-thread")</f>
        <v>Knitted gloves without PVC gray 10 cl. 4-thread</v>
      </c>
      <c r="E1360" s="8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6" t="s">
        <v>2620</v>
      </c>
      <c r="B1361" s="7" t="s">
        <v>2620</v>
      </c>
      <c r="C1361" s="8" t="s">
        <v>2621</v>
      </c>
      <c r="D1361" s="9" t="str">
        <f>IFERROR(__xludf.DUMMYFUNCTION("GOOGLETRANSLATE(A1361,""ru"",""en"")"),"Bahils Golyethylene Standard 40 x 15 cm Blue 100 pcs")</f>
        <v>Bahils Golyethylene Standard 40 x 15 cm Blue 100 pcs</v>
      </c>
      <c r="E1361" s="8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6" t="s">
        <v>2622</v>
      </c>
      <c r="B1362" s="7" t="s">
        <v>2622</v>
      </c>
      <c r="C1362" s="8" t="s">
        <v>2623</v>
      </c>
      <c r="D1362" s="9" t="str">
        <f>IFERROR(__xludf.DUMMYFUNCTION("GOOGLETRANSLATE(A1362,""ru"",""en"")"),"Gloves Economic Latex Komfi Bicolor Rr s")</f>
        <v>Gloves Economic Latex Komfi Bicolor Rr s</v>
      </c>
      <c r="E1362" s="8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6" t="s">
        <v>2624</v>
      </c>
      <c r="B1363" s="7" t="s">
        <v>2624</v>
      </c>
      <c r="C1363" s="8" t="s">
        <v>2625</v>
      </c>
      <c r="D1363" s="9" t="str">
        <f>IFERROR(__xludf.DUMMYFUNCTION("GOOGLETRANSLATE(A1363,""ru"",""en"")"),"Gloves economic Latex Komfi Bicolor Rr XL")</f>
        <v>Gloves economic Latex Komfi Bicolor Rr XL</v>
      </c>
      <c r="E1363" s="8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>
      <c r="A1364" s="6" t="s">
        <v>2626</v>
      </c>
      <c r="B1364" s="7" t="s">
        <v>2626</v>
      </c>
      <c r="C1364" s="8" t="s">
        <v>2627</v>
      </c>
      <c r="D1364" s="9" t="str">
        <f>IFERROR(__xludf.DUMMYFUNCTION("GOOGLETRANSLATE(A1364,""ru"",""en"")"),"Economic Gloves Latex Komfi Bicolor Heavy-Duty Rr S")</f>
        <v>Economic Gloves Latex Komfi Bicolor Heavy-Duty Rr S</v>
      </c>
      <c r="E1364" s="8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6" t="s">
        <v>2628</v>
      </c>
      <c r="B1365" s="7" t="s">
        <v>2628</v>
      </c>
      <c r="C1365" s="8" t="s">
        <v>2629</v>
      </c>
      <c r="D1365" s="9" t="str">
        <f>IFERROR(__xludf.DUMMYFUNCTION("GOOGLETRANSLATE(A1365,""ru"",""en"")"),"Gloves Economic Latex Komfi Bicolor Superproof Rr PR")</f>
        <v>Gloves Economic Latex Komfi Bicolor Superproof Rr PR</v>
      </c>
      <c r="E1365" s="8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6" t="s">
        <v>2630</v>
      </c>
      <c r="B1366" s="7" t="s">
        <v>2630</v>
      </c>
      <c r="C1366" s="8" t="s">
        <v>2631</v>
      </c>
      <c r="D1366" s="9" t="str">
        <f>IFERROR(__xludf.DUMMYFUNCTION("GOOGLETRANSLATE(A1366,""ru"",""en"")"),"Gloves Economic Latex Komfi Bicolor Superproof Rr L")</f>
        <v>Gloves Economic Latex Komfi Bicolor Superproof Rr L</v>
      </c>
      <c r="E1366" s="8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6" t="s">
        <v>2632</v>
      </c>
      <c r="B1367" s="7" t="s">
        <v>2632</v>
      </c>
      <c r="C1367" s="8" t="s">
        <v>2633</v>
      </c>
      <c r="D1367" s="9" t="str">
        <f>IFERROR(__xludf.DUMMYFUNCTION("GOOGLETRANSLATE(A1367,""ru"",""en"")"),"Gloves economy latex Komfi Bicolor superproof rr XL")</f>
        <v>Gloves economy latex Komfi Bicolor superproof rr XL</v>
      </c>
      <c r="E1367" s="8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6" t="s">
        <v>2634</v>
      </c>
      <c r="B1368" s="7" t="s">
        <v>2634</v>
      </c>
      <c r="C1368" s="8" t="s">
        <v>2635</v>
      </c>
      <c r="D1368" s="9" t="str">
        <f>IFERROR(__xludf.DUMMYFUNCTION("GOOGLETRANSLATE(A1368,""ru"",""en"")"),"Air Freshener Symphony Magnolia and Vanilla 300 ml")</f>
        <v>Air Freshener Symphony Magnolia and Vanilla 300 ml</v>
      </c>
      <c r="E1368" s="8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6" t="s">
        <v>1877</v>
      </c>
      <c r="B1369" s="7" t="s">
        <v>1877</v>
      </c>
      <c r="C1369" s="8" t="s">
        <v>1878</v>
      </c>
      <c r="D1369" s="9" t="str">
        <f>IFERROR(__xludf.DUMMYFUNCTION("GOOGLETRANSLATE(A1369,""ru"",""en"")"),"Detergent with disinfectant effect Deosil 20 5 l")</f>
        <v>Detergent with disinfectant effect Deosil 20 5 l</v>
      </c>
      <c r="E1369" s="8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6" t="s">
        <v>2636</v>
      </c>
      <c r="B1370" s="7" t="s">
        <v>2636</v>
      </c>
      <c r="C1370" s="8" t="s">
        <v>2637</v>
      </c>
      <c r="D1370" s="9" t="str">
        <f>IFERROR(__xludf.DUMMYFUNCTION("GOOGLETRANSLATE(A1370,""ru"",""en"")"),"Metal sponge for dishes Paterra Spiral 16 g 1 pc")</f>
        <v>Metal sponge for dishes Paterra Spiral 16 g 1 pc</v>
      </c>
      <c r="E1370" s="8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>
      <c r="A1371" s="6" t="s">
        <v>2638</v>
      </c>
      <c r="B1371" s="7" t="s">
        <v>2638</v>
      </c>
      <c r="C1371" s="8" t="s">
        <v>2639</v>
      </c>
      <c r="D1371" s="9" t="str">
        <f>IFERROR(__xludf.DUMMYFUNCTION("GOOGLETRANSLATE(A1371,""ru"",""en"")"),"Bilateral adhesive tape Klebebander 50 mm x 5 m")</f>
        <v>Bilateral adhesive tape Klebebander 50 mm x 5 m</v>
      </c>
      <c r="E1371" s="8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>
      <c r="A1372" s="6" t="s">
        <v>2640</v>
      </c>
      <c r="B1372" s="7" t="s">
        <v>2640</v>
      </c>
      <c r="C1372" s="8" t="s">
        <v>2641</v>
      </c>
      <c r="D1372" s="9" t="str">
        <f>IFERROR(__xludf.DUMMYFUNCTION("GOOGLETRANSLATE(A1372,""ru"",""en"")"),"Garbage bags Smartikon 35 l 6 microns 50 pcs")</f>
        <v>Garbage bags Smartikon 35 l 6 microns 50 pcs</v>
      </c>
      <c r="E1372" s="8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6" t="s">
        <v>2642</v>
      </c>
      <c r="B1373" s="7" t="s">
        <v>2642</v>
      </c>
      <c r="C1373" s="8" t="s">
        <v>2643</v>
      </c>
      <c r="D1373" s="9" t="str">
        <f>IFERROR(__xludf.DUMMYFUNCTION("GOOGLETRANSLATE(A1373,""ru"",""en"")"),"Bags for garbage SMARTKON 60 L 9 μm 20 pcs")</f>
        <v>Bags for garbage SMARTKON 60 L 9 μm 20 pcs</v>
      </c>
      <c r="E1373" s="8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6" t="s">
        <v>2644</v>
      </c>
      <c r="B1374" s="7" t="s">
        <v>2644</v>
      </c>
      <c r="C1374" s="8" t="s">
        <v>2645</v>
      </c>
      <c r="D1374" s="9" t="str">
        <f>IFERROR(__xludf.DUMMYFUNCTION("GOOGLETRANSLATE(A1374,""ru"",""en"")"),"Bags for garbage Mirpack PVD Economy 120 l 8 microns 10 pcs")</f>
        <v>Bags for garbage Mirpack PVD Economy 120 l 8 microns 10 pcs</v>
      </c>
      <c r="E1374" s="8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6" t="s">
        <v>404</v>
      </c>
      <c r="B1375" s="7" t="s">
        <v>404</v>
      </c>
      <c r="C1375" s="8" t="s">
        <v>405</v>
      </c>
      <c r="D1375" s="9" t="str">
        <f>IFERROR(__xludf.DUMMYFUNCTION("GOOGLETRANSLATE(A1375,""ru"",""en"")"),"Liquid soap with a disinfecting effect of quintacept 1 l")</f>
        <v>Liquid soap with a disinfecting effect of quintacept 1 l</v>
      </c>
      <c r="E1375" s="8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6" t="s">
        <v>2646</v>
      </c>
      <c r="B1376" s="7" t="s">
        <v>2646</v>
      </c>
      <c r="C1376" s="8" t="s">
        <v>2647</v>
      </c>
      <c r="D1376" s="9" t="str">
        <f>IFERROR(__xludf.DUMMYFUNCTION("GOOGLETRANSLATE(A1376,""ru"",""en"")"),"Soap toilet solid strawberry 100 g")</f>
        <v>Soap toilet solid strawberry 100 g</v>
      </c>
      <c r="E1376" s="8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6" t="s">
        <v>2648</v>
      </c>
      <c r="B1377" s="7" t="s">
        <v>2648</v>
      </c>
      <c r="C1377" s="8" t="s">
        <v>2649</v>
      </c>
      <c r="D1377" s="9" t="str">
        <f>IFERROR(__xludf.DUMMYFUNCTION("GOOGLETRANSLATE(A1377,""ru"",""en"")"),"Soap Toilet Solid Lilac 100 g")</f>
        <v>Soap Toilet Solid Lilac 100 g</v>
      </c>
      <c r="E1377" s="8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6" t="s">
        <v>2650</v>
      </c>
      <c r="B1378" s="7" t="s">
        <v>2650</v>
      </c>
      <c r="C1378" s="8" t="s">
        <v>2651</v>
      </c>
      <c r="D1378" s="9" t="str">
        <f>IFERROR(__xludf.DUMMYFUNCTION("GOOGLETRANSLATE(A1378,""ru"",""en"")"),"Tablets for washing dishes in PMM FINISH ALL IN 1 MAX LEMON 65 pcs")</f>
        <v>Tablets for washing dishes in PMM FINISH ALL IN 1 MAX LEMON 65 pcs</v>
      </c>
      <c r="E1378" s="8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6" t="s">
        <v>2652</v>
      </c>
      <c r="B1379" s="7" t="s">
        <v>2652</v>
      </c>
      <c r="C1379" s="8" t="s">
        <v>2653</v>
      </c>
      <c r="D1379" s="9" t="str">
        <f>IFERROR(__xludf.DUMMYFUNCTION("GOOGLETRANSLATE(A1379,""ru"",""en"")"),"Kentucky MOS Holder 17 cm im210")</f>
        <v>Kentucky MOS Holder 17 cm im210</v>
      </c>
      <c r="E1379" s="8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6" t="s">
        <v>2654</v>
      </c>
      <c r="B1380" s="7" t="s">
        <v>2654</v>
      </c>
      <c r="C1380" s="8" t="s">
        <v>2655</v>
      </c>
      <c r="D1380" s="9" t="str">
        <f>IFERROR(__xludf.DUMMYFUNCTION("GOOGLETRANSLATE(A1380,""ru"",""en"")"),"Mop Kentucky 350 g Ken-350")</f>
        <v>Mop Kentucky 350 g Ken-350</v>
      </c>
      <c r="E1380" s="8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6" t="s">
        <v>2656</v>
      </c>
      <c r="B1381" s="7" t="s">
        <v>2656</v>
      </c>
      <c r="C1381" s="8" t="s">
        <v>2657</v>
      </c>
      <c r="D1381" s="9" t="str">
        <f>IFERROR(__xludf.DUMMYFUNCTION("GOOGLETRANSLATE(A1381,""ru"",""en"")"),"Domi Liquid Soap with Green Tea Extract 500 ml")</f>
        <v>Domi Liquid Soap with Green Tea Extract 500 ml</v>
      </c>
      <c r="E1381" s="8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6" t="s">
        <v>128</v>
      </c>
      <c r="B1382" s="7" t="s">
        <v>128</v>
      </c>
      <c r="C1382" s="8" t="s">
        <v>129</v>
      </c>
      <c r="D1382" s="9" t="str">
        <f>IFERROR(__xludf.DUMMYFUNCTION("GOOGLETRANSLATE(A1382,""ru"",""en"")"),"Means for cleaning and disinfection of sanlit gel 750 ml")</f>
        <v>Means for cleaning and disinfection of sanlit gel 750 ml</v>
      </c>
      <c r="E1382" s="8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6" t="s">
        <v>2658</v>
      </c>
      <c r="B1383" s="7" t="s">
        <v>2658</v>
      </c>
      <c r="C1383" s="8" t="s">
        <v>2659</v>
      </c>
      <c r="D1383" s="9" t="str">
        <f>IFERROR(__xludf.DUMMYFUNCTION("GOOGLETRANSLATE(A1383,""ru"",""en"")"),"PET 500 ml bottle under trigger")</f>
        <v>PET 500 ml bottle under trigger</v>
      </c>
      <c r="E1383" s="8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6" t="s">
        <v>2660</v>
      </c>
      <c r="B1384" s="7" t="s">
        <v>2660</v>
      </c>
      <c r="C1384" s="8" t="s">
        <v>2661</v>
      </c>
      <c r="D1384" s="9" t="str">
        <f>IFERROR(__xludf.DUMMYFUNCTION("GOOGLETRANSLATE(A1384,""ru"",""en"")"),"Thread (twine) polypropylene unloaded 1000 tex on a spool of 5 kg (+/- 10%)")</f>
        <v>Thread (twine) polypropylene unloaded 1000 tex on a spool of 5 kg (+/- 10%)</v>
      </c>
      <c r="E1384" s="8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6" t="s">
        <v>2662</v>
      </c>
      <c r="B1385" s="7" t="s">
        <v>2662</v>
      </c>
      <c r="C1385" s="8" t="s">
        <v>2663</v>
      </c>
      <c r="D1385" s="9" t="str">
        <f>IFERROR(__xludf.DUMMYFUNCTION("GOOGLETRANSLATE(A1385,""ru"",""en"")"),"Broom round household with cutlets economy")</f>
        <v>Broom round household with cutlets economy</v>
      </c>
      <c r="E1385" s="8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6" t="s">
        <v>2664</v>
      </c>
      <c r="B1386" s="7" t="s">
        <v>2664</v>
      </c>
      <c r="C1386" s="8" t="s">
        <v>2665</v>
      </c>
      <c r="D1386" s="9" t="str">
        <f>IFERROR(__xludf.DUMMYFUNCTION("GOOGLETRANSLATE(A1386,""ru"",""en"")"),"Rake fan metal wire with stalk")</f>
        <v>Rake fan metal wire with stalk</v>
      </c>
      <c r="E1386" s="8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6" t="s">
        <v>2666</v>
      </c>
      <c r="B1387" s="7" t="s">
        <v>2666</v>
      </c>
      <c r="C1387" s="8" t="s">
        <v>2667</v>
      </c>
      <c r="D1387" s="9" t="str">
        <f>IFERROR(__xludf.DUMMYFUNCTION("GOOGLETRANSLATE(A1387,""ru"",""en"")"),"Puff-7120 toilet paper holder")</f>
        <v>Puff-7120 toilet paper holder</v>
      </c>
      <c r="E1387" s="8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6" t="s">
        <v>248</v>
      </c>
      <c r="B1388" s="7" t="s">
        <v>248</v>
      </c>
      <c r="C1388" s="8" t="s">
        <v>249</v>
      </c>
      <c r="D1388" s="9" t="str">
        <f>IFERROR(__xludf.DUMMYFUNCTION("GOOGLETRANSLATE(A1388,""ru"",""en"")"),"Washing Pasta For Hands Dream 400 g")</f>
        <v>Washing Pasta For Hands Dream 400 g</v>
      </c>
      <c r="E1388" s="8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6" t="s">
        <v>2668</v>
      </c>
      <c r="B1389" s="7" t="s">
        <v>2668</v>
      </c>
      <c r="C1389" s="8" t="s">
        <v>2669</v>
      </c>
      <c r="D1389" s="9" t="str">
        <f>IFERROR(__xludf.DUMMYFUNCTION("GOOGLETRANSLATE(A1389,""ru"",""en"")"),"Spoons corn starch biodegradable green 14.5 cm 50 pcs")</f>
        <v>Spoons corn starch biodegradable green 14.5 cm 50 pcs</v>
      </c>
      <c r="E1389" s="8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6" t="s">
        <v>2670</v>
      </c>
      <c r="B1390" s="7" t="s">
        <v>2670</v>
      </c>
      <c r="C1390" s="8" t="s">
        <v>2671</v>
      </c>
      <c r="D1390" s="9" t="str">
        <f>IFERROR(__xludf.DUMMYFUNCTION("GOOGLETRANSLATE(A1390,""ru"",""en"")"),"Salad coat with lid 800 ml Kraft / white 207 x 127 x 55 mm 50 pcs")</f>
        <v>Salad coat with lid 800 ml Kraft / white 207 x 127 x 55 mm 50 pcs</v>
      </c>
      <c r="E1390" s="8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6" t="s">
        <v>2672</v>
      </c>
      <c r="B1391" s="7" t="s">
        <v>2672</v>
      </c>
      <c r="C1391" s="8" t="s">
        <v>2673</v>
      </c>
      <c r="D1391" s="9" t="str">
        <f>IFERROR(__xludf.DUMMYFUNCTION("GOOGLETRANSLATE(A1391,""ru"",""en"")"),"Salad coat with lid 900 ml Kraft / white 150 x 150 x 50 mm 50 pcs")</f>
        <v>Salad coat with lid 900 ml Kraft / white 150 x 150 x 50 mm 50 pcs</v>
      </c>
      <c r="E1391" s="8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6" t="s">
        <v>2674</v>
      </c>
      <c r="B1392" s="7" t="s">
        <v>2674</v>
      </c>
      <c r="C1392" s="8" t="s">
        <v>2675</v>
      </c>
      <c r="D1392" s="9" t="str">
        <f>IFERROR(__xludf.DUMMYFUNCTION("GOOGLETRANSLATE(A1392,""ru"",""en"")"),"Box for hamburger 120 x 120 x 70 mm Kraft 100 pcs")</f>
        <v>Box for hamburger 120 x 120 x 70 mm Kraft 100 pcs</v>
      </c>
      <c r="E1392" s="8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6" t="s">
        <v>2676</v>
      </c>
      <c r="B1393" s="7" t="s">
        <v>2676</v>
      </c>
      <c r="C1393" s="8" t="s">
        <v>2677</v>
      </c>
      <c r="D1393" s="9" t="str">
        <f>IFERROR(__xludf.DUMMYFUNCTION("GOOGLETRANSLATE(A1393,""ru"",""en"")"),"Corner Paper 175 x 175 mm greased 2500 pcs")</f>
        <v>Corner Paper 175 x 175 mm greased 2500 pcs</v>
      </c>
      <c r="E1393" s="8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6" t="s">
        <v>2678</v>
      </c>
      <c r="B1394" s="7" t="s">
        <v>2678</v>
      </c>
      <c r="C1394" s="8" t="s">
        <v>2679</v>
      </c>
      <c r="D1394" s="9" t="str">
        <f>IFERROR(__xludf.DUMMYFUNCTION("GOOGLETRANSLATE(A1394,""ru"",""en"")"),"Soap Economic 72% Kaluga Gloss 150 g")</f>
        <v>Soap Economic 72% Kaluga Gloss 150 g</v>
      </c>
      <c r="E1394" s="8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6" t="s">
        <v>2680</v>
      </c>
      <c r="B1395" s="7" t="s">
        <v>2680</v>
      </c>
      <c r="C1395" s="8" t="s">
        <v>2681</v>
      </c>
      <c r="D1395" s="9" t="str">
        <f>IFERROR(__xludf.DUMMYFUNCTION("GOOGLETRANSLATE(A1395,""ru"",""en"")"),"Plastic Bank Soup 500 ml with lid 400 pcs")</f>
        <v>Plastic Bank Soup 500 ml with lid 400 pcs</v>
      </c>
      <c r="E1395" s="8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6" t="s">
        <v>2682</v>
      </c>
      <c r="B1396" s="7" t="s">
        <v>2682</v>
      </c>
      <c r="C1396" s="8" t="s">
        <v>2683</v>
      </c>
      <c r="D1396" s="9" t="str">
        <f>IFERROR(__xludf.DUMMYFUNCTION("GOOGLETRANSLATE(A1396,""ru"",""en"")"),"Saucy 50 ml of Upks-Uniti 50 pcs")</f>
        <v>Saucy 50 ml of Upks-Uniti 50 pcs</v>
      </c>
      <c r="E1396" s="8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6" t="s">
        <v>2684</v>
      </c>
      <c r="B1397" s="7" t="s">
        <v>2684</v>
      </c>
      <c r="C1397" s="8" t="s">
        <v>2685</v>
      </c>
      <c r="D1397" s="9" t="str">
        <f>IFERROR(__xludf.DUMMYFUNCTION("GOOGLETRANSLATE(A1397,""ru"",""en"")"),"Saucy 80ml of Upks-Uniti 50 pcs")</f>
        <v>Saucy 80ml of Upks-Uniti 50 pcs</v>
      </c>
      <c r="E1397" s="8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6" t="s">
        <v>1080</v>
      </c>
      <c r="B1398" s="7" t="s">
        <v>1080</v>
      </c>
      <c r="C1398" s="8" t="s">
        <v>1081</v>
      </c>
      <c r="D1398" s="9" t="str">
        <f>IFERROR(__xludf.DUMMYFUNCTION("GOOGLETRANSLATE(A1398,""ru"",""en"")"),"Disposable glasses 100 ml 100 pcs")</f>
        <v>Disposable glasses 100 ml 100 pcs</v>
      </c>
      <c r="E1398" s="8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6" t="s">
        <v>2686</v>
      </c>
      <c r="B1399" s="7" t="s">
        <v>2686</v>
      </c>
      <c r="C1399" s="8" t="s">
        <v>2687</v>
      </c>
      <c r="D1399" s="9" t="str">
        <f>IFERROR(__xludf.DUMMYFUNCTION("GOOGLETRANSLATE(A1399,""ru"",""en"")"),"Food sticks 21 cm in PP packing 100 pcs")</f>
        <v>Food sticks 21 cm in PP packing 100 pcs</v>
      </c>
      <c r="E1399" s="8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6" t="s">
        <v>2688</v>
      </c>
      <c r="B1400" s="7" t="s">
        <v>2688</v>
      </c>
      <c r="C1400" s="8" t="s">
        <v>2689</v>
      </c>
      <c r="D1400" s="9" t="str">
        <f>IFERROR(__xludf.DUMMYFUNCTION("GOOGLETRANSLATE(A1400,""ru"",""en"")"),"Food sticks 23 cm in PP packing 100 pcs")</f>
        <v>Food sticks 23 cm in PP packing 100 pcs</v>
      </c>
      <c r="E1400" s="8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6" t="s">
        <v>2690</v>
      </c>
      <c r="B1401" s="7" t="s">
        <v>2690</v>
      </c>
      <c r="C1401" s="8" t="s">
        <v>2691</v>
      </c>
      <c r="D1401" s="9" t="str">
        <f>IFERROR(__xludf.DUMMYFUNCTION("GOOGLETRANSLATE(A1401,""ru"",""en"")"),"Rubber Rubber Gloves PRACTI EXTRA DRY RR M M")</f>
        <v>Rubber Rubber Gloves PRACTI EXTRA DRY RR M M</v>
      </c>
      <c r="E1401" s="8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6" t="s">
        <v>2692</v>
      </c>
      <c r="B1402" s="7" t="s">
        <v>2692</v>
      </c>
      <c r="C1402" s="8" t="s">
        <v>2693</v>
      </c>
      <c r="D1402" s="9" t="str">
        <f>IFERROR(__xludf.DUMMYFUNCTION("GOOGLETRANSLATE(A1402,""ru"",""en"")"),"Microfiber Napkin Ultra 25x25 cm Yellow")</f>
        <v>Microfiber Napkin Ultra 25x25 cm Yellow</v>
      </c>
      <c r="E1402" s="8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6" t="s">
        <v>2694</v>
      </c>
      <c r="B1403" s="7" t="s">
        <v>2694</v>
      </c>
      <c r="C1403" s="8" t="s">
        <v>2695</v>
      </c>
      <c r="D1403" s="9" t="str">
        <f>IFERROR(__xludf.DUMMYFUNCTION("GOOGLETRANSLATE(A1403,""ru"",""en"")"),"Microfiber Napkin Ultra 25x25 cm Green")</f>
        <v>Microfiber Napkin Ultra 25x25 cm Green</v>
      </c>
      <c r="E1403" s="8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6" t="s">
        <v>2696</v>
      </c>
      <c r="B1404" s="7" t="s">
        <v>2696</v>
      </c>
      <c r="C1404" s="8" t="s">
        <v>2697</v>
      </c>
      <c r="D1404" s="9" t="str">
        <f>IFERROR(__xludf.DUMMYFUNCTION("GOOGLETRANSLATE(A1404,""ru"",""en"")"),"Ultra 25x25 cm Microfiber Napkin Red")</f>
        <v>Ultra 25x25 cm Microfiber Napkin Red</v>
      </c>
      <c r="E1404" s="8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>
      <c r="A1405" s="6" t="s">
        <v>2698</v>
      </c>
      <c r="B1405" s="7" t="s">
        <v>2698</v>
      </c>
      <c r="C1405" s="8" t="s">
        <v>2699</v>
      </c>
      <c r="D1405" s="9" t="str">
        <f>IFERROR(__xludf.DUMMYFUNCTION("GOOGLETRANSLATE(A1405,""ru"",""en"")"),"Microfiber napkin 29x29 cm white")</f>
        <v>Microfiber napkin 29x29 cm white</v>
      </c>
      <c r="E1405" s="8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6" t="s">
        <v>2700</v>
      </c>
      <c r="B1406" s="7" t="s">
        <v>2700</v>
      </c>
      <c r="C1406" s="8" t="s">
        <v>2701</v>
      </c>
      <c r="D1406" s="9" t="str">
        <f>IFERROR(__xludf.DUMMYFUNCTION("GOOGLETRANSLATE(A1406,""ru"",""en"")"),"Paper plates deep on 500 ml")</f>
        <v>Paper plates deep on 500 ml</v>
      </c>
      <c r="E1406" s="8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>
      <c r="A1407" s="6" t="s">
        <v>2702</v>
      </c>
      <c r="B1407" s="7" t="s">
        <v>2702</v>
      </c>
      <c r="C1407" s="8" t="s">
        <v>2703</v>
      </c>
      <c r="D1407" s="9" t="str">
        <f>IFERROR(__xludf.DUMMYFUNCTION("GOOGLETRANSLATE(A1407,""ru"",""en"")"),"Polyethylene mesh fine on a spool of 500 m red")</f>
        <v>Polyethylene mesh fine on a spool of 500 m red</v>
      </c>
      <c r="E1407" s="8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6" t="s">
        <v>2704</v>
      </c>
      <c r="B1408" s="7" t="s">
        <v>2704</v>
      </c>
      <c r="C1408" s="8" t="s">
        <v>2705</v>
      </c>
      <c r="D1408" s="9" t="str">
        <f>IFERROR(__xludf.DUMMYFUNCTION("GOOGLETRANSLATE(A1408,""ru"",""en"")"),"Means Cleaning Peumolux Eucalyptus and Fir 480 g")</f>
        <v>Means Cleaning Peumolux Eucalyptus and Fir 480 g</v>
      </c>
      <c r="E1408" s="8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>
      <c r="A1409" s="6" t="s">
        <v>2706</v>
      </c>
      <c r="B1409" s="7" t="s">
        <v>2706</v>
      </c>
      <c r="C1409" s="8" t="s">
        <v>2707</v>
      </c>
      <c r="D1409" s="9" t="str">
        <f>IFERROR(__xludf.DUMMYFUNCTION("GOOGLETRANSLATE(A1409,""ru"",""en"")"),"MEBELUX furniture polyrolol for any surfaces 300 ml")</f>
        <v>MEBELUX furniture polyrolol for any surfaces 300 ml</v>
      </c>
      <c r="E1409" s="8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6" t="s">
        <v>2708</v>
      </c>
      <c r="B1410" s="7" t="s">
        <v>2708</v>
      </c>
      <c r="C1410" s="8" t="s">
        <v>2709</v>
      </c>
      <c r="D1410" s="9" t="str">
        <f>IFERROR(__xludf.DUMMYFUNCTION("GOOGLETRANSLATE(A1410,""ru"",""en"")"),"Shovel bayonet rectangular LCP-4-950 with stalk")</f>
        <v>Shovel bayonet rectangular LCP-4-950 with stalk</v>
      </c>
      <c r="E1410" s="8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6" t="s">
        <v>2710</v>
      </c>
      <c r="B1411" s="7" t="s">
        <v>2710</v>
      </c>
      <c r="C1411" s="8" t="s">
        <v>2711</v>
      </c>
      <c r="D1411" s="9" t="str">
        <f>IFERROR(__xludf.DUMMYFUNCTION("GOOGLETRANSLATE(A1411,""ru"",""en"")"),"Wooden D-30 mm Grinding")</f>
        <v>Wooden D-30 mm Grinding</v>
      </c>
      <c r="E1411" s="8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6" t="s">
        <v>2712</v>
      </c>
      <c r="B1412" s="7" t="s">
        <v>2712</v>
      </c>
      <c r="C1412" s="8" t="s">
        <v>2713</v>
      </c>
      <c r="D1412" s="9" t="str">
        <f>IFERROR(__xludf.DUMMYFUNCTION("GOOGLETRANSLATE(A1412,""ru"",""en"")"),"Gloves nitrile Household Gloves Rr M M 100 pcs")</f>
        <v>Gloves nitrile Household Gloves Rr M M 100 pcs</v>
      </c>
      <c r="E1412" s="8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6" t="s">
        <v>2714</v>
      </c>
      <c r="B1413" s="7" t="s">
        <v>2714</v>
      </c>
      <c r="C1413" s="8" t="s">
        <v>2715</v>
      </c>
      <c r="D1413" s="9" t="str">
        <f>IFERROR(__xludf.DUMMYFUNCTION("GOOGLETRANSLATE(A1413,""ru"",""en"")"),"Gloves nitrile household gloves rr s 100 pcs")</f>
        <v>Gloves nitrile household gloves rr s 100 pcs</v>
      </c>
      <c r="E1413" s="8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6" t="s">
        <v>2716</v>
      </c>
      <c r="B1414" s="7" t="s">
        <v>2716</v>
      </c>
      <c r="C1414" s="8" t="s">
        <v>2717</v>
      </c>
      <c r="D1414" s="9" t="str">
        <f>IFERROR(__xludf.DUMMYFUNCTION("GOOGLETRANSLATE(A1414,""ru"",""en"")"),"Liquid soap top with aloe vera extract 5 l")</f>
        <v>Liquid soap top with aloe vera extract 5 l</v>
      </c>
      <c r="E1414" s="8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6" t="s">
        <v>2718</v>
      </c>
      <c r="B1415" s="7" t="s">
        <v>2718</v>
      </c>
      <c r="C1415" s="8" t="s">
        <v>2719</v>
      </c>
      <c r="D1415" s="9" t="str">
        <f>IFERROR(__xludf.DUMMYFUNCTION("GOOGLETRANSLATE(A1415,""ru"",""en"")"),"Scoop economy 220 x 310 mm")</f>
        <v>Scoop economy 220 x 310 mm</v>
      </c>
      <c r="E1415" s="8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6" t="s">
        <v>2033</v>
      </c>
      <c r="B1416" s="7" t="s">
        <v>2033</v>
      </c>
      <c r="C1416" s="8" t="s">
        <v>2034</v>
      </c>
      <c r="D1416" s="9" t="str">
        <f>IFERROR(__xludf.DUMMYFUNCTION("GOOGLETRANSLATE(A1416,""ru"",""en"")"),"Glass 350 ml for hot drinks white 50 pcs")</f>
        <v>Glass 350 ml for hot drinks white 50 pcs</v>
      </c>
      <c r="E1416" s="8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6" t="s">
        <v>2720</v>
      </c>
      <c r="B1417" s="7" t="s">
        <v>2720</v>
      </c>
      <c r="C1417" s="8" t="s">
        <v>2721</v>
      </c>
      <c r="D1417" s="9" t="str">
        <f>IFERROR(__xludf.DUMMYFUNCTION("GOOGLETRANSLATE(A1417,""ru"",""en"")"),"Holder for cup Eco Cup Keeper 50 pcs")</f>
        <v>Holder for cup Eco Cup Keeper 50 pcs</v>
      </c>
      <c r="E1417" s="8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>
      <c r="A1418" s="6" t="s">
        <v>2722</v>
      </c>
      <c r="B1418" s="7" t="s">
        <v>2722</v>
      </c>
      <c r="C1418" s="8" t="s">
        <v>2723</v>
      </c>
      <c r="D1418" s="9" t="str">
        <f>IFERROR(__xludf.DUMMYFUNCTION("GOOGLETRANSLATE(A1418,""ru"",""en"")"),"Glass 165 ml for hot drinks white 50 pcs")</f>
        <v>Glass 165 ml for hot drinks white 50 pcs</v>
      </c>
      <c r="E1418" s="8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6" t="s">
        <v>2724</v>
      </c>
      <c r="B1419" s="7" t="s">
        <v>2724</v>
      </c>
      <c r="C1419" s="8" t="s">
        <v>2725</v>
      </c>
      <c r="D1419" s="9" t="str">
        <f>IFERROR(__xludf.DUMMYFUNCTION("GOOGLETRANSLATE(A1419,""ru"",""en"")"),"Liquid soap foaming Merida Bali Plus Almond-cherry 700 ml")</f>
        <v>Liquid soap foaming Merida Bali Plus Almond-cherry 700 ml</v>
      </c>
      <c r="E1419" s="8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6" t="s">
        <v>2726</v>
      </c>
      <c r="B1420" s="7" t="s">
        <v>2726</v>
      </c>
      <c r="C1420" s="8" t="s">
        <v>2727</v>
      </c>
      <c r="D1420" s="9" t="str">
        <f>IFERROR(__xludf.DUMMYFUNCTION("GOOGLETRANSLATE(A1420,""ru"",""en"")"),"Means for washing dishes Sorti Balsam with aloe vera 900 ml")</f>
        <v>Means for washing dishes Sorti Balsam with aloe vera 900 ml</v>
      </c>
      <c r="E1420" s="8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6" t="s">
        <v>2728</v>
      </c>
      <c r="B1421" s="7" t="s">
        <v>2728</v>
      </c>
      <c r="C1421" s="8" t="s">
        <v>2729</v>
      </c>
      <c r="D1421" s="9" t="str">
        <f>IFERROR(__xludf.DUMMYFUNCTION("GOOGLETRANSLATE(A1421,""ru"",""en"")"),"Solinne 16052 Chrome Toilet Paper Holder")</f>
        <v>Solinne 16052 Chrome Toilet Paper Holder</v>
      </c>
      <c r="E1421" s="8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6" t="s">
        <v>2730</v>
      </c>
      <c r="B1422" s="7" t="s">
        <v>2730</v>
      </c>
      <c r="C1422" s="8" t="s">
        <v>2731</v>
      </c>
      <c r="D1422" s="9" t="str">
        <f>IFERROR(__xludf.DUMMYFUNCTION("GOOGLETRANSLATE(A1422,""ru"",""en"")"),"Bucket comfort 16 l with spinning blue mpg5903")</f>
        <v>Bucket comfort 16 l with spinning blue mpg5903</v>
      </c>
      <c r="E1422" s="8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>
      <c r="A1423" s="6" t="s">
        <v>2732</v>
      </c>
      <c r="B1423" s="7" t="s">
        <v>2732</v>
      </c>
      <c r="C1423" s="8" t="s">
        <v>2733</v>
      </c>
      <c r="D1423" s="9" t="str">
        <f>IFERROR(__xludf.DUMMYFUNCTION("GOOGLETRANSLATE(A1423,""ru"",""en"")"),"Mammoth Mammoth Children Metal 2pcs MPM6788")</f>
        <v>Mammoth Mammoth Children Metal 2pcs MPM6788</v>
      </c>
      <c r="E1423" s="8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>
      <c r="A1424" s="6" t="s">
        <v>2734</v>
      </c>
      <c r="B1424" s="7" t="s">
        <v>2734</v>
      </c>
      <c r="C1424" s="8" t="s">
        <v>2735</v>
      </c>
      <c r="D1424" s="9" t="str">
        <f>IFERROR(__xludf.DUMMYFUNCTION("GOOGLETRANSLATE(A1424,""ru"",""en"")"),"Scoop with long Palermo handle")</f>
        <v>Scoop with long Palermo handle</v>
      </c>
      <c r="E1424" s="8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>
      <c r="A1425" s="6" t="s">
        <v>2736</v>
      </c>
      <c r="B1425" s="7" t="s">
        <v>2736</v>
      </c>
      <c r="C1425" s="8" t="s">
        <v>2737</v>
      </c>
      <c r="D1425" s="9" t="str">
        <f>IFERROR(__xludf.DUMMYFUNCTION("GOOGLETRANSLATE(A1425,""ru"",""en"")"),"Glass 400 ml for hot drinks white 50 pcs")</f>
        <v>Glass 400 ml for hot drinks white 50 pcs</v>
      </c>
      <c r="E1425" s="8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>
      <c r="A1426" s="6" t="s">
        <v>2027</v>
      </c>
      <c r="B1426" s="7" t="s">
        <v>2027</v>
      </c>
      <c r="C1426" s="8" t="s">
        <v>2028</v>
      </c>
      <c r="D1426" s="9" t="str">
        <f>IFERROR(__xludf.DUMMYFUNCTION("GOOGLETRANSLATE(A1426,""ru"",""en"")"),"Tool Cleaning Peumolux Dazzling white 480 g")</f>
        <v>Tool Cleaning Peumolux Dazzling white 480 g</v>
      </c>
      <c r="E1426" s="8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>
      <c r="A1427" s="6" t="s">
        <v>1756</v>
      </c>
      <c r="B1427" s="7" t="s">
        <v>1756</v>
      </c>
      <c r="C1427" s="8" t="s">
        <v>1757</v>
      </c>
      <c r="D1427" s="9" t="str">
        <f>IFERROR(__xludf.DUMMYFUNCTION("GOOGLETRANSLATE(A1427,""ru"",""en"")"),"Tool Cleaning Peumolux Sea Breeze 480 g")</f>
        <v>Tool Cleaning Peumolux Sea Breeze 480 g</v>
      </c>
      <c r="E1427" s="8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>
      <c r="A1428" s="6" t="s">
        <v>2738</v>
      </c>
      <c r="B1428" s="7" t="s">
        <v>2738</v>
      </c>
      <c r="C1428" s="8" t="s">
        <v>2739</v>
      </c>
      <c r="D1428" s="9" t="str">
        <f>IFERROR(__xludf.DUMMYFUNCTION("GOOGLETRANSLATE(A1428,""ru"",""en"")"),"Glass 100 ml transparent 100 pcs")</f>
        <v>Glass 100 ml transparent 100 pcs</v>
      </c>
      <c r="E1428" s="8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>
      <c r="A1429" s="6" t="s">
        <v>2740</v>
      </c>
      <c r="B1429" s="7" t="s">
        <v>2740</v>
      </c>
      <c r="C1429" s="8" t="s">
        <v>2741</v>
      </c>
      <c r="D1429" s="9" t="str">
        <f>IFERROR(__xludf.DUMMYFUNCTION("GOOGLETRANSLATE(A1429,""ru"",""en"")"),"Tool for washing dishes AJM Concentrate with Push-pool 1 l")</f>
        <v>Tool for washing dishes AJM Concentrate with Push-pool 1 l</v>
      </c>
      <c r="E1429" s="8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>
      <c r="A1430" s="6" t="s">
        <v>2742</v>
      </c>
      <c r="B1430" s="7" t="s">
        <v>2742</v>
      </c>
      <c r="C1430" s="8" t="s">
        <v>2743</v>
      </c>
      <c r="D1430" s="9" t="str">
        <f>IFERROR(__xludf.DUMMYFUNCTION("GOOGLETRANSLATE(A1430,""ru"",""en"")"),"Sticks for sushi 23 cm bamboo in PP packing 100 pcs")</f>
        <v>Sticks for sushi 23 cm bamboo in PP packing 100 pcs</v>
      </c>
      <c r="E1430" s="8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>
      <c r="A1431" s="6" t="s">
        <v>2744</v>
      </c>
      <c r="B1431" s="7" t="s">
        <v>2744</v>
      </c>
      <c r="C1431" s="8" t="s">
        <v>2745</v>
      </c>
      <c r="D1431" s="9" t="str">
        <f>IFERROR(__xludf.DUMMYFUNCTION("GOOGLETRANSLATE(A1431,""ru"",""en"")"),"Scoop with a lid and brush colored KAF300B / KAF300R")</f>
        <v>Scoop with a lid and brush colored KAF300B / KAF300R</v>
      </c>
      <c r="E1431" s="8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>
      <c r="A1432" s="6" t="s">
        <v>2746</v>
      </c>
      <c r="B1432" s="7" t="s">
        <v>2746</v>
      </c>
      <c r="C1432" s="8" t="s">
        <v>2747</v>
      </c>
      <c r="D1432" s="9" t="str">
        <f>IFERROR(__xludf.DUMMYFUNCTION("GOOGLETRANSLATE(A1432,""ru"",""en"")"),"Thread (twine) polypropylene 1000 Tex Painted NFSO on Spool")</f>
        <v>Thread (twine) polypropylene 1000 Tex Painted NFSO on Spool</v>
      </c>
      <c r="E1432" s="8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>
      <c r="A1433" s="6" t="s">
        <v>2748</v>
      </c>
      <c r="B1433" s="7" t="s">
        <v>2748</v>
      </c>
      <c r="C1433" s="8" t="s">
        <v>2749</v>
      </c>
      <c r="D1433" s="9" t="str">
        <f>IFERROR(__xludf.DUMMYFUNCTION("GOOGLETRANSLATE(A1433,""ru"",""en"")"),"Paper Toilet Zewa Plus Yellow Aroma Chamomile 4 Pieces")</f>
        <v>Paper Toilet Zewa Plus Yellow Aroma Chamomile 4 Pieces</v>
      </c>
      <c r="E1433" s="8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>
      <c r="A1434" s="6" t="s">
        <v>2750</v>
      </c>
      <c r="B1434" s="7" t="s">
        <v>2750</v>
      </c>
      <c r="C1434" s="8" t="s">
        <v>2751</v>
      </c>
      <c r="D1434" s="9" t="str">
        <f>IFERROR(__xludf.DUMMYFUNCTION("GOOGLETRANSLATE(A1434,""ru"",""en"")"),"Wooden D-40 mm Grinding")</f>
        <v>Wooden D-40 mm Grinding</v>
      </c>
      <c r="E1434" s="8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>
      <c r="A1435" s="6" t="s">
        <v>2752</v>
      </c>
      <c r="B1435" s="7" t="s">
        <v>2752</v>
      </c>
      <c r="C1435" s="8" t="s">
        <v>2753</v>
      </c>
      <c r="D1435" s="9" t="str">
        <f>IFERROR(__xludf.DUMMYFUNCTION("GOOGLETRANSLATE(A1435,""ru"",""en"")"),"MOP 80 cm acrylic split pocket OR80 / ORH80")</f>
        <v>MOP 80 cm acrylic split pocket OR80 / ORH80</v>
      </c>
      <c r="E1435" s="8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>
      <c r="A1436" s="6" t="s">
        <v>2754</v>
      </c>
      <c r="B1436" s="7" t="s">
        <v>2754</v>
      </c>
      <c r="C1436" s="8" t="s">
        <v>2755</v>
      </c>
      <c r="D1436" s="9" t="str">
        <f>IFERROR(__xludf.DUMMYFUNCTION("GOOGLETRANSLATE(A1436,""ru"",""en"")"),"MOP 80 cm acrylic split pocket MAL-80")</f>
        <v>MOP 80 cm acrylic split pocket MAL-80</v>
      </c>
      <c r="E1436" s="8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>
      <c r="A1437" s="6" t="s">
        <v>2756</v>
      </c>
      <c r="B1437" s="7" t="s">
        <v>2756</v>
      </c>
      <c r="C1437" s="8" t="s">
        <v>2757</v>
      </c>
      <c r="D1437" s="9" t="str">
        <f>IFERROR(__xludf.DUMMYFUNCTION("GOOGLETRANSLATE(A1437,""ru"",""en"")"),"Means for washing various surfaces Clin Multyleblket 500 ml")</f>
        <v>Means for washing various surfaces Clin Multyleblket 500 ml</v>
      </c>
      <c r="E1437" s="8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>
      <c r="A1438" s="6" t="s">
        <v>2758</v>
      </c>
      <c r="B1438" s="7" t="s">
        <v>2758</v>
      </c>
      <c r="C1438" s="8" t="s">
        <v>2759</v>
      </c>
      <c r="D1438" s="9" t="str">
        <f>IFERROR(__xludf.DUMMYFUNCTION("GOOGLETRANSLATE(A1438,""ru"",""en"")"),"Knives corn starch biodegradable green 18.5 cm 50 pcs")</f>
        <v>Knives corn starch biodegradable green 18.5 cm 50 pcs</v>
      </c>
      <c r="E1438" s="8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>
      <c r="A1439" s="6" t="s">
        <v>2760</v>
      </c>
      <c r="B1439" s="7" t="s">
        <v>2760</v>
      </c>
      <c r="C1439" s="8" t="s">
        <v>2761</v>
      </c>
      <c r="D1439" s="9" t="str">
        <f>IFERROR(__xludf.DUMMYFUNCTION("GOOGLETRANSLATE(A1439,""ru"",""en"")"),"Synthetic broom Ecotec 50 cm bristle 6 cm")</f>
        <v>Synthetic broom Ecotec 50 cm bristle 6 cm</v>
      </c>
      <c r="E1439" s="8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>
      <c r="A1440" s="6" t="s">
        <v>2762</v>
      </c>
      <c r="B1440" s="7" t="s">
        <v>2762</v>
      </c>
      <c r="C1440" s="8" t="s">
        <v>2763</v>
      </c>
      <c r="D1440" s="9" t="str">
        <f>IFERROR(__xludf.DUMMYFUNCTION("GOOGLETRANSLATE(A1440,""ru"",""en"")"),"Gel Quick for laundry laundry station wagon 5.5 l")</f>
        <v>Gel Quick for laundry laundry station wagon 5.5 l</v>
      </c>
      <c r="E1440" s="8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>
      <c r="A1441" s="6" t="s">
        <v>2764</v>
      </c>
      <c r="B1441" s="7" t="s">
        <v>2764</v>
      </c>
      <c r="C1441" s="8" t="s">
        <v>2765</v>
      </c>
      <c r="D1441" s="9" t="str">
        <f>IFERROR(__xludf.DUMMYFUNCTION("GOOGLETRANSLATE(A1441,""ru"",""en"")"),"Gel Quick for washing colored linen wagon 5.5 l")</f>
        <v>Gel Quick for washing colored linen wagon 5.5 l</v>
      </c>
      <c r="E1441" s="8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>
      <c r="A1442" s="6" t="s">
        <v>860</v>
      </c>
      <c r="B1442" s="7" t="s">
        <v>860</v>
      </c>
      <c r="C1442" s="8" t="s">
        <v>861</v>
      </c>
      <c r="D1442" s="9" t="str">
        <f>IFERROR(__xludf.DUMMYFUNCTION("GOOGLETRANSLATE(A1442,""ru"",""en"")"),"Paper Svetocopy A4.")</f>
        <v>Paper Svetocopy A4.</v>
      </c>
      <c r="E1442" s="8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>
      <c r="A1443" s="6" t="s">
        <v>2766</v>
      </c>
      <c r="B1443" s="7" t="s">
        <v>2766</v>
      </c>
      <c r="C1443" s="8" t="s">
        <v>2767</v>
      </c>
      <c r="D1443" s="9" t="str">
        <f>IFERROR(__xludf.DUMMYFUNCTION("GOOGLETRANSLATE(A1443,""ru"",""en"")"),"Latex gloves Household gloves high strength rr M 50 pcs")</f>
        <v>Latex gloves Household gloves high strength rr M 50 pcs</v>
      </c>
      <c r="E1443" s="8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>
      <c r="A1444" s="6" t="s">
        <v>2768</v>
      </c>
      <c r="B1444" s="7" t="s">
        <v>2768</v>
      </c>
      <c r="C1444" s="8" t="s">
        <v>2769</v>
      </c>
      <c r="D1444" s="9" t="str">
        <f>IFERROR(__xludf.DUMMYFUNCTION("GOOGLETRANSLATE(A1444,""ru"",""en"")"),"Latex Gloves Household Gloves Increased Strength Rr L 50 pcs")</f>
        <v>Latex Gloves Household Gloves Increased Strength Rr L 50 pcs</v>
      </c>
      <c r="E1444" s="8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>
      <c r="A1445" s="6" t="s">
        <v>2770</v>
      </c>
      <c r="B1445" s="7" t="s">
        <v>2770</v>
      </c>
      <c r="C1445" s="8" t="s">
        <v>2771</v>
      </c>
      <c r="D1445" s="9" t="str">
        <f>IFERROR(__xludf.DUMMYFUNCTION("GOOGLETRANSLATE(A1445,""ru"",""en"")"),"Antibacterial hand soap Synergetic biodegradable anti-rises Lemonongrass and mint 500 ml")</f>
        <v>Antibacterial hand soap Synergetic biodegradable anti-rises Lemonongrass and mint 500 ml</v>
      </c>
      <c r="E1445" s="8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>
      <c r="A1446" s="6" t="s">
        <v>2772</v>
      </c>
      <c r="B1446" s="7" t="s">
        <v>2772</v>
      </c>
      <c r="C1446" s="8" t="s">
        <v>2773</v>
      </c>
      <c r="D1446" s="9" t="str">
        <f>IFERROR(__xludf.DUMMYFUNCTION("GOOGLETRANSLATE(A1446,""ru"",""en"")"),"Antibacterial soap for Synergy Synergetic biodegradable ginger and bergamot 1 l")</f>
        <v>Antibacterial soap for Synergy Synergetic biodegradable ginger and bergamot 1 l</v>
      </c>
      <c r="E1446" s="8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>
      <c r="A1447" s="6" t="s">
        <v>2774</v>
      </c>
      <c r="B1447" s="7" t="s">
        <v>2774</v>
      </c>
      <c r="C1447" s="8" t="s">
        <v>2775</v>
      </c>
      <c r="D1447" s="9" t="str">
        <f>IFERROR(__xludf.DUMMYFUNCTION("GOOGLETRANSLATE(A1447,""ru"",""en"")"),"Concentrated Universal Floor Tool Biojudated Synergetic 1 L")</f>
        <v>Concentrated Universal Floor Tool Biojudated Synergetic 1 L</v>
      </c>
      <c r="E1447" s="8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>
      <c r="A1448" s="6" t="s">
        <v>2776</v>
      </c>
      <c r="B1448" s="7" t="s">
        <v>2776</v>
      </c>
      <c r="C1448" s="8" t="s">
        <v>2777</v>
      </c>
      <c r="D1448" s="9" t="str">
        <f>IFERROR(__xludf.DUMMYFUNCTION("GOOGLETRANSLATE(A1448,""ru"",""en"")"),"Antibacterial gel Synergetic for plumbing Tea tree and eucalyptus 700 ml")</f>
        <v>Antibacterial gel Synergetic for plumbing Tea tree and eucalyptus 700 ml</v>
      </c>
      <c r="E1448" s="8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>
      <c r="A1449" s="6" t="s">
        <v>2778</v>
      </c>
      <c r="B1449" s="7" t="s">
        <v>2778</v>
      </c>
      <c r="C1449" s="8" t="s">
        <v>2779</v>
      </c>
      <c r="D1449" s="9" t="str">
        <f>IFERROR(__xludf.DUMMYFUNCTION("GOOGLETRANSLATE(A1449,""ru"",""en"")"),"Tools biodegradable for washing windows and mirrors SYNERGETIC 500 ml")</f>
        <v>Tools biodegradable for washing windows and mirrors SYNERGETIC 500 ml</v>
      </c>
      <c r="E1449" s="8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>
      <c r="A1450" s="6" t="s">
        <v>2780</v>
      </c>
      <c r="B1450" s="7" t="s">
        <v>2780</v>
      </c>
      <c r="C1450" s="8" t="s">
        <v>2781</v>
      </c>
      <c r="D1450" s="9" t="str">
        <f>IFERROR(__xludf.DUMMYFUNCTION("GOOGLETRANSLATE(A1450,""ru"",""en"")"),"Antibacterial gel Synergetic for washing dishes and children's toys Juicy orange 500 ml")</f>
        <v>Antibacterial gel Synergetic for washing dishes and children's toys Juicy orange 500 ml</v>
      </c>
      <c r="E1450" s="8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>
      <c r="A1451" s="6" t="s">
        <v>2782</v>
      </c>
      <c r="B1451" s="7" t="s">
        <v>2782</v>
      </c>
      <c r="C1451" s="8" t="s">
        <v>2783</v>
      </c>
      <c r="D1451" s="9" t="str">
        <f>IFERROR(__xludf.DUMMYFUNCTION("GOOGLETRANSLATE(A1451,""ru"",""en"")"),"Biodegradable Means for Boards from Fat and Nagar Synergetic 1 L")</f>
        <v>Biodegradable Means for Boards from Fat and Nagar Synergetic 1 L</v>
      </c>
      <c r="E1451" s="8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>
      <c r="A1452" s="6" t="s">
        <v>2784</v>
      </c>
      <c r="B1452" s="7" t="s">
        <v>2784</v>
      </c>
      <c r="C1452" s="8" t="s">
        <v>2785</v>
      </c>
      <c r="D1452" s="9" t="str">
        <f>IFERROR(__xludf.DUMMYFUNCTION("GOOGLETRANSLATE(A1452,""ru"",""en"")"),"Biodegradable concentrated powder for washing Synergetic 20 washes")</f>
        <v>Biodegradable concentrated powder for washing Synergetic 20 washes</v>
      </c>
      <c r="E1452" s="8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>
      <c r="A1453" s="6" t="s">
        <v>2786</v>
      </c>
      <c r="B1453" s="7" t="s">
        <v>2786</v>
      </c>
      <c r="C1453" s="8" t="s">
        <v>2787</v>
      </c>
      <c r="D1453" s="9" t="str">
        <f>IFERROR(__xludf.DUMMYFUNCTION("GOOGLETRANSLATE(A1453,""ru"",""en"")"),"Oxygen-containing Blessed Synergetic Blider for Linen and Surfaces 1 L")</f>
        <v>Oxygen-containing Blessed Synergetic Blider for Linen and Surfaces 1 L</v>
      </c>
      <c r="E1453" s="8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>
      <c r="A1454" s="6" t="s">
        <v>2788</v>
      </c>
      <c r="B1454" s="7" t="s">
        <v>2788</v>
      </c>
      <c r="C1454" s="8" t="s">
        <v>2789</v>
      </c>
      <c r="D1454" s="9" t="str">
        <f>IFERROR(__xludf.DUMMYFUNCTION("GOOGLETRANSLATE(A1454,""ru"",""en"")"),"Universal Stainover Synergetic 1 L")</f>
        <v>Universal Stainover Synergetic 1 L</v>
      </c>
      <c r="E1454" s="8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>
      <c r="A1455" s="6" t="s">
        <v>2790</v>
      </c>
      <c r="B1455" s="7" t="s">
        <v>2790</v>
      </c>
      <c r="C1455" s="8" t="s">
        <v>2791</v>
      </c>
      <c r="D1455" s="9" t="str">
        <f>IFERROR(__xludf.DUMMYFUNCTION("GOOGLETRANSLATE(A1455,""ru"",""en"")"),"Biodegradable hypoallergenic Synergy gel for washing colored linen 2.75 l")</f>
        <v>Biodegradable hypoallergenic Synergy gel for washing colored linen 2.75 l</v>
      </c>
      <c r="E1455" s="8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>
      <c r="A1456" s="6" t="s">
        <v>2792</v>
      </c>
      <c r="B1456" s="7" t="s">
        <v>2792</v>
      </c>
      <c r="C1456" s="8" t="s">
        <v>2793</v>
      </c>
      <c r="D1456" s="9" t="str">
        <f>IFERROR(__xludf.DUMMYFUNCTION("GOOGLETRANSLATE(A1456,""ru"",""en"")"),"Air Freshener Premium Green Apple 250 ml")</f>
        <v>Air Freshener Premium Green Apple 250 ml</v>
      </c>
      <c r="E1456" s="8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>
      <c r="A1457" s="6" t="s">
        <v>2794</v>
      </c>
      <c r="B1457" s="7" t="s">
        <v>2794</v>
      </c>
      <c r="C1457" s="8" t="s">
        <v>2795</v>
      </c>
      <c r="D1457" s="9" t="str">
        <f>IFERROR(__xludf.DUMMYFUNCTION("GOOGLETRANSLATE(A1457,""ru"",""en"")"),"Means universal aerobeliza gel 1 l")</f>
        <v>Means universal aerobeliza gel 1 l</v>
      </c>
      <c r="E1457" s="8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>
      <c r="A1458" s="6" t="s">
        <v>2796</v>
      </c>
      <c r="B1458" s="7" t="s">
        <v>2796</v>
      </c>
      <c r="C1458" s="8" t="s">
        <v>2797</v>
      </c>
      <c r="D1458" s="9" t="str">
        <f>IFERROR(__xludf.DUMMYFUNCTION("GOOGLETRANSLATE(A1458,""ru"",""en"")"),"TDM PVC isolent 0.15 x 19 mm yellow 20 m")</f>
        <v>TDM PVC isolent 0.15 x 19 mm yellow 20 m</v>
      </c>
      <c r="E1458" s="8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>
      <c r="A1459" s="6" t="s">
        <v>1476</v>
      </c>
      <c r="B1459" s="7" t="s">
        <v>1476</v>
      </c>
      <c r="C1459" s="8" t="s">
        <v>1477</v>
      </c>
      <c r="D1459" s="9" t="str">
        <f>IFERROR(__xludf.DUMMYFUNCTION("GOOGLETRANSLATE(A1459,""ru"",""en"")"),"Lunch box without sections 100 pcs")</f>
        <v>Lunch box without sections 100 pcs</v>
      </c>
      <c r="E1459" s="8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>
      <c r="A1460" s="6" t="s">
        <v>1472</v>
      </c>
      <c r="B1460" s="7" t="s">
        <v>1472</v>
      </c>
      <c r="C1460" s="8" t="s">
        <v>1473</v>
      </c>
      <c r="D1460" s="9" t="str">
        <f>IFERROR(__xludf.DUMMYFUNCTION("GOOGLETRANSLATE(A1460,""ru"",""en"")"),"Lunch box 2-section 100 pieces")</f>
        <v>Lunch box 2-section 100 pieces</v>
      </c>
      <c r="E1460" s="8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>
      <c r="A1461" s="6" t="s">
        <v>2798</v>
      </c>
      <c r="B1461" s="7" t="s">
        <v>2798</v>
      </c>
      <c r="C1461" s="8" t="s">
        <v>2799</v>
      </c>
      <c r="D1461" s="9" t="str">
        <f>IFERROR(__xludf.DUMMYFUNCTION("GOOGLETRANSLATE(A1461,""ru"",""en"")"),"Paper tubes 6 x 197 mm Green stripes 25 pcs")</f>
        <v>Paper tubes 6 x 197 mm Green stripes 25 pcs</v>
      </c>
      <c r="E1461" s="8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>
      <c r="A1462" s="6" t="s">
        <v>2800</v>
      </c>
      <c r="B1462" s="7" t="s">
        <v>2800</v>
      </c>
      <c r="C1462" s="8" t="s">
        <v>2801</v>
      </c>
      <c r="D1462" s="9" t="str">
        <f>IFERROR(__xludf.DUMMYFUNCTION("GOOGLETRANSLATE(A1462,""ru"",""en"")"),"Paper tubes 6 x 197 mm Purple 25 pcs")</f>
        <v>Paper tubes 6 x 197 mm Purple 25 pcs</v>
      </c>
      <c r="E1462" s="8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>
      <c r="A1463" s="6" t="s">
        <v>2802</v>
      </c>
      <c r="B1463" s="7" t="s">
        <v>2802</v>
      </c>
      <c r="C1463" s="8" t="s">
        <v>2803</v>
      </c>
      <c r="D1463" s="9" t="str">
        <f>IFERROR(__xludf.DUMMYFUNCTION("GOOGLETRANSLATE(A1463,""ru"",""en"")"),"Glass 250 ml for hot drinks Coffee Flavor 50 pcs")</f>
        <v>Glass 250 ml for hot drinks Coffee Flavor 50 pcs</v>
      </c>
      <c r="E1463" s="8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>
      <c r="A1464" s="6" t="s">
        <v>2804</v>
      </c>
      <c r="B1464" s="7" t="s">
        <v>2804</v>
      </c>
      <c r="C1464" s="8" t="s">
        <v>2805</v>
      </c>
      <c r="D1464" s="9" t="str">
        <f>IFERROR(__xludf.DUMMYFUNCTION("GOOGLETRANSLATE(A1464,""ru"",""en"")"),"Glass 250 ml For hot drinks Emoji Yellow 50 pcs")</f>
        <v>Glass 250 ml For hot drinks Emoji Yellow 50 pcs</v>
      </c>
      <c r="E1464" s="8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>
      <c r="A1465" s="6" t="s">
        <v>2806</v>
      </c>
      <c r="B1465" s="7" t="s">
        <v>2806</v>
      </c>
      <c r="C1465" s="8" t="s">
        <v>2807</v>
      </c>
      <c r="D1465" s="9" t="str">
        <f>IFERROR(__xludf.DUMMYFUNCTION("GOOGLETRANSLATE(A1465,""ru"",""en"")"),"Glass 250 ml for hot drinks Emoji green 50 pcs")</f>
        <v>Glass 250 ml for hot drinks Emoji green 50 pcs</v>
      </c>
      <c r="E1465" s="8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>
      <c r="A1466" s="6" t="s">
        <v>2808</v>
      </c>
      <c r="B1466" s="7" t="s">
        <v>2808</v>
      </c>
      <c r="C1466" s="8" t="s">
        <v>2809</v>
      </c>
      <c r="D1466" s="9" t="str">
        <f>IFERROR(__xludf.DUMMYFUNCTION("GOOGLETRANSLATE(A1466,""ru"",""en"")"),"Glass 250 ml for hot drinks Premium Qualiti 50 pcs")</f>
        <v>Glass 250 ml for hot drinks Premium Qualiti 50 pcs</v>
      </c>
      <c r="E1466" s="8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>
      <c r="A1467" s="6" t="s">
        <v>2810</v>
      </c>
      <c r="B1467" s="7" t="s">
        <v>2810</v>
      </c>
      <c r="C1467" s="8" t="s">
        <v>2811</v>
      </c>
      <c r="D1467" s="9" t="str">
        <f>IFERROR(__xludf.DUMMYFUNCTION("GOOGLETRANSLATE(A1467,""ru"",""en"")"),"Glass 250 ml for hot drinks Take the best 50 pcs")</f>
        <v>Glass 250 ml for hot drinks Take the best 50 pcs</v>
      </c>
      <c r="E1467" s="8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>
      <c r="A1468" s="6" t="s">
        <v>2812</v>
      </c>
      <c r="B1468" s="7" t="s">
        <v>2812</v>
      </c>
      <c r="C1468" s="8" t="s">
        <v>2813</v>
      </c>
      <c r="D1468" s="9" t="str">
        <f>IFERROR(__xludf.DUMMYFUNCTION("GOOGLETRANSLATE(A1468,""ru"",""en"")"),"Glass 250 ml for hot drinks D-City Red 50 pcs")</f>
        <v>Glass 250 ml for hot drinks D-City Red 50 pcs</v>
      </c>
      <c r="E1468" s="8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>
      <c r="A1469" s="6" t="s">
        <v>2814</v>
      </c>
      <c r="B1469" s="7" t="s">
        <v>2814</v>
      </c>
      <c r="C1469" s="8" t="s">
        <v>2815</v>
      </c>
      <c r="D1469" s="9" t="str">
        <f>IFERROR(__xludf.DUMMYFUNCTION("GOOGLETRANSLATE(A1469,""ru"",""en"")"),"Glass 250 ml for hot drinks D-City green 50 pcs")</f>
        <v>Glass 250 ml for hot drinks D-City green 50 pcs</v>
      </c>
      <c r="E1469" s="8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>
      <c r="A1470" s="6" t="s">
        <v>2816</v>
      </c>
      <c r="B1470" s="7" t="s">
        <v>2816</v>
      </c>
      <c r="C1470" s="8" t="s">
        <v>2817</v>
      </c>
      <c r="D1470" s="9" t="str">
        <f>IFERROR(__xludf.DUMMYFUNCTION("GOOGLETRANSLATE(A1470,""ru"",""en"")"),"Glass 250 ml for hot drinks D-Coffee in Any Weather 50 pcs")</f>
        <v>Glass 250 ml for hot drinks D-Coffee in Any Weather 50 pcs</v>
      </c>
      <c r="E1470" s="8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>
      <c r="A1471" s="6" t="s">
        <v>2818</v>
      </c>
      <c r="B1471" s="7" t="s">
        <v>2818</v>
      </c>
      <c r="C1471" s="8" t="s">
        <v>2819</v>
      </c>
      <c r="D1471" s="9" t="str">
        <f>IFERROR(__xludf.DUMMYFUNCTION("GOOGLETRANSLATE(A1471,""ru"",""en"")"),"Glass 250 ml for hot drinks d-coffee tea 50 pcs")</f>
        <v>Glass 250 ml for hot drinks d-coffee tea 50 pcs</v>
      </c>
      <c r="E1471" s="8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>
      <c r="A1472" s="6" t="s">
        <v>2820</v>
      </c>
      <c r="B1472" s="7" t="s">
        <v>2820</v>
      </c>
      <c r="C1472" s="8" t="s">
        <v>2821</v>
      </c>
      <c r="D1472" s="9" t="str">
        <f>IFERROR(__xludf.DUMMYFUNCTION("GOOGLETRANSLATE(A1472,""ru"",""en"")"),"Glass 250 ml for hot drinks menu 50 pcs")</f>
        <v>Glass 250 ml for hot drinks menu 50 pcs</v>
      </c>
      <c r="E1472" s="8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>
      <c r="A1473" s="6" t="s">
        <v>2822</v>
      </c>
      <c r="B1473" s="7" t="s">
        <v>2822</v>
      </c>
      <c r="C1473" s="8" t="s">
        <v>2823</v>
      </c>
      <c r="D1473" s="9" t="str">
        <f>IFERROR(__xludf.DUMMYFUNCTION("GOOGLETRANSLATE(A1473,""ru"",""en"")"),"Glass 250 ml for hot beverages blue 50 pcs")</f>
        <v>Glass 250 ml for hot beverages blue 50 pcs</v>
      </c>
      <c r="E1473" s="8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>
      <c r="A1474" s="6" t="s">
        <v>2824</v>
      </c>
      <c r="B1474" s="7" t="s">
        <v>2824</v>
      </c>
      <c r="C1474" s="8" t="s">
        <v>2825</v>
      </c>
      <c r="D1474" s="9" t="str">
        <f>IFERROR(__xludf.DUMMYFUNCTION("GOOGLETRANSLATE(A1474,""ru"",""en"")"),"Glass 250 ml for hot drinks D-Fresh 50 pcs")</f>
        <v>Glass 250 ml for hot drinks D-Fresh 50 pcs</v>
      </c>
      <c r="E1474" s="8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>
      <c r="A1475" s="6" t="s">
        <v>2826</v>
      </c>
      <c r="B1475" s="7" t="s">
        <v>2826</v>
      </c>
      <c r="C1475" s="8" t="s">
        <v>2827</v>
      </c>
      <c r="D1475" s="9" t="str">
        <f>IFERROR(__xludf.DUMMYFUNCTION("GOOGLETRANSLATE(A1475,""ru"",""en"")"),"Glass 250 ml for hot drinks good mood 50 pcs")</f>
        <v>Glass 250 ml for hot drinks good mood 50 pcs</v>
      </c>
      <c r="E1475" s="8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>
      <c r="A1476" s="6" t="s">
        <v>2828</v>
      </c>
      <c r="B1476" s="7" t="s">
        <v>2828</v>
      </c>
      <c r="C1476" s="8" t="s">
        <v>2829</v>
      </c>
      <c r="D1476" s="9" t="str">
        <f>IFERROR(__xludf.DUMMYFUNCTION("GOOGLETRANSLATE(A1476,""ru"",""en"")"),"Glass 350 ml for hot drinks Coffee Flavor 50 pcs")</f>
        <v>Glass 350 ml for hot drinks Coffee Flavor 50 pcs</v>
      </c>
      <c r="E1476" s="8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>
      <c r="A1477" s="6" t="s">
        <v>2830</v>
      </c>
      <c r="B1477" s="7" t="s">
        <v>2830</v>
      </c>
      <c r="C1477" s="8" t="s">
        <v>2831</v>
      </c>
      <c r="D1477" s="9" t="str">
        <f>IFERROR(__xludf.DUMMYFUNCTION("GOOGLETRANSLATE(A1477,""ru"",""en"")"),"Glass 350 ml For hot drinks Emoji Yellow 50 pcs")</f>
        <v>Glass 350 ml For hot drinks Emoji Yellow 50 pcs</v>
      </c>
      <c r="E1477" s="8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>
      <c r="A1478" s="6" t="s">
        <v>2832</v>
      </c>
      <c r="B1478" s="7" t="s">
        <v>2832</v>
      </c>
      <c r="C1478" s="8" t="s">
        <v>2833</v>
      </c>
      <c r="D1478" s="9" t="str">
        <f>IFERROR(__xludf.DUMMYFUNCTION("GOOGLETRANSLATE(A1478,""ru"",""en"")"),"A glass of 350 ml for hot drinks Emoji green 50 pcs")</f>
        <v>A glass of 350 ml for hot drinks Emoji green 50 pcs</v>
      </c>
      <c r="E1478" s="8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>
      <c r="A1479" s="6" t="s">
        <v>2834</v>
      </c>
      <c r="B1479" s="7" t="s">
        <v>2834</v>
      </c>
      <c r="C1479" s="8" t="s">
        <v>2835</v>
      </c>
      <c r="D1479" s="9" t="str">
        <f>IFERROR(__xludf.DUMMYFUNCTION("GOOGLETRANSLATE(A1479,""ru"",""en"")"),"Glass 350 ml for hot drinks Premium Qualiti 50 pcs")</f>
        <v>Glass 350 ml for hot drinks Premium Qualiti 50 pcs</v>
      </c>
      <c r="E1479" s="8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>
      <c r="A1480" s="6" t="s">
        <v>2736</v>
      </c>
      <c r="B1480" s="7" t="s">
        <v>2736</v>
      </c>
      <c r="C1480" s="8" t="s">
        <v>2737</v>
      </c>
      <c r="D1480" s="9" t="str">
        <f>IFERROR(__xludf.DUMMYFUNCTION("GOOGLETRANSLATE(A1480,""ru"",""en"")"),"Glass 400 ml for hot drinks white 50 pcs")</f>
        <v>Glass 400 ml for hot drinks white 50 pcs</v>
      </c>
      <c r="E1480" s="8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>
      <c r="A1481" s="6" t="s">
        <v>2836</v>
      </c>
      <c r="B1481" s="7" t="s">
        <v>2836</v>
      </c>
      <c r="C1481" s="8" t="s">
        <v>2837</v>
      </c>
      <c r="D1481" s="9" t="str">
        <f>IFERROR(__xludf.DUMMYFUNCTION("GOOGLETRANSLATE(A1481,""ru"",""en"")"),"Container universal paper without window 1000 ml 190 x 150/170 x 130 mm H-50 mm 50 pcs")</f>
        <v>Container universal paper without window 1000 ml 190 x 150/170 x 130 mm H-50 mm 50 pcs</v>
      </c>
      <c r="E1481" s="8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>
      <c r="A1482" s="6" t="s">
        <v>2838</v>
      </c>
      <c r="B1482" s="7" t="s">
        <v>2838</v>
      </c>
      <c r="C1482" s="8" t="s">
        <v>2839</v>
      </c>
      <c r="D1482" s="9" t="str">
        <f>IFERROR(__xludf.DUMMYFUNCTION("GOOGLETRANSLATE(A1482,""ru"",""en"")"),"Container universal paper without windows 600 ml 150 x 115/130 x 95 mm H-50 mm 50 pcs")</f>
        <v>Container universal paper without windows 600 ml 150 x 115/130 x 95 mm H-50 mm 50 pcs</v>
      </c>
      <c r="E1482" s="8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>
      <c r="A1483" s="6" t="s">
        <v>2840</v>
      </c>
      <c r="B1483" s="7" t="s">
        <v>2840</v>
      </c>
      <c r="C1483" s="8" t="s">
        <v>2841</v>
      </c>
      <c r="D1483" s="9" t="str">
        <f>IFERROR(__xludf.DUMMYFUNCTION("GOOGLETRANSLATE(A1483,""ru"",""en"")"),"Container universal paper without windows 1000 ml 200 x 120 x 45 mm 50 pcs")</f>
        <v>Container universal paper without windows 1000 ml 200 x 120 x 45 mm 50 pcs</v>
      </c>
      <c r="E1483" s="8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>
      <c r="A1484" s="6" t="s">
        <v>2842</v>
      </c>
      <c r="B1484" s="7" t="s">
        <v>2842</v>
      </c>
      <c r="C1484" s="8" t="s">
        <v>2843</v>
      </c>
      <c r="D1484" s="9" t="str">
        <f>IFERROR(__xludf.DUMMYFUNCTION("GOOGLETRANSLATE(A1484,""ru"",""en"")"),"Cups coffee white-brown pack-uniti 200 ml 50 pcs")</f>
        <v>Cups coffee white-brown pack-uniti 200 ml 50 pcs</v>
      </c>
      <c r="E1484" s="8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>
      <c r="A1485" s="6" t="s">
        <v>2844</v>
      </c>
      <c r="B1485" s="7" t="s">
        <v>2844</v>
      </c>
      <c r="C1485" s="8" t="s">
        <v>2845</v>
      </c>
      <c r="D1485" s="9" t="str">
        <f>IFERROR(__xludf.DUMMYFUNCTION("GOOGLETRANSLATE(A1485,""ru"",""en"")"),"Spoon dining room compact 16.5 cm ps 100 pcs")</f>
        <v>Spoon dining room compact 16.5 cm ps 100 pcs</v>
      </c>
      <c r="E1485" s="8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>
      <c r="A1486" s="6" t="s">
        <v>2846</v>
      </c>
      <c r="B1486" s="7" t="s">
        <v>2846</v>
      </c>
      <c r="C1486" s="8" t="s">
        <v>2847</v>
      </c>
      <c r="D1486" s="9" t="str">
        <f>IFERROR(__xludf.DUMMYFUNCTION("GOOGLETRANSLATE(A1486,""ru"",""en"")"),"Plastic plate 165 mm dessert 100 pcs")</f>
        <v>Plastic plate 165 mm dessert 100 pcs</v>
      </c>
      <c r="E1486" s="8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>
      <c r="A1487" s="6" t="s">
        <v>2848</v>
      </c>
      <c r="B1487" s="7" t="s">
        <v>2848</v>
      </c>
      <c r="C1487" s="8" t="s">
        <v>2849</v>
      </c>
      <c r="D1487" s="9" t="str">
        <f>IFERROR(__xludf.DUMMYFUNCTION("GOOGLETRANSLATE(A1487,""ru"",""en"")"),"Confectionery bag H-65 100 pcs")</f>
        <v>Confectionery bag H-65 100 pcs</v>
      </c>
      <c r="E1487" s="8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>
      <c r="A1488" s="6" t="s">
        <v>2850</v>
      </c>
      <c r="B1488" s="7" t="s">
        <v>2850</v>
      </c>
      <c r="C1488" s="8" t="s">
        <v>2851</v>
      </c>
      <c r="D1488" s="9" t="str">
        <f>IFERROR(__xludf.DUMMYFUNCTION("GOOGLETRANSLATE(A1488,""ru"",""en"")"),"Thermometer for Refrigerator Iceberg")</f>
        <v>Thermometer for Refrigerator Iceberg</v>
      </c>
      <c r="E1488" s="8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>
      <c r="A1489" s="6" t="s">
        <v>2852</v>
      </c>
      <c r="B1489" s="7" t="s">
        <v>2852</v>
      </c>
      <c r="C1489" s="8" t="s">
        <v>2853</v>
      </c>
      <c r="D1489" s="9" t="str">
        <f>IFERROR(__xludf.DUMMYFUNCTION("GOOGLETRANSLATE(A1489,""ru"",""en"")"),"Double-layer napkins 33 x 33 cm 200 l")</f>
        <v>Double-layer napkins 33 x 33 cm 200 l</v>
      </c>
      <c r="E1489" s="8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>
      <c r="A1490" s="6" t="s">
        <v>2854</v>
      </c>
      <c r="B1490" s="7" t="s">
        <v>2854</v>
      </c>
      <c r="C1490" s="8" t="s">
        <v>2855</v>
      </c>
      <c r="D1490" s="9" t="str">
        <f>IFERROR(__xludf.DUMMYFUNCTION("GOOGLETRANSLATE(A1490,""ru"",""en"")"),"Tool for washing dishes Apple 5 l")</f>
        <v>Tool for washing dishes Apple 5 l</v>
      </c>
      <c r="E1490" s="8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>
      <c r="A1491" s="6" t="s">
        <v>2856</v>
      </c>
      <c r="B1491" s="7" t="s">
        <v>2856</v>
      </c>
      <c r="C1491" s="8" t="s">
        <v>2857</v>
      </c>
      <c r="D1491" s="9" t="str">
        <f>IFERROR(__xludf.DUMMYFUNCTION("GOOGLETRANSLATE(A1491,""ru"",""en"")"),"Broom sorghum 3-firmware suite")</f>
        <v>Broom sorghum 3-firmware suite</v>
      </c>
      <c r="E1491" s="8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>
      <c r="A1492" s="6" t="s">
        <v>2858</v>
      </c>
      <c r="B1492" s="7" t="s">
        <v>2858</v>
      </c>
      <c r="C1492" s="8" t="s">
        <v>2859</v>
      </c>
      <c r="D1492" s="9" t="str">
        <f>IFERROR(__xludf.DUMMYFUNCTION("GOOGLETRANSLATE(A1492,""ru"",""en"")"),"Gloves nitrile Household Gloves Rr L 100 pcs")</f>
        <v>Gloves nitrile Household Gloves Rr L 100 pcs</v>
      </c>
      <c r="E1492" s="8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>
      <c r="A1493" s="6" t="s">
        <v>2860</v>
      </c>
      <c r="B1493" s="7" t="s">
        <v>2860</v>
      </c>
      <c r="C1493" s="8" t="s">
        <v>2861</v>
      </c>
      <c r="D1493" s="9" t="str">
        <f>IFERROR(__xludf.DUMMYFUNCTION("GOOGLETRANSLATE(A1493,""ru"",""en"")"),"Gloves nitrile Household Gloves Black Rr XL 100 pcs")</f>
        <v>Gloves nitrile Household Gloves Black Rr XL 100 pcs</v>
      </c>
      <c r="E1493" s="8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>
      <c r="A1494" s="6" t="s">
        <v>2862</v>
      </c>
      <c r="B1494" s="7" t="s">
        <v>2862</v>
      </c>
      <c r="C1494" s="8" t="s">
        <v>2863</v>
      </c>
      <c r="D1494" s="9" t="str">
        <f>IFERROR(__xludf.DUMMYFUNCTION("GOOGLETRANSLATE(A1494,""ru"",""en"")"),"Bags for garbage Mirpack PVD 300 l 120x140 cm 50 μm 50 pcs")</f>
        <v>Bags for garbage Mirpack PVD 300 l 120x140 cm 50 μm 50 pcs</v>
      </c>
      <c r="E1494" s="8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>
      <c r="A1495" s="6" t="s">
        <v>2864</v>
      </c>
      <c r="B1495" s="7" t="s">
        <v>2864</v>
      </c>
      <c r="C1495" s="8" t="s">
        <v>2865</v>
      </c>
      <c r="D1495" s="9" t="str">
        <f>IFERROR(__xludf.DUMMYFUNCTION("GOOGLETRANSLATE(A1495,""ru"",""en"")"),"Tool for washing dishes Sorti Balsam with chamomile extract 900 ml")</f>
        <v>Tool for washing dishes Sorti Balsam with chamomile extract 900 ml</v>
      </c>
      <c r="E1495" s="8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>
      <c r="A1496" s="6" t="s">
        <v>2866</v>
      </c>
      <c r="B1496" s="7" t="s">
        <v>2866</v>
      </c>
      <c r="C1496" s="8" t="s">
        <v>2867</v>
      </c>
      <c r="D1496" s="9" t="str">
        <f>IFERROR(__xludf.DUMMYFUNCTION("GOOGLETRANSLATE(A1496,""ru"",""en"")"),"Knitted gloves with PVC gray 10 cl. 5 threades")</f>
        <v>Knitted gloves with PVC gray 10 cl. 5 threades</v>
      </c>
      <c r="E1496" s="8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>
      <c r="A1497" s="6" t="s">
        <v>2868</v>
      </c>
      <c r="B1497" s="7" t="s">
        <v>2868</v>
      </c>
      <c r="C1497" s="8" t="s">
        <v>2869</v>
      </c>
      <c r="D1497" s="9" t="str">
        <f>IFERROR(__xludf.DUMMYFUNCTION("GOOGLETRANSLATE(A1497,""ru"",""en"")"),"Gloves nylon flower with silicone coating")</f>
        <v>Gloves nylon flower with silicone coating</v>
      </c>
      <c r="E1497" s="8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>
      <c r="A1498" s="6" t="s">
        <v>2870</v>
      </c>
      <c r="B1498" s="7" t="s">
        <v>2870</v>
      </c>
      <c r="C1498" s="8" t="s">
        <v>2871</v>
      </c>
      <c r="D1498" s="9" t="str">
        <f>IFERROR(__xludf.DUMMYFUNCTION("GOOGLETRANSLATE(A1498,""ru"",""en"")"),"Liquid soap white cotton 1 l")</f>
        <v>Liquid soap white cotton 1 l</v>
      </c>
      <c r="E1498" s="8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>
      <c r="A1499" s="6" t="s">
        <v>2872</v>
      </c>
      <c r="B1499" s="7" t="s">
        <v>2872</v>
      </c>
      <c r="C1499" s="8" t="s">
        <v>2873</v>
      </c>
      <c r="D1499" s="9" t="str">
        <f>IFERROR(__xludf.DUMMYFUNCTION("GOOGLETRANSLATE(A1499,""ru"",""en"")"),"Toilet soap Avax fruit 90 g")</f>
        <v>Toilet soap Avax fruit 90 g</v>
      </c>
      <c r="E1499" s="8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>
      <c r="A1500" s="6" t="s">
        <v>2874</v>
      </c>
      <c r="B1500" s="7" t="s">
        <v>2874</v>
      </c>
      <c r="C1500" s="8" t="s">
        <v>2875</v>
      </c>
      <c r="D1500" s="9" t="str">
        <f>IFERROR(__xludf.DUMMYFUNCTION("GOOGLETRANSLATE(A1500,""ru"",""en"")"),"Jumbo toilet paper on cellulose sleeve Single-layer 180 m")</f>
        <v>Jumbo toilet paper on cellulose sleeve Single-layer 180 m</v>
      </c>
      <c r="E1500" s="8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>
      <c r="A1501" s="6" t="s">
        <v>2876</v>
      </c>
      <c r="B1501" s="7" t="s">
        <v>2876</v>
      </c>
      <c r="C1501" s="8" t="s">
        <v>2877</v>
      </c>
      <c r="D1501" s="9" t="str">
        <f>IFERROR(__xludf.DUMMYFUNCTION("GOOGLETRANSLATE(A1501,""ru"",""en"")"),"Troller Trolley TK722 Metal One bucket 25 l")</f>
        <v>Troller Trolley TK722 Metal One bucket 25 l</v>
      </c>
      <c r="E1501" s="8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>
      <c r="A1502" s="6" t="s">
        <v>2878</v>
      </c>
      <c r="B1502" s="7" t="s">
        <v>2878</v>
      </c>
      <c r="C1502" s="8" t="s">
        <v>2879</v>
      </c>
      <c r="D1502" s="9" t="str">
        <f>IFERROR(__xludf.DUMMYFUNCTION("GOOGLETRANSLATE(A1502,""ru"",""en"")"),"Nitrile Gloves Household Gloves Black Rr M M 100 Pcs")</f>
        <v>Nitrile Gloves Household Gloves Black Rr M M 100 Pcs</v>
      </c>
      <c r="E1502" s="8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>
      <c r="A1503" s="6" t="s">
        <v>2880</v>
      </c>
      <c r="B1503" s="7" t="s">
        <v>2880</v>
      </c>
      <c r="C1503" s="8" t="s">
        <v>2881</v>
      </c>
      <c r="D1503" s="9" t="str">
        <f>IFERROR(__xludf.DUMMYFUNCTION("GOOGLETRANSLATE(A1503,""ru"",""en"")"),"Nitrile Gloves Household Gloves Black Rr L 100 pcs")</f>
        <v>Nitrile Gloves Household Gloves Black Rr L 100 pcs</v>
      </c>
      <c r="E1503" s="8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>
      <c r="A1504" s="6" t="s">
        <v>2768</v>
      </c>
      <c r="B1504" s="7" t="s">
        <v>2768</v>
      </c>
      <c r="C1504" s="8" t="s">
        <v>2769</v>
      </c>
      <c r="D1504" s="9" t="str">
        <f>IFERROR(__xludf.DUMMYFUNCTION("GOOGLETRANSLATE(A1504,""ru"",""en"")"),"Latex Gloves Household Gloves Increased Strength Rr L 50 pcs")</f>
        <v>Latex Gloves Household Gloves Increased Strength Rr L 50 pcs</v>
      </c>
      <c r="E1504" s="8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>
      <c r="A1505" s="6" t="s">
        <v>2882</v>
      </c>
      <c r="B1505" s="7" t="s">
        <v>2882</v>
      </c>
      <c r="C1505" s="8" t="s">
        <v>2883</v>
      </c>
      <c r="D1505" s="9" t="str">
        <f>IFERROR(__xludf.DUMMYFUNCTION("GOOGLETRANSLATE(A1505,""ru"",""en"")"),"Latex gloves Household Gloves high strength rr s 50 pcs")</f>
        <v>Latex gloves Household Gloves high strength rr s 50 pcs</v>
      </c>
      <c r="E1505" s="8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>
      <c r="A1506" s="6" t="s">
        <v>2884</v>
      </c>
      <c r="B1506" s="7" t="s">
        <v>2884</v>
      </c>
      <c r="C1506" s="8" t="s">
        <v>2885</v>
      </c>
      <c r="D1506" s="9" t="str">
        <f>IFERROR(__xludf.DUMMYFUNCTION("GOOGLETRANSLATE(A1506,""ru"",""en"")"),"Liquid soap white cotton 5 l")</f>
        <v>Liquid soap white cotton 5 l</v>
      </c>
      <c r="E1506" s="8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>
      <c r="A1507" s="6" t="s">
        <v>2886</v>
      </c>
      <c r="B1507" s="7" t="s">
        <v>2886</v>
      </c>
      <c r="C1507" s="8" t="s">
        <v>2887</v>
      </c>
      <c r="D1507" s="9" t="str">
        <f>IFERROR(__xludf.DUMMYFUNCTION("GOOGLETRANSLATE(A1507,""ru"",""en"")"),"Thermometer kitchen for food with LCD SIPL AG254B")</f>
        <v>Thermometer kitchen for food with LCD SIPL AG254B</v>
      </c>
      <c r="E1507" s="8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>
      <c r="A1508" s="6" t="s">
        <v>2888</v>
      </c>
      <c r="B1508" s="7" t="s">
        <v>2888</v>
      </c>
      <c r="C1508" s="8" t="s">
        <v>2889</v>
      </c>
      <c r="D1508" s="9" t="str">
        <f>IFERROR(__xludf.DUMMYFUNCTION("GOOGLETRANSLATE(A1508,""ru"",""en"")"),"Paper Towels V-addition Lasla Econom 200 l")</f>
        <v>Paper Towels V-addition Lasla Econom 200 l</v>
      </c>
      <c r="E1508" s="8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>
      <c r="A1509" s="6" t="s">
        <v>2890</v>
      </c>
      <c r="B1509" s="7" t="s">
        <v>2890</v>
      </c>
      <c r="C1509" s="8" t="s">
        <v>2891</v>
      </c>
      <c r="D1509" s="9" t="str">
        <f>IFERROR(__xludf.DUMMYFUNCTION("GOOGLETRANSLATE(A1509,""ru"",""en"")"),"Microfiber napkin 35x35 cm for optics and glass purple m200g1")</f>
        <v>Microfiber napkin 35x35 cm for optics and glass purple m200g1</v>
      </c>
      <c r="E1509" s="8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>
      <c r="A1510" s="6" t="s">
        <v>2892</v>
      </c>
      <c r="B1510" s="7" t="s">
        <v>2892</v>
      </c>
      <c r="C1510" s="8" t="s">
        <v>2893</v>
      </c>
      <c r="D1510" s="9" t="str">
        <f>IFERROR(__xludf.DUMMYFUNCTION("GOOGLETRANSLATE(A1510,""ru"",""en"")"),"Gloves Economic Continentpal, P-R M (1 pair)")</f>
        <v>Gloves Economic Continentpal, P-R M (1 pair)</v>
      </c>
      <c r="E1510" s="8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>
      <c r="A1511" s="6" t="s">
        <v>2894</v>
      </c>
      <c r="B1511" s="7" t="s">
        <v>2894</v>
      </c>
      <c r="C1511" s="8" t="s">
        <v>2895</v>
      </c>
      <c r="D1511" s="9" t="str">
        <f>IFERROR(__xludf.DUMMYFUNCTION("GOOGLETRANSLATE(A1511,""ru"",""en"")"),"Dispenser for Antiseptic 500 ml")</f>
        <v>Dispenser for Antiseptic 500 ml</v>
      </c>
      <c r="E1511" s="8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>
      <c r="A1512" s="6" t="s">
        <v>2896</v>
      </c>
      <c r="B1512" s="7" t="s">
        <v>2896</v>
      </c>
      <c r="C1512" s="8" t="s">
        <v>2897</v>
      </c>
      <c r="D1512" s="9" t="str">
        <f>IFERROR(__xludf.DUMMYFUNCTION("GOOGLETRANSLATE(A1512,""ru"",""en"")"),"Glass 350 ml for hot beverages Kraft 50 pcs")</f>
        <v>Glass 350 ml for hot beverages Kraft 50 pcs</v>
      </c>
      <c r="E1512" s="8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>
      <c r="A1513" s="6" t="s">
        <v>2898</v>
      </c>
      <c r="B1513" s="7" t="s">
        <v>2898</v>
      </c>
      <c r="C1513" s="8" t="s">
        <v>2899</v>
      </c>
      <c r="D1513" s="9" t="str">
        <f>IFERROR(__xludf.DUMMYFUNCTION("GOOGLETRANSLATE(A1513,""ru"",""en"")"),"Concentrated linen rinse Sensitive FROSCH ZERO 750 ml")</f>
        <v>Concentrated linen rinse Sensitive FROSCH ZERO 750 ml</v>
      </c>
      <c r="E1513" s="8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>
      <c r="A1514" s="6" t="s">
        <v>2900</v>
      </c>
      <c r="B1514" s="7" t="s">
        <v>2900</v>
      </c>
      <c r="C1514" s="8" t="s">
        <v>2901</v>
      </c>
      <c r="D1514" s="9" t="str">
        <f>IFERROR(__xludf.DUMMYFUNCTION("GOOGLETRANSLATE(A1514,""ru"",""en"")"),"Economic Gloves Komfi for Delicate Ublobes with X / B Spraying L Yellow DGL018L")</f>
        <v>Economic Gloves Komfi for Delicate Ublobes with X / B Spraying L Yellow DGL018L</v>
      </c>
      <c r="E1514" s="8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>
      <c r="A1515" s="6" t="s">
        <v>246</v>
      </c>
      <c r="B1515" s="7" t="s">
        <v>246</v>
      </c>
      <c r="C1515" s="8" t="s">
        <v>247</v>
      </c>
      <c r="D1515" s="9" t="str">
        <f>IFERROR(__xludf.DUMMYFUNCTION("GOOGLETRANSLATE(A1515,""ru"",""en"")"),"Economic Soap 72% 200 g of Russia")</f>
        <v>Economic Soap 72% 200 g of Russia</v>
      </c>
      <c r="E1515" s="8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>
      <c r="A1516" s="6" t="s">
        <v>2902</v>
      </c>
      <c r="B1516" s="7" t="s">
        <v>2902</v>
      </c>
      <c r="C1516" s="8" t="s">
        <v>2903</v>
      </c>
      <c r="D1516" s="9" t="str">
        <f>IFERROR(__xludf.DUMMYFUNCTION("GOOGLETRANSLATE(A1516,""ru"",""en"")"),"Children wet wipes Tone 64 pcs")</f>
        <v>Children wet wipes Tone 64 pcs</v>
      </c>
      <c r="E1516" s="8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>
      <c r="A1517" s="6" t="s">
        <v>2904</v>
      </c>
      <c r="B1517" s="7" t="s">
        <v>2904</v>
      </c>
      <c r="C1517" s="8" t="s">
        <v>2905</v>
      </c>
      <c r="D1517" s="9" t="str">
        <f>IFERROR(__xludf.DUMMYFUNCTION("GOOGLETRANSLATE(A1517,""ru"",""en"")"),"KSITEX TH-5823 SSN V-Adjustment Dispenser")</f>
        <v>KSITEX TH-5823 SSN V-Adjustment Dispenser</v>
      </c>
      <c r="E1517" s="8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>
      <c r="A1518" s="6" t="s">
        <v>2906</v>
      </c>
      <c r="B1518" s="7" t="s">
        <v>2906</v>
      </c>
      <c r="C1518" s="8" t="s">
        <v>2907</v>
      </c>
      <c r="D1518" s="9" t="str">
        <f>IFERROR(__xludf.DUMMYFUNCTION("GOOGLETRANSLATE(A1518,""ru"",""en"")"),"Dispenser for towels with central hood for large rolls OG1")</f>
        <v>Dispenser for towels with central hood for large rolls OG1</v>
      </c>
      <c r="E1518" s="8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>
      <c r="A1519" s="6" t="s">
        <v>2908</v>
      </c>
      <c r="B1519" s="7" t="s">
        <v>2908</v>
      </c>
      <c r="C1519" s="8" t="s">
        <v>2909</v>
      </c>
      <c r="D1519" s="9" t="str">
        <f>IFERROR(__xludf.DUMMYFUNCTION("GOOGLETRANSLATE(A1519,""ru"",""en"")"),"Plate flat 180 mm cellulose")</f>
        <v>Plate flat 180 mm cellulose</v>
      </c>
      <c r="E1519" s="8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>
      <c r="A1520" s="6" t="s">
        <v>2910</v>
      </c>
      <c r="B1520" s="7" t="s">
        <v>2910</v>
      </c>
      <c r="C1520" s="8" t="s">
        <v>2911</v>
      </c>
      <c r="D1520" s="9" t="str">
        <f>IFERROR(__xludf.DUMMYFUNCTION("GOOGLETRANSLATE(A1520,""ru"",""en"")"),"Plate flat 225 mm cellulose")</f>
        <v>Plate flat 225 mm cellulose</v>
      </c>
      <c r="E1520" s="8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>
      <c r="A1521" s="6" t="s">
        <v>2912</v>
      </c>
      <c r="B1521" s="7" t="s">
        <v>2912</v>
      </c>
      <c r="C1521" s="8" t="s">
        <v>2913</v>
      </c>
      <c r="D1521" s="9" t="str">
        <f>IFERROR(__xludf.DUMMYFUNCTION("GOOGLETRANSLATE(A1521,""ru"",""en"")"),"Air Freshener Sky Sea Freshness 300 ml")</f>
        <v>Air Freshener Sky Sea Freshness 300 ml</v>
      </c>
      <c r="E1521" s="8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>
      <c r="A1522" s="6" t="s">
        <v>2914</v>
      </c>
      <c r="B1522" s="7" t="s">
        <v>2914</v>
      </c>
      <c r="C1522" s="8" t="s">
        <v>2915</v>
      </c>
      <c r="D1522" s="9" t="str">
        <f>IFERROR(__xludf.DUMMYFUNCTION("GOOGLETRANSLATE(A1522,""ru"",""en"")"),"Bucket comfort blue 15 l")</f>
        <v>Bucket comfort blue 15 l</v>
      </c>
      <c r="E1522" s="8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>
      <c r="A1523" s="6" t="s">
        <v>2916</v>
      </c>
      <c r="B1523" s="7" t="s">
        <v>2916</v>
      </c>
      <c r="C1523" s="8" t="s">
        <v>2917</v>
      </c>
      <c r="D1523" s="9" t="str">
        <f>IFERROR(__xludf.DUMMYFUNCTION("GOOGLETRANSLATE(A1523,""ru"",""en"")"),"Bucket Comfort Red 15 l")</f>
        <v>Bucket Comfort Red 15 l</v>
      </c>
      <c r="E1523" s="8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>
      <c r="A1524" s="6" t="s">
        <v>2918</v>
      </c>
      <c r="B1524" s="7" t="s">
        <v>2918</v>
      </c>
      <c r="C1524" s="8" t="s">
        <v>2919</v>
      </c>
      <c r="D1524" s="9" t="str">
        <f>IFERROR(__xludf.DUMMYFUNCTION("GOOGLETRANSLATE(A1524,""ru"",""en"")"),"Bucket Comfort Salad 15 l")</f>
        <v>Bucket Comfort Salad 15 l</v>
      </c>
      <c r="E1524" s="8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>
      <c r="A1525" s="6" t="s">
        <v>2920</v>
      </c>
      <c r="B1525" s="7" t="s">
        <v>2920</v>
      </c>
      <c r="C1525" s="8" t="s">
        <v>2921</v>
      </c>
      <c r="D1525" s="9" t="str">
        <f>IFERROR(__xludf.DUMMYFUNCTION("GOOGLETRANSLATE(A1525,""ru"",""en"")"),"Bottle Bottle with Sponge Umnichka 25cm D-5cm SM-25")</f>
        <v>Bottle Bottle with Sponge Umnichka 25cm D-5cm SM-25</v>
      </c>
      <c r="E1525" s="8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>
      <c r="A1526" s="6" t="s">
        <v>2922</v>
      </c>
      <c r="B1526" s="7" t="s">
        <v>2922</v>
      </c>
      <c r="C1526" s="8" t="s">
        <v>2923</v>
      </c>
      <c r="D1526" s="9" t="str">
        <f>IFERROR(__xludf.DUMMYFUNCTION("GOOGLETRANSLATE(A1526,""ru"",""en"")"),"Sprayer Umnichka 450 ml Shell Mix MPU-222")</f>
        <v>Sprayer Umnichka 450 ml Shell Mix MPU-222</v>
      </c>
      <c r="E1526" s="8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>
      <c r="A1527" s="6" t="s">
        <v>2924</v>
      </c>
      <c r="B1527" s="7" t="s">
        <v>2924</v>
      </c>
      <c r="C1527" s="8" t="s">
        <v>2925</v>
      </c>
      <c r="D1527" s="9" t="str">
        <f>IFERROR(__xludf.DUMMYFUNCTION("GOOGLETRANSLATE(A1527,""ru"",""en"")"),"Sprayer clever 750 ml Cone MPU-2076")</f>
        <v>Sprayer clever 750 ml Cone MPU-2076</v>
      </c>
      <c r="E1527" s="8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>
      <c r="A1528" s="6" t="s">
        <v>2926</v>
      </c>
      <c r="B1528" s="7" t="s">
        <v>2926</v>
      </c>
      <c r="C1528" s="8" t="s">
        <v>2927</v>
      </c>
      <c r="D1528" s="9" t="str">
        <f>IFERROR(__xludf.DUMMYFUNCTION("GOOGLETRANSLATE(A1528,""ru"",""en"")"),"Set of scoop + chempet brush")</f>
        <v>Set of scoop + chempet brush</v>
      </c>
      <c r="E1528" s="8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>
      <c r="A1529" s="6" t="s">
        <v>674</v>
      </c>
      <c r="B1529" s="7" t="s">
        <v>674</v>
      </c>
      <c r="C1529" s="8" t="s">
        <v>675</v>
      </c>
      <c r="D1529" s="9" t="str">
        <f>IFERROR(__xludf.DUMMYFUNCTION("GOOGLETRANSLATE(A1529,""ru"",""en"")"),"Taz Round with Economy handles Red 12 l")</f>
        <v>Taz Round with Economy handles Red 12 l</v>
      </c>
      <c r="E1529" s="8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>
      <c r="A1530" s="6" t="s">
        <v>2928</v>
      </c>
      <c r="B1530" s="7" t="s">
        <v>2928</v>
      </c>
      <c r="C1530" s="8" t="s">
        <v>2929</v>
      </c>
      <c r="D1530" s="9" t="str">
        <f>IFERROR(__xludf.DUMMYFUNCTION("GOOGLETRANSLATE(A1530,""ru"",""en"")"),"Taz Round with Economy Pen Purple 12 l")</f>
        <v>Taz Round with Economy Pen Purple 12 l</v>
      </c>
      <c r="E1530" s="8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>
      <c r="A1531" s="6" t="s">
        <v>2930</v>
      </c>
      <c r="B1531" s="7" t="s">
        <v>2930</v>
      </c>
      <c r="C1531" s="8" t="s">
        <v>2931</v>
      </c>
      <c r="D1531" s="9" t="str">
        <f>IFERROR(__xludf.DUMMYFUNCTION("GOOGLETRANSLATE(A1531,""ru"",""en"")"),"Brush sweeping Lady Carolina")</f>
        <v>Brush sweeping Lady Carolina</v>
      </c>
      <c r="E1531" s="8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>
      <c r="A1532" s="6" t="s">
        <v>82</v>
      </c>
      <c r="B1532" s="7" t="s">
        <v>82</v>
      </c>
      <c r="C1532" s="8" t="s">
        <v>83</v>
      </c>
      <c r="D1532" s="9" t="str">
        <f>IFERROR(__xludf.DUMMYFUNCTION("GOOGLETRANSLATE(A1532,""ru"",""en"")"),"Domestos Cleaner Lemon Freshness 24 h 1 l")</f>
        <v>Domestos Cleaner Lemon Freshness 24 h 1 l</v>
      </c>
      <c r="E1532" s="8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>
      <c r="A1533" s="6" t="s">
        <v>84</v>
      </c>
      <c r="B1533" s="7" t="s">
        <v>84</v>
      </c>
      <c r="C1533" s="8" t="s">
        <v>85</v>
      </c>
      <c r="D1533" s="9" t="str">
        <f>IFERROR(__xludf.DUMMYFUNCTION("GOOGLETRANSLATE(A1533,""ru"",""en"")"),"Domestos cleaning agent Freshness of the Atlantic 24 h 1 l")</f>
        <v>Domestos cleaning agent Freshness of the Atlantic 24 h 1 l</v>
      </c>
      <c r="E1533" s="8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>
      <c r="A1534" s="6" t="s">
        <v>2932</v>
      </c>
      <c r="B1534" s="7" t="s">
        <v>2932</v>
      </c>
      <c r="C1534" s="8" t="s">
        <v>2933</v>
      </c>
      <c r="D1534" s="9" t="str">
        <f>IFERROR(__xludf.DUMMYFUNCTION("GOOGLETRANSLATE(A1534,""ru"",""en"")"),"Toilet sticks duckling marine cleanliness sticker")</f>
        <v>Toilet sticks duckling marine cleanliness sticker</v>
      </c>
      <c r="E1534" s="8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>
      <c r="A1535" s="6" t="s">
        <v>2934</v>
      </c>
      <c r="B1535" s="7" t="s">
        <v>2934</v>
      </c>
      <c r="C1535" s="8" t="s">
        <v>2935</v>
      </c>
      <c r="D1535" s="9" t="str">
        <f>IFERROR(__xludf.DUMMYFUNCTION("GOOGLETRANSLATE(A1535,""ru"",""en"")"),"Vario trash can black / orange 110 l")</f>
        <v>Vario trash can black / orange 110 l</v>
      </c>
      <c r="E1535" s="8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>
      <c r="A1536" s="6" t="s">
        <v>2936</v>
      </c>
      <c r="B1536" s="7" t="s">
        <v>2936</v>
      </c>
      <c r="C1536" s="8" t="s">
        <v>2937</v>
      </c>
      <c r="D1536" s="9" t="str">
        <f>IFERROR(__xludf.DUMMYFUNCTION("GOOGLETRANSLATE(A1536,""ru"",""en"")"),"Vario trash can black / blue 110 l")</f>
        <v>Vario trash can black / blue 110 l</v>
      </c>
      <c r="E1536" s="8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>
      <c r="A1537" s="6" t="s">
        <v>2938</v>
      </c>
      <c r="B1537" s="7" t="s">
        <v>2938</v>
      </c>
      <c r="C1537" s="8" t="s">
        <v>2939</v>
      </c>
      <c r="D1537" s="9" t="str">
        <f>IFERROR(__xludf.DUMMYFUNCTION("GOOGLETRANSLATE(A1537,""ru"",""en"")"),"Vario Dust Box Black / Green 110 L")</f>
        <v>Vario Dust Box Black / Green 110 L</v>
      </c>
      <c r="E1537" s="8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>
      <c r="A1538" s="6" t="s">
        <v>2940</v>
      </c>
      <c r="B1538" s="7" t="s">
        <v>2940</v>
      </c>
      <c r="C1538" s="8" t="s">
        <v>2941</v>
      </c>
      <c r="D1538" s="9" t="str">
        <f>IFERROR(__xludf.DUMMYFUNCTION("GOOGLETRANSLATE(A1538,""ru"",""en"")"),"Bucket classic yellow 7 l")</f>
        <v>Bucket classic yellow 7 l</v>
      </c>
      <c r="E1538" s="8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>
      <c r="A1539" s="6" t="s">
        <v>2942</v>
      </c>
      <c r="B1539" s="7" t="s">
        <v>2942</v>
      </c>
      <c r="C1539" s="8" t="s">
        <v>2943</v>
      </c>
      <c r="D1539" s="9" t="str">
        <f>IFERROR(__xludf.DUMMYFUNCTION("GOOGLETRANSLATE(A1539,""ru"",""en"")"),"Washing fluid for floors and walls Mr.Proper Mountain stream and coolness 1 l")</f>
        <v>Washing fluid for floors and walls Mr.Proper Mountain stream and coolness 1 l</v>
      </c>
      <c r="E1539" s="8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>
      <c r="A1540" s="6" t="s">
        <v>2944</v>
      </c>
      <c r="B1540" s="7" t="s">
        <v>2944</v>
      </c>
      <c r="C1540" s="8" t="s">
        <v>2945</v>
      </c>
      <c r="D1540" s="9" t="str">
        <f>IFERROR(__xludf.DUMMYFUNCTION("GOOGLETRANSLATE(A1540,""ru"",""en"")"),"Dispenser for liquid soap 500 ml white S2")</f>
        <v>Dispenser for liquid soap 500 ml white S2</v>
      </c>
      <c r="E1540" s="8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>
      <c r="A1541" s="6" t="s">
        <v>2946</v>
      </c>
      <c r="B1541" s="7" t="s">
        <v>2946</v>
      </c>
      <c r="C1541" s="8" t="s">
        <v>2947</v>
      </c>
      <c r="D1541" s="9" t="str">
        <f>IFERROR(__xludf.DUMMYFUNCTION("GOOGLETRANSLATE(A1541,""ru"",""en"")"),"Paper plate white 180 mm 50 pcs")</f>
        <v>Paper plate white 180 mm 50 pcs</v>
      </c>
      <c r="E1541" s="8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>
      <c r="A1542" s="6" t="s">
        <v>2948</v>
      </c>
      <c r="B1542" s="7" t="s">
        <v>2948</v>
      </c>
      <c r="C1542" s="8" t="s">
        <v>2949</v>
      </c>
      <c r="D1542" s="9" t="str">
        <f>IFERROR(__xludf.DUMMYFUNCTION("GOOGLETRANSLATE(A1542,""ru"",""en"")"),"Paper plate white 230 mm 50 pcs")</f>
        <v>Paper plate white 230 mm 50 pcs</v>
      </c>
      <c r="E1542" s="8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>
      <c r="A1543" s="6" t="s">
        <v>2950</v>
      </c>
      <c r="B1543" s="7" t="s">
        <v>2950</v>
      </c>
      <c r="C1543" s="8" t="s">
        <v>2951</v>
      </c>
      <c r="D1543" s="9" t="str">
        <f>IFERROR(__xludf.DUMMYFUNCTION("GOOGLETRANSLATE(A1543,""ru"",""en"")"),"Gel to remove blocks unicum Tornado Delicat 500 ml")</f>
        <v>Gel to remove blocks unicum Tornado Delicat 500 ml</v>
      </c>
      <c r="E1543" s="8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>
      <c r="A1544" s="6" t="s">
        <v>2505</v>
      </c>
      <c r="B1544" s="7" t="s">
        <v>2505</v>
      </c>
      <c r="C1544" s="8" t="s">
        <v>2506</v>
      </c>
      <c r="D1544" s="9" t="str">
        <f>IFERROR(__xludf.DUMMYFUNCTION("GOOGLETRANSLATE(A1544,""ru"",""en"")"),"Tool for cleaning acrylic baths and shower Cabin Unicum 500 ml")</f>
        <v>Tool for cleaning acrylic baths and shower Cabin Unicum 500 ml</v>
      </c>
      <c r="E1544" s="8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>
      <c r="A1545" s="6" t="s">
        <v>2507</v>
      </c>
      <c r="B1545" s="7" t="s">
        <v>2507</v>
      </c>
      <c r="C1545" s="8" t="s">
        <v>2508</v>
      </c>
      <c r="D1545" s="9" t="str">
        <f>IFERROR(__xludf.DUMMYFUNCTION("GOOGLETRANSLATE(A1545,""ru"",""en"")"),"Cleaning Means Unicum 500 ml")</f>
        <v>Cleaning Means Unicum 500 ml</v>
      </c>
      <c r="E1545" s="8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>
      <c r="A1546" s="6" t="s">
        <v>2952</v>
      </c>
      <c r="B1546" s="7" t="s">
        <v>2952</v>
      </c>
      <c r="C1546" s="8" t="s">
        <v>2953</v>
      </c>
      <c r="D1546" s="9" t="str">
        <f>IFERROR(__xludf.DUMMYFUNCTION("GOOGLETRANSLATE(A1546,""ru"",""en"")"),"Spray for cleaning tiles and tile seams Unicum 500 ml")</f>
        <v>Spray for cleaning tiles and tile seams Unicum 500 ml</v>
      </c>
      <c r="E1546" s="8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>
      <c r="A1547" s="6" t="s">
        <v>2954</v>
      </c>
      <c r="B1547" s="7" t="s">
        <v>2954</v>
      </c>
      <c r="C1547" s="8" t="s">
        <v>2955</v>
      </c>
      <c r="D1547" s="9" t="str">
        <f>IFERROR(__xludf.DUMMYFUNCTION("GOOGLETRANSLATE(A1547,""ru"",""en"")"),"Saucy 50 ml St 100 pcs")</f>
        <v>Saucy 50 ml St 100 pcs</v>
      </c>
      <c r="E1547" s="8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>
      <c r="A1548" s="6" t="s">
        <v>2956</v>
      </c>
      <c r="B1548" s="7" t="s">
        <v>2956</v>
      </c>
      <c r="C1548" s="8" t="s">
        <v>2957</v>
      </c>
      <c r="D1548" s="9" t="str">
        <f>IFERROR(__xludf.DUMMYFUNCTION("GOOGLETRANSLATE(A1548,""ru"",""en"")"),"Microfiber rag 50 x 60 cm 250 square green")</f>
        <v>Microfiber rag 50 x 60 cm 250 square green</v>
      </c>
      <c r="E1548" s="8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>
      <c r="A1549" s="6" t="s">
        <v>2958</v>
      </c>
      <c r="B1549" s="7" t="s">
        <v>2958</v>
      </c>
      <c r="C1549" s="8" t="s">
        <v>2959</v>
      </c>
      <c r="D1549" s="9" t="str">
        <f>IFERROR(__xludf.DUMMYFUNCTION("GOOGLETRANSLATE(A1549,""ru"",""en"")"),"Microfiber rag 50 x 60 cm 250 square red")</f>
        <v>Microfiber rag 50 x 60 cm 250 square red</v>
      </c>
      <c r="E1549" s="8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>
      <c r="A1550" s="6" t="s">
        <v>2960</v>
      </c>
      <c r="B1550" s="7" t="s">
        <v>2960</v>
      </c>
      <c r="C1550" s="8" t="s">
        <v>2961</v>
      </c>
      <c r="D1550" s="9" t="str">
        <f>IFERROR(__xludf.DUMMYFUNCTION("GOOGLETRANSLATE(A1550,""ru"",""en"")"),"Glass 200 ml PP white 100 pieces")</f>
        <v>Glass 200 ml PP white 100 pieces</v>
      </c>
      <c r="E1550" s="8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>
      <c r="A1551" s="6" t="s">
        <v>2962</v>
      </c>
      <c r="B1551" s="7" t="s">
        <v>2962</v>
      </c>
      <c r="C1551" s="8" t="s">
        <v>2963</v>
      </c>
      <c r="D1551" s="9" t="str">
        <f>IFERROR(__xludf.DUMMYFUNCTION("GOOGLETRANSLATE(A1551,""ru"",""en"")"),"Gloves x / b Orna with orange foam coating TR-794 rr 10")</f>
        <v>Gloves x / b Orna with orange foam coating TR-794 rr 10</v>
      </c>
      <c r="E1551" s="8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>
      <c r="A1552" s="6" t="s">
        <v>2964</v>
      </c>
      <c r="B1552" s="7" t="s">
        <v>2964</v>
      </c>
      <c r="C1552" s="8" t="s">
        <v>2965</v>
      </c>
      <c r="D1552" s="9" t="str">
        <f>IFERROR(__xludf.DUMMYFUNCTION("GOOGLETRANSLATE(A1552,""ru"",""en"")"),"Gloves Economic Latex Komfi Bicolor Rr M M")</f>
        <v>Gloves Economic Latex Komfi Bicolor Rr M M</v>
      </c>
      <c r="E1552" s="8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>
      <c r="A1553" s="6" t="s">
        <v>2966</v>
      </c>
      <c r="B1553" s="7" t="s">
        <v>2966</v>
      </c>
      <c r="C1553" s="8" t="s">
        <v>2967</v>
      </c>
      <c r="D1553" s="9" t="str">
        <f>IFERROR(__xludf.DUMMYFUNCTION("GOOGLETRANSLATE(A1553,""ru"",""en"")"),"Gloves economic Latex Komfi Bicolor Rr L L")</f>
        <v>Gloves economic Latex Komfi Bicolor Rr L L</v>
      </c>
      <c r="E1553" s="8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>
      <c r="A1554" s="6" t="s">
        <v>2624</v>
      </c>
      <c r="B1554" s="7" t="s">
        <v>2624</v>
      </c>
      <c r="C1554" s="8" t="s">
        <v>2625</v>
      </c>
      <c r="D1554" s="9" t="str">
        <f>IFERROR(__xludf.DUMMYFUNCTION("GOOGLETRANSLATE(A1554,""ru"",""en"")"),"Gloves economic Latex Komfi Bicolor Rr XL")</f>
        <v>Gloves economic Latex Komfi Bicolor Rr XL</v>
      </c>
      <c r="E1554" s="8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>
      <c r="A1555" s="6" t="s">
        <v>2968</v>
      </c>
      <c r="B1555" s="7" t="s">
        <v>2968</v>
      </c>
      <c r="C1555" s="8" t="s">
        <v>2969</v>
      </c>
      <c r="D1555" s="9" t="str">
        <f>IFERROR(__xludf.DUMMYFUNCTION("GOOGLETRANSLATE(A1555,""ru"",""en"")"),"Polyethylene gloves Libry Light rr L 100 pcs")</f>
        <v>Polyethylene gloves Libry Light rr L 100 pcs</v>
      </c>
      <c r="E1555" s="8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>
      <c r="A1556" s="6" t="s">
        <v>2970</v>
      </c>
      <c r="B1556" s="7" t="s">
        <v>2970</v>
      </c>
      <c r="C1556" s="8" t="s">
        <v>2971</v>
      </c>
      <c r="D1556" s="9" t="str">
        <f>IFERROR(__xludf.DUMMYFUNCTION("GOOGLETRANSLATE(A1556,""ru"",""en"")"),"Nitrovinyl gloves LIBRY RR L L 100 pcs")</f>
        <v>Nitrovinyl gloves LIBRY RR L L 100 pcs</v>
      </c>
      <c r="E1556" s="8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>
      <c r="A1557" s="6" t="s">
        <v>2972</v>
      </c>
      <c r="B1557" s="7" t="s">
        <v>2972</v>
      </c>
      <c r="C1557" s="8" t="s">
        <v>2973</v>
      </c>
      <c r="D1557" s="9" t="str">
        <f>IFERROR(__xludf.DUMMYFUNCTION("GOOGLETRANSLATE(A1557,""ru"",""en"")"),"PVC tape for marking US200 yellow-black 50 mm x 33 m")</f>
        <v>PVC tape for marking US200 yellow-black 50 mm x 33 m</v>
      </c>
      <c r="E1557" s="8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>
      <c r="A1558" s="6" t="s">
        <v>2974</v>
      </c>
      <c r="B1558" s="7" t="s">
        <v>2974</v>
      </c>
      <c r="C1558" s="8" t="s">
        <v>2975</v>
      </c>
      <c r="D1558" s="9" t="str">
        <f>IFERROR(__xludf.DUMMYFUNCTION("GOOGLETRANSLATE(A1558,""ru"",""en"")"),"Replaceable unit for air freshener GLADE Automatic Hawaiian Breeze 269 ml")</f>
        <v>Replaceable unit for air freshener GLADE Automatic Hawaiian Breeze 269 ml</v>
      </c>
      <c r="E1558" s="8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>
      <c r="A1559" s="6" t="s">
        <v>2976</v>
      </c>
      <c r="B1559" s="7" t="s">
        <v>2976</v>
      </c>
      <c r="C1559" s="8" t="s">
        <v>2977</v>
      </c>
      <c r="D1559" s="9" t="str">
        <f>IFERROR(__xludf.DUMMYFUNCTION("GOOGLETRANSLATE(A1559,""ru"",""en"")"),"Polypropylene Polypropylene Overtime 1000 Tex")</f>
        <v>Polypropylene Polypropylene Overtime 1000 Tex</v>
      </c>
      <c r="E1559" s="8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>
      <c r="A1560" s="6" t="s">
        <v>2978</v>
      </c>
      <c r="B1560" s="7" t="s">
        <v>2978</v>
      </c>
      <c r="C1560" s="8" t="s">
        <v>2979</v>
      </c>
      <c r="D1560" s="9" t="str">
        <f>IFERROR(__xludf.DUMMYFUNCTION("GOOGLETRANSLATE(A1560,""ru"",""en"")"),"Room thermometer TSK-7")</f>
        <v>Room thermometer TSK-7</v>
      </c>
      <c r="E1560" s="8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>
      <c r="A1561" s="6" t="s">
        <v>2980</v>
      </c>
      <c r="B1561" s="7" t="s">
        <v>2980</v>
      </c>
      <c r="C1561" s="8" t="s">
        <v>2981</v>
      </c>
      <c r="D1561" s="9" t="str">
        <f>IFERROR(__xludf.DUMMYFUNCTION("GOOGLETRANSLATE(A1561,""ru"",""en"")"),"Digital Kitchen Temometer")</f>
        <v>Digital Kitchen Temometer</v>
      </c>
      <c r="E1561" s="8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>
      <c r="A1562" s="6" t="s">
        <v>2982</v>
      </c>
      <c r="B1562" s="7" t="s">
        <v>2982</v>
      </c>
      <c r="C1562" s="8" t="s">
        <v>2983</v>
      </c>
      <c r="D1562" s="9" t="str">
        <f>IFERROR(__xludf.DUMMYFUNCTION("GOOGLETRANSLATE(A1562,""ru"",""en"")"),"Cleaning Means Sourja Ultra 500 g")</f>
        <v>Cleaning Means Sourja Ultra 500 g</v>
      </c>
      <c r="E1562" s="8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>
      <c r="A1563" s="6" t="s">
        <v>2984</v>
      </c>
      <c r="B1563" s="7" t="s">
        <v>2984</v>
      </c>
      <c r="C1563" s="8" t="s">
        <v>2985</v>
      </c>
      <c r="D1563" s="9" t="str">
        <f>IFERROR(__xludf.DUMMYFUNCTION("GOOGLETRANSLATE(A1563,""ru"",""en"")"),"Means Cleaning for Plumbing Sanfor Wagon Lemon Freshness 750 g")</f>
        <v>Means Cleaning for Plumbing Sanfor Wagon Lemon Freshness 750 g</v>
      </c>
      <c r="E1563" s="8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>
      <c r="A1564" s="6" t="s">
        <v>304</v>
      </c>
      <c r="B1564" s="7" t="s">
        <v>304</v>
      </c>
      <c r="C1564" s="8" t="s">
        <v>305</v>
      </c>
      <c r="D1564" s="9" t="str">
        <f>IFERROR(__xludf.DUMMYFUNCTION("GOOGLETRANSLATE(A1564,""ru"",""en"")"),"Economic Soap 65% 200 g of Russia")</f>
        <v>Economic Soap 65% 200 g of Russia</v>
      </c>
      <c r="E1564" s="8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>
      <c r="A1565" s="6" t="s">
        <v>2986</v>
      </c>
      <c r="B1565" s="7" t="s">
        <v>2986</v>
      </c>
      <c r="C1565" s="8" t="s">
        <v>2987</v>
      </c>
      <c r="D1565" s="9" t="str">
        <f>IFERROR(__xludf.DUMMYFUNCTION("GOOGLETRANSLATE(A1565,""ru"",""en"")"),"Paper Toilet Zewa Deluxe White Pure Wite 4 pcs")</f>
        <v>Paper Toilet Zewa Deluxe White Pure Wite 4 pcs</v>
      </c>
      <c r="E1565" s="8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>
      <c r="A1566" s="6" t="s">
        <v>2988</v>
      </c>
      <c r="B1566" s="7" t="s">
        <v>2988</v>
      </c>
      <c r="C1566" s="8" t="s">
        <v>2989</v>
      </c>
      <c r="D1566" s="9" t="str">
        <f>IFERROR(__xludf.DUMMYFUNCTION("GOOGLETRANSLATE(A1566,""ru"",""en"")"),"Package-T-shirt 45 x 18x68x22 type 2 white")</f>
        <v>Package-T-shirt 45 x 18x68x22 type 2 white</v>
      </c>
      <c r="E1566" s="8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>
      <c r="A1567" s="6" t="s">
        <v>2990</v>
      </c>
      <c r="B1567" s="7" t="s">
        <v>2990</v>
      </c>
      <c r="C1567" s="8" t="s">
        <v>2991</v>
      </c>
      <c r="D1567" s="9" t="str">
        <f>IFERROR(__xludf.DUMMYFUNCTION("GOOGLETRANSLATE(A1567,""ru"",""en"")"),"Napkins Paper Protissue C229 White 100 pcs")</f>
        <v>Napkins Paper Protissue C229 White 100 pcs</v>
      </c>
      <c r="E1567" s="8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>
      <c r="A1568" s="6" t="s">
        <v>2992</v>
      </c>
      <c r="B1568" s="7" t="s">
        <v>2992</v>
      </c>
      <c r="C1568" s="8" t="s">
        <v>2993</v>
      </c>
      <c r="D1568" s="9" t="str">
        <f>IFERROR(__xludf.DUMMYFUNCTION("GOOGLETRANSLATE(A1568,""ru"",""en"")"),"Paper Toilet novelty for dispensers 180 m")</f>
        <v>Paper Toilet novelty for dispensers 180 m</v>
      </c>
      <c r="E1568" s="8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>
      <c r="A1569" s="6" t="s">
        <v>2994</v>
      </c>
      <c r="B1569" s="7" t="s">
        <v>2994</v>
      </c>
      <c r="C1569" s="8" t="s">
        <v>2995</v>
      </c>
      <c r="D1569" s="9" t="str">
        <f>IFERROR(__xludf.DUMMYFUNCTION("GOOGLETRANSLATE(A1569,""ru"",""en"")"),"Picker wooden 140 x 5 x 1,35 1000 pcs")</f>
        <v>Picker wooden 140 x 5 x 1,35 1000 pcs</v>
      </c>
      <c r="E1569" s="8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>
      <c r="A1570" s="6" t="s">
        <v>2996</v>
      </c>
      <c r="B1570" s="7" t="s">
        <v>2996</v>
      </c>
      <c r="C1570" s="8" t="s">
        <v>2997</v>
      </c>
      <c r="D1570" s="9" t="str">
        <f>IFERROR(__xludf.DUMMYFUNCTION("GOOGLETRANSLATE(A1570,""ru"",""en"")"),"Picker wooden 178 x 6 x 1,6 1000 pcs")</f>
        <v>Picker wooden 178 x 6 x 1,6 1000 pcs</v>
      </c>
      <c r="E1570" s="8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>
      <c r="A1571" s="6" t="s">
        <v>2998</v>
      </c>
      <c r="B1571" s="7" t="s">
        <v>2998</v>
      </c>
      <c r="C1571" s="8" t="s">
        <v>2999</v>
      </c>
      <c r="D1571" s="9" t="str">
        <f>IFERROR(__xludf.DUMMYFUNCTION("GOOGLETRANSLATE(A1571,""ru"",""en"")"),"Thermometer for refrigeration and freezer chambers TS-7AM")</f>
        <v>Thermometer for refrigeration and freezer chambers TS-7AM</v>
      </c>
      <c r="E1571" s="8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>
      <c r="A1572" s="6" t="s">
        <v>364</v>
      </c>
      <c r="B1572" s="7" t="s">
        <v>364</v>
      </c>
      <c r="C1572" s="8" t="s">
        <v>365</v>
      </c>
      <c r="D1572" s="9" t="str">
        <f>IFERROR(__xludf.DUMMYFUNCTION("GOOGLETRANSLATE(A1572,""ru"",""en"")"),"Concentrated detergent for a minute of 5 l")</f>
        <v>Concentrated detergent for a minute of 5 l</v>
      </c>
      <c r="E1572" s="8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>
      <c r="A1573" s="6" t="s">
        <v>3000</v>
      </c>
      <c r="B1573" s="7" t="s">
        <v>3000</v>
      </c>
      <c r="C1573" s="8" t="s">
        <v>3001</v>
      </c>
      <c r="D1573" s="9" t="str">
        <f>IFERROR(__xludf.DUMMYFUNCTION("GOOGLETRANSLATE(A1573,""ru"",""en"")"),"Tool for supercrot pipes 5 l")</f>
        <v>Tool for supercrot pipes 5 l</v>
      </c>
      <c r="E1573" s="8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>
      <c r="A1574" s="6" t="s">
        <v>3002</v>
      </c>
      <c r="B1574" s="7" t="s">
        <v>3002</v>
      </c>
      <c r="C1574" s="8" t="s">
        <v>3003</v>
      </c>
      <c r="D1574" s="9" t="str">
        <f>IFERROR(__xludf.DUMMYFUNCTION("GOOGLETRANSLATE(A1574,""ru"",""en"")"),"Shampoo for manual washing of carpets Vanish 450 ml")</f>
        <v>Shampoo for manual washing of carpets Vanish 450 ml</v>
      </c>
      <c r="E1574" s="8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>
      <c r="A1575" s="6" t="s">
        <v>3004</v>
      </c>
      <c r="B1575" s="7" t="s">
        <v>3004</v>
      </c>
      <c r="C1575" s="8" t="s">
        <v>3005</v>
      </c>
      <c r="D1575" s="9" t="str">
        <f>IFERROR(__xludf.DUMMYFUNCTION("GOOGLETRANSLATE(A1575,""ru"",""en"")"),"Mop Holder Fastening Pocket 50 cm NPK192")</f>
        <v>Mop Holder Fastening Pocket 50 cm NPK192</v>
      </c>
      <c r="E1575" s="8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>
      <c r="A1576" s="6" t="s">
        <v>2411</v>
      </c>
      <c r="B1576" s="7" t="s">
        <v>2411</v>
      </c>
      <c r="C1576" s="8" t="s">
        <v>2412</v>
      </c>
      <c r="D1576" s="9" t="str">
        <f>IFERROR(__xludf.DUMMYFUNCTION("GOOGLETRANSLATE(A1576,""ru"",""en"")"),"Cream soap dew spring bouquet violet and milk 5 l")</f>
        <v>Cream soap dew spring bouquet violet and milk 5 l</v>
      </c>
      <c r="E1576" s="8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>
      <c r="A1577" s="6" t="s">
        <v>3006</v>
      </c>
      <c r="B1577" s="7" t="s">
        <v>3006</v>
      </c>
      <c r="C1577" s="8" t="s">
        <v>3007</v>
      </c>
      <c r="D1577" s="9" t="str">
        <f>IFERROR(__xludf.DUMMYFUNCTION("GOOGLETRANSLATE(A1577,""ru"",""en"")"),"Peak Aviora Bulava 400 pcs in PVC Pack")</f>
        <v>Peak Aviora Bulava 400 pcs in PVC Pack</v>
      </c>
      <c r="E1577" s="8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>
      <c r="A1578" s="6" t="s">
        <v>3008</v>
      </c>
      <c r="B1578" s="7" t="s">
        <v>3008</v>
      </c>
      <c r="C1578" s="8" t="s">
        <v>3009</v>
      </c>
      <c r="D1578" s="9" t="str">
        <f>IFERROR(__xludf.DUMMYFUNCTION("GOOGLETRANSLATE(A1578,""ru"",""en"")"),"Dishwashing detergent bavisnab 1 l")</f>
        <v>Dishwashing detergent bavisnab 1 l</v>
      </c>
      <c r="E1578" s="8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>
      <c r="A1579" s="6" t="s">
        <v>3010</v>
      </c>
      <c r="B1579" s="7" t="s">
        <v>3010</v>
      </c>
      <c r="C1579" s="8" t="s">
        <v>3011</v>
      </c>
      <c r="D1579" s="9" t="str">
        <f>IFERROR(__xludf.DUMMYFUNCTION("GOOGLETRANSLATE(A1579,""ru"",""en"")"),"Floor washing and Wise walls in Assortment 1 l")</f>
        <v>Floor washing and Wise walls in Assortment 1 l</v>
      </c>
      <c r="E1579" s="8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>
      <c r="A1580" s="6" t="s">
        <v>3012</v>
      </c>
      <c r="B1580" s="7" t="s">
        <v>3012</v>
      </c>
      <c r="C1580" s="8" t="s">
        <v>3013</v>
      </c>
      <c r="D1580" s="9" t="str">
        <f>IFERROR(__xludf.DUMMYFUNCTION("GOOGLETRANSLATE(A1580,""ru"",""en"")"),"Blade to the floor scraper yj494")</f>
        <v>Blade to the floor scraper yj494</v>
      </c>
      <c r="E1580" s="8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>
      <c r="A1581" s="6" t="s">
        <v>3014</v>
      </c>
      <c r="B1581" s="7" t="s">
        <v>3014</v>
      </c>
      <c r="C1581" s="8" t="s">
        <v>3015</v>
      </c>
      <c r="D1581" s="9" t="str">
        <f>IFERROR(__xludf.DUMMYFUNCTION("GOOGLETRANSLATE(A1581,""ru"",""en"")"),"Napkins Paper Comfort 100 pcs")</f>
        <v>Napkins Paper Comfort 100 pcs</v>
      </c>
      <c r="E1581" s="8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>
      <c r="A1582" s="6" t="s">
        <v>3016</v>
      </c>
      <c r="B1582" s="7" t="s">
        <v>3016</v>
      </c>
      <c r="C1582" s="8" t="s">
        <v>3017</v>
      </c>
      <c r="D1582" s="9" t="str">
        <f>IFERROR(__xludf.DUMMYFUNCTION("GOOGLETRANSLATE(A1582,""ru"",""en"")"),"Automatic air freshener GLADE Automatic Spicy mood 269 ml")</f>
        <v>Automatic air freshener GLADE Automatic Spicy mood 269 ml</v>
      </c>
      <c r="E1582" s="8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>
      <c r="A1583" s="6" t="s">
        <v>3018</v>
      </c>
      <c r="B1583" s="7" t="s">
        <v>3018</v>
      </c>
      <c r="C1583" s="8" t="s">
        <v>3019</v>
      </c>
      <c r="D1583" s="9" t="str">
        <f>IFERROR(__xludf.DUMMYFUNCTION("GOOGLETRANSLATE(A1583,""ru"",""en"")"),"MOP Trio ultrapid about 40 cm")</f>
        <v>MOP Trio ultrapid about 40 cm</v>
      </c>
      <c r="E1583" s="8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>
      <c r="A1584" s="6" t="s">
        <v>3020</v>
      </c>
      <c r="B1584" s="7" t="s">
        <v>3020</v>
      </c>
      <c r="C1584" s="8" t="s">
        <v>3021</v>
      </c>
      <c r="D1584" s="9" t="str">
        <f>IFERROR(__xludf.DUMMYFUNCTION("GOOGLETRANSLATE(A1584,""ru"",""en"")"),"Masks 3-layer ANSO 50 pcs")</f>
        <v>Masks 3-layer ANSO 50 pcs</v>
      </c>
      <c r="E1584" s="8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>
      <c r="A1585" s="6" t="s">
        <v>3022</v>
      </c>
      <c r="B1585" s="7" t="s">
        <v>3022</v>
      </c>
      <c r="C1585" s="8" t="s">
        <v>3023</v>
      </c>
      <c r="D1585" s="9" t="str">
        <f>IFERROR(__xludf.DUMMYFUNCTION("GOOGLETRANSLATE(A1585,""ru"",""en"")"),"Rubber Gloves PRACTI EXTRA DRY RR S")</f>
        <v>Rubber Gloves PRACTI EXTRA DRY RR S</v>
      </c>
      <c r="E1585" s="8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>
      <c r="A1586" s="6" t="s">
        <v>3024</v>
      </c>
      <c r="B1586" s="7" t="s">
        <v>3024</v>
      </c>
      <c r="C1586" s="8" t="s">
        <v>3025</v>
      </c>
      <c r="D1586" s="9" t="str">
        <f>IFERROR(__xludf.DUMMYFUNCTION("GOOGLETRANSLATE(A1586,""ru"",""en"")"),"Brush iron big sh400")</f>
        <v>Brush iron big sh400</v>
      </c>
      <c r="E1586" s="8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>
      <c r="A1587" s="6" t="s">
        <v>3026</v>
      </c>
      <c r="B1587" s="7" t="s">
        <v>3026</v>
      </c>
      <c r="C1587" s="8" t="s">
        <v>3027</v>
      </c>
      <c r="D1587" s="9" t="str">
        <f>IFERROR(__xludf.DUMMYFUNCTION("GOOGLETRANSLATE(A1587,""ru"",""en"")"),"Biodegradable bowl 480 ml cellulose fiber 50 pcs")</f>
        <v>Biodegradable bowl 480 ml cellulose fiber 50 pcs</v>
      </c>
      <c r="E1587" s="8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>
      <c r="A1588" s="6" t="s">
        <v>3028</v>
      </c>
      <c r="B1588" s="7" t="s">
        <v>3028</v>
      </c>
      <c r="C1588" s="8" t="s">
        <v>3029</v>
      </c>
      <c r="D1588" s="9" t="str">
        <f>IFERROR(__xludf.DUMMYFUNCTION("GOOGLETRANSLATE(A1588,""ru"",""en"")"),"Plate biodegradable 180 mm cellulose fiber 50 pcs")</f>
        <v>Plate biodegradable 180 mm cellulose fiber 50 pcs</v>
      </c>
      <c r="E1588" s="8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>
      <c r="A1589" s="6" t="s">
        <v>3030</v>
      </c>
      <c r="B1589" s="7" t="s">
        <v>3030</v>
      </c>
      <c r="C1589" s="8" t="s">
        <v>3031</v>
      </c>
      <c r="D1589" s="9" t="str">
        <f>IFERROR(__xludf.DUMMYFUNCTION("GOOGLETRANSLATE(A1589,""ru"",""en"")"),"Plate biodegradable 230 mm cellulosic fiber 50 pcs")</f>
        <v>Plate biodegradable 230 mm cellulosic fiber 50 pcs</v>
      </c>
      <c r="E1589" s="8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>
      <c r="A1590" s="6" t="s">
        <v>3032</v>
      </c>
      <c r="B1590" s="7" t="s">
        <v>3032</v>
      </c>
      <c r="C1590" s="8" t="s">
        <v>3033</v>
      </c>
      <c r="D1590" s="9" t="str">
        <f>IFERROR(__xludf.DUMMYFUNCTION("GOOGLETRANSLATE(A1590,""ru"",""en"")"),"Tray for hot-dogs 165 x 70 x 40 mm 600 pcs")</f>
        <v>Tray for hot-dogs 165 x 70 x 40 mm 600 pcs</v>
      </c>
      <c r="E1590" s="8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>
      <c r="A1591" s="6" t="s">
        <v>3034</v>
      </c>
      <c r="B1591" s="7" t="s">
        <v>3034</v>
      </c>
      <c r="C1591" s="8" t="s">
        <v>3035</v>
      </c>
      <c r="D1591" s="9" t="str">
        <f>IFERROR(__xludf.DUMMYFUNCTION("GOOGLETRANSLATE(A1591,""ru"",""en"")"),"Soap Toilet Bath without packing 100 g")</f>
        <v>Soap Toilet Bath without packing 100 g</v>
      </c>
      <c r="E1591" s="8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>
      <c r="A1592" s="6" t="s">
        <v>3036</v>
      </c>
      <c r="B1592" s="7" t="s">
        <v>3036</v>
      </c>
      <c r="C1592" s="8" t="s">
        <v>3037</v>
      </c>
      <c r="D1592" s="9" t="str">
        <f>IFERROR(__xludf.DUMMYFUNCTION("GOOGLETRANSLATE(A1592,""ru"",""en"")"),"Bucket 1 l transparent with lid H-120 D-130 270 pcs")</f>
        <v>Bucket 1 l transparent with lid H-120 D-130 270 pcs</v>
      </c>
      <c r="E1592" s="8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>
      <c r="A1593" s="6" t="s">
        <v>3038</v>
      </c>
      <c r="B1593" s="7" t="s">
        <v>3038</v>
      </c>
      <c r="C1593" s="8" t="s">
        <v>3039</v>
      </c>
      <c r="D1593" s="9" t="str">
        <f>IFERROR(__xludf.DUMMYFUNCTION("GOOGLETRANSLATE(A1593,""ru"",""en"")"),"Metal washware 12 pcs on blister")</f>
        <v>Metal washware 12 pcs on blister</v>
      </c>
      <c r="E1593" s="8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>
      <c r="A1594" s="6" t="s">
        <v>3040</v>
      </c>
      <c r="B1594" s="7" t="s">
        <v>3040</v>
      </c>
      <c r="C1594" s="8" t="s">
        <v>3041</v>
      </c>
      <c r="D1594" s="9" t="str">
        <f>IFERROR(__xludf.DUMMYFUNCTION("GOOGLETRANSLATE(A1594,""ru"",""en"")"),"Container black K-144 375 ml Article 50 pcs")</f>
        <v>Container black K-144 375 ml Article 50 pcs</v>
      </c>
      <c r="E1594" s="8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>
      <c r="A1595" s="6" t="s">
        <v>3042</v>
      </c>
      <c r="B1595" s="7" t="s">
        <v>3042</v>
      </c>
      <c r="C1595" s="8" t="s">
        <v>3043</v>
      </c>
      <c r="D1595" s="9" t="str">
        <f>IFERROR(__xludf.DUMMYFUNCTION("GOOGLETRANSLATE(A1595,""ru"",""en"")"),"Container cover K-144 to st 50 pcs")</f>
        <v>Container cover K-144 to st 50 pcs</v>
      </c>
      <c r="E1595" s="8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>
      <c r="A1596" s="6" t="s">
        <v>886</v>
      </c>
      <c r="B1596" s="7" t="s">
        <v>886</v>
      </c>
      <c r="C1596" s="8" t="s">
        <v>887</v>
      </c>
      <c r="D1596" s="9" t="str">
        <f>IFERROR(__xludf.DUMMYFUNCTION("GOOGLETRANSLATE(A1596,""ru"",""en"")"),"Disposable glasses 500 ml 50 pcs")</f>
        <v>Disposable glasses 500 ml 50 pcs</v>
      </c>
      <c r="E1596" s="8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>
      <c r="A1597" s="6" t="s">
        <v>3044</v>
      </c>
      <c r="B1597" s="7" t="s">
        <v>3044</v>
      </c>
      <c r="C1597" s="8" t="s">
        <v>3045</v>
      </c>
      <c r="D1597" s="9" t="str">
        <f>IFERROR(__xludf.DUMMYFUNCTION("GOOGLETRANSLATE(A1597,""ru"",""en"")"),"Package-T-shirt PND 28х14х50 white 8 MK 100 pcs")</f>
        <v>Package-T-shirt PND 28х14х50 white 8 MK 100 pcs</v>
      </c>
      <c r="E1597" s="8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>
      <c r="A1598" s="6" t="s">
        <v>3046</v>
      </c>
      <c r="B1598" s="7" t="s">
        <v>3046</v>
      </c>
      <c r="C1598" s="8" t="s">
        <v>3047</v>
      </c>
      <c r="D1598" s="9" t="str">
        <f>IFERROR(__xludf.DUMMYFUNCTION("GOOGLETRANSLATE(A1598,""ru"",""en"")"),"Paper for baking Siliconized in sheets of 40 x 60 cm")</f>
        <v>Paper for baking Siliconized in sheets of 40 x 60 cm</v>
      </c>
      <c r="E1598" s="8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>
      <c r="A1599" s="6" t="s">
        <v>3048</v>
      </c>
      <c r="B1599" s="7" t="s">
        <v>3048</v>
      </c>
      <c r="C1599" s="8" t="s">
        <v>3049</v>
      </c>
      <c r="D1599" s="9" t="str">
        <f>IFERROR(__xludf.DUMMYFUNCTION("GOOGLETRANSLATE(A1599,""ru"",""en"")"),"Liquid soap AJM Standart 5 l")</f>
        <v>Liquid soap AJM Standart 5 l</v>
      </c>
      <c r="E1599" s="8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>
      <c r="A1600" s="6" t="s">
        <v>3050</v>
      </c>
      <c r="B1600" s="7" t="s">
        <v>3050</v>
      </c>
      <c r="C1600" s="8" t="s">
        <v>3051</v>
      </c>
      <c r="D1600" s="9" t="str">
        <f>IFERROR(__xludf.DUMMYFUNCTION("GOOGLETRANSLATE(A1600,""ru"",""en"")"),"Replaceable unit for air freshener Air Wick Royal dessert 250 ml")</f>
        <v>Replaceable unit for air freshener Air Wick Royal dessert 250 ml</v>
      </c>
      <c r="E1600" s="8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>
      <c r="A1601" s="6" t="s">
        <v>3052</v>
      </c>
      <c r="B1601" s="7" t="s">
        <v>3052</v>
      </c>
      <c r="C1601" s="8" t="s">
        <v>3053</v>
      </c>
      <c r="D1601" s="9" t="str">
        <f>IFERROR(__xludf.DUMMYFUNCTION("GOOGLETRANSLATE(A1601,""ru"",""en"")"),"Soap liquid Synergetic biodegradable almond milk 500 ml")</f>
        <v>Soap liquid Synergetic biodegradable almond milk 500 ml</v>
      </c>
      <c r="E1601" s="8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>
      <c r="A1602" s="6" t="s">
        <v>3054</v>
      </c>
      <c r="B1602" s="7" t="s">
        <v>3054</v>
      </c>
      <c r="C1602" s="8" t="s">
        <v>3055</v>
      </c>
      <c r="D1602" s="9" t="str">
        <f>IFERROR(__xludf.DUMMYFUNCTION("GOOGLETRANSLATE(A1602,""ru"",""en"")"),"Soap liquid Synergetic biodegradable wildflowers 500 ml")</f>
        <v>Soap liquid Synergetic biodegradable wildflowers 500 ml</v>
      </c>
      <c r="E1602" s="8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>
      <c r="A1603" s="6" t="s">
        <v>3056</v>
      </c>
      <c r="B1603" s="7" t="s">
        <v>3056</v>
      </c>
      <c r="C1603" s="8" t="s">
        <v>3057</v>
      </c>
      <c r="D1603" s="9" t="str">
        <f>IFERROR(__xludf.DUMMYFUNCTION("GOOGLETRANSLATE(A1603,""ru"",""en"")"),"Soap liquid Synergetic biodegradable fruit mix 500 ml")</f>
        <v>Soap liquid Synergetic biodegradable fruit mix 500 ml</v>
      </c>
      <c r="E1603" s="8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>
      <c r="A1604" s="6" t="s">
        <v>3058</v>
      </c>
      <c r="B1604" s="7" t="s">
        <v>3058</v>
      </c>
      <c r="C1604" s="8" t="s">
        <v>3059</v>
      </c>
      <c r="D1604" s="9" t="str">
        <f>IFERROR(__xludf.DUMMYFUNCTION("GOOGLETRANSLATE(A1604,""ru"",""en"")"),"Air Conditioning for Linen Synergetic Almond Milk 1 l")</f>
        <v>Air Conditioning for Linen Synergetic Almond Milk 1 l</v>
      </c>
      <c r="E1604" s="8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>
      <c r="A1605" s="6" t="s">
        <v>3060</v>
      </c>
      <c r="B1605" s="7" t="s">
        <v>3060</v>
      </c>
      <c r="C1605" s="8" t="s">
        <v>3061</v>
      </c>
      <c r="D1605" s="9" t="str">
        <f>IFERROR(__xludf.DUMMYFUNCTION("GOOGLETRANSLATE(A1605,""ru"",""en"")"),"Air Conditioning for Linen Synergetic Citrus Fantasy 1 l")</f>
        <v>Air Conditioning for Linen Synergetic Citrus Fantasy 1 l</v>
      </c>
      <c r="E1605" s="8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>
      <c r="A1606" s="6" t="s">
        <v>3062</v>
      </c>
      <c r="B1606" s="7" t="s">
        <v>3062</v>
      </c>
      <c r="C1606" s="8" t="s">
        <v>3063</v>
      </c>
      <c r="D1606" s="9" t="str">
        <f>IFERROR(__xludf.DUMMYFUNCTION("GOOGLETRANSLATE(A1606,""ru"",""en"")"),"Washing powder Synergetic in stamping 4 washing")</f>
        <v>Washing powder Synergetic in stamping 4 washing</v>
      </c>
      <c r="E1606" s="8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>
      <c r="A1607" s="6" t="s">
        <v>3064</v>
      </c>
      <c r="B1607" s="7" t="s">
        <v>3064</v>
      </c>
      <c r="C1607" s="8" t="s">
        <v>3065</v>
      </c>
      <c r="D1607" s="9" t="str">
        <f>IFERROR(__xludf.DUMMYFUNCTION("GOOGLETRANSLATE(A1607,""ru"",""en"")"),"Synergetic Sweener Stifting with Active Oxygen 4 washing")</f>
        <v>Synergetic Sweener Stifting with Active Oxygen 4 washing</v>
      </c>
      <c r="E1607" s="8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>
      <c r="A1608" s="6" t="s">
        <v>3066</v>
      </c>
      <c r="B1608" s="7" t="s">
        <v>3066</v>
      </c>
      <c r="C1608" s="8" t="s">
        <v>3067</v>
      </c>
      <c r="D1608" s="9" t="str">
        <f>IFERROR(__xludf.DUMMYFUNCTION("GOOGLETRANSLATE(A1608,""ru"",""en"")"),"Means for Floor Synergetic Ocean Power 1 l")</f>
        <v>Means for Floor Synergetic Ocean Power 1 l</v>
      </c>
      <c r="E1608" s="8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>
      <c r="A1609" s="6" t="s">
        <v>3068</v>
      </c>
      <c r="B1609" s="7" t="s">
        <v>3068</v>
      </c>
      <c r="C1609" s="8" t="s">
        <v>3069</v>
      </c>
      <c r="D1609" s="9" t="str">
        <f>IFERROR(__xludf.DUMMYFUNCTION("GOOGLETRANSLATE(A1609,""ru"",""en"")"),"Floor for Floor Synergetic Citrus Freshness1 L")</f>
        <v>Floor for Floor Synergetic Citrus Freshness1 L</v>
      </c>
      <c r="E1609" s="8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>
      <c r="A1610" s="6" t="s">
        <v>3070</v>
      </c>
      <c r="B1610" s="7" t="s">
        <v>3070</v>
      </c>
      <c r="C1610" s="8" t="s">
        <v>3071</v>
      </c>
      <c r="D1610" s="9" t="str">
        <f>IFERROR(__xludf.DUMMYFUNCTION("GOOGLETRANSLATE(A1610,""ru"",""en"")"),"Tool for washing dishes Synergetic Orange 1 l")</f>
        <v>Tool for washing dishes Synergetic Orange 1 l</v>
      </c>
      <c r="E1610" s="8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>
      <c r="A1611" s="6" t="s">
        <v>3072</v>
      </c>
      <c r="B1611" s="7" t="s">
        <v>3072</v>
      </c>
      <c r="C1611" s="8" t="s">
        <v>3073</v>
      </c>
      <c r="D1611" s="9" t="str">
        <f>IFERROR(__xludf.DUMMYFUNCTION("GOOGLETRANSLATE(A1611,""ru"",""en"")"),"Tool for washing dishes Synergetic Watermelon 1 l")</f>
        <v>Tool for washing dishes Synergetic Watermelon 1 l</v>
      </c>
      <c r="E1611" s="8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>
      <c r="A1612" s="6" t="s">
        <v>3074</v>
      </c>
      <c r="B1612" s="7" t="s">
        <v>3074</v>
      </c>
      <c r="C1612" s="8" t="s">
        <v>3075</v>
      </c>
      <c r="D1612" s="9" t="str">
        <f>IFERROR(__xludf.DUMMYFUNCTION("GOOGLETRANSLATE(A1612,""ru"",""en"")"),"Tool for washing dishes Synergetic lemon 1 l")</f>
        <v>Tool for washing dishes Synergetic lemon 1 l</v>
      </c>
      <c r="E1612" s="8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>
      <c r="A1613" s="6" t="s">
        <v>3076</v>
      </c>
      <c r="B1613" s="7" t="s">
        <v>3076</v>
      </c>
      <c r="C1613" s="8" t="s">
        <v>3077</v>
      </c>
      <c r="D1613" s="9" t="str">
        <f>IFERROR(__xludf.DUMMYFUNCTION("GOOGLETRANSLATE(A1613,""ru"",""en"")"),"Antibacterial SYNERGETIC gel for plumbing fabulous purity 700 ml")</f>
        <v>Antibacterial SYNERGETIC gel for plumbing fabulous purity 700 ml</v>
      </c>
      <c r="E1613" s="8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>
      <c r="A1614" s="6" t="s">
        <v>3078</v>
      </c>
      <c r="B1614" s="7" t="s">
        <v>3078</v>
      </c>
      <c r="C1614" s="8" t="s">
        <v>3079</v>
      </c>
      <c r="D1614" s="9" t="str">
        <f>IFERROR(__xludf.DUMMYFUNCTION("GOOGLETRANSLATE(A1614,""ru"",""en"")"),"Latex Gloves Household Gloves Rr L 100 Pcs")</f>
        <v>Latex Gloves Household Gloves Rr L 100 Pcs</v>
      </c>
      <c r="E1614" s="8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>
      <c r="A1615" s="6" t="s">
        <v>3080</v>
      </c>
      <c r="B1615" s="7" t="s">
        <v>3080</v>
      </c>
      <c r="C1615" s="8" t="s">
        <v>3081</v>
      </c>
      <c r="D1615" s="9" t="str">
        <f>IFERROR(__xludf.DUMMYFUNCTION("GOOGLETRANSLATE(A1615,""ru"",""en"")"),"Polyethylene gloves Libry Light rr M 100 pcs")</f>
        <v>Polyethylene gloves Libry Light rr M 100 pcs</v>
      </c>
      <c r="E1615" s="8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>
      <c r="A1616" s="6" t="s">
        <v>2766</v>
      </c>
      <c r="B1616" s="7" t="s">
        <v>2766</v>
      </c>
      <c r="C1616" s="8" t="s">
        <v>2767</v>
      </c>
      <c r="D1616" s="9" t="str">
        <f>IFERROR(__xludf.DUMMYFUNCTION("GOOGLETRANSLATE(A1616,""ru"",""en"")"),"Latex gloves Household gloves high strength rr M 50 pcs")</f>
        <v>Latex gloves Household gloves high strength rr M 50 pcs</v>
      </c>
      <c r="E1616" s="8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>
      <c r="A1617" s="6" t="s">
        <v>3082</v>
      </c>
      <c r="B1617" s="7" t="s">
        <v>3082</v>
      </c>
      <c r="C1617" s="8" t="s">
        <v>3083</v>
      </c>
      <c r="D1617" s="9" t="str">
        <f>IFERROR(__xludf.DUMMYFUNCTION("GOOGLETRANSLATE(A1617,""ru"",""en"")"),"Latex gloves Household Gloves high strength rr XL 50 pcs")</f>
        <v>Latex gloves Household Gloves high strength rr XL 50 pcs</v>
      </c>
      <c r="E1617" s="8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>
      <c r="A1618" s="6" t="s">
        <v>2970</v>
      </c>
      <c r="B1618" s="7" t="s">
        <v>2970</v>
      </c>
      <c r="C1618" s="8" t="s">
        <v>2971</v>
      </c>
      <c r="D1618" s="9" t="str">
        <f>IFERROR(__xludf.DUMMYFUNCTION("GOOGLETRANSLATE(A1618,""ru"",""en"")"),"Nitrovinyl gloves LIBRY RR L L 100 pcs")</f>
        <v>Nitrovinyl gloves LIBRY RR L L 100 pcs</v>
      </c>
      <c r="E1618" s="8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>
      <c r="A1619" s="6" t="s">
        <v>3084</v>
      </c>
      <c r="B1619" s="7" t="s">
        <v>3084</v>
      </c>
      <c r="C1619" s="8" t="s">
        <v>3085</v>
      </c>
      <c r="D1619" s="9" t="str">
        <f>IFERROR(__xludf.DUMMYFUNCTION("GOOGLETRANSLATE(A1619,""ru"",""en"")"),"Gloves Libry Household Gloves Nitrovinyl Rr XL 100 pcs")</f>
        <v>Gloves Libry Household Gloves Nitrovinyl Rr XL 100 pcs</v>
      </c>
      <c r="E1619" s="8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>
      <c r="A1620" s="6" t="s">
        <v>1612</v>
      </c>
      <c r="B1620" s="7" t="s">
        <v>1612</v>
      </c>
      <c r="C1620" s="8" t="s">
        <v>1613</v>
      </c>
      <c r="D1620" s="9" t="str">
        <f>IFERROR(__xludf.DUMMYFUNCTION("GOOGLETRANSLATE(A1620,""ru"",""en"")"),"Separate glasses 200 ml 100 pcs")</f>
        <v>Separate glasses 200 ml 100 pcs</v>
      </c>
      <c r="E1620" s="8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>
      <c r="A1621" s="6" t="s">
        <v>1080</v>
      </c>
      <c r="B1621" s="7" t="s">
        <v>1080</v>
      </c>
      <c r="C1621" s="8" t="s">
        <v>1081</v>
      </c>
      <c r="D1621" s="9" t="str">
        <f>IFERROR(__xludf.DUMMYFUNCTION("GOOGLETRANSLATE(A1621,""ru"",""en"")"),"Disposable glasses 100 ml 100 pcs")</f>
        <v>Disposable glasses 100 ml 100 pcs</v>
      </c>
      <c r="E1621" s="8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>
      <c r="A1622" s="6" t="s">
        <v>3086</v>
      </c>
      <c r="B1622" s="7" t="s">
        <v>3086</v>
      </c>
      <c r="C1622" s="8" t="s">
        <v>3087</v>
      </c>
      <c r="D1622" s="9" t="str">
        <f>IFERROR(__xludf.DUMMYFUNCTION("GOOGLETRANSLATE(A1622,""ru"",""en"")"),"Air freshener Premium strawberry with cream 250 ml")</f>
        <v>Air freshener Premium strawberry with cream 250 ml</v>
      </c>
      <c r="E1622" s="8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>
      <c r="A1623" s="6" t="s">
        <v>3088</v>
      </c>
      <c r="B1623" s="7" t="s">
        <v>3088</v>
      </c>
      <c r="C1623" s="8" t="s">
        <v>3089</v>
      </c>
      <c r="D1623" s="9" t="str">
        <f>IFERROR(__xludf.DUMMYFUNCTION("GOOGLETRANSLATE(A1623,""ru"",""en"")"),"Air freshener Premium grapefruit Fresh 250 ml")</f>
        <v>Air freshener Premium grapefruit Fresh 250 ml</v>
      </c>
      <c r="E1623" s="8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>
      <c r="A1624" s="6" t="s">
        <v>3090</v>
      </c>
      <c r="B1624" s="7" t="s">
        <v>3090</v>
      </c>
      <c r="C1624" s="8" t="s">
        <v>3091</v>
      </c>
      <c r="D1624" s="9" t="str">
        <f>IFERROR(__xludf.DUMMYFUNCTION("GOOGLETRANSLATE(A1624,""ru"",""en"")"),"Bags for garbage Mirpack PVD Premium + 180 l 35 μm 10 pcs")</f>
        <v>Bags for garbage Mirpack PVD Premium + 180 l 35 μm 10 pcs</v>
      </c>
      <c r="E1624" s="8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>
      <c r="A1625" s="6" t="s">
        <v>3092</v>
      </c>
      <c r="B1625" s="7" t="s">
        <v>3092</v>
      </c>
      <c r="C1625" s="8" t="s">
        <v>3093</v>
      </c>
      <c r="D1625" s="9" t="str">
        <f>IFERROR(__xludf.DUMMYFUNCTION("GOOGLETRANSLATE(A1625,""ru"",""en"")"),"Network filter Pilot 5Bites SP5B-118 5S 1.8 m")</f>
        <v>Network filter Pilot 5Bites SP5B-118 5S 1.8 m</v>
      </c>
      <c r="E1625" s="8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>
      <c r="A1626" s="6" t="s">
        <v>3094</v>
      </c>
      <c r="B1626" s="7" t="s">
        <v>3094</v>
      </c>
      <c r="C1626" s="8" t="s">
        <v>3095</v>
      </c>
      <c r="D1626" s="9" t="str">
        <f>IFERROR(__xludf.DUMMYFUNCTION("GOOGLETRANSLATE(A1626,""ru"",""en"")"),"Network filter Pilot 5Bites SP5B-130 5S 3 m")</f>
        <v>Network filter Pilot 5Bites SP5B-130 5S 3 m</v>
      </c>
      <c r="E1626" s="8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>
      <c r="A1627" s="6" t="s">
        <v>3096</v>
      </c>
      <c r="B1627" s="7" t="s">
        <v>3096</v>
      </c>
      <c r="C1627" s="8" t="s">
        <v>3097</v>
      </c>
      <c r="D1627" s="9" t="str">
        <f>IFERROR(__xludf.DUMMYFUNCTION("GOOGLETRANSLATE(A1627,""ru"",""en"")"),"Network filter Pilot 5Bites SP5B-150 5S 5 m")</f>
        <v>Network filter Pilot 5Bites SP5B-150 5S 5 m</v>
      </c>
      <c r="E1627" s="8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>
      <c r="A1628" s="6" t="s">
        <v>3098</v>
      </c>
      <c r="B1628" s="7" t="s">
        <v>3098</v>
      </c>
      <c r="C1628" s="8" t="s">
        <v>3099</v>
      </c>
      <c r="D1628" s="9" t="str">
        <f>IFERROR(__xludf.DUMMYFUNCTION("GOOGLETRANSLATE(A1628,""ru"",""en"")"),"Cream Soap Smartikon 500 ml")</f>
        <v>Cream Soap Smartikon 500 ml</v>
      </c>
      <c r="E1628" s="8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>
      <c r="A1629" s="6" t="s">
        <v>2523</v>
      </c>
      <c r="B1629" s="7" t="s">
        <v>2523</v>
      </c>
      <c r="C1629" s="8" t="s">
        <v>2524</v>
      </c>
      <c r="D1629" s="9" t="str">
        <f>IFERROR(__xludf.DUMMYFUNCTION("GOOGLETRANSLATE(A1629,""ru"",""en"")"),"Replaceable unit for air freshener Air Wick Freshness of waterfall 250 ml")</f>
        <v>Replaceable unit for air freshener Air Wick Freshness of waterfall 250 ml</v>
      </c>
      <c r="E1629" s="8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>
      <c r="A1630" s="6" t="s">
        <v>3100</v>
      </c>
      <c r="B1630" s="7" t="s">
        <v>3100</v>
      </c>
      <c r="C1630" s="8" t="s">
        <v>3101</v>
      </c>
      <c r="D1630" s="9" t="str">
        <f>IFERROR(__xludf.DUMMYFUNCTION("GOOGLETRANSLATE(A1630,""ru"",""en"")"),"Replaceable unit for Air Wick Air Freshener Morning in the forest 250 ml")</f>
        <v>Replaceable unit for Air Wick Air Freshener Morning in the forest 250 ml</v>
      </c>
      <c r="E1630" s="8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>
      <c r="A1631" s="6" t="s">
        <v>3102</v>
      </c>
      <c r="B1631" s="7" t="s">
        <v>3102</v>
      </c>
      <c r="C1631" s="8" t="s">
        <v>3103</v>
      </c>
      <c r="D1631" s="9" t="str">
        <f>IFERROR(__xludf.DUMMYFUNCTION("GOOGLETRANSLATE(A1631,""ru"",""en"")"),"Disposable PATERRA coatings on the toilet 1/2 addition 250 pcs")</f>
        <v>Disposable PATERRA coatings on the toilet 1/2 addition 250 pcs</v>
      </c>
      <c r="E1631" s="8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>
      <c r="A1632" s="6" t="s">
        <v>3104</v>
      </c>
      <c r="B1632" s="7" t="s">
        <v>3104</v>
      </c>
      <c r="C1632" s="8" t="s">
        <v>3105</v>
      </c>
      <c r="D1632" s="9" t="str">
        <f>IFERROR(__xludf.DUMMYFUNCTION("GOOGLETRANSLATE(A1632,""ru"",""en"")"),"Gel Quick for laundry laundry station wagon 3 l")</f>
        <v>Gel Quick for laundry laundry station wagon 3 l</v>
      </c>
      <c r="E1632" s="8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>
      <c r="A1633" s="6" t="s">
        <v>3106</v>
      </c>
      <c r="B1633" s="7" t="s">
        <v>3106</v>
      </c>
      <c r="C1633" s="8" t="s">
        <v>3107</v>
      </c>
      <c r="D1633" s="9" t="str">
        <f>IFERROR(__xludf.DUMMYFUNCTION("GOOGLETRANSLATE(A1633,""ru"",""en"")"),"Gel Quick for laundry laundry wagon 1,5 l")</f>
        <v>Gel Quick for laundry laundry wagon 1,5 l</v>
      </c>
      <c r="E1633" s="8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>
      <c r="A1634" s="6" t="s">
        <v>3108</v>
      </c>
      <c r="B1634" s="7" t="s">
        <v>3108</v>
      </c>
      <c r="C1634" s="8" t="s">
        <v>3109</v>
      </c>
      <c r="D1634" s="9" t="str">
        <f>IFERROR(__xludf.DUMMYFUNCTION("GOOGLETRANSLATE(A1634,""ru"",""en"")"),"Antiseptic for hand processing septal with dispenser 500 ml")</f>
        <v>Antiseptic for hand processing septal with dispenser 500 ml</v>
      </c>
      <c r="E1634" s="8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>
      <c r="A1635" s="6" t="s">
        <v>3110</v>
      </c>
      <c r="B1635" s="7" t="s">
        <v>3110</v>
      </c>
      <c r="C1635" s="8" t="s">
        <v>3111</v>
      </c>
      <c r="D1635" s="9" t="str">
        <f>IFERROR(__xludf.DUMMYFUNCTION("GOOGLETRANSLATE(A1635,""ru"",""en"")"),"Toilet paper Veiro Professional Premium T309 3-CL 8 RULES")</f>
        <v>Toilet paper Veiro Professional Premium T309 3-CL 8 RULES</v>
      </c>
      <c r="E1635" s="8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>
      <c r="A1636" s="6" t="s">
        <v>3112</v>
      </c>
      <c r="B1636" s="7" t="s">
        <v>3112</v>
      </c>
      <c r="C1636" s="8" t="s">
        <v>3113</v>
      </c>
      <c r="D1636" s="9" t="str">
        <f>IFERROR(__xludf.DUMMYFUNCTION("GOOGLETRANSLATE(A1636,""ru"",""en"")"),"Toilet paper Veiro Professional Comfort T201 1-SL")</f>
        <v>Toilet paper Veiro Professional Comfort T201 1-SL</v>
      </c>
      <c r="E1636" s="8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>
      <c r="A1637" s="6" t="s">
        <v>3114</v>
      </c>
      <c r="B1637" s="7" t="s">
        <v>3114</v>
      </c>
      <c r="C1637" s="8" t="s">
        <v>3115</v>
      </c>
      <c r="D1637" s="9" t="str">
        <f>IFERROR(__xludf.DUMMYFUNCTION("GOOGLETRANSLATE(A1637,""ru"",""en"")"),"Toilet paper in Middle Rolls Veiro Professional Comfort T206 2-CL")</f>
        <v>Toilet paper in Middle Rolls Veiro Professional Comfort T206 2-CL</v>
      </c>
      <c r="E1637" s="8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>
      <c r="A1638" s="6" t="s">
        <v>3116</v>
      </c>
      <c r="B1638" s="7" t="s">
        <v>3116</v>
      </c>
      <c r="C1638" s="8" t="s">
        <v>3117</v>
      </c>
      <c r="D1638" s="9" t="str">
        <f>IFERROR(__xludf.DUMMYFUNCTION("GOOGLETRANSLATE(A1638,""ru"",""en"")"),"Toilet paper 50 m FEZ28")</f>
        <v>Toilet paper 50 m FEZ28</v>
      </c>
      <c r="E1638" s="8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>
      <c r="A1639" s="6" t="s">
        <v>3118</v>
      </c>
      <c r="B1639" s="7" t="s">
        <v>3118</v>
      </c>
      <c r="C1639" s="8" t="s">
        <v>3119</v>
      </c>
      <c r="D1639" s="9" t="str">
        <f>IFERROR(__xludf.DUMMYFUNCTION("GOOGLETRANSLATE(A1639,""ru"",""en"")"),"Cream soap dew spring bouquet violet and milk 500 ml")</f>
        <v>Cream soap dew spring bouquet violet and milk 500 ml</v>
      </c>
      <c r="E1639" s="8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>
      <c r="A1640" s="6" t="s">
        <v>3120</v>
      </c>
      <c r="B1640" s="7" t="s">
        <v>3120</v>
      </c>
      <c r="C1640" s="8" t="s">
        <v>3121</v>
      </c>
      <c r="D1640" s="9" t="str">
        <f>IFERROR(__xludf.DUMMYFUNCTION("GOOGLETRANSLATE(A1640,""ru"",""en"")"),"Tool for washing dishes Frosch Green lemon 500 ml")</f>
        <v>Tool for washing dishes Frosch Green lemon 500 ml</v>
      </c>
      <c r="E1640" s="8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>
      <c r="A1641" s="6" t="s">
        <v>1774</v>
      </c>
      <c r="B1641" s="7" t="s">
        <v>1774</v>
      </c>
      <c r="C1641" s="8" t="s">
        <v>1775</v>
      </c>
      <c r="D1641" s="9" t="str">
        <f>IFERROR(__xludf.DUMMYFUNCTION("GOOGLETRANSLATE(A1641,""ru"",""en"")"),"Air Freshener Symphony Crystal Freshness 300 ml")</f>
        <v>Air Freshener Symphony Crystal Freshness 300 ml</v>
      </c>
      <c r="E1641" s="8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>
      <c r="A1642" s="6" t="s">
        <v>3122</v>
      </c>
      <c r="B1642" s="7" t="s">
        <v>3122</v>
      </c>
      <c r="C1642" s="8" t="s">
        <v>3123</v>
      </c>
      <c r="D1642" s="9" t="str">
        <f>IFERROR(__xludf.DUMMYFUNCTION("GOOGLETRANSLATE(A1642,""ru"",""en"")"),"WC-GEL cleaning agent for toilet and bathrooms 750 ml")</f>
        <v>WC-GEL cleaning agent for toilet and bathrooms 750 ml</v>
      </c>
      <c r="E1642" s="8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>
      <c r="A1643" s="6" t="s">
        <v>3124</v>
      </c>
      <c r="B1643" s="7" t="s">
        <v>3124</v>
      </c>
      <c r="C1643" s="8" t="s">
        <v>3125</v>
      </c>
      <c r="D1643" s="9" t="str">
        <f>IFERROR(__xludf.DUMMYFUNCTION("GOOGLETRANSLATE(A1643,""ru"",""en"")"),"Gloves Nitrile Semperguard Sapphire Rr M M Blue 200 pcs")</f>
        <v>Gloves Nitrile Semperguard Sapphire Rr M M Blue 200 pcs</v>
      </c>
      <c r="E1643" s="8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>
      <c r="A1644" s="6" t="s">
        <v>3126</v>
      </c>
      <c r="B1644" s="7" t="s">
        <v>3126</v>
      </c>
      <c r="C1644" s="8" t="s">
        <v>3127</v>
      </c>
      <c r="D1644" s="9" t="str">
        <f>IFERROR(__xludf.DUMMYFUNCTION("GOOGLETRANSLATE(A1644,""ru"",""en"")"),"Gloves Nitrile Semperguard Sapphire Rr XL Blue 160 pcs")</f>
        <v>Gloves Nitrile Semperguard Sapphire Rr XL Blue 160 pcs</v>
      </c>
      <c r="E1644" s="8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>
      <c r="A1645" s="6" t="s">
        <v>3128</v>
      </c>
      <c r="B1645" s="7" t="s">
        <v>3128</v>
      </c>
      <c r="C1645" s="8" t="s">
        <v>3129</v>
      </c>
      <c r="D1645" s="9" t="str">
        <f>IFERROR(__xludf.DUMMYFUNCTION("GOOGLETRANSLATE(A1645,""ru"",""en"")"),"Means for washing floors and walls Wise Frosty Fresh 1 l")</f>
        <v>Means for washing floors and walls Wise Frosty Fresh 1 l</v>
      </c>
      <c r="E1645" s="8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>
      <c r="A1646" s="6" t="s">
        <v>3130</v>
      </c>
      <c r="B1646" s="7" t="s">
        <v>3130</v>
      </c>
      <c r="C1646" s="8" t="s">
        <v>3131</v>
      </c>
      <c r="D1646" s="9" t="str">
        <f>IFERROR(__xludf.DUMMYFUNCTION("GOOGLETRANSLATE(A1646,""ru"",""en"")"),"Means for washing floors and walls Wise Lavender Fresh 1 l")</f>
        <v>Means for washing floors and walls Wise Lavender Fresh 1 l</v>
      </c>
      <c r="E1646" s="8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>
      <c r="A1647" s="6" t="s">
        <v>2942</v>
      </c>
      <c r="B1647" s="7" t="s">
        <v>2942</v>
      </c>
      <c r="C1647" s="8" t="s">
        <v>2943</v>
      </c>
      <c r="D1647" s="9" t="str">
        <f>IFERROR(__xludf.DUMMYFUNCTION("GOOGLETRANSLATE(A1647,""ru"",""en"")"),"Washing fluid for floors and walls Mr.Proper Mountain stream and coolness 1 l")</f>
        <v>Washing fluid for floors and walls Mr.Proper Mountain stream and coolness 1 l</v>
      </c>
      <c r="E1647" s="8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>
      <c r="A1648" s="6" t="s">
        <v>934</v>
      </c>
      <c r="B1648" s="7" t="s">
        <v>934</v>
      </c>
      <c r="C1648" s="8" t="s">
        <v>935</v>
      </c>
      <c r="D1648" s="9" t="str">
        <f>IFERROR(__xludf.DUMMYFUNCTION("GOOGLETRANSLATE(A1648,""ru"",""en"")"),"Washing fluid for floors and walls Mr. Proper lemon 1 l")</f>
        <v>Washing fluid for floors and walls Mr. Proper lemon 1 l</v>
      </c>
      <c r="E1648" s="8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>
      <c r="A1649" s="6" t="s">
        <v>770</v>
      </c>
      <c r="B1649" s="7" t="s">
        <v>770</v>
      </c>
      <c r="C1649" s="8" t="s">
        <v>771</v>
      </c>
      <c r="D1649" s="9" t="str">
        <f>IFERROR(__xludf.DUMMYFUNCTION("GOOGLETRANSLATE(A1649,""ru"",""en"")"),"Washing fluid for floors and walls Mr. Proper Ocean 1 l")</f>
        <v>Washing fluid for floors and walls Mr. Proper Ocean 1 l</v>
      </c>
      <c r="E1649" s="8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>
      <c r="A1650" s="6" t="s">
        <v>3132</v>
      </c>
      <c r="B1650" s="7" t="s">
        <v>3132</v>
      </c>
      <c r="C1650" s="8" t="s">
        <v>3133</v>
      </c>
      <c r="D1650" s="9" t="str">
        <f>IFERROR(__xludf.DUMMYFUNCTION("GOOGLETRANSLATE(A1650,""ru"",""en"")"),"Klebebander 50mm Adhesive Tape Transparent 40 microns")</f>
        <v>Klebebander 50mm Adhesive Tape Transparent 40 microns</v>
      </c>
      <c r="E1650" s="8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>
      <c r="A1651" s="6" t="s">
        <v>3134</v>
      </c>
      <c r="B1651" s="7" t="s">
        <v>3134</v>
      </c>
      <c r="C1651" s="8" t="s">
        <v>3135</v>
      </c>
      <c r="D1651" s="11" t="s">
        <v>3136</v>
      </c>
      <c r="E1651" s="8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>
      <c r="A1652" s="6" t="s">
        <v>3137</v>
      </c>
      <c r="B1652" s="7" t="s">
        <v>3137</v>
      </c>
      <c r="C1652" s="8" t="s">
        <v>3138</v>
      </c>
      <c r="D1652" s="11" t="s">
        <v>3139</v>
      </c>
      <c r="E1652" s="8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>
      <c r="A1653" s="6" t="s">
        <v>432</v>
      </c>
      <c r="B1653" s="7" t="s">
        <v>432</v>
      </c>
      <c r="C1653" s="8" t="s">
        <v>433</v>
      </c>
      <c r="D1653" s="11" t="s">
        <v>3140</v>
      </c>
      <c r="E1653" s="8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>
      <c r="A1654" s="6" t="s">
        <v>3141</v>
      </c>
      <c r="B1654" s="7" t="s">
        <v>3141</v>
      </c>
      <c r="C1654" s="8" t="s">
        <v>3142</v>
      </c>
      <c r="D1654" s="11" t="s">
        <v>3143</v>
      </c>
      <c r="E1654" s="8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>
      <c r="A1655" s="6" t="s">
        <v>3144</v>
      </c>
      <c r="B1655" s="7" t="s">
        <v>3144</v>
      </c>
      <c r="C1655" s="8" t="s">
        <v>3145</v>
      </c>
      <c r="D1655" s="11" t="s">
        <v>3146</v>
      </c>
      <c r="E1655" s="8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>
      <c r="A1656" s="6" t="s">
        <v>3147</v>
      </c>
      <c r="B1656" s="7" t="s">
        <v>3147</v>
      </c>
      <c r="C1656" s="8" t="s">
        <v>3148</v>
      </c>
      <c r="D1656" s="11" t="s">
        <v>3149</v>
      </c>
      <c r="E1656" s="8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>
      <c r="A1657" s="6" t="s">
        <v>3150</v>
      </c>
      <c r="B1657" s="7" t="s">
        <v>3150</v>
      </c>
      <c r="C1657" s="8" t="s">
        <v>3151</v>
      </c>
      <c r="D1657" s="11" t="s">
        <v>3152</v>
      </c>
      <c r="E1657" s="8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>
      <c r="A1658" s="6" t="s">
        <v>3153</v>
      </c>
      <c r="B1658" s="7" t="s">
        <v>3153</v>
      </c>
      <c r="C1658" s="8" t="s">
        <v>3154</v>
      </c>
      <c r="D1658" s="11" t="s">
        <v>3155</v>
      </c>
      <c r="E1658" s="8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>
      <c r="A1659" s="6" t="s">
        <v>3156</v>
      </c>
      <c r="B1659" s="7" t="s">
        <v>3156</v>
      </c>
      <c r="C1659" s="8" t="s">
        <v>3157</v>
      </c>
      <c r="D1659" s="11" t="s">
        <v>3158</v>
      </c>
      <c r="E1659" s="8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>
      <c r="A1660" s="6" t="s">
        <v>3159</v>
      </c>
      <c r="B1660" s="7" t="s">
        <v>3159</v>
      </c>
      <c r="C1660" s="8" t="s">
        <v>3160</v>
      </c>
      <c r="D1660" s="11" t="s">
        <v>3161</v>
      </c>
      <c r="E1660" s="8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>
      <c r="A1661" s="6" t="s">
        <v>1845</v>
      </c>
      <c r="B1661" s="7" t="s">
        <v>1845</v>
      </c>
      <c r="C1661" s="8" t="s">
        <v>1846</v>
      </c>
      <c r="D1661" s="11" t="s">
        <v>3162</v>
      </c>
      <c r="E1661" s="8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>
      <c r="A1662" s="6" t="s">
        <v>2159</v>
      </c>
      <c r="B1662" s="7" t="s">
        <v>2159</v>
      </c>
      <c r="C1662" s="8" t="s">
        <v>2160</v>
      </c>
      <c r="D1662" s="11" t="s">
        <v>3163</v>
      </c>
      <c r="E1662" s="8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>
      <c r="A1663" s="6" t="s">
        <v>3164</v>
      </c>
      <c r="B1663" s="7" t="s">
        <v>3164</v>
      </c>
      <c r="C1663" s="8" t="s">
        <v>3165</v>
      </c>
      <c r="D1663" s="11" t="s">
        <v>3166</v>
      </c>
      <c r="E1663" s="8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>
      <c r="A1664" s="6" t="s">
        <v>3167</v>
      </c>
      <c r="B1664" s="7" t="s">
        <v>3167</v>
      </c>
      <c r="C1664" s="8" t="s">
        <v>3168</v>
      </c>
      <c r="D1664" s="11" t="s">
        <v>3169</v>
      </c>
      <c r="E1664" s="8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>
      <c r="A1665" s="6" t="s">
        <v>3170</v>
      </c>
      <c r="B1665" s="7" t="s">
        <v>3170</v>
      </c>
      <c r="C1665" s="8" t="s">
        <v>3171</v>
      </c>
      <c r="D1665" s="11" t="s">
        <v>3172</v>
      </c>
      <c r="E1665" s="8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>
      <c r="A1666" s="6" t="s">
        <v>3173</v>
      </c>
      <c r="B1666" s="7" t="s">
        <v>3173</v>
      </c>
      <c r="C1666" s="8" t="s">
        <v>3174</v>
      </c>
      <c r="D1666" s="11" t="s">
        <v>3175</v>
      </c>
      <c r="E1666" s="8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>
      <c r="A1667" s="6" t="s">
        <v>3176</v>
      </c>
      <c r="B1667" s="7" t="s">
        <v>3176</v>
      </c>
      <c r="C1667" s="8" t="s">
        <v>3177</v>
      </c>
      <c r="D1667" s="11" t="s">
        <v>3178</v>
      </c>
      <c r="E1667" s="8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>
      <c r="A1668" s="6" t="s">
        <v>3179</v>
      </c>
      <c r="B1668" s="7" t="s">
        <v>3179</v>
      </c>
      <c r="C1668" s="8" t="s">
        <v>3180</v>
      </c>
      <c r="D1668" s="11" t="s">
        <v>3181</v>
      </c>
      <c r="E1668" s="8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>
      <c r="A1669" s="6" t="s">
        <v>2660</v>
      </c>
      <c r="B1669" s="7" t="s">
        <v>2660</v>
      </c>
      <c r="C1669" s="8" t="s">
        <v>2661</v>
      </c>
      <c r="D1669" s="11" t="s">
        <v>3182</v>
      </c>
      <c r="E1669" s="8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>
      <c r="A1670" s="6" t="s">
        <v>2746</v>
      </c>
      <c r="B1670" s="7" t="s">
        <v>2746</v>
      </c>
      <c r="C1670" s="8" t="s">
        <v>2747</v>
      </c>
      <c r="D1670" s="11" t="s">
        <v>3183</v>
      </c>
      <c r="E1670" s="8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>
      <c r="A1671" s="6" t="s">
        <v>2854</v>
      </c>
      <c r="B1671" s="7" t="s">
        <v>2854</v>
      </c>
      <c r="C1671" s="8" t="s">
        <v>2855</v>
      </c>
      <c r="D1671" s="11" t="s">
        <v>3184</v>
      </c>
      <c r="E1671" s="8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>
      <c r="A1672" s="6" t="s">
        <v>3185</v>
      </c>
      <c r="B1672" s="7" t="s">
        <v>3185</v>
      </c>
      <c r="C1672" s="8" t="s">
        <v>3186</v>
      </c>
      <c r="D1672" s="11" t="s">
        <v>3187</v>
      </c>
      <c r="E1672" s="8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>
      <c r="A1673" s="6" t="s">
        <v>2982</v>
      </c>
      <c r="B1673" s="7" t="s">
        <v>2982</v>
      </c>
      <c r="C1673" s="8" t="s">
        <v>2983</v>
      </c>
      <c r="D1673" s="11" t="s">
        <v>3188</v>
      </c>
      <c r="E1673" s="8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>
      <c r="A1674" s="6" t="s">
        <v>3189</v>
      </c>
      <c r="B1674" s="7" t="s">
        <v>3189</v>
      </c>
      <c r="C1674" s="8" t="s">
        <v>3190</v>
      </c>
      <c r="D1674" s="11" t="s">
        <v>3191</v>
      </c>
      <c r="E1674" s="8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>
      <c r="A1675" s="6" t="s">
        <v>3192</v>
      </c>
      <c r="B1675" s="7" t="s">
        <v>3192</v>
      </c>
      <c r="C1675" s="8" t="s">
        <v>3193</v>
      </c>
      <c r="D1675" s="11" t="s">
        <v>3194</v>
      </c>
      <c r="E1675" s="8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>
      <c r="A1676" s="6" t="s">
        <v>3195</v>
      </c>
      <c r="B1676" s="7" t="s">
        <v>3195</v>
      </c>
      <c r="C1676" s="8" t="s">
        <v>3196</v>
      </c>
      <c r="D1676" s="11" t="s">
        <v>3197</v>
      </c>
      <c r="E1676" s="8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>
      <c r="A1677" s="6" t="s">
        <v>3198</v>
      </c>
      <c r="B1677" s="7" t="s">
        <v>3198</v>
      </c>
      <c r="C1677" s="8" t="s">
        <v>3199</v>
      </c>
      <c r="D1677" s="11" t="s">
        <v>3200</v>
      </c>
      <c r="E1677" s="8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>
      <c r="A1678" s="6" t="s">
        <v>3201</v>
      </c>
      <c r="B1678" s="7" t="s">
        <v>3201</v>
      </c>
      <c r="C1678" s="8" t="s">
        <v>3202</v>
      </c>
      <c r="D1678" s="11" t="s">
        <v>3203</v>
      </c>
      <c r="E1678" s="8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>
      <c r="A1679" s="6" t="s">
        <v>3204</v>
      </c>
      <c r="B1679" s="7" t="s">
        <v>3204</v>
      </c>
      <c r="C1679" s="8" t="s">
        <v>3205</v>
      </c>
      <c r="D1679" s="11" t="s">
        <v>3206</v>
      </c>
      <c r="E1679" s="8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>
      <c r="A1680" s="6" t="s">
        <v>3207</v>
      </c>
      <c r="B1680" s="7" t="s">
        <v>3207</v>
      </c>
      <c r="C1680" s="8" t="s">
        <v>3208</v>
      </c>
      <c r="D1680" s="11" t="s">
        <v>3209</v>
      </c>
      <c r="E1680" s="8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>
      <c r="A1681" s="6" t="s">
        <v>3210</v>
      </c>
      <c r="B1681" s="7" t="s">
        <v>3210</v>
      </c>
      <c r="C1681" s="8" t="s">
        <v>3211</v>
      </c>
      <c r="D1681" s="11" t="s">
        <v>3212</v>
      </c>
      <c r="E1681" s="8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>
      <c r="A1682" s="6" t="s">
        <v>3213</v>
      </c>
      <c r="B1682" s="7" t="s">
        <v>3213</v>
      </c>
      <c r="C1682" s="8" t="s">
        <v>3214</v>
      </c>
      <c r="D1682" s="11" t="s">
        <v>3215</v>
      </c>
      <c r="E1682" s="8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>
      <c r="A1683" s="6" t="s">
        <v>3216</v>
      </c>
      <c r="B1683" s="7" t="s">
        <v>3216</v>
      </c>
      <c r="C1683" s="8" t="s">
        <v>3217</v>
      </c>
      <c r="D1683" s="11" t="s">
        <v>3218</v>
      </c>
      <c r="E1683" s="8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>
      <c r="A1684" s="6" t="s">
        <v>3219</v>
      </c>
      <c r="B1684" s="7" t="s">
        <v>3219</v>
      </c>
      <c r="C1684" s="8" t="s">
        <v>3220</v>
      </c>
      <c r="D1684" s="11" t="s">
        <v>3221</v>
      </c>
      <c r="E1684" s="8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>
      <c r="A1685" s="6" t="s">
        <v>3222</v>
      </c>
      <c r="B1685" s="7" t="s">
        <v>3222</v>
      </c>
      <c r="C1685" s="8" t="s">
        <v>3223</v>
      </c>
      <c r="D1685" s="11" t="s">
        <v>3224</v>
      </c>
      <c r="E1685" s="8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>
      <c r="A1686" s="6" t="s">
        <v>3225</v>
      </c>
      <c r="B1686" s="7" t="s">
        <v>3225</v>
      </c>
      <c r="C1686" s="8" t="s">
        <v>3226</v>
      </c>
      <c r="D1686" s="11" t="s">
        <v>3227</v>
      </c>
      <c r="E1686" s="8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>
      <c r="A1687" s="6" t="s">
        <v>3228</v>
      </c>
      <c r="B1687" s="7" t="s">
        <v>3228</v>
      </c>
      <c r="C1687" s="8" t="s">
        <v>3229</v>
      </c>
      <c r="D1687" s="11" t="s">
        <v>3230</v>
      </c>
      <c r="E1687" s="8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>
      <c r="A1688" s="6" t="s">
        <v>3231</v>
      </c>
      <c r="B1688" s="7" t="s">
        <v>3231</v>
      </c>
      <c r="C1688" s="8" t="s">
        <v>3232</v>
      </c>
      <c r="D1688" s="11" t="s">
        <v>3233</v>
      </c>
      <c r="E1688" s="8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>
      <c r="A1689" s="6" t="s">
        <v>3234</v>
      </c>
      <c r="B1689" s="7" t="s">
        <v>3234</v>
      </c>
      <c r="C1689" s="8" t="s">
        <v>3235</v>
      </c>
      <c r="D1689" s="11" t="s">
        <v>3236</v>
      </c>
      <c r="E1689" s="8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>
      <c r="A1690" s="6" t="s">
        <v>3237</v>
      </c>
      <c r="B1690" s="7" t="s">
        <v>3237</v>
      </c>
      <c r="C1690" s="8" t="s">
        <v>3238</v>
      </c>
      <c r="D1690" s="11" t="s">
        <v>3239</v>
      </c>
      <c r="E1690" s="8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>
      <c r="A1691" s="6" t="s">
        <v>3240</v>
      </c>
      <c r="B1691" s="7" t="s">
        <v>3240</v>
      </c>
      <c r="C1691" s="8" t="s">
        <v>3241</v>
      </c>
      <c r="D1691" s="11" t="s">
        <v>3242</v>
      </c>
      <c r="E1691" s="8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>
      <c r="A1692" s="6" t="s">
        <v>3243</v>
      </c>
      <c r="B1692" s="7" t="s">
        <v>3243</v>
      </c>
      <c r="C1692" s="8" t="s">
        <v>3244</v>
      </c>
      <c r="D1692" s="11" t="s">
        <v>3245</v>
      </c>
      <c r="E1692" s="8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>
      <c r="A1693" s="6" t="s">
        <v>3246</v>
      </c>
      <c r="B1693" s="7" t="s">
        <v>3246</v>
      </c>
      <c r="C1693" s="8" t="s">
        <v>3247</v>
      </c>
      <c r="D1693" s="11" t="s">
        <v>3248</v>
      </c>
      <c r="E1693" s="8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>
      <c r="A1694" s="6" t="s">
        <v>3249</v>
      </c>
      <c r="B1694" s="7" t="s">
        <v>3249</v>
      </c>
      <c r="C1694" s="8" t="s">
        <v>3250</v>
      </c>
      <c r="D1694" s="11" t="s">
        <v>3251</v>
      </c>
      <c r="E1694" s="8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>
      <c r="A1695" s="6" t="s">
        <v>3252</v>
      </c>
      <c r="B1695" s="7" t="s">
        <v>3252</v>
      </c>
      <c r="C1695" s="8" t="s">
        <v>3253</v>
      </c>
      <c r="D1695" s="11" t="s">
        <v>3254</v>
      </c>
      <c r="E1695" s="8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>
      <c r="A1696" s="6" t="s">
        <v>3255</v>
      </c>
      <c r="B1696" s="7" t="s">
        <v>3255</v>
      </c>
      <c r="C1696" s="8" t="s">
        <v>3256</v>
      </c>
      <c r="D1696" s="11" t="s">
        <v>3257</v>
      </c>
      <c r="E1696" s="8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>
      <c r="A1697" s="6" t="s">
        <v>3258</v>
      </c>
      <c r="B1697" s="7" t="s">
        <v>3258</v>
      </c>
      <c r="C1697" s="8" t="s">
        <v>3259</v>
      </c>
      <c r="D1697" s="11" t="s">
        <v>3260</v>
      </c>
      <c r="E1697" s="8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>
      <c r="A1698" s="6" t="s">
        <v>3261</v>
      </c>
      <c r="B1698" s="7" t="s">
        <v>3261</v>
      </c>
      <c r="C1698" s="8" t="s">
        <v>3262</v>
      </c>
      <c r="D1698" s="11" t="s">
        <v>3263</v>
      </c>
      <c r="E1698" s="8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>
      <c r="A1699" s="6" t="s">
        <v>3264</v>
      </c>
      <c r="B1699" s="7" t="s">
        <v>3264</v>
      </c>
      <c r="C1699" s="8" t="s">
        <v>3265</v>
      </c>
      <c r="D1699" s="11" t="s">
        <v>3266</v>
      </c>
      <c r="E1699" s="8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>
      <c r="A1700" s="6" t="s">
        <v>3267</v>
      </c>
      <c r="B1700" s="7" t="s">
        <v>3267</v>
      </c>
      <c r="C1700" s="8" t="s">
        <v>3268</v>
      </c>
      <c r="D1700" s="11" t="s">
        <v>3269</v>
      </c>
      <c r="E1700" s="8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>
      <c r="A1701" s="6" t="s">
        <v>3270</v>
      </c>
      <c r="B1701" s="7" t="s">
        <v>3270</v>
      </c>
      <c r="C1701" s="8" t="s">
        <v>3271</v>
      </c>
      <c r="D1701" s="11" t="s">
        <v>3272</v>
      </c>
      <c r="E1701" s="8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>
      <c r="A1702" s="6" t="s">
        <v>3273</v>
      </c>
      <c r="B1702" s="7" t="s">
        <v>3273</v>
      </c>
      <c r="C1702" s="8" t="s">
        <v>3274</v>
      </c>
      <c r="D1702" s="11" t="s">
        <v>3275</v>
      </c>
      <c r="E1702" s="8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>
      <c r="A1703" s="6" t="s">
        <v>3276</v>
      </c>
      <c r="B1703" s="7" t="s">
        <v>3276</v>
      </c>
      <c r="C1703" s="8" t="s">
        <v>3277</v>
      </c>
      <c r="D1703" s="11" t="s">
        <v>3278</v>
      </c>
      <c r="E1703" s="8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>
      <c r="A1704" s="6" t="s">
        <v>3279</v>
      </c>
      <c r="B1704" s="7" t="s">
        <v>3279</v>
      </c>
      <c r="C1704" s="8" t="s">
        <v>3280</v>
      </c>
      <c r="D1704" s="11" t="s">
        <v>3281</v>
      </c>
      <c r="E1704" s="8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>
      <c r="A1705" s="6" t="s">
        <v>3282</v>
      </c>
      <c r="B1705" s="7" t="s">
        <v>3282</v>
      </c>
      <c r="C1705" s="8" t="s">
        <v>3283</v>
      </c>
      <c r="D1705" s="11" t="s">
        <v>3284</v>
      </c>
      <c r="E1705" s="8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>
      <c r="A1706" s="6" t="s">
        <v>3285</v>
      </c>
      <c r="B1706" s="7" t="s">
        <v>3285</v>
      </c>
      <c r="C1706" s="8" t="s">
        <v>3286</v>
      </c>
      <c r="D1706" s="11" t="s">
        <v>3287</v>
      </c>
      <c r="E1706" s="8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>
      <c r="A1707" s="6" t="s">
        <v>3288</v>
      </c>
      <c r="B1707" s="7" t="s">
        <v>3288</v>
      </c>
      <c r="C1707" s="8" t="s">
        <v>3289</v>
      </c>
      <c r="D1707" s="11" t="s">
        <v>3290</v>
      </c>
      <c r="E1707" s="8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>
      <c r="A1708" s="6" t="s">
        <v>3291</v>
      </c>
      <c r="B1708" s="7" t="s">
        <v>3291</v>
      </c>
      <c r="C1708" s="8" t="s">
        <v>3292</v>
      </c>
      <c r="D1708" s="11" t="s">
        <v>3293</v>
      </c>
      <c r="E1708" s="8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>
      <c r="A1709" s="6" t="s">
        <v>3294</v>
      </c>
      <c r="B1709" s="7" t="s">
        <v>3294</v>
      </c>
      <c r="C1709" s="8" t="s">
        <v>3295</v>
      </c>
      <c r="D1709" s="11" t="s">
        <v>3296</v>
      </c>
      <c r="E1709" s="8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>
      <c r="A1710" s="6" t="s">
        <v>3297</v>
      </c>
      <c r="B1710" s="7" t="s">
        <v>3297</v>
      </c>
      <c r="C1710" s="8" t="s">
        <v>3298</v>
      </c>
      <c r="D1710" s="11" t="s">
        <v>3299</v>
      </c>
      <c r="E1710" s="8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>
      <c r="A1711" s="6" t="s">
        <v>3300</v>
      </c>
      <c r="B1711" s="7" t="s">
        <v>3300</v>
      </c>
      <c r="C1711" s="8" t="s">
        <v>3301</v>
      </c>
      <c r="D1711" s="11" t="s">
        <v>3302</v>
      </c>
      <c r="E1711" s="8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>
      <c r="A1712" s="6" t="s">
        <v>3303</v>
      </c>
      <c r="B1712" s="7" t="s">
        <v>3303</v>
      </c>
      <c r="C1712" s="8" t="s">
        <v>3304</v>
      </c>
      <c r="D1712" s="11" t="s">
        <v>3305</v>
      </c>
      <c r="E1712" s="8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>
      <c r="A1713" s="6" t="s">
        <v>3306</v>
      </c>
      <c r="B1713" s="7" t="s">
        <v>3306</v>
      </c>
      <c r="C1713" s="8" t="s">
        <v>3307</v>
      </c>
      <c r="D1713" s="11" t="s">
        <v>3308</v>
      </c>
      <c r="E1713" s="8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>
      <c r="A1714" s="6" t="s">
        <v>3309</v>
      </c>
      <c r="B1714" s="7" t="s">
        <v>3309</v>
      </c>
      <c r="C1714" s="8" t="s">
        <v>3310</v>
      </c>
      <c r="D1714" s="11" t="s">
        <v>3311</v>
      </c>
      <c r="E1714" s="8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>
      <c r="A1715" s="6" t="s">
        <v>3312</v>
      </c>
      <c r="B1715" s="7" t="s">
        <v>3312</v>
      </c>
      <c r="C1715" s="8" t="s">
        <v>3313</v>
      </c>
      <c r="D1715" s="11" t="s">
        <v>3314</v>
      </c>
      <c r="E1715" s="8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>
      <c r="A1716" s="6" t="s">
        <v>3315</v>
      </c>
      <c r="B1716" s="7" t="s">
        <v>3315</v>
      </c>
      <c r="C1716" s="8" t="s">
        <v>3316</v>
      </c>
      <c r="D1716" s="11" t="s">
        <v>3317</v>
      </c>
      <c r="E1716" s="8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>
      <c r="A1717" s="6" t="s">
        <v>3318</v>
      </c>
      <c r="B1717" s="7" t="s">
        <v>3318</v>
      </c>
      <c r="C1717" s="8" t="s">
        <v>3319</v>
      </c>
      <c r="D1717" s="11" t="s">
        <v>3320</v>
      </c>
      <c r="E1717" s="8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>
      <c r="A1718" s="6" t="s">
        <v>3321</v>
      </c>
      <c r="B1718" s="7" t="s">
        <v>3321</v>
      </c>
      <c r="C1718" s="8" t="s">
        <v>3322</v>
      </c>
      <c r="D1718" s="11" t="s">
        <v>3323</v>
      </c>
      <c r="E1718" s="8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>
      <c r="A1719" s="6" t="s">
        <v>3324</v>
      </c>
      <c r="B1719" s="7" t="s">
        <v>3324</v>
      </c>
      <c r="C1719" s="8" t="s">
        <v>3325</v>
      </c>
      <c r="D1719" s="11" t="s">
        <v>3326</v>
      </c>
      <c r="E1719" s="8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>
      <c r="A1720" s="6" t="s">
        <v>3327</v>
      </c>
      <c r="B1720" s="7" t="s">
        <v>3327</v>
      </c>
      <c r="C1720" s="8" t="s">
        <v>3328</v>
      </c>
      <c r="D1720" s="11" t="s">
        <v>3329</v>
      </c>
      <c r="E1720" s="8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>
      <c r="A1721" s="6" t="s">
        <v>3330</v>
      </c>
      <c r="B1721" s="7" t="s">
        <v>3330</v>
      </c>
      <c r="C1721" s="8" t="s">
        <v>3331</v>
      </c>
      <c r="D1721" s="11" t="s">
        <v>3332</v>
      </c>
      <c r="E1721" s="8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>
      <c r="A1722" s="6" t="s">
        <v>3333</v>
      </c>
      <c r="B1722" s="7" t="s">
        <v>3333</v>
      </c>
      <c r="C1722" s="8" t="s">
        <v>3334</v>
      </c>
      <c r="D1722" s="11" t="s">
        <v>3335</v>
      </c>
      <c r="E1722" s="8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>
      <c r="A1723" s="6" t="s">
        <v>3336</v>
      </c>
      <c r="B1723" s="7" t="s">
        <v>3336</v>
      </c>
      <c r="C1723" s="8" t="s">
        <v>3337</v>
      </c>
      <c r="D1723" s="11" t="s">
        <v>3338</v>
      </c>
      <c r="E1723" s="8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>
      <c r="A1724" s="6" t="s">
        <v>3339</v>
      </c>
      <c r="B1724" s="7" t="s">
        <v>3339</v>
      </c>
      <c r="C1724" s="8" t="s">
        <v>3340</v>
      </c>
      <c r="D1724" s="11" t="s">
        <v>3341</v>
      </c>
      <c r="E1724" s="8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>
      <c r="A1725" s="6" t="s">
        <v>3342</v>
      </c>
      <c r="B1725" s="7" t="s">
        <v>3342</v>
      </c>
      <c r="C1725" s="8" t="s">
        <v>3343</v>
      </c>
      <c r="D1725" s="11" t="s">
        <v>3344</v>
      </c>
      <c r="E1725" s="8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>
      <c r="A1726" s="6" t="s">
        <v>3345</v>
      </c>
      <c r="B1726" s="7" t="s">
        <v>3345</v>
      </c>
      <c r="C1726" s="8" t="s">
        <v>3346</v>
      </c>
      <c r="D1726" s="11" t="s">
        <v>3347</v>
      </c>
      <c r="E1726" s="8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>
      <c r="A1727" s="6" t="s">
        <v>3348</v>
      </c>
      <c r="B1727" s="7" t="s">
        <v>3348</v>
      </c>
      <c r="C1727" s="8" t="s">
        <v>3349</v>
      </c>
      <c r="D1727" s="11" t="s">
        <v>3350</v>
      </c>
      <c r="E1727" s="8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>
      <c r="A1728" s="6" t="s">
        <v>3351</v>
      </c>
      <c r="B1728" s="7" t="s">
        <v>3351</v>
      </c>
      <c r="C1728" s="8" t="s">
        <v>3352</v>
      </c>
      <c r="D1728" s="11" t="s">
        <v>3353</v>
      </c>
      <c r="E1728" s="8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>
      <c r="A1729" s="6" t="s">
        <v>3354</v>
      </c>
      <c r="B1729" s="7" t="s">
        <v>3354</v>
      </c>
      <c r="C1729" s="8" t="s">
        <v>3355</v>
      </c>
      <c r="D1729" s="11" t="s">
        <v>3356</v>
      </c>
      <c r="E1729" s="8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>
      <c r="A1730" s="6" t="s">
        <v>3357</v>
      </c>
      <c r="B1730" s="7" t="s">
        <v>3357</v>
      </c>
      <c r="C1730" s="8" t="s">
        <v>3358</v>
      </c>
      <c r="D1730" s="11" t="s">
        <v>3359</v>
      </c>
      <c r="E1730" s="8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>
      <c r="A1731" s="6" t="s">
        <v>3360</v>
      </c>
      <c r="B1731" s="7" t="s">
        <v>3360</v>
      </c>
      <c r="C1731" s="8" t="s">
        <v>3361</v>
      </c>
      <c r="D1731" s="11" t="s">
        <v>3362</v>
      </c>
      <c r="E1731" s="8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>
      <c r="A1732" s="6" t="s">
        <v>3363</v>
      </c>
      <c r="B1732" s="7" t="s">
        <v>3363</v>
      </c>
      <c r="C1732" s="8" t="s">
        <v>3364</v>
      </c>
      <c r="D1732" s="11" t="s">
        <v>3365</v>
      </c>
      <c r="E1732" s="8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>
      <c r="A1733" s="6" t="s">
        <v>3366</v>
      </c>
      <c r="B1733" s="7" t="s">
        <v>3366</v>
      </c>
      <c r="C1733" s="8" t="s">
        <v>3367</v>
      </c>
      <c r="D1733" s="11" t="s">
        <v>3368</v>
      </c>
      <c r="E1733" s="8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>
      <c r="A1734" s="6" t="s">
        <v>3369</v>
      </c>
      <c r="B1734" s="7" t="s">
        <v>3369</v>
      </c>
      <c r="C1734" s="8" t="s">
        <v>3370</v>
      </c>
      <c r="D1734" s="11" t="s">
        <v>3371</v>
      </c>
      <c r="E1734" s="8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>
      <c r="A1735" s="6" t="s">
        <v>3372</v>
      </c>
      <c r="B1735" s="7" t="s">
        <v>3372</v>
      </c>
      <c r="C1735" s="8" t="s">
        <v>3373</v>
      </c>
      <c r="D1735" s="11" t="s">
        <v>3374</v>
      </c>
      <c r="E1735" s="8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>
      <c r="A1736" s="6" t="s">
        <v>3375</v>
      </c>
      <c r="B1736" s="7" t="s">
        <v>3375</v>
      </c>
      <c r="C1736" s="8" t="s">
        <v>3376</v>
      </c>
      <c r="D1736" s="11" t="s">
        <v>3377</v>
      </c>
      <c r="E1736" s="8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>
      <c r="A1737" s="6" t="s">
        <v>3378</v>
      </c>
      <c r="B1737" s="7" t="s">
        <v>3378</v>
      </c>
      <c r="C1737" s="8" t="s">
        <v>3379</v>
      </c>
      <c r="D1737" s="11" t="s">
        <v>3380</v>
      </c>
      <c r="E1737" s="8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>
      <c r="A1738" s="6" t="s">
        <v>3381</v>
      </c>
      <c r="B1738" s="7" t="s">
        <v>3381</v>
      </c>
      <c r="C1738" s="8" t="s">
        <v>3382</v>
      </c>
      <c r="D1738" s="11" t="s">
        <v>3383</v>
      </c>
      <c r="E1738" s="8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>
      <c r="A1739" s="6" t="s">
        <v>3384</v>
      </c>
      <c r="B1739" s="7" t="s">
        <v>3384</v>
      </c>
      <c r="C1739" s="8" t="s">
        <v>3385</v>
      </c>
      <c r="D1739" s="11" t="s">
        <v>3386</v>
      </c>
      <c r="E1739" s="8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>
      <c r="A1740" s="6" t="s">
        <v>3387</v>
      </c>
      <c r="B1740" s="7" t="s">
        <v>3387</v>
      </c>
      <c r="C1740" s="8" t="s">
        <v>3388</v>
      </c>
      <c r="D1740" s="11" t="s">
        <v>3389</v>
      </c>
      <c r="E1740" s="8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>
      <c r="A1741" s="6" t="s">
        <v>3390</v>
      </c>
      <c r="B1741" s="7" t="s">
        <v>3390</v>
      </c>
      <c r="C1741" s="8" t="s">
        <v>3391</v>
      </c>
      <c r="D1741" s="11" t="s">
        <v>3392</v>
      </c>
      <c r="E1741" s="8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>
      <c r="A1742" s="6" t="s">
        <v>3393</v>
      </c>
      <c r="B1742" s="7" t="s">
        <v>3393</v>
      </c>
      <c r="C1742" s="8" t="s">
        <v>3394</v>
      </c>
      <c r="D1742" s="11" t="s">
        <v>3395</v>
      </c>
      <c r="E1742" s="8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>
      <c r="A1743" s="6" t="s">
        <v>3396</v>
      </c>
      <c r="B1743" s="7" t="s">
        <v>3396</v>
      </c>
      <c r="C1743" s="8" t="s">
        <v>3397</v>
      </c>
      <c r="D1743" s="11" t="s">
        <v>3398</v>
      </c>
      <c r="E1743" s="8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>
      <c r="A1744" s="6" t="s">
        <v>3399</v>
      </c>
      <c r="B1744" s="7" t="s">
        <v>3399</v>
      </c>
      <c r="C1744" s="8" t="s">
        <v>3400</v>
      </c>
      <c r="D1744" s="11" t="s">
        <v>3401</v>
      </c>
      <c r="E1744" s="8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>
      <c r="A1745" s="6" t="s">
        <v>3402</v>
      </c>
      <c r="B1745" s="7" t="s">
        <v>3402</v>
      </c>
      <c r="C1745" s="8" t="s">
        <v>3403</v>
      </c>
      <c r="D1745" s="11" t="s">
        <v>3404</v>
      </c>
      <c r="E1745" s="8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>
      <c r="A1746" s="6" t="s">
        <v>3405</v>
      </c>
      <c r="B1746" s="7" t="s">
        <v>3405</v>
      </c>
      <c r="C1746" s="8" t="s">
        <v>3406</v>
      </c>
      <c r="D1746" s="11" t="s">
        <v>3407</v>
      </c>
      <c r="E1746" s="8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>
      <c r="A1747" s="6" t="s">
        <v>3408</v>
      </c>
      <c r="B1747" s="7" t="s">
        <v>3408</v>
      </c>
      <c r="C1747" s="8" t="s">
        <v>3409</v>
      </c>
      <c r="D1747" s="11" t="s">
        <v>3410</v>
      </c>
      <c r="E1747" s="8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>
      <c r="A1748" s="6" t="s">
        <v>3411</v>
      </c>
      <c r="B1748" s="7" t="s">
        <v>3411</v>
      </c>
      <c r="C1748" s="8" t="s">
        <v>3412</v>
      </c>
      <c r="D1748" s="11" t="s">
        <v>3413</v>
      </c>
      <c r="E1748" s="8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>
      <c r="A1749" s="6" t="s">
        <v>3414</v>
      </c>
      <c r="B1749" s="7" t="s">
        <v>3414</v>
      </c>
      <c r="C1749" s="8" t="s">
        <v>3415</v>
      </c>
      <c r="D1749" s="11" t="s">
        <v>3416</v>
      </c>
      <c r="E1749" s="8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>
      <c r="A1750" s="6" t="s">
        <v>3417</v>
      </c>
      <c r="B1750" s="7" t="s">
        <v>3417</v>
      </c>
      <c r="C1750" s="8" t="s">
        <v>3418</v>
      </c>
      <c r="D1750" s="11" t="s">
        <v>3419</v>
      </c>
      <c r="E1750" s="8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>
      <c r="A1751" s="6" t="s">
        <v>3132</v>
      </c>
      <c r="B1751" s="7" t="s">
        <v>3132</v>
      </c>
      <c r="C1751" s="8" t="s">
        <v>3133</v>
      </c>
      <c r="D1751" s="11" t="s">
        <v>3420</v>
      </c>
      <c r="E1751" s="8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>
      <c r="A1752" s="6" t="s">
        <v>3421</v>
      </c>
      <c r="B1752" s="7" t="s">
        <v>3421</v>
      </c>
      <c r="C1752" s="8" t="s">
        <v>3422</v>
      </c>
      <c r="D1752" s="11" t="s">
        <v>3423</v>
      </c>
      <c r="E1752" s="8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>
      <c r="A1753" s="6" t="s">
        <v>3424</v>
      </c>
      <c r="B1753" s="7" t="s">
        <v>3424</v>
      </c>
      <c r="C1753" s="8" t="s">
        <v>3425</v>
      </c>
      <c r="D1753" s="11" t="s">
        <v>3426</v>
      </c>
      <c r="E1753" s="8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>
      <c r="A1754" s="6" t="s">
        <v>3427</v>
      </c>
      <c r="B1754" s="7" t="s">
        <v>3427</v>
      </c>
      <c r="C1754" s="8" t="s">
        <v>3428</v>
      </c>
      <c r="D1754" s="11" t="s">
        <v>3429</v>
      </c>
      <c r="E1754" s="8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>
      <c r="A1755" s="6" t="s">
        <v>3430</v>
      </c>
      <c r="B1755" s="7" t="s">
        <v>3430</v>
      </c>
      <c r="C1755" s="8" t="s">
        <v>3431</v>
      </c>
      <c r="D1755" s="11" t="s">
        <v>3432</v>
      </c>
      <c r="E1755" s="8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>
      <c r="A1756" s="6" t="s">
        <v>3433</v>
      </c>
      <c r="B1756" s="7" t="s">
        <v>3433</v>
      </c>
      <c r="C1756" s="8" t="s">
        <v>3434</v>
      </c>
      <c r="D1756" s="11" t="s">
        <v>3435</v>
      </c>
      <c r="E1756" s="8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>
      <c r="A1757" s="6" t="s">
        <v>3436</v>
      </c>
      <c r="B1757" s="7" t="s">
        <v>3436</v>
      </c>
      <c r="C1757" s="8" t="s">
        <v>3437</v>
      </c>
      <c r="D1757" s="11" t="s">
        <v>3438</v>
      </c>
      <c r="E1757" s="8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>
      <c r="A1758" s="6" t="s">
        <v>3439</v>
      </c>
      <c r="B1758" s="7" t="s">
        <v>3439</v>
      </c>
      <c r="C1758" s="8" t="s">
        <v>3440</v>
      </c>
      <c r="D1758" s="11" t="s">
        <v>3441</v>
      </c>
      <c r="E1758" s="8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>
      <c r="A1759" s="6" t="s">
        <v>3442</v>
      </c>
      <c r="B1759" s="7" t="s">
        <v>3442</v>
      </c>
      <c r="C1759" s="8" t="s">
        <v>3443</v>
      </c>
      <c r="D1759" s="11" t="s">
        <v>3444</v>
      </c>
      <c r="E1759" s="8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>
      <c r="A1760" s="6" t="s">
        <v>3445</v>
      </c>
      <c r="B1760" s="7" t="s">
        <v>3445</v>
      </c>
      <c r="C1760" s="8" t="s">
        <v>3446</v>
      </c>
      <c r="D1760" s="11" t="s">
        <v>3447</v>
      </c>
      <c r="E1760" s="8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>
      <c r="A1761" s="6" t="s">
        <v>3448</v>
      </c>
      <c r="B1761" s="7" t="s">
        <v>3448</v>
      </c>
      <c r="C1761" s="8" t="s">
        <v>3449</v>
      </c>
      <c r="D1761" s="11" t="s">
        <v>3450</v>
      </c>
      <c r="E1761" s="8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>
      <c r="A1762" s="6" t="s">
        <v>3451</v>
      </c>
      <c r="B1762" s="7" t="s">
        <v>3451</v>
      </c>
      <c r="C1762" s="8" t="s">
        <v>3452</v>
      </c>
      <c r="D1762" s="11" t="s">
        <v>3453</v>
      </c>
      <c r="E1762" s="8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>
      <c r="A1763" s="6" t="s">
        <v>3454</v>
      </c>
      <c r="B1763" s="7" t="s">
        <v>3454</v>
      </c>
      <c r="C1763" s="8" t="s">
        <v>3455</v>
      </c>
      <c r="D1763" s="11" t="s">
        <v>3456</v>
      </c>
      <c r="E1763" s="8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>
      <c r="A1764" s="6" t="s">
        <v>3457</v>
      </c>
      <c r="B1764" s="7" t="s">
        <v>3457</v>
      </c>
      <c r="C1764" s="8" t="s">
        <v>3458</v>
      </c>
      <c r="D1764" s="11" t="s">
        <v>3459</v>
      </c>
      <c r="E1764" s="8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>
      <c r="A1765" s="6" t="s">
        <v>3460</v>
      </c>
      <c r="B1765" s="7" t="s">
        <v>3460</v>
      </c>
      <c r="C1765" s="8" t="s">
        <v>3461</v>
      </c>
      <c r="D1765" s="11" t="s">
        <v>3462</v>
      </c>
      <c r="E1765" s="8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>
      <c r="A1766" s="6" t="s">
        <v>3463</v>
      </c>
      <c r="B1766" s="7" t="s">
        <v>3463</v>
      </c>
      <c r="C1766" s="8" t="s">
        <v>3464</v>
      </c>
      <c r="D1766" s="11" t="s">
        <v>3465</v>
      </c>
      <c r="E1766" s="8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>
      <c r="A1767" s="6" t="s">
        <v>3466</v>
      </c>
      <c r="B1767" s="7" t="s">
        <v>3466</v>
      </c>
      <c r="C1767" s="8" t="s">
        <v>3467</v>
      </c>
      <c r="D1767" s="11" t="s">
        <v>3468</v>
      </c>
      <c r="E1767" s="8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>
      <c r="A1768" s="6" t="s">
        <v>3469</v>
      </c>
      <c r="B1768" s="7" t="s">
        <v>3469</v>
      </c>
      <c r="C1768" s="8" t="s">
        <v>3470</v>
      </c>
      <c r="D1768" s="11" t="s">
        <v>3471</v>
      </c>
      <c r="E1768" s="8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>
      <c r="A1769" s="6" t="s">
        <v>3472</v>
      </c>
      <c r="B1769" s="7" t="s">
        <v>3472</v>
      </c>
      <c r="C1769" s="8" t="s">
        <v>3473</v>
      </c>
      <c r="D1769" s="11" t="s">
        <v>3474</v>
      </c>
      <c r="E1769" s="8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>
      <c r="A1770" s="6" t="s">
        <v>3475</v>
      </c>
      <c r="B1770" s="7" t="s">
        <v>3475</v>
      </c>
      <c r="C1770" s="8" t="s">
        <v>3476</v>
      </c>
      <c r="D1770" s="11" t="s">
        <v>3477</v>
      </c>
      <c r="E1770" s="8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>
      <c r="A1771" s="6" t="s">
        <v>3478</v>
      </c>
      <c r="B1771" s="7" t="s">
        <v>3478</v>
      </c>
      <c r="C1771" s="8" t="s">
        <v>3479</v>
      </c>
      <c r="D1771" s="11" t="s">
        <v>3480</v>
      </c>
      <c r="E1771" s="8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>
      <c r="A1772" s="6" t="s">
        <v>3481</v>
      </c>
      <c r="B1772" s="7" t="s">
        <v>3481</v>
      </c>
      <c r="C1772" s="8" t="s">
        <v>3482</v>
      </c>
      <c r="D1772" s="11" t="s">
        <v>3483</v>
      </c>
      <c r="E1772" s="8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>
      <c r="A1773" s="6" t="s">
        <v>3484</v>
      </c>
      <c r="B1773" s="7" t="s">
        <v>3484</v>
      </c>
      <c r="C1773" s="8" t="s">
        <v>3485</v>
      </c>
      <c r="D1773" s="11" t="s">
        <v>3486</v>
      </c>
      <c r="E1773" s="8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>
      <c r="A1774" s="6" t="s">
        <v>3487</v>
      </c>
      <c r="B1774" s="7" t="s">
        <v>3487</v>
      </c>
      <c r="C1774" s="8" t="s">
        <v>3488</v>
      </c>
      <c r="D1774" s="11" t="s">
        <v>3489</v>
      </c>
      <c r="E1774" s="8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>
      <c r="A1775" s="6" t="s">
        <v>3490</v>
      </c>
      <c r="B1775" s="7" t="s">
        <v>3490</v>
      </c>
      <c r="C1775" s="8" t="s">
        <v>3491</v>
      </c>
      <c r="D1775" s="11" t="s">
        <v>3492</v>
      </c>
      <c r="E1775" s="8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>
      <c r="A1776" s="6" t="s">
        <v>3493</v>
      </c>
      <c r="B1776" s="7" t="s">
        <v>3493</v>
      </c>
      <c r="C1776" s="8" t="s">
        <v>3494</v>
      </c>
      <c r="D1776" s="11" t="s">
        <v>3495</v>
      </c>
      <c r="E1776" s="8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>
      <c r="A1777" s="6" t="s">
        <v>3496</v>
      </c>
      <c r="B1777" s="7" t="s">
        <v>3496</v>
      </c>
      <c r="C1777" s="8" t="s">
        <v>3497</v>
      </c>
      <c r="D1777" s="11" t="s">
        <v>3498</v>
      </c>
      <c r="E1777" s="8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>
      <c r="A1778" s="6" t="s">
        <v>3499</v>
      </c>
      <c r="B1778" s="7" t="s">
        <v>3499</v>
      </c>
      <c r="C1778" s="12" t="s">
        <v>3500</v>
      </c>
      <c r="D1778" s="11" t="s">
        <v>3501</v>
      </c>
      <c r="E1778" s="12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</sheetData>
  <drawing r:id="rId1"/>
</worksheet>
</file>