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slanXAle\Downloads\"/>
    </mc:Choice>
  </mc:AlternateContent>
  <xr:revisionPtr revIDLastSave="0" documentId="13_ncr:1_{C52F0F58-9BAD-47C5-91BF-E733B8E9262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" i="1" l="1"/>
  <c r="C57" i="1"/>
  <c r="D55" i="1"/>
  <c r="C54" i="1"/>
  <c r="B54" i="1"/>
  <c r="B52" i="1"/>
  <c r="B51" i="1"/>
  <c r="E47" i="1"/>
  <c r="D47" i="1"/>
  <c r="C47" i="1"/>
  <c r="F47" i="1" s="1"/>
  <c r="F46" i="1"/>
  <c r="E46" i="1"/>
  <c r="D46" i="1"/>
  <c r="C46" i="1"/>
  <c r="G45" i="1"/>
  <c r="F45" i="1"/>
  <c r="E45" i="1"/>
  <c r="D45" i="1"/>
  <c r="C45" i="1"/>
  <c r="E44" i="1"/>
  <c r="D44" i="1"/>
  <c r="C44" i="1"/>
  <c r="F44" i="1" s="1"/>
  <c r="B42" i="1"/>
  <c r="G39" i="1"/>
  <c r="E39" i="1"/>
  <c r="D39" i="1"/>
  <c r="C39" i="1"/>
  <c r="F39" i="1" s="1"/>
  <c r="E38" i="1"/>
  <c r="D38" i="1"/>
  <c r="C38" i="1"/>
  <c r="E37" i="1"/>
  <c r="D37" i="1"/>
  <c r="C37" i="1"/>
  <c r="F37" i="1" s="1"/>
  <c r="G36" i="1"/>
  <c r="F36" i="1"/>
  <c r="E36" i="1"/>
  <c r="D36" i="1"/>
  <c r="C36" i="1"/>
  <c r="B34" i="1"/>
  <c r="G38" i="1" s="1"/>
  <c r="F31" i="1"/>
  <c r="E31" i="1"/>
  <c r="D31" i="1"/>
  <c r="C58" i="1" s="1"/>
  <c r="C31" i="1"/>
  <c r="B58" i="1" s="1"/>
  <c r="F30" i="1"/>
  <c r="E30" i="1"/>
  <c r="D30" i="1"/>
  <c r="C56" i="1" s="1"/>
  <c r="C30" i="1"/>
  <c r="B56" i="1" s="1"/>
  <c r="G29" i="1"/>
  <c r="E29" i="1"/>
  <c r="D53" i="1" s="1"/>
  <c r="D29" i="1"/>
  <c r="C53" i="1" s="1"/>
  <c r="C29" i="1"/>
  <c r="F29" i="1" s="1"/>
  <c r="E28" i="1"/>
  <c r="D51" i="1" s="1"/>
  <c r="D28" i="1"/>
  <c r="C51" i="1" s="1"/>
  <c r="C28" i="1"/>
  <c r="F28" i="1" s="1"/>
  <c r="B26" i="1"/>
  <c r="E20" i="1"/>
  <c r="D20" i="1"/>
  <c r="C20" i="1"/>
  <c r="B20" i="1"/>
  <c r="E19" i="1"/>
  <c r="D19" i="1"/>
  <c r="C19" i="1"/>
  <c r="B19" i="1"/>
  <c r="E18" i="1"/>
  <c r="D18" i="1"/>
  <c r="C18" i="1"/>
  <c r="B18" i="1"/>
  <c r="E54" i="1" l="1"/>
  <c r="J45" i="1"/>
  <c r="D56" i="1"/>
  <c r="E55" i="1" s="1"/>
  <c r="F54" i="1" s="1"/>
  <c r="H29" i="1"/>
  <c r="J29" i="1" s="1"/>
  <c r="G30" i="1"/>
  <c r="I30" i="1" s="1"/>
  <c r="K30" i="1" s="1"/>
  <c r="I38" i="1"/>
  <c r="K38" i="1" s="1"/>
  <c r="H39" i="1"/>
  <c r="J39" i="1" s="1"/>
  <c r="B55" i="1"/>
  <c r="I29" i="1"/>
  <c r="K29" i="1" s="1"/>
  <c r="G31" i="1"/>
  <c r="I39" i="1"/>
  <c r="K39" i="1" s="1"/>
  <c r="G44" i="1"/>
  <c r="I44" i="1" s="1"/>
  <c r="K44" i="1" s="1"/>
  <c r="C55" i="1"/>
  <c r="D54" i="1" s="1"/>
  <c r="B57" i="1"/>
  <c r="D57" i="1"/>
  <c r="H36" i="1"/>
  <c r="J36" i="1" s="1"/>
  <c r="H45" i="1"/>
  <c r="G46" i="1"/>
  <c r="I46" i="1" s="1"/>
  <c r="K46" i="1" s="1"/>
  <c r="C52" i="1"/>
  <c r="D52" i="1" s="1"/>
  <c r="B53" i="1"/>
  <c r="G28" i="1"/>
  <c r="I28" i="1" s="1"/>
  <c r="K28" i="1" s="1"/>
  <c r="I36" i="1"/>
  <c r="K36" i="1" s="1"/>
  <c r="G37" i="1"/>
  <c r="I37" i="1" s="1"/>
  <c r="K37" i="1" s="1"/>
  <c r="F38" i="1"/>
  <c r="H38" i="1" s="1"/>
  <c r="J38" i="1" s="1"/>
  <c r="I45" i="1"/>
  <c r="K45" i="1" s="1"/>
  <c r="G47" i="1"/>
  <c r="I47" i="1" s="1"/>
  <c r="K47" i="1" s="1"/>
  <c r="E51" i="1" l="1"/>
  <c r="E52" i="1"/>
  <c r="F51" i="1" s="1"/>
  <c r="H30" i="1"/>
  <c r="J30" i="1" s="1"/>
  <c r="H46" i="1"/>
  <c r="J46" i="1" s="1"/>
  <c r="I31" i="1"/>
  <c r="K31" i="1" s="1"/>
  <c r="H31" i="1"/>
  <c r="J31" i="1" s="1"/>
  <c r="E56" i="1"/>
  <c r="H28" i="1"/>
  <c r="J28" i="1" s="1"/>
  <c r="H44" i="1"/>
  <c r="J44" i="1" s="1"/>
  <c r="L44" i="1" s="1"/>
  <c r="H47" i="1"/>
  <c r="J47" i="1" s="1"/>
  <c r="H37" i="1"/>
  <c r="J37" i="1" s="1"/>
  <c r="L36" i="1" s="1"/>
  <c r="E53" i="1"/>
  <c r="F52" i="1" s="1"/>
  <c r="G51" i="1" s="1"/>
  <c r="F53" i="1" l="1"/>
  <c r="L28" i="1"/>
  <c r="F55" i="1"/>
  <c r="G54" i="1" s="1"/>
  <c r="G52" i="1" l="1"/>
  <c r="H51" i="1" s="1"/>
  <c r="G53" i="1"/>
  <c r="H52" i="1" s="1"/>
  <c r="I51" i="1" s="1"/>
  <c r="H53" i="1" l="1"/>
  <c r="I52" i="1" l="1"/>
  <c r="J51" i="1" s="1"/>
  <c r="B63" i="1"/>
</calcChain>
</file>

<file path=xl/sharedStrings.xml><?xml version="1.0" encoding="utf-8"?>
<sst xmlns="http://schemas.openxmlformats.org/spreadsheetml/2006/main" count="61" uniqueCount="34">
  <si>
    <t>Ejercicio 8: Fórmula de Hermite.</t>
  </si>
  <si>
    <t>Alexis Palomares Olegario.</t>
  </si>
  <si>
    <t>24 de marzo del 2022.</t>
  </si>
  <si>
    <t>Próposito:  Implementar las fórmulas de interpolación de Hermite en una hoja de cálculo para interpolar a partir de datos que incluyen la derivada en los puntos.</t>
  </si>
  <si>
    <t>Indicaciones: Sea el siguiente problema.  Un automóvil realiza un recorrido por una carretera recta y se cronometra su recorrido en varios puntos, los cuales se muestran en la siguiente tabla.</t>
  </si>
  <si>
    <t>t (seg) x</t>
  </si>
  <si>
    <t>d (pies) f(x)</t>
  </si>
  <si>
    <t>v (pies/seg) f´(x)</t>
  </si>
  <si>
    <t>Estimar la distancia para t=4, t=6.5s,t=12s</t>
  </si>
  <si>
    <t>Obtener las estimaciones con 8 cifras</t>
  </si>
  <si>
    <t>Para x=</t>
  </si>
  <si>
    <t>i</t>
  </si>
  <si>
    <t>xi</t>
  </si>
  <si>
    <t>f(xi)</t>
  </si>
  <si>
    <t>f'(xi)</t>
  </si>
  <si>
    <t>L'3,j(xj)</t>
  </si>
  <si>
    <t>L3,j(x)</t>
  </si>
  <si>
    <t>Hn,i(x)</t>
  </si>
  <si>
    <t>H^n,i(x)</t>
  </si>
  <si>
    <t>Suma 1</t>
  </si>
  <si>
    <t>Suma 2</t>
  </si>
  <si>
    <t>H2n+1</t>
  </si>
  <si>
    <t>zi</t>
  </si>
  <si>
    <t>f(zi)</t>
  </si>
  <si>
    <t>f(zi, zi+1)</t>
  </si>
  <si>
    <t>fi(2)</t>
  </si>
  <si>
    <t>fi(3)</t>
  </si>
  <si>
    <t>fi(4)</t>
  </si>
  <si>
    <t>fi(5)</t>
  </si>
  <si>
    <t>fi6</t>
  </si>
  <si>
    <t>fi7</t>
  </si>
  <si>
    <t>P6(x=4)</t>
  </si>
  <si>
    <t>P6(x=6,5)</t>
  </si>
  <si>
    <t>P6(x=12)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</si>
</sst>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>
    <font>
      <sz val="10"/>
      <color rgb="FF000000"/>
      <name val="Arial"/>
      <scheme val="minor"/>
    </font>
    <font>
      <sz val="10"/>
      <color theme="1"/>
      <name val="Arial"/>
    </font>
    <font>
      <sz val="30"/>
      <color theme="1"/>
      <name val="&quot;Jim Nightshade&quot;"/>
    </font>
    <font>
      <sz val="20"/>
      <color theme="1"/>
      <name val="&quot;Times New Roman&quot;"/>
    </font>
    <font>
      <sz val="11"/>
      <color theme="1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4" fontId="1" fillId="0" borderId="0" xfId="0" applyNumberFormat="1" applyFont="1" applyAlignment="1"/>
    <xf numFmtId="0" fontId="5" fillId="0" borderId="0" xfId="0" applyFont="1" applyAlignment="1"/>
    <xf numFmtId="0" fontId="1" fillId="0" borderId="0" xfId="0" applyFont="1"/>
    <xf numFmtId="0" fontId="5" fillId="0" borderId="0" xfId="0" applyFont="1"/>
    <xf numFmtId="164" fontId="5" fillId="0" borderId="0" xfId="0" applyNumberFormat="1" applyFont="1" applyAlignment="1"/>
    <xf numFmtId="164" fontId="5" fillId="0" borderId="0" xfId="0" applyNumberFormat="1" applyFont="1"/>
    <xf numFmtId="164" fontId="5" fillId="2" borderId="0" xfId="0" applyNumberFormat="1" applyFont="1" applyFill="1"/>
    <xf numFmtId="0" fontId="5" fillId="2" borderId="0" xfId="0" applyFont="1" applyFill="1"/>
    <xf numFmtId="4" fontId="3" fillId="0" borderId="0" xfId="0" applyNumberFormat="1" applyFont="1" applyAlignment="1">
      <alignment horizontal="center"/>
    </xf>
    <xf numFmtId="0" fontId="0" fillId="0" borderId="0" xfId="0" applyFont="1" applyAlignment="1"/>
    <xf numFmtId="4" fontId="4" fillId="0" borderId="0" xfId="0" applyNumberFormat="1" applyFont="1" applyAlignment="1"/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2"/>
  <sheetViews>
    <sheetView tabSelected="1" zoomScale="85" zoomScaleNormal="85" workbookViewId="0"/>
  </sheetViews>
  <sheetFormatPr baseColWidth="10" defaultColWidth="12.5703125" defaultRowHeight="15.75" customHeight="1"/>
  <cols>
    <col min="2" max="2" width="17" customWidth="1"/>
    <col min="8" max="8" width="16.5703125" customWidth="1"/>
    <col min="9" max="9" width="14.28515625" customWidth="1"/>
    <col min="10" max="10" width="16.85546875" customWidth="1"/>
    <col min="11" max="11" width="15.42578125" customWidth="1"/>
    <col min="12" max="12" width="18.71093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2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15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15.7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5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>
      <c r="A6" s="9" t="s">
        <v>1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15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9" t="s">
        <v>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5.75" customHeight="1">
      <c r="A15" s="11" t="s">
        <v>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5.75" customHeight="1">
      <c r="A16" s="11" t="s">
        <v>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8" spans="1:12">
      <c r="A18" s="2" t="s">
        <v>5</v>
      </c>
      <c r="B18" s="2">
        <f>3</f>
        <v>3</v>
      </c>
      <c r="C18" s="2">
        <f>5</f>
        <v>5</v>
      </c>
      <c r="D18" s="2">
        <f>8</f>
        <v>8</v>
      </c>
      <c r="E18" s="2">
        <f>13</f>
        <v>13</v>
      </c>
      <c r="H18" s="3"/>
    </row>
    <row r="19" spans="1:12">
      <c r="A19" s="2" t="s">
        <v>6</v>
      </c>
      <c r="B19" s="4">
        <f>225</f>
        <v>225</v>
      </c>
      <c r="C19" s="4">
        <f>383</f>
        <v>383</v>
      </c>
      <c r="D19" s="4">
        <f>625</f>
        <v>625</v>
      </c>
      <c r="E19" s="4">
        <f>993</f>
        <v>993</v>
      </c>
    </row>
    <row r="20" spans="1:12">
      <c r="A20" s="2" t="s">
        <v>7</v>
      </c>
      <c r="B20" s="4">
        <f>77</f>
        <v>77</v>
      </c>
      <c r="C20" s="4">
        <f>80</f>
        <v>80</v>
      </c>
      <c r="D20" s="4">
        <f>74</f>
        <v>74</v>
      </c>
      <c r="E20" s="4">
        <f>72</f>
        <v>72</v>
      </c>
      <c r="H20" s="3"/>
    </row>
    <row r="21" spans="1:12">
      <c r="G21" s="3"/>
    </row>
    <row r="22" spans="1:12">
      <c r="A22" s="2" t="s">
        <v>8</v>
      </c>
      <c r="H22" s="3"/>
    </row>
    <row r="23" spans="1:12">
      <c r="A23" s="2" t="s">
        <v>9</v>
      </c>
    </row>
    <row r="26" spans="1:12">
      <c r="A26" s="2" t="s">
        <v>10</v>
      </c>
      <c r="B26" s="2">
        <f>4</f>
        <v>4</v>
      </c>
    </row>
    <row r="27" spans="1:12">
      <c r="B27" s="2" t="s">
        <v>11</v>
      </c>
      <c r="C27" s="2" t="s">
        <v>12</v>
      </c>
      <c r="D27" s="2" t="s">
        <v>13</v>
      </c>
      <c r="E27" s="2" t="s">
        <v>14</v>
      </c>
      <c r="F27" s="2" t="s">
        <v>15</v>
      </c>
      <c r="G27" s="2" t="s">
        <v>16</v>
      </c>
      <c r="H27" s="2" t="s">
        <v>17</v>
      </c>
      <c r="I27" s="2" t="s">
        <v>18</v>
      </c>
      <c r="J27" s="2" t="s">
        <v>19</v>
      </c>
      <c r="K27" s="2" t="s">
        <v>20</v>
      </c>
      <c r="L27" s="2" t="s">
        <v>21</v>
      </c>
    </row>
    <row r="28" spans="1:12" ht="12.75">
      <c r="B28" s="5">
        <v>0</v>
      </c>
      <c r="C28" s="5">
        <f>3</f>
        <v>3</v>
      </c>
      <c r="D28" s="6">
        <f>225</f>
        <v>225</v>
      </c>
      <c r="E28" s="6">
        <f>77</f>
        <v>77</v>
      </c>
      <c r="F28" s="6">
        <f>(3*C28^2-52*C28+79)/-80</f>
        <v>0.625</v>
      </c>
      <c r="G28" s="6">
        <f>(B26^3-26*B26^2+79*B26-520)/-80</f>
        <v>6.95</v>
      </c>
      <c r="H28" s="5">
        <f>(1-(2*($B26-C28)*F28))*G28^2</f>
        <v>-12.075625</v>
      </c>
      <c r="I28" s="5">
        <f>(B26-C28)*G28^2</f>
        <v>48.302500000000002</v>
      </c>
      <c r="J28" s="6">
        <f t="shared" ref="J28:K28" si="0">D28*H28</f>
        <v>-2717.015625</v>
      </c>
      <c r="K28" s="6">
        <f t="shared" si="0"/>
        <v>3719.2925</v>
      </c>
      <c r="L28" s="7">
        <f>SUM(J28:J31)+SUM(K28:K31)</f>
        <v>1220.1992449999998</v>
      </c>
    </row>
    <row r="29" spans="1:12" ht="12.75">
      <c r="B29" s="5">
        <v>1</v>
      </c>
      <c r="C29" s="6">
        <f>5</f>
        <v>5</v>
      </c>
      <c r="D29" s="6">
        <f>383</f>
        <v>383</v>
      </c>
      <c r="E29" s="6">
        <f>80</f>
        <v>80</v>
      </c>
      <c r="F29" s="6">
        <f>(3*C29^2-48*C29+167)/48</f>
        <v>4.1666666666666664E-2</v>
      </c>
      <c r="G29" s="6">
        <f>(B26^3-24*B26^2+167*B26-312)/48</f>
        <v>0.75</v>
      </c>
      <c r="H29" s="5">
        <f>(1-(2*($B26-C29)*F29))*G29^2</f>
        <v>0.609375</v>
      </c>
      <c r="I29" s="5">
        <f>(B26-C29)*G29^2</f>
        <v>-0.5625</v>
      </c>
      <c r="J29" s="6">
        <f t="shared" ref="J29:K29" si="1">D29*H29</f>
        <v>233.390625</v>
      </c>
      <c r="K29" s="6">
        <f t="shared" si="1"/>
        <v>-45</v>
      </c>
      <c r="L29" s="6"/>
    </row>
    <row r="30" spans="1:12" ht="12.75">
      <c r="B30" s="5">
        <v>2</v>
      </c>
      <c r="C30" s="6">
        <f>8</f>
        <v>8</v>
      </c>
      <c r="D30" s="6">
        <f>625</f>
        <v>625</v>
      </c>
      <c r="E30" s="6">
        <f>74</f>
        <v>74</v>
      </c>
      <c r="F30" s="6">
        <f>(3*C30^2-42*C30+119)/-75</f>
        <v>0.33333333333333331</v>
      </c>
      <c r="G30" s="6">
        <f>(B26^3-21*B26^2+119*B26-195)/-75</f>
        <v>-0.12</v>
      </c>
      <c r="H30" s="5">
        <f>(1-(2*($B26-C30)*F30))*G30^2</f>
        <v>5.28E-2</v>
      </c>
      <c r="I30" s="5">
        <f>(B26-C30)*G30^2</f>
        <v>-5.7599999999999998E-2</v>
      </c>
      <c r="J30" s="6">
        <f t="shared" ref="J30:K30" si="2">D30*H30</f>
        <v>33</v>
      </c>
      <c r="K30" s="6">
        <f t="shared" si="2"/>
        <v>-4.2623999999999995</v>
      </c>
      <c r="L30" s="6"/>
    </row>
    <row r="31" spans="1:12" ht="12.75">
      <c r="B31" s="5">
        <v>3</v>
      </c>
      <c r="C31" s="6">
        <f>13</f>
        <v>13</v>
      </c>
      <c r="D31" s="6">
        <f>993</f>
        <v>993</v>
      </c>
      <c r="E31" s="6">
        <f>72</f>
        <v>72</v>
      </c>
      <c r="F31" s="6">
        <f>(3*C31^2-32*C31+79)/400</f>
        <v>0.42499999999999999</v>
      </c>
      <c r="G31" s="6">
        <f>(B26^3-16*B26^2+79*B26-120)/400</f>
        <v>0.01</v>
      </c>
      <c r="H31" s="5">
        <f>(1-(2*($B26-C31)*F31))*G31^2</f>
        <v>8.6499999999999988E-4</v>
      </c>
      <c r="I31" s="5">
        <f>(B26-C31)*G31^2</f>
        <v>-9.0000000000000008E-4</v>
      </c>
      <c r="J31" s="6">
        <f t="shared" ref="J31:K31" si="3">D31*H31</f>
        <v>0.85894499999999985</v>
      </c>
      <c r="K31" s="6">
        <f t="shared" si="3"/>
        <v>-6.480000000000001E-2</v>
      </c>
      <c r="L31" s="6"/>
    </row>
    <row r="34" spans="1:12" ht="12.75">
      <c r="A34" s="2" t="s">
        <v>10</v>
      </c>
      <c r="B34" s="2">
        <f>6.5</f>
        <v>6.5</v>
      </c>
    </row>
    <row r="35" spans="1:12" ht="12.75">
      <c r="B35" s="2" t="s">
        <v>11</v>
      </c>
      <c r="C35" s="2" t="s">
        <v>12</v>
      </c>
      <c r="D35" s="2" t="s">
        <v>13</v>
      </c>
      <c r="E35" s="2" t="s">
        <v>14</v>
      </c>
      <c r="F35" s="2" t="s">
        <v>15</v>
      </c>
      <c r="G35" s="2" t="s">
        <v>16</v>
      </c>
      <c r="H35" s="2" t="s">
        <v>17</v>
      </c>
      <c r="I35" s="2" t="s">
        <v>18</v>
      </c>
      <c r="J35" s="2" t="s">
        <v>19</v>
      </c>
      <c r="K35" s="2" t="s">
        <v>20</v>
      </c>
      <c r="L35" s="2" t="s">
        <v>21</v>
      </c>
    </row>
    <row r="36" spans="1:12" ht="12.75">
      <c r="B36" s="5">
        <v>0</v>
      </c>
      <c r="C36" s="5">
        <f>3</f>
        <v>3</v>
      </c>
      <c r="D36" s="6">
        <f>225</f>
        <v>225</v>
      </c>
      <c r="E36" s="6">
        <f>77</f>
        <v>77</v>
      </c>
      <c r="F36" s="6">
        <f>(3*C36^2-52*C36+79)/-80</f>
        <v>0.625</v>
      </c>
      <c r="G36" s="6">
        <f>(B34^3-26*B34^2+79*B34-520)/-80</f>
        <v>10.379687499999999</v>
      </c>
      <c r="H36" s="5">
        <f>(1-2*($B34-C36)*F36)*G36^2</f>
        <v>-363.6154550170898</v>
      </c>
      <c r="I36" s="5">
        <f>(B34-C36)*G36^2</f>
        <v>377.08269409179684</v>
      </c>
      <c r="J36" s="6">
        <f t="shared" ref="J36:K36" si="4">D36*H36</f>
        <v>-81813.4773788452</v>
      </c>
      <c r="K36" s="6">
        <f t="shared" si="4"/>
        <v>29035.367445068357</v>
      </c>
      <c r="L36" s="7">
        <f>SUM(J36:J39)+SUM(K36:K39)</f>
        <v>-52309.943685627426</v>
      </c>
    </row>
    <row r="37" spans="1:12" ht="12.75">
      <c r="B37" s="5">
        <v>1</v>
      </c>
      <c r="C37" s="6">
        <f>5</f>
        <v>5</v>
      </c>
      <c r="D37" s="6">
        <f>383</f>
        <v>383</v>
      </c>
      <c r="E37" s="6">
        <f>80</f>
        <v>80</v>
      </c>
      <c r="F37" s="6">
        <f>(3*C37^2-48*C37+167)/48</f>
        <v>4.1666666666666664E-2</v>
      </c>
      <c r="G37" s="6">
        <f>(B34^3-24*B34^2+167*B34-312)/48</f>
        <v>0.7109375</v>
      </c>
      <c r="H37" s="5">
        <f>(1-2*($B34-C37)*F37)*G37^2</f>
        <v>0.44225311279296875</v>
      </c>
      <c r="I37" s="5">
        <f>(B34-C37)*G37^2</f>
        <v>0.758148193359375</v>
      </c>
      <c r="J37" s="6">
        <f t="shared" ref="J37:K37" si="5">D37*H37</f>
        <v>169.38294219970703</v>
      </c>
      <c r="K37" s="6">
        <f t="shared" si="5"/>
        <v>60.65185546875</v>
      </c>
      <c r="L37" s="6"/>
    </row>
    <row r="38" spans="1:12" ht="12.75">
      <c r="B38" s="5">
        <v>2</v>
      </c>
      <c r="C38" s="6">
        <f>8</f>
        <v>8</v>
      </c>
      <c r="D38" s="6">
        <f>625</f>
        <v>625</v>
      </c>
      <c r="E38" s="6">
        <f>74</f>
        <v>74</v>
      </c>
      <c r="F38" s="6">
        <f>(3*C38^2-42*C38+119)/-75</f>
        <v>0.33333333333333331</v>
      </c>
      <c r="G38" s="6">
        <f>(B34^3-21*B34^2+119*B34-195)/-75</f>
        <v>0.45500000000000002</v>
      </c>
      <c r="H38" s="5">
        <f>(1-2*($B34-C38)*F38)*G38^2</f>
        <v>0.41405000000000003</v>
      </c>
      <c r="I38" s="5">
        <f>(B34-C38)*G38^2</f>
        <v>-0.31053750000000002</v>
      </c>
      <c r="J38" s="6">
        <f t="shared" ref="J38:K38" si="6">D38*H38</f>
        <v>258.78125</v>
      </c>
      <c r="K38" s="6">
        <f t="shared" si="6"/>
        <v>-22.979775</v>
      </c>
      <c r="L38" s="6"/>
    </row>
    <row r="39" spans="1:12" ht="12.75">
      <c r="B39" s="5">
        <v>3</v>
      </c>
      <c r="C39" s="6">
        <f>13</f>
        <v>13</v>
      </c>
      <c r="D39" s="6">
        <f>993</f>
        <v>993</v>
      </c>
      <c r="E39" s="6">
        <f>72</f>
        <v>72</v>
      </c>
      <c r="F39" s="6">
        <f>(3*C39^2-32*C39+79)/400</f>
        <v>0.42499999999999999</v>
      </c>
      <c r="G39" s="6">
        <f>(B34^3-16*B34^2+79*B34-120)/400</f>
        <v>-1.96875E-2</v>
      </c>
      <c r="H39" s="5">
        <f>(1-2*($B34-C39)*F39)*G39^2</f>
        <v>2.52907470703125E-3</v>
      </c>
      <c r="I39" s="5">
        <f>(B34-C39)*G39^2</f>
        <v>-2.5193847656250004E-3</v>
      </c>
      <c r="J39" s="6">
        <f t="shared" ref="J39:K39" si="7">D39*H39</f>
        <v>2.5113711840820314</v>
      </c>
      <c r="K39" s="6">
        <f t="shared" si="7"/>
        <v>-0.18139570312500003</v>
      </c>
      <c r="L39" s="6"/>
    </row>
    <row r="42" spans="1:12" ht="12.75">
      <c r="A42" s="2" t="s">
        <v>10</v>
      </c>
      <c r="B42" s="2">
        <f>12</f>
        <v>12</v>
      </c>
    </row>
    <row r="43" spans="1:12" ht="12.75">
      <c r="B43" s="2" t="s">
        <v>11</v>
      </c>
      <c r="C43" s="2" t="s">
        <v>12</v>
      </c>
      <c r="D43" s="2" t="s">
        <v>13</v>
      </c>
      <c r="E43" s="2" t="s">
        <v>14</v>
      </c>
      <c r="F43" s="2" t="s">
        <v>15</v>
      </c>
      <c r="G43" s="2" t="s">
        <v>16</v>
      </c>
      <c r="H43" s="2" t="s">
        <v>17</v>
      </c>
      <c r="I43" s="2" t="s">
        <v>18</v>
      </c>
      <c r="J43" s="2" t="s">
        <v>19</v>
      </c>
      <c r="K43" s="2" t="s">
        <v>20</v>
      </c>
      <c r="L43" s="2" t="s">
        <v>21</v>
      </c>
    </row>
    <row r="44" spans="1:12" ht="12.75">
      <c r="B44" s="5">
        <v>0</v>
      </c>
      <c r="C44" s="5">
        <f>3</f>
        <v>3</v>
      </c>
      <c r="D44" s="6">
        <f>225</f>
        <v>225</v>
      </c>
      <c r="E44" s="6">
        <f>77</f>
        <v>77</v>
      </c>
      <c r="F44" s="6">
        <f>(3*C44^2-52*C44+79)/-80</f>
        <v>0.625</v>
      </c>
      <c r="G44" s="6">
        <f>(B42^3-26*B42^2+79*B42-520)/-80</f>
        <v>19.850000000000001</v>
      </c>
      <c r="H44" s="5">
        <f>(1-2*($B42-C44)*F44)*G44^2</f>
        <v>-4038.7306250000001</v>
      </c>
      <c r="I44" s="5">
        <f>(B42-C44)*G44^2</f>
        <v>3546.2025000000003</v>
      </c>
      <c r="J44" s="6">
        <f t="shared" ref="J44:K44" si="8">D44*H44</f>
        <v>-908714.390625</v>
      </c>
      <c r="K44" s="6">
        <f t="shared" si="8"/>
        <v>273057.59250000003</v>
      </c>
      <c r="L44" s="7">
        <f>SUM(J44:J47)+SUM(K44:K47)</f>
        <v>-635077.62655499997</v>
      </c>
    </row>
    <row r="45" spans="1:12" ht="12.75">
      <c r="B45" s="5">
        <v>1</v>
      </c>
      <c r="C45" s="6">
        <f>5</f>
        <v>5</v>
      </c>
      <c r="D45" s="6">
        <f>383</f>
        <v>383</v>
      </c>
      <c r="E45" s="6">
        <f>80</f>
        <v>80</v>
      </c>
      <c r="F45" s="6">
        <f>(3*C45^2-48*C45+167)/48</f>
        <v>4.1666666666666664E-2</v>
      </c>
      <c r="G45" s="6">
        <f>(B42^3-24*B42^2+167*B42-312)/48</f>
        <v>-0.75</v>
      </c>
      <c r="H45" s="5">
        <f>(1-2*($B42-C45)*F45)*G45^2</f>
        <v>0.23437500000000006</v>
      </c>
      <c r="I45" s="5">
        <f>(B42-C45)*G45^2</f>
        <v>3.9375</v>
      </c>
      <c r="J45" s="6">
        <f t="shared" ref="J45:K45" si="9">D45*H45</f>
        <v>89.765625000000014</v>
      </c>
      <c r="K45" s="6">
        <f t="shared" si="9"/>
        <v>315</v>
      </c>
      <c r="L45" s="6"/>
    </row>
    <row r="46" spans="1:12" ht="12.75">
      <c r="B46" s="5">
        <v>2</v>
      </c>
      <c r="C46" s="6">
        <f>8</f>
        <v>8</v>
      </c>
      <c r="D46" s="6">
        <f>625</f>
        <v>625</v>
      </c>
      <c r="E46" s="6">
        <f>74</f>
        <v>74</v>
      </c>
      <c r="F46" s="6">
        <f>(3*C46^2-42*C46+119)/-75</f>
        <v>0.33333333333333331</v>
      </c>
      <c r="G46" s="6">
        <f>(B42^3-21*B42^2+119*B42-195)/-75</f>
        <v>0.84</v>
      </c>
      <c r="H46" s="5">
        <f>(1-2*($B42-C46)*F46)*G46^2</f>
        <v>-1.1759999999999997</v>
      </c>
      <c r="I46" s="5">
        <f>(B42-C46)*G46^2</f>
        <v>2.8223999999999996</v>
      </c>
      <c r="J46" s="6">
        <f t="shared" ref="J46:K46" si="10">D46*H46</f>
        <v>-734.99999999999977</v>
      </c>
      <c r="K46" s="6">
        <f t="shared" si="10"/>
        <v>208.85759999999996</v>
      </c>
      <c r="L46" s="6"/>
    </row>
    <row r="47" spans="1:12" ht="12.75">
      <c r="B47" s="5">
        <v>3</v>
      </c>
      <c r="C47" s="6">
        <f>13</f>
        <v>13</v>
      </c>
      <c r="D47" s="6">
        <f>993</f>
        <v>993</v>
      </c>
      <c r="E47" s="6">
        <f>72</f>
        <v>72</v>
      </c>
      <c r="F47" s="6">
        <f>(3*C47^2-32*C47+79)/400</f>
        <v>0.42499999999999999</v>
      </c>
      <c r="G47" s="6">
        <f>(B42^3-16*B42^2+79*B42-120)/400</f>
        <v>0.63</v>
      </c>
      <c r="H47" s="5">
        <f>(1-2*($B42-C47)*F47)*G47^2</f>
        <v>0.73426500000000006</v>
      </c>
      <c r="I47" s="5">
        <f>(B42-C47)*G47^2</f>
        <v>-0.39690000000000003</v>
      </c>
      <c r="J47" s="6">
        <f t="shared" ref="J47:K47" si="11">D47*H47</f>
        <v>729.12514500000009</v>
      </c>
      <c r="K47" s="6">
        <f t="shared" si="11"/>
        <v>-28.576800000000002</v>
      </c>
      <c r="L47" s="6"/>
    </row>
    <row r="50" spans="1:10" ht="12.75">
      <c r="B50" s="2" t="s">
        <v>22</v>
      </c>
      <c r="C50" s="2" t="s">
        <v>23</v>
      </c>
      <c r="D50" s="2" t="s">
        <v>24</v>
      </c>
      <c r="E50" s="2" t="s">
        <v>25</v>
      </c>
      <c r="F50" s="2" t="s">
        <v>26</v>
      </c>
      <c r="G50" s="2" t="s">
        <v>27</v>
      </c>
      <c r="H50" s="2" t="s">
        <v>28</v>
      </c>
      <c r="I50" s="2" t="s">
        <v>29</v>
      </c>
      <c r="J50" s="2" t="s">
        <v>30</v>
      </c>
    </row>
    <row r="51" spans="1:10" ht="12.75">
      <c r="B51" s="5">
        <f t="shared" ref="B51:D51" si="12">C28</f>
        <v>3</v>
      </c>
      <c r="C51" s="6">
        <f t="shared" si="12"/>
        <v>225</v>
      </c>
      <c r="D51" s="6">
        <f t="shared" si="12"/>
        <v>77</v>
      </c>
      <c r="E51" s="6">
        <f t="shared" ref="E51:E56" si="13">(D52-D51)/(B53-B51)</f>
        <v>1</v>
      </c>
      <c r="F51" s="6">
        <f t="shared" ref="F51:F55" si="14">(E52-E51)/(B54-B51)</f>
        <v>-0.25</v>
      </c>
      <c r="G51" s="6">
        <f t="shared" ref="G51:G54" si="15">(F52-F51)/(C55-C51)</f>
        <v>4.8611111111111186E-4</v>
      </c>
      <c r="H51" s="6">
        <f t="shared" ref="H51:H53" si="16">(G52-G51)/(C56-C51)</f>
        <v>-5.9606481481481578E-6</v>
      </c>
      <c r="I51" s="6">
        <f t="shared" ref="I51:I52" si="17">(H52-H51)/(C57-C51)</f>
        <v>1.3988355646762022E-8</v>
      </c>
      <c r="J51" s="6">
        <f>(I52-I51)/(C58-C51)</f>
        <v>-3.2693678168763776E-11</v>
      </c>
    </row>
    <row r="52" spans="1:10" ht="12.75">
      <c r="B52" s="6">
        <f t="shared" ref="B52:C52" si="18">C28</f>
        <v>3</v>
      </c>
      <c r="C52" s="6">
        <f t="shared" si="18"/>
        <v>225</v>
      </c>
      <c r="D52" s="6">
        <f>(C53-C52)/(B53-B52)</f>
        <v>79</v>
      </c>
      <c r="E52" s="6">
        <f t="shared" si="13"/>
        <v>0.5</v>
      </c>
      <c r="F52" s="6">
        <f t="shared" si="14"/>
        <v>-5.5555555555555247E-2</v>
      </c>
      <c r="G52" s="6">
        <f t="shared" si="15"/>
        <v>-1.8981481481481514E-3</v>
      </c>
      <c r="H52" s="6">
        <f t="shared" si="16"/>
        <v>4.7824089885650745E-6</v>
      </c>
      <c r="I52" s="6">
        <f t="shared" si="17"/>
        <v>-1.1120389186848557E-8</v>
      </c>
      <c r="J52" s="6"/>
    </row>
    <row r="53" spans="1:10" ht="12.75">
      <c r="B53" s="6">
        <f t="shared" ref="B53:D53" si="19">C29</f>
        <v>5</v>
      </c>
      <c r="C53" s="6">
        <f t="shared" si="19"/>
        <v>383</v>
      </c>
      <c r="D53" s="6">
        <f t="shared" si="19"/>
        <v>80</v>
      </c>
      <c r="E53" s="6">
        <f t="shared" si="13"/>
        <v>0.22222222222222379</v>
      </c>
      <c r="F53" s="6">
        <f t="shared" si="14"/>
        <v>-0.81481481481481577</v>
      </c>
      <c r="G53" s="6">
        <f t="shared" si="15"/>
        <v>1.7747419550698258E-3</v>
      </c>
      <c r="H53" s="6">
        <f t="shared" si="16"/>
        <v>-3.7580499069346173E-6</v>
      </c>
      <c r="I53" s="6"/>
      <c r="J53" s="6"/>
    </row>
    <row r="54" spans="1:10" ht="12.75">
      <c r="B54" s="6">
        <f t="shared" ref="B54:C54" si="20">C29</f>
        <v>5</v>
      </c>
      <c r="C54" s="6">
        <f t="shared" si="20"/>
        <v>383</v>
      </c>
      <c r="D54" s="6">
        <f>(C55-C54)/(B55-B54)</f>
        <v>80.666666666666671</v>
      </c>
      <c r="E54" s="6">
        <f t="shared" si="13"/>
        <v>-2.2222222222222237</v>
      </c>
      <c r="F54" s="6">
        <f t="shared" si="14"/>
        <v>0.26777777777777784</v>
      </c>
      <c r="G54" s="6">
        <f t="shared" si="15"/>
        <v>-5.1766848816029083E-4</v>
      </c>
      <c r="H54" s="6"/>
      <c r="I54" s="6"/>
      <c r="J54" s="6"/>
    </row>
    <row r="55" spans="1:10" ht="12.75">
      <c r="B55" s="6">
        <f t="shared" ref="B55:D55" si="21">C30</f>
        <v>8</v>
      </c>
      <c r="C55" s="6">
        <f t="shared" si="21"/>
        <v>625</v>
      </c>
      <c r="D55" s="6">
        <f t="shared" si="21"/>
        <v>74</v>
      </c>
      <c r="E55" s="6">
        <f t="shared" si="13"/>
        <v>-8.000000000000114E-2</v>
      </c>
      <c r="F55" s="6">
        <f t="shared" si="14"/>
        <v>-4.7999999999999543E-2</v>
      </c>
      <c r="G55" s="6"/>
      <c r="H55" s="6"/>
      <c r="I55" s="6"/>
      <c r="J55" s="6"/>
    </row>
    <row r="56" spans="1:10" ht="12.75">
      <c r="B56" s="6">
        <f t="shared" ref="B56:C56" si="22">C30</f>
        <v>8</v>
      </c>
      <c r="C56" s="6">
        <f t="shared" si="22"/>
        <v>625</v>
      </c>
      <c r="D56" s="6">
        <f>(C57-C56)/(B57-B56)</f>
        <v>73.599999999999994</v>
      </c>
      <c r="E56" s="6">
        <f t="shared" si="13"/>
        <v>-0.31999999999999884</v>
      </c>
      <c r="F56" s="6"/>
      <c r="G56" s="6"/>
      <c r="H56" s="6"/>
      <c r="I56" s="6"/>
      <c r="J56" s="6"/>
    </row>
    <row r="57" spans="1:10" ht="12.75">
      <c r="B57" s="6">
        <f t="shared" ref="B57:D57" si="23">C31</f>
        <v>13</v>
      </c>
      <c r="C57" s="6">
        <f t="shared" si="23"/>
        <v>993</v>
      </c>
      <c r="D57" s="6">
        <f t="shared" si="23"/>
        <v>72</v>
      </c>
      <c r="E57" s="6"/>
      <c r="F57" s="6"/>
      <c r="G57" s="6"/>
      <c r="H57" s="6"/>
      <c r="I57" s="6"/>
      <c r="J57" s="6"/>
    </row>
    <row r="58" spans="1:10" ht="12.75">
      <c r="B58" s="6">
        <f t="shared" ref="B58:C58" si="24">C31</f>
        <v>13</v>
      </c>
      <c r="C58" s="6">
        <f t="shared" si="24"/>
        <v>993</v>
      </c>
      <c r="D58" s="6"/>
      <c r="E58" s="6"/>
      <c r="F58" s="6"/>
      <c r="G58" s="6"/>
      <c r="H58" s="6"/>
      <c r="I58" s="6"/>
      <c r="J58" s="6"/>
    </row>
    <row r="61" spans="1:10" ht="12.75">
      <c r="A61" s="2" t="s">
        <v>10</v>
      </c>
      <c r="B61" s="2">
        <f>4</f>
        <v>4</v>
      </c>
    </row>
    <row r="63" spans="1:10" ht="12.75">
      <c r="A63" s="2" t="s">
        <v>31</v>
      </c>
      <c r="B63" s="7">
        <f>C58+D57*(B61-B51)+E56*(B61-B51)^2+F55*(B61-B51)^2*(B61-B53)+G54*(B61-B51)^2*(B61-B53)^2+H53*(B61-B51)^2*(B61-B53)^2*(B61-B55)+I52*(B61-B51)^2*(B61-B53)^2*(B61-B55)^2+J51*(B61-B51)^2*(B61-B53)^2*(B61-B55)^2*(B61-B56)</f>
        <v>1064.7274971878776</v>
      </c>
    </row>
    <row r="66" spans="1:2" ht="12.75">
      <c r="A66" s="2" t="s">
        <v>10</v>
      </c>
      <c r="B66" s="2">
        <v>6.5</v>
      </c>
    </row>
    <row r="68" spans="1:2" ht="12.75">
      <c r="A68" s="2" t="s">
        <v>32</v>
      </c>
      <c r="B68" s="8">
        <v>1240.1838864475742</v>
      </c>
    </row>
    <row r="70" spans="1:2" ht="12.75">
      <c r="A70" s="2" t="s">
        <v>10</v>
      </c>
      <c r="B70" s="2">
        <v>12</v>
      </c>
    </row>
    <row r="72" spans="1:2" ht="12.75">
      <c r="A72" s="2" t="s">
        <v>33</v>
      </c>
      <c r="B72" s="8">
        <v>1585.7489964762576</v>
      </c>
    </row>
  </sheetData>
  <mergeCells count="5">
    <mergeCell ref="A6:K9"/>
    <mergeCell ref="A10:K13"/>
    <mergeCell ref="A15:K15"/>
    <mergeCell ref="A16:K16"/>
    <mergeCell ref="A2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AslanXAle</cp:lastModifiedBy>
  <dcterms:modified xsi:type="dcterms:W3CDTF">2022-03-25T06:02:45Z</dcterms:modified>
</cp:coreProperties>
</file>