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pir\Desktop\Работа\Ютэйр\"/>
    </mc:Choice>
  </mc:AlternateContent>
  <xr:revisionPtr revIDLastSave="0" documentId="13_ncr:1_{4CBDFFF1-D801-45B6-9FDE-83FE6542ED4B}" xr6:coauthVersionLast="45" xr6:coauthVersionMax="45" xr10:uidLastSave="{00000000-0000-0000-0000-000000000000}"/>
  <bookViews>
    <workbookView xWindow="-120" yWindow="-120" windowWidth="29040" windowHeight="15840" tabRatio="648" xr2:uid="{BBF14123-7913-4490-BABE-821D50D365BA}"/>
  </bookViews>
  <sheets>
    <sheet name="Общ_отчет" sheetId="13" r:id="rId1"/>
    <sheet name="Фин_отчет" sheetId="6" r:id="rId2"/>
    <sheet name="Заказы" sheetId="7" r:id="rId3"/>
    <sheet name="Заказы_отмен" sheetId="15" r:id="rId4"/>
    <sheet name="Общ_промежут" sheetId="23" r:id="rId5"/>
    <sheet name="Фин_промежут" sheetId="12" r:id="rId6"/>
    <sheet name="Расчеты" sheetId="8" r:id="rId7"/>
    <sheet name="Данные" sheetId="1" r:id="rId8"/>
    <sheet name="Сводка" sheetId="3" r:id="rId9"/>
  </sheets>
  <definedNames>
    <definedName name="_xlcn.WorksheetConnection_Пельменные.xlsxТЗаказы1" hidden="1">ТЗаказы[]</definedName>
    <definedName name="_xlnm._FilterDatabase" localSheetId="7" hidden="1">Данные!$A$1:$O$60</definedName>
    <definedName name="Срез_№_Точки">#N/A</definedName>
    <definedName name="Срез_№_Точки2">#N/A</definedName>
  </definedNames>
  <calcPr calcId="191029"/>
  <pivotCaches>
    <pivotCache cacheId="199" r:id="rId10"/>
    <pivotCache cacheId="202" r:id="rId11"/>
    <pivotCache cacheId="259" r:id="rId12"/>
    <pivotCache cacheId="262" r:id="rId13"/>
    <pivotCache cacheId="265" r:id="rId14"/>
  </pivotCaches>
  <extLst>
    <ext xmlns:x14="http://schemas.microsoft.com/office/spreadsheetml/2009/9/main" uri="{876F7934-8845-4945-9796-88D515C7AA90}">
      <x14:pivotCaches>
        <pivotCache cacheId="188" r:id="rId15"/>
      </x14:pivotCaches>
    </ext>
    <ext xmlns:x14="http://schemas.microsoft.com/office/spreadsheetml/2009/9/main" uri="{BBE1A952-AA13-448e-AADC-164F8A28A991}">
      <x14:slicerCaches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Заказы" name="ТЗаказы" connection="WorksheetConnection_Пельменные.xlsx!ТЗаказы"/>
        </x15:modelTables>
      </x15:dataModel>
    </ext>
  </extLst>
</workbook>
</file>

<file path=xl/calcChain.xml><?xml version="1.0" encoding="utf-8"?>
<calcChain xmlns="http://schemas.openxmlformats.org/spreadsheetml/2006/main">
  <c r="F29" i="6" l="1"/>
  <c r="W3" i="8" l="1"/>
  <c r="Q6" i="8"/>
  <c r="W7" i="8"/>
  <c r="W8" i="8"/>
  <c r="Q8" i="8"/>
  <c r="Q9" i="8"/>
  <c r="Q11" i="8"/>
  <c r="Q3" i="8"/>
  <c r="Q4" i="8"/>
  <c r="Q10" i="8"/>
  <c r="W10" i="8"/>
  <c r="Q12" i="8"/>
  <c r="U4" i="8"/>
  <c r="U5" i="8"/>
  <c r="U6" i="8"/>
  <c r="U7" i="8"/>
  <c r="U8" i="8"/>
  <c r="U9" i="8"/>
  <c r="U10" i="8"/>
  <c r="U11" i="8"/>
  <c r="U12" i="8"/>
  <c r="U3" i="8"/>
  <c r="T4" i="8"/>
  <c r="V4" i="8" s="1"/>
  <c r="T5" i="8"/>
  <c r="T6" i="8"/>
  <c r="T7" i="8"/>
  <c r="T8" i="8"/>
  <c r="V8" i="8" s="1"/>
  <c r="T9" i="8"/>
  <c r="T10" i="8"/>
  <c r="T11" i="8"/>
  <c r="T12" i="8"/>
  <c r="V12" i="8" s="1"/>
  <c r="T3" i="8"/>
  <c r="O4" i="8"/>
  <c r="O5" i="8"/>
  <c r="O6" i="8"/>
  <c r="O7" i="8"/>
  <c r="O8" i="8"/>
  <c r="O9" i="8"/>
  <c r="O10" i="8"/>
  <c r="O11" i="8"/>
  <c r="O12" i="8"/>
  <c r="O3" i="8"/>
  <c r="N12" i="8"/>
  <c r="P12" i="8" s="1"/>
  <c r="N4" i="8"/>
  <c r="P4" i="8" s="1"/>
  <c r="N5" i="8"/>
  <c r="N6" i="8"/>
  <c r="N7" i="8"/>
  <c r="N8" i="8"/>
  <c r="P8" i="8" s="1"/>
  <c r="N9" i="8"/>
  <c r="N10" i="8"/>
  <c r="N11" i="8"/>
  <c r="N3" i="8"/>
  <c r="I4" i="8"/>
  <c r="C4" i="8" s="1"/>
  <c r="I5" i="8"/>
  <c r="C5" i="8" s="1"/>
  <c r="I6" i="8"/>
  <c r="C6" i="8" s="1"/>
  <c r="I7" i="8"/>
  <c r="I8" i="8"/>
  <c r="C8" i="8" s="1"/>
  <c r="I9" i="8"/>
  <c r="C9" i="8" s="1"/>
  <c r="I10" i="8"/>
  <c r="C10" i="8" s="1"/>
  <c r="I11" i="8"/>
  <c r="I12" i="8"/>
  <c r="C12" i="8" s="1"/>
  <c r="I3" i="8"/>
  <c r="C3" i="8" s="1"/>
  <c r="H5" i="8"/>
  <c r="H6" i="8"/>
  <c r="H7" i="8"/>
  <c r="H8" i="8"/>
  <c r="H9" i="8"/>
  <c r="H10" i="8"/>
  <c r="H11" i="8"/>
  <c r="H12" i="8"/>
  <c r="H3" i="8"/>
  <c r="H4" i="8"/>
  <c r="J4" i="8" s="1"/>
  <c r="E28" i="6"/>
  <c r="D28" i="6"/>
  <c r="C28" i="6"/>
  <c r="F28" i="6" s="1"/>
  <c r="E27" i="6"/>
  <c r="D27" i="6"/>
  <c r="C27" i="6"/>
  <c r="E26" i="6"/>
  <c r="D26" i="6"/>
  <c r="C26" i="6"/>
  <c r="E25" i="6"/>
  <c r="D25" i="6"/>
  <c r="C25" i="6"/>
  <c r="F25" i="6" s="1"/>
  <c r="E24" i="6"/>
  <c r="D24" i="6"/>
  <c r="C24" i="6"/>
  <c r="E2" i="12"/>
  <c r="O60" i="1"/>
  <c r="N60" i="1"/>
  <c r="M60" i="1"/>
  <c r="L60" i="1"/>
  <c r="K60" i="1"/>
  <c r="J60" i="1"/>
  <c r="I60" i="1"/>
  <c r="H60" i="1"/>
  <c r="B60" i="1"/>
  <c r="O59" i="1"/>
  <c r="N59" i="1"/>
  <c r="M59" i="1"/>
  <c r="L59" i="1"/>
  <c r="K59" i="1"/>
  <c r="J59" i="1"/>
  <c r="I59" i="1"/>
  <c r="H59" i="1"/>
  <c r="B59" i="1"/>
  <c r="O58" i="1"/>
  <c r="N58" i="1"/>
  <c r="M58" i="1"/>
  <c r="L58" i="1"/>
  <c r="K58" i="1"/>
  <c r="J58" i="1"/>
  <c r="I58" i="1"/>
  <c r="H58" i="1"/>
  <c r="B58" i="1"/>
  <c r="O57" i="1"/>
  <c r="N57" i="1"/>
  <c r="M57" i="1"/>
  <c r="L57" i="1"/>
  <c r="K57" i="1"/>
  <c r="J57" i="1"/>
  <c r="I57" i="1"/>
  <c r="H57" i="1"/>
  <c r="B57" i="1"/>
  <c r="O56" i="1"/>
  <c r="N56" i="1"/>
  <c r="M56" i="1"/>
  <c r="L56" i="1"/>
  <c r="K56" i="1"/>
  <c r="J56" i="1"/>
  <c r="I56" i="1"/>
  <c r="H56" i="1"/>
  <c r="B56" i="1"/>
  <c r="O55" i="1"/>
  <c r="N55" i="1"/>
  <c r="M55" i="1"/>
  <c r="L55" i="1"/>
  <c r="K55" i="1"/>
  <c r="J55" i="1"/>
  <c r="I55" i="1"/>
  <c r="H55" i="1"/>
  <c r="B55" i="1"/>
  <c r="O54" i="1"/>
  <c r="N54" i="1"/>
  <c r="M54" i="1"/>
  <c r="L54" i="1"/>
  <c r="K54" i="1"/>
  <c r="J54" i="1"/>
  <c r="I54" i="1"/>
  <c r="H54" i="1"/>
  <c r="B54" i="1"/>
  <c r="O53" i="1"/>
  <c r="N53" i="1"/>
  <c r="M53" i="1"/>
  <c r="L53" i="1"/>
  <c r="K53" i="1"/>
  <c r="J53" i="1"/>
  <c r="I53" i="1"/>
  <c r="H53" i="1"/>
  <c r="B53" i="1"/>
  <c r="O52" i="1"/>
  <c r="N52" i="1"/>
  <c r="M52" i="1"/>
  <c r="L52" i="1"/>
  <c r="K52" i="1"/>
  <c r="J52" i="1"/>
  <c r="I52" i="1"/>
  <c r="H52" i="1"/>
  <c r="B52" i="1"/>
  <c r="O51" i="1"/>
  <c r="N51" i="1"/>
  <c r="M51" i="1"/>
  <c r="L51" i="1"/>
  <c r="K51" i="1"/>
  <c r="J51" i="1"/>
  <c r="I51" i="1"/>
  <c r="H51" i="1"/>
  <c r="B51" i="1"/>
  <c r="O50" i="1"/>
  <c r="N50" i="1"/>
  <c r="M50" i="1"/>
  <c r="L50" i="1"/>
  <c r="K50" i="1"/>
  <c r="J50" i="1"/>
  <c r="I50" i="1"/>
  <c r="H50" i="1"/>
  <c r="B50" i="1"/>
  <c r="O49" i="1"/>
  <c r="N49" i="1"/>
  <c r="M49" i="1"/>
  <c r="L49" i="1"/>
  <c r="K49" i="1"/>
  <c r="J49" i="1"/>
  <c r="I49" i="1"/>
  <c r="H49" i="1"/>
  <c r="B49" i="1"/>
  <c r="O48" i="1"/>
  <c r="N48" i="1"/>
  <c r="M48" i="1"/>
  <c r="L48" i="1"/>
  <c r="K48" i="1"/>
  <c r="J48" i="1"/>
  <c r="I48" i="1"/>
  <c r="H48" i="1"/>
  <c r="B48" i="1"/>
  <c r="O47" i="1"/>
  <c r="N47" i="1"/>
  <c r="M47" i="1"/>
  <c r="L47" i="1"/>
  <c r="K47" i="1"/>
  <c r="J47" i="1"/>
  <c r="I47" i="1"/>
  <c r="H47" i="1"/>
  <c r="B47" i="1"/>
  <c r="O46" i="1"/>
  <c r="N46" i="1"/>
  <c r="M46" i="1"/>
  <c r="L46" i="1"/>
  <c r="K46" i="1"/>
  <c r="J46" i="1"/>
  <c r="I46" i="1"/>
  <c r="H46" i="1"/>
  <c r="B46" i="1"/>
  <c r="O45" i="1"/>
  <c r="N45" i="1"/>
  <c r="M45" i="1"/>
  <c r="L45" i="1"/>
  <c r="K45" i="1"/>
  <c r="J45" i="1"/>
  <c r="I45" i="1"/>
  <c r="H45" i="1"/>
  <c r="B45" i="1"/>
  <c r="O44" i="1"/>
  <c r="N44" i="1"/>
  <c r="M44" i="1"/>
  <c r="L44" i="1"/>
  <c r="K44" i="1"/>
  <c r="J44" i="1"/>
  <c r="I44" i="1"/>
  <c r="H44" i="1"/>
  <c r="B44" i="1"/>
  <c r="O43" i="1"/>
  <c r="N43" i="1"/>
  <c r="M43" i="1"/>
  <c r="L43" i="1"/>
  <c r="K43" i="1"/>
  <c r="J43" i="1"/>
  <c r="I43" i="1"/>
  <c r="H43" i="1"/>
  <c r="B43" i="1"/>
  <c r="O42" i="1"/>
  <c r="N42" i="1"/>
  <c r="M42" i="1"/>
  <c r="L42" i="1"/>
  <c r="K42" i="1"/>
  <c r="J42" i="1"/>
  <c r="I42" i="1"/>
  <c r="H42" i="1"/>
  <c r="B42" i="1"/>
  <c r="O41" i="1"/>
  <c r="N41" i="1"/>
  <c r="M41" i="1"/>
  <c r="L41" i="1"/>
  <c r="K41" i="1"/>
  <c r="J41" i="1"/>
  <c r="I41" i="1"/>
  <c r="H41" i="1"/>
  <c r="B41" i="1"/>
  <c r="O40" i="1"/>
  <c r="N40" i="1"/>
  <c r="M40" i="1"/>
  <c r="L40" i="1"/>
  <c r="K40" i="1"/>
  <c r="J40" i="1"/>
  <c r="I40" i="1"/>
  <c r="H40" i="1"/>
  <c r="B40" i="1"/>
  <c r="O39" i="1"/>
  <c r="N39" i="1"/>
  <c r="M39" i="1"/>
  <c r="L39" i="1"/>
  <c r="K39" i="1"/>
  <c r="J39" i="1"/>
  <c r="I39" i="1"/>
  <c r="H39" i="1"/>
  <c r="B39" i="1"/>
  <c r="O38" i="1"/>
  <c r="N38" i="1"/>
  <c r="M38" i="1"/>
  <c r="L38" i="1"/>
  <c r="K38" i="1"/>
  <c r="J38" i="1"/>
  <c r="I38" i="1"/>
  <c r="H38" i="1"/>
  <c r="B38" i="1"/>
  <c r="O37" i="1"/>
  <c r="N37" i="1"/>
  <c r="M37" i="1"/>
  <c r="L37" i="1"/>
  <c r="K37" i="1"/>
  <c r="J37" i="1"/>
  <c r="I37" i="1"/>
  <c r="H37" i="1"/>
  <c r="B37" i="1"/>
  <c r="O36" i="1"/>
  <c r="N36" i="1"/>
  <c r="M36" i="1"/>
  <c r="L36" i="1"/>
  <c r="K36" i="1"/>
  <c r="J36" i="1"/>
  <c r="I36" i="1"/>
  <c r="H36" i="1"/>
  <c r="B36" i="1"/>
  <c r="O35" i="1"/>
  <c r="N35" i="1"/>
  <c r="M35" i="1"/>
  <c r="L35" i="1"/>
  <c r="K35" i="1"/>
  <c r="J35" i="1"/>
  <c r="I35" i="1"/>
  <c r="H35" i="1"/>
  <c r="B35" i="1"/>
  <c r="O34" i="1"/>
  <c r="N34" i="1"/>
  <c r="M34" i="1"/>
  <c r="L34" i="1"/>
  <c r="K34" i="1"/>
  <c r="J34" i="1"/>
  <c r="I34" i="1"/>
  <c r="H34" i="1"/>
  <c r="B34" i="1"/>
  <c r="O33" i="1"/>
  <c r="N33" i="1"/>
  <c r="M33" i="1"/>
  <c r="L33" i="1"/>
  <c r="K33" i="1"/>
  <c r="J33" i="1"/>
  <c r="I33" i="1"/>
  <c r="H33" i="1"/>
  <c r="B33" i="1"/>
  <c r="O32" i="1"/>
  <c r="N32" i="1"/>
  <c r="M32" i="1"/>
  <c r="L32" i="1"/>
  <c r="K32" i="1"/>
  <c r="J32" i="1"/>
  <c r="I32" i="1"/>
  <c r="H32" i="1"/>
  <c r="B32" i="1"/>
  <c r="O31" i="1"/>
  <c r="N31" i="1"/>
  <c r="M31" i="1"/>
  <c r="L31" i="1"/>
  <c r="K31" i="1"/>
  <c r="J31" i="1"/>
  <c r="I31" i="1"/>
  <c r="H31" i="1"/>
  <c r="B31" i="1"/>
  <c r="O30" i="1"/>
  <c r="N30" i="1"/>
  <c r="M30" i="1"/>
  <c r="L30" i="1"/>
  <c r="K30" i="1"/>
  <c r="J30" i="1"/>
  <c r="I30" i="1"/>
  <c r="H30" i="1"/>
  <c r="B30" i="1"/>
  <c r="O29" i="1"/>
  <c r="N29" i="1"/>
  <c r="M29" i="1"/>
  <c r="L29" i="1"/>
  <c r="K29" i="1"/>
  <c r="J29" i="1"/>
  <c r="I29" i="1"/>
  <c r="H29" i="1"/>
  <c r="B29" i="1"/>
  <c r="O28" i="1"/>
  <c r="N28" i="1"/>
  <c r="M28" i="1"/>
  <c r="L28" i="1"/>
  <c r="K28" i="1"/>
  <c r="J28" i="1"/>
  <c r="I28" i="1"/>
  <c r="H28" i="1"/>
  <c r="B28" i="1"/>
  <c r="O27" i="1"/>
  <c r="N27" i="1"/>
  <c r="M27" i="1"/>
  <c r="L27" i="1"/>
  <c r="K27" i="1"/>
  <c r="J27" i="1"/>
  <c r="I27" i="1"/>
  <c r="H27" i="1"/>
  <c r="B27" i="1"/>
  <c r="O26" i="1"/>
  <c r="N26" i="1"/>
  <c r="M26" i="1"/>
  <c r="L26" i="1"/>
  <c r="K26" i="1"/>
  <c r="J26" i="1"/>
  <c r="I26" i="1"/>
  <c r="H26" i="1"/>
  <c r="B26" i="1"/>
  <c r="O25" i="1"/>
  <c r="N25" i="1"/>
  <c r="M25" i="1"/>
  <c r="L25" i="1"/>
  <c r="K25" i="1"/>
  <c r="J25" i="1"/>
  <c r="I25" i="1"/>
  <c r="H25" i="1"/>
  <c r="B25" i="1"/>
  <c r="O24" i="1"/>
  <c r="N24" i="1"/>
  <c r="M24" i="1"/>
  <c r="L24" i="1"/>
  <c r="K24" i="1"/>
  <c r="J24" i="1"/>
  <c r="I24" i="1"/>
  <c r="H24" i="1"/>
  <c r="B24" i="1"/>
  <c r="O23" i="1"/>
  <c r="N23" i="1"/>
  <c r="M23" i="1"/>
  <c r="L23" i="1"/>
  <c r="K23" i="1"/>
  <c r="J23" i="1"/>
  <c r="I23" i="1"/>
  <c r="H23" i="1"/>
  <c r="B23" i="1"/>
  <c r="O22" i="1"/>
  <c r="N22" i="1"/>
  <c r="M22" i="1"/>
  <c r="L22" i="1"/>
  <c r="K22" i="1"/>
  <c r="J22" i="1"/>
  <c r="I22" i="1"/>
  <c r="H22" i="1"/>
  <c r="B22" i="1"/>
  <c r="O21" i="1"/>
  <c r="N21" i="1"/>
  <c r="M21" i="1"/>
  <c r="L21" i="1"/>
  <c r="K21" i="1"/>
  <c r="J21" i="1"/>
  <c r="I21" i="1"/>
  <c r="H21" i="1"/>
  <c r="B21" i="1"/>
  <c r="O20" i="1"/>
  <c r="N20" i="1"/>
  <c r="M20" i="1"/>
  <c r="L20" i="1"/>
  <c r="K20" i="1"/>
  <c r="J20" i="1"/>
  <c r="I20" i="1"/>
  <c r="H20" i="1"/>
  <c r="B20" i="1"/>
  <c r="O19" i="1"/>
  <c r="N19" i="1"/>
  <c r="M19" i="1"/>
  <c r="L19" i="1"/>
  <c r="K19" i="1"/>
  <c r="J19" i="1"/>
  <c r="I19" i="1"/>
  <c r="H19" i="1"/>
  <c r="B19" i="1"/>
  <c r="O18" i="1"/>
  <c r="N18" i="1"/>
  <c r="M18" i="1"/>
  <c r="L18" i="1"/>
  <c r="K18" i="1"/>
  <c r="J18" i="1"/>
  <c r="I18" i="1"/>
  <c r="H18" i="1"/>
  <c r="B18" i="1"/>
  <c r="O17" i="1"/>
  <c r="N17" i="1"/>
  <c r="M17" i="1"/>
  <c r="L17" i="1"/>
  <c r="K17" i="1"/>
  <c r="J17" i="1"/>
  <c r="I17" i="1"/>
  <c r="H17" i="1"/>
  <c r="B17" i="1"/>
  <c r="O16" i="1"/>
  <c r="N16" i="1"/>
  <c r="M16" i="1"/>
  <c r="L16" i="1"/>
  <c r="K16" i="1"/>
  <c r="J16" i="1"/>
  <c r="I16" i="1"/>
  <c r="H16" i="1"/>
  <c r="B16" i="1"/>
  <c r="O15" i="1"/>
  <c r="N15" i="1"/>
  <c r="M15" i="1"/>
  <c r="L15" i="1"/>
  <c r="K15" i="1"/>
  <c r="J15" i="1"/>
  <c r="I15" i="1"/>
  <c r="H15" i="1"/>
  <c r="B15" i="1"/>
  <c r="O14" i="1"/>
  <c r="N14" i="1"/>
  <c r="M14" i="1"/>
  <c r="L14" i="1"/>
  <c r="K14" i="1"/>
  <c r="J14" i="1"/>
  <c r="I14" i="1"/>
  <c r="H14" i="1"/>
  <c r="B14" i="1"/>
  <c r="O13" i="1"/>
  <c r="N13" i="1"/>
  <c r="M13" i="1"/>
  <c r="L13" i="1"/>
  <c r="K13" i="1"/>
  <c r="J13" i="1"/>
  <c r="I13" i="1"/>
  <c r="H13" i="1"/>
  <c r="B13" i="1"/>
  <c r="O12" i="1"/>
  <c r="N12" i="1"/>
  <c r="M12" i="1"/>
  <c r="L12" i="1"/>
  <c r="K12" i="1"/>
  <c r="J12" i="1"/>
  <c r="I12" i="1"/>
  <c r="H12" i="1"/>
  <c r="B12" i="1"/>
  <c r="O11" i="1"/>
  <c r="N11" i="1"/>
  <c r="M11" i="1"/>
  <c r="L11" i="1"/>
  <c r="K11" i="1"/>
  <c r="J11" i="1"/>
  <c r="I11" i="1"/>
  <c r="H11" i="1"/>
  <c r="B11" i="1"/>
  <c r="O10" i="1"/>
  <c r="N10" i="1"/>
  <c r="M10" i="1"/>
  <c r="L10" i="1"/>
  <c r="K10" i="1"/>
  <c r="J10" i="1"/>
  <c r="I10" i="1"/>
  <c r="H10" i="1"/>
  <c r="B10" i="1"/>
  <c r="O9" i="1"/>
  <c r="N9" i="1"/>
  <c r="M9" i="1"/>
  <c r="L9" i="1"/>
  <c r="K9" i="1"/>
  <c r="J9" i="1"/>
  <c r="I9" i="1"/>
  <c r="H9" i="1"/>
  <c r="B9" i="1"/>
  <c r="O8" i="1"/>
  <c r="N8" i="1"/>
  <c r="M8" i="1"/>
  <c r="L8" i="1"/>
  <c r="K8" i="1"/>
  <c r="J8" i="1"/>
  <c r="I8" i="1"/>
  <c r="H8" i="1"/>
  <c r="B8" i="1"/>
  <c r="O7" i="1"/>
  <c r="N7" i="1"/>
  <c r="M7" i="1"/>
  <c r="L7" i="1"/>
  <c r="K7" i="1"/>
  <c r="J7" i="1"/>
  <c r="I7" i="1"/>
  <c r="H7" i="1"/>
  <c r="B7" i="1"/>
  <c r="O6" i="1"/>
  <c r="N6" i="1"/>
  <c r="M6" i="1"/>
  <c r="L6" i="1"/>
  <c r="K6" i="1"/>
  <c r="J6" i="1"/>
  <c r="I6" i="1"/>
  <c r="H6" i="1"/>
  <c r="B6" i="1"/>
  <c r="O5" i="1"/>
  <c r="N5" i="1"/>
  <c r="M5" i="1"/>
  <c r="L5" i="1"/>
  <c r="K5" i="1"/>
  <c r="J5" i="1"/>
  <c r="I5" i="1"/>
  <c r="H5" i="1"/>
  <c r="B5" i="1"/>
  <c r="O4" i="1"/>
  <c r="N4" i="1"/>
  <c r="M4" i="1"/>
  <c r="L4" i="1"/>
  <c r="K4" i="1"/>
  <c r="J4" i="1"/>
  <c r="I4" i="1"/>
  <c r="H4" i="1"/>
  <c r="B4" i="1"/>
  <c r="O3" i="1"/>
  <c r="N3" i="1"/>
  <c r="M3" i="1"/>
  <c r="L3" i="1"/>
  <c r="K3" i="1"/>
  <c r="J3" i="1"/>
  <c r="I3" i="1"/>
  <c r="H3" i="1"/>
  <c r="B3" i="1"/>
  <c r="O2" i="1"/>
  <c r="N2" i="1"/>
  <c r="M2" i="1"/>
  <c r="L2" i="1"/>
  <c r="K2" i="1"/>
  <c r="J2" i="1"/>
  <c r="I2" i="1"/>
  <c r="H2" i="1"/>
  <c r="B2" i="1"/>
  <c r="G4" i="23"/>
  <c r="H4" i="23"/>
  <c r="E2" i="23"/>
  <c r="G2" i="23"/>
  <c r="F2" i="23"/>
  <c r="F24" i="6" l="1"/>
  <c r="F27" i="6"/>
  <c r="F26" i="6"/>
  <c r="W12" i="8"/>
  <c r="W11" i="8"/>
  <c r="W9" i="8"/>
  <c r="W4" i="8"/>
  <c r="W6" i="8"/>
  <c r="W5" i="8"/>
  <c r="Q7" i="8"/>
  <c r="Q5" i="8"/>
  <c r="K7" i="8"/>
  <c r="K12" i="8"/>
  <c r="K11" i="8"/>
  <c r="K10" i="8"/>
  <c r="E10" i="8" s="1"/>
  <c r="K8" i="8"/>
  <c r="E8" i="8" s="1"/>
  <c r="K9" i="8"/>
  <c r="K6" i="8"/>
  <c r="K5" i="8"/>
  <c r="K3" i="8"/>
  <c r="E3" i="8" s="1"/>
  <c r="K4" i="8"/>
  <c r="B12" i="8"/>
  <c r="D12" i="8" s="1"/>
  <c r="P10" i="8"/>
  <c r="P6" i="8"/>
  <c r="B7" i="8"/>
  <c r="V10" i="8"/>
  <c r="V6" i="8"/>
  <c r="J10" i="8"/>
  <c r="J6" i="8"/>
  <c r="V3" i="8"/>
  <c r="V9" i="8"/>
  <c r="V5" i="8"/>
  <c r="P11" i="8"/>
  <c r="P7" i="8"/>
  <c r="B8" i="8"/>
  <c r="D8" i="8" s="1"/>
  <c r="J11" i="8"/>
  <c r="P9" i="8"/>
  <c r="P5" i="8"/>
  <c r="C11" i="8"/>
  <c r="C7" i="8"/>
  <c r="P3" i="8"/>
  <c r="V11" i="8"/>
  <c r="V7" i="8"/>
  <c r="B3" i="8"/>
  <c r="B9" i="8"/>
  <c r="B5" i="8"/>
  <c r="D5" i="8" s="1"/>
  <c r="D9" i="8"/>
  <c r="J3" i="8"/>
  <c r="J9" i="8"/>
  <c r="J5" i="8"/>
  <c r="B4" i="8"/>
  <c r="D4" i="8" s="1"/>
  <c r="B11" i="8"/>
  <c r="H13" i="8"/>
  <c r="J12" i="8"/>
  <c r="J8" i="8"/>
  <c r="B6" i="8"/>
  <c r="D6" i="8" s="1"/>
  <c r="J7" i="8"/>
  <c r="B10" i="8"/>
  <c r="D10" i="8" s="1"/>
  <c r="D3" i="8"/>
  <c r="U13" i="8"/>
  <c r="T13" i="8"/>
  <c r="O13" i="8"/>
  <c r="N13" i="8"/>
  <c r="I13" i="8"/>
  <c r="C29" i="6"/>
  <c r="E29" i="6"/>
  <c r="D29" i="6"/>
  <c r="E38" i="1"/>
  <c r="E54" i="1"/>
  <c r="E46" i="1"/>
  <c r="F20" i="3"/>
  <c r="D7" i="1"/>
  <c r="E11" i="1"/>
  <c r="D15" i="1"/>
  <c r="E19" i="1"/>
  <c r="D23" i="1"/>
  <c r="E27" i="1"/>
  <c r="D31" i="1"/>
  <c r="E6" i="1"/>
  <c r="E14" i="1"/>
  <c r="E22" i="1"/>
  <c r="E30" i="1"/>
  <c r="E37" i="1"/>
  <c r="E45" i="1"/>
  <c r="E53" i="1"/>
  <c r="F19" i="3"/>
  <c r="D2" i="1"/>
  <c r="L19" i="3"/>
  <c r="M19" i="3" s="1"/>
  <c r="F18" i="3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E35" i="1"/>
  <c r="D39" i="1"/>
  <c r="E43" i="1"/>
  <c r="D47" i="1"/>
  <c r="E51" i="1"/>
  <c r="D55" i="1"/>
  <c r="E59" i="1"/>
  <c r="E2" i="1"/>
  <c r="G20" i="3"/>
  <c r="D3" i="1"/>
  <c r="E10" i="1"/>
  <c r="L18" i="3"/>
  <c r="M18" i="3" s="1"/>
  <c r="H20" i="3"/>
  <c r="L20" i="3"/>
  <c r="M20" i="3" s="1"/>
  <c r="E4" i="1"/>
  <c r="G19" i="3"/>
  <c r="E7" i="1"/>
  <c r="E9" i="1"/>
  <c r="E12" i="1"/>
  <c r="E15" i="1"/>
  <c r="E17" i="1"/>
  <c r="E20" i="1"/>
  <c r="E23" i="1"/>
  <c r="E25" i="1"/>
  <c r="E28" i="1"/>
  <c r="E31" i="1"/>
  <c r="E33" i="1"/>
  <c r="E36" i="1"/>
  <c r="E39" i="1"/>
  <c r="D41" i="1"/>
  <c r="E44" i="1"/>
  <c r="E47" i="1"/>
  <c r="D49" i="1"/>
  <c r="E52" i="1"/>
  <c r="E55" i="1"/>
  <c r="D57" i="1"/>
  <c r="E60" i="1"/>
  <c r="L21" i="3"/>
  <c r="M21" i="3" s="1"/>
  <c r="E3" i="1"/>
  <c r="L22" i="3"/>
  <c r="M22" i="3" s="1"/>
  <c r="E5" i="1"/>
  <c r="E8" i="1"/>
  <c r="E13" i="1"/>
  <c r="E16" i="1"/>
  <c r="E21" i="1"/>
  <c r="E24" i="1"/>
  <c r="E29" i="1"/>
  <c r="E32" i="1"/>
  <c r="D37" i="1"/>
  <c r="E40" i="1"/>
  <c r="D45" i="1"/>
  <c r="E48" i="1"/>
  <c r="D53" i="1"/>
  <c r="E56" i="1"/>
  <c r="H18" i="3"/>
  <c r="D11" i="1"/>
  <c r="E18" i="1"/>
  <c r="D19" i="1"/>
  <c r="E26" i="1"/>
  <c r="D27" i="1"/>
  <c r="E34" i="1"/>
  <c r="D35" i="1"/>
  <c r="E41" i="1"/>
  <c r="E42" i="1"/>
  <c r="D43" i="1"/>
  <c r="E49" i="1"/>
  <c r="E50" i="1"/>
  <c r="D51" i="1"/>
  <c r="E57" i="1"/>
  <c r="E58" i="1"/>
  <c r="D59" i="1"/>
  <c r="G18" i="3"/>
  <c r="D5" i="1"/>
  <c r="D9" i="1"/>
  <c r="D13" i="1"/>
  <c r="D17" i="1"/>
  <c r="D21" i="1"/>
  <c r="D25" i="1"/>
  <c r="D29" i="1"/>
  <c r="D33" i="1"/>
  <c r="H19" i="3"/>
  <c r="D8" i="1"/>
  <c r="D12" i="1"/>
  <c r="D20" i="1"/>
  <c r="D24" i="1"/>
  <c r="D28" i="1"/>
  <c r="D32" i="1"/>
  <c r="D36" i="1"/>
  <c r="D40" i="1"/>
  <c r="D44" i="1"/>
  <c r="D48" i="1"/>
  <c r="D52" i="1"/>
  <c r="D56" i="1"/>
  <c r="D60" i="1"/>
  <c r="D4" i="1"/>
  <c r="D16" i="1"/>
  <c r="F21" i="3" l="1"/>
  <c r="G21" i="3"/>
  <c r="H21" i="3"/>
  <c r="E12" i="8"/>
  <c r="E11" i="8"/>
  <c r="E9" i="8"/>
  <c r="E6" i="8"/>
  <c r="W13" i="8"/>
  <c r="E4" i="8"/>
  <c r="E5" i="8"/>
  <c r="E7" i="8"/>
  <c r="K13" i="8"/>
  <c r="P13" i="8"/>
  <c r="B19" i="8" s="1"/>
  <c r="Q13" i="8"/>
  <c r="D7" i="8"/>
  <c r="V13" i="8"/>
  <c r="B20" i="8" s="1"/>
  <c r="C13" i="8"/>
  <c r="D11" i="8"/>
  <c r="J13" i="8"/>
  <c r="B18" i="8" s="1"/>
  <c r="B13" i="8"/>
  <c r="F42" i="1"/>
  <c r="F32" i="1"/>
  <c r="G32" i="1" s="1"/>
  <c r="F16" i="1"/>
  <c r="F47" i="1"/>
  <c r="F36" i="1"/>
  <c r="F25" i="1"/>
  <c r="G25" i="1" s="1"/>
  <c r="F15" i="1"/>
  <c r="F37" i="1"/>
  <c r="F6" i="1"/>
  <c r="F19" i="1"/>
  <c r="G19" i="1" s="1"/>
  <c r="F50" i="1"/>
  <c r="F41" i="1"/>
  <c r="G41" i="1" s="1"/>
  <c r="F26" i="1"/>
  <c r="F29" i="1"/>
  <c r="F13" i="1"/>
  <c r="F3" i="1"/>
  <c r="G3" i="1" s="1"/>
  <c r="F55" i="1"/>
  <c r="F44" i="1"/>
  <c r="G44" i="1" s="1"/>
  <c r="F33" i="1"/>
  <c r="F23" i="1"/>
  <c r="F12" i="1"/>
  <c r="G12" i="1" s="1"/>
  <c r="F4" i="1"/>
  <c r="F10" i="1"/>
  <c r="G10" i="1" s="1"/>
  <c r="F59" i="1"/>
  <c r="G59" i="1" s="1"/>
  <c r="F43" i="1"/>
  <c r="F30" i="1"/>
  <c r="G30" i="1" s="1"/>
  <c r="F46" i="1"/>
  <c r="F58" i="1"/>
  <c r="F56" i="1"/>
  <c r="F24" i="1"/>
  <c r="F8" i="1"/>
  <c r="F53" i="1"/>
  <c r="F22" i="1"/>
  <c r="F27" i="1"/>
  <c r="G27" i="1" s="1"/>
  <c r="F11" i="1"/>
  <c r="F54" i="1"/>
  <c r="F48" i="1"/>
  <c r="G48" i="1" s="1"/>
  <c r="F49" i="1"/>
  <c r="F40" i="1"/>
  <c r="G40" i="1" s="1"/>
  <c r="F52" i="1"/>
  <c r="G52" i="1" s="1"/>
  <c r="F31" i="1"/>
  <c r="F20" i="1"/>
  <c r="G20" i="1" s="1"/>
  <c r="F9" i="1"/>
  <c r="F57" i="1"/>
  <c r="G57" i="1" s="1"/>
  <c r="F34" i="1"/>
  <c r="G34" i="1" s="1"/>
  <c r="F18" i="1"/>
  <c r="F21" i="1"/>
  <c r="F5" i="1"/>
  <c r="G5" i="1" s="1"/>
  <c r="F60" i="1"/>
  <c r="G60" i="1" s="1"/>
  <c r="F39" i="1"/>
  <c r="F28" i="1"/>
  <c r="F17" i="1"/>
  <c r="G17" i="1" s="1"/>
  <c r="F7" i="1"/>
  <c r="G7" i="1" s="1"/>
  <c r="F51" i="1"/>
  <c r="G51" i="1" s="1"/>
  <c r="F35" i="1"/>
  <c r="G35" i="1" s="1"/>
  <c r="F45" i="1"/>
  <c r="G45" i="1" s="1"/>
  <c r="F14" i="1"/>
  <c r="G14" i="1" s="1"/>
  <c r="F38" i="1"/>
  <c r="F2" i="1"/>
  <c r="H8" i="3"/>
  <c r="H9" i="3"/>
  <c r="H6" i="3"/>
  <c r="T11" i="3"/>
  <c r="N4" i="3"/>
  <c r="N10" i="3"/>
  <c r="H5" i="3"/>
  <c r="T12" i="3"/>
  <c r="T9" i="3"/>
  <c r="T6" i="3"/>
  <c r="H3" i="3"/>
  <c r="H12" i="3"/>
  <c r="T10" i="3"/>
  <c r="H11" i="3"/>
  <c r="H7" i="3"/>
  <c r="N8" i="3"/>
  <c r="N6" i="3"/>
  <c r="N11" i="3"/>
  <c r="N12" i="3"/>
  <c r="H10" i="3"/>
  <c r="H4" i="3"/>
  <c r="N3" i="3"/>
  <c r="T4" i="3"/>
  <c r="N9" i="3"/>
  <c r="T5" i="3"/>
  <c r="N5" i="3"/>
  <c r="N7" i="3"/>
  <c r="T7" i="3"/>
  <c r="T8" i="3"/>
  <c r="T3" i="3"/>
  <c r="D13" i="8" l="1"/>
  <c r="E13" i="8"/>
  <c r="G21" i="1"/>
  <c r="G54" i="1"/>
  <c r="G23" i="1"/>
  <c r="G13" i="1"/>
  <c r="G50" i="1"/>
  <c r="G6" i="1"/>
  <c r="U11" i="3"/>
  <c r="V11" i="3" s="1"/>
  <c r="O8" i="3"/>
  <c r="P8" i="3" s="1"/>
  <c r="U4" i="3"/>
  <c r="V4" i="3" s="1"/>
  <c r="O4" i="3"/>
  <c r="P4" i="3" s="1"/>
  <c r="U9" i="3"/>
  <c r="V9" i="3" s="1"/>
  <c r="G18" i="1"/>
  <c r="U5" i="3"/>
  <c r="V5" i="3" s="1"/>
  <c r="U3" i="3"/>
  <c r="U7" i="3"/>
  <c r="G47" i="1"/>
  <c r="U10" i="3"/>
  <c r="V10" i="3" s="1"/>
  <c r="G22" i="1"/>
  <c r="U6" i="3"/>
  <c r="U12" i="3"/>
  <c r="V12" i="3" s="1"/>
  <c r="U8" i="3"/>
  <c r="O6" i="3"/>
  <c r="P6" i="3" s="1"/>
  <c r="O5" i="3"/>
  <c r="P5" i="3" s="1"/>
  <c r="O9" i="3"/>
  <c r="G49" i="1"/>
  <c r="O11" i="3"/>
  <c r="G29" i="1"/>
  <c r="O7" i="3"/>
  <c r="P7" i="3" s="1"/>
  <c r="O10" i="3"/>
  <c r="P10" i="3" s="1"/>
  <c r="G55" i="1"/>
  <c r="O12" i="3"/>
  <c r="O3" i="3"/>
  <c r="G11" i="1"/>
  <c r="G24" i="1"/>
  <c r="G31" i="1"/>
  <c r="G56" i="1"/>
  <c r="G36" i="1"/>
  <c r="G9" i="1"/>
  <c r="G46" i="1"/>
  <c r="G33" i="1"/>
  <c r="G15" i="1"/>
  <c r="G38" i="1"/>
  <c r="G39" i="1"/>
  <c r="G4" i="1"/>
  <c r="G26" i="1"/>
  <c r="G43" i="1"/>
  <c r="I10" i="3"/>
  <c r="G28" i="1"/>
  <c r="I7" i="3"/>
  <c r="J7" i="3" s="1"/>
  <c r="G16" i="1"/>
  <c r="I5" i="3"/>
  <c r="J5" i="3" s="1"/>
  <c r="G8" i="1"/>
  <c r="I4" i="3"/>
  <c r="J4" i="3" s="1"/>
  <c r="G58" i="1"/>
  <c r="I12" i="3"/>
  <c r="J12" i="3" s="1"/>
  <c r="G2" i="1"/>
  <c r="I3" i="3"/>
  <c r="J3" i="3" s="1"/>
  <c r="I6" i="3"/>
  <c r="J6" i="3" s="1"/>
  <c r="G37" i="1"/>
  <c r="I8" i="3"/>
  <c r="J8" i="3" s="1"/>
  <c r="G53" i="1"/>
  <c r="I11" i="3"/>
  <c r="J11" i="3" s="1"/>
  <c r="G42" i="1"/>
  <c r="I9" i="3"/>
  <c r="J9" i="3" s="1"/>
  <c r="H13" i="3"/>
  <c r="B7" i="3"/>
  <c r="B6" i="3"/>
  <c r="T13" i="3"/>
  <c r="N13" i="3"/>
  <c r="B11" i="3"/>
  <c r="B3" i="3"/>
  <c r="B5" i="3"/>
  <c r="B9" i="3"/>
  <c r="B10" i="3"/>
  <c r="B8" i="3"/>
  <c r="B4" i="3"/>
  <c r="B12" i="3"/>
  <c r="C10" i="3" l="1"/>
  <c r="D10" i="3" s="1"/>
  <c r="C8" i="3"/>
  <c r="D8" i="3" s="1"/>
  <c r="C6" i="3"/>
  <c r="D6" i="3" s="1"/>
  <c r="C7" i="3"/>
  <c r="D7" i="3" s="1"/>
  <c r="C5" i="3"/>
  <c r="D5" i="3" s="1"/>
  <c r="V8" i="3"/>
  <c r="V6" i="3"/>
  <c r="C3" i="3"/>
  <c r="O13" i="3"/>
  <c r="P3" i="3"/>
  <c r="B13" i="3"/>
  <c r="P11" i="3"/>
  <c r="C11" i="3"/>
  <c r="D11" i="3" s="1"/>
  <c r="C12" i="3"/>
  <c r="D12" i="3" s="1"/>
  <c r="P12" i="3"/>
  <c r="P9" i="3"/>
  <c r="C9" i="3"/>
  <c r="D9" i="3" s="1"/>
  <c r="C4" i="3"/>
  <c r="D4" i="3" s="1"/>
  <c r="I13" i="3"/>
  <c r="J10" i="3"/>
  <c r="J13" i="3" s="1"/>
  <c r="B18" i="3" s="1"/>
  <c r="V7" i="3"/>
  <c r="V3" i="3"/>
  <c r="U13" i="3"/>
  <c r="P13" i="3" l="1"/>
  <c r="B19" i="3" s="1"/>
  <c r="C13" i="3"/>
  <c r="D3" i="3"/>
  <c r="D13" i="3" s="1"/>
  <c r="V13" i="3"/>
  <c r="B20" i="3" s="1"/>
  <c r="B2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496CE0-2A39-47AA-8446-D7DC5FA16961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737816E-F064-4BCD-A9C4-E17796D52C02}" name="WorksheetConnection_Пельменные.xlsx!ТЗаказы" type="102" refreshedVersion="6" minRefreshableVersion="5">
    <extLst>
      <ext xmlns:x15="http://schemas.microsoft.com/office/spreadsheetml/2010/11/main" uri="{DE250136-89BD-433C-8126-D09CA5730AF9}">
        <x15:connection id="ТЗаказы" autoDelete="1">
          <x15:rangePr sourceName="_xlcn.WorksheetConnection_Пельменные.xlsxТЗаказы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ТЗаказы].[№ Точки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<sst xmlns="http://schemas.openxmlformats.org/spreadsheetml/2006/main" count="278" uniqueCount="67">
  <si>
    <t>Дата</t>
  </si>
  <si>
    <t>Пельменная ФМР</t>
  </si>
  <si>
    <t>Пельменная ЦМР</t>
  </si>
  <si>
    <t>Пельменная ГМР</t>
  </si>
  <si>
    <t>№ Точки</t>
  </si>
  <si>
    <t>Товаров в заказе</t>
  </si>
  <si>
    <t>Сумма заказа</t>
  </si>
  <si>
    <t>Оценка: Время доставки</t>
  </si>
  <si>
    <t>Оценка: Вкус еды</t>
  </si>
  <si>
    <t>Оценка: Состав заказа</t>
  </si>
  <si>
    <t>Прибыль от заказов</t>
  </si>
  <si>
    <t>Расходы на доставку</t>
  </si>
  <si>
    <t>Общий итог</t>
  </si>
  <si>
    <t>Общие итоги</t>
  </si>
  <si>
    <t>ТТ №1</t>
  </si>
  <si>
    <t>ТТ №2</t>
  </si>
  <si>
    <t>ТТ №3</t>
  </si>
  <si>
    <t>Рейтинг</t>
  </si>
  <si>
    <t>Общий</t>
  </si>
  <si>
    <t>№ Заказа</t>
  </si>
  <si>
    <t>№ Товара</t>
  </si>
  <si>
    <t>Товар №1</t>
  </si>
  <si>
    <t>Товар №2</t>
  </si>
  <si>
    <t>Товар №3</t>
  </si>
  <si>
    <t>Товар №4</t>
  </si>
  <si>
    <t>Товар №5</t>
  </si>
  <si>
    <t>Наименование</t>
  </si>
  <si>
    <t>Пельмени "Кавказ"</t>
  </si>
  <si>
    <t>Цена за порцию</t>
  </si>
  <si>
    <t>Вареники "Нежные"</t>
  </si>
  <si>
    <t>Манты с тыквой "Интересные"</t>
  </si>
  <si>
    <t>Пельмени "Вау, хочу"</t>
  </si>
  <si>
    <t>Вареники с творогом "Белоснежные"</t>
  </si>
  <si>
    <t>Количество заказанных порций</t>
  </si>
  <si>
    <t>Прибыль</t>
  </si>
  <si>
    <t>ЧП от заказов</t>
  </si>
  <si>
    <t>Названия строк</t>
  </si>
  <si>
    <t>(Все)</t>
  </si>
  <si>
    <t>Расход на доставку</t>
  </si>
  <si>
    <t>Прибыль от заказа</t>
  </si>
  <si>
    <t>Сумма заказов</t>
  </si>
  <si>
    <t>Сумма по полю Прибыль от заказа</t>
  </si>
  <si>
    <t>Единиц за период</t>
  </si>
  <si>
    <t>Итого</t>
  </si>
  <si>
    <t>Условное форматирование</t>
  </si>
  <si>
    <t>Финансовый отчет</t>
  </si>
  <si>
    <t>Прогноз прибыли</t>
  </si>
  <si>
    <t>Средняя оценка за время доставки</t>
  </si>
  <si>
    <t>Средняя оценка за вкус еды</t>
  </si>
  <si>
    <t>All</t>
  </si>
  <si>
    <t>Сумма по столбцу Прибыль от заказа</t>
  </si>
  <si>
    <t>Сумма по столбцу Прогноз прибыли</t>
  </si>
  <si>
    <t>Среднее по столбцу Оценка: Время доставки</t>
  </si>
  <si>
    <t>Среднее по столбцу Оценка: Вкус еды</t>
  </si>
  <si>
    <t>Среднее по столбцу Оценка: Состав заказа</t>
  </si>
  <si>
    <t>Прогнозируемые значения</t>
  </si>
  <si>
    <t>Реальные значения</t>
  </si>
  <si>
    <t>Средняя оценка за состав заказа</t>
  </si>
  <si>
    <t>Прогноз прибыли на период</t>
  </si>
  <si>
    <t>Количество заказов</t>
  </si>
  <si>
    <t>Отмененные заказы</t>
  </si>
  <si>
    <t>Полученная прибыль</t>
  </si>
  <si>
    <t>Отчет за период</t>
  </si>
  <si>
    <t>Прогнозируемая прибыль</t>
  </si>
  <si>
    <t>Прибыль по ТТ</t>
  </si>
  <si>
    <t>Прибыль по продуктам</t>
  </si>
  <si>
    <t>Общая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</si>
</sst>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₽&quot;"/>
  </numFmts>
  <fonts count="9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 tint="0.249977111117893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 tint="4.9989318521683403E-2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 tint="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7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9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6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10" xfId="0" applyNumberFormat="1" applyBorder="1" applyAlignment="1">
      <alignment horizontal="center" vertical="center" wrapText="1"/>
    </xf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6" fillId="0" borderId="0" xfId="0" applyFont="1" applyBorder="1" applyAlignment="1">
      <alignment vertical="center"/>
    </xf>
    <xf numFmtId="0" fontId="0" fillId="0" borderId="16" xfId="0" applyBorder="1"/>
    <xf numFmtId="0" fontId="0" fillId="0" borderId="20" xfId="0" applyBorder="1"/>
    <xf numFmtId="0" fontId="5" fillId="0" borderId="19" xfId="0" applyFont="1" applyFill="1" applyBorder="1" applyAlignment="1">
      <alignment horizontal="left" vertical="center" indent="1"/>
    </xf>
    <xf numFmtId="0" fontId="4" fillId="0" borderId="19" xfId="0" applyFont="1" applyFill="1" applyBorder="1" applyAlignment="1">
      <alignment horizontal="left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0" xfId="0" applyFont="1" applyBorder="1" applyAlignment="1">
      <alignment horizontal="center" vertical="center"/>
    </xf>
    <xf numFmtId="0" fontId="0" fillId="0" borderId="19" xfId="0" applyFont="1" applyBorder="1" applyAlignment="1">
      <alignment horizontal="left" vertical="center" indent="1"/>
    </xf>
    <xf numFmtId="14" fontId="0" fillId="0" borderId="0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0" borderId="30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7" xfId="0" applyNumberFormat="1" applyBorder="1" applyAlignment="1">
      <alignment horizontal="center" vertical="center" wrapText="1"/>
    </xf>
    <xf numFmtId="164" fontId="0" fillId="0" borderId="24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7" fillId="0" borderId="4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64" fontId="2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80">
    <dxf>
      <fill>
        <patternFill>
          <bgColor theme="9" tint="0.7999816888943144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theme="9"/>
        </left>
        <right style="thin">
          <color theme="9"/>
        </right>
        <top/>
        <bottom/>
        <vertical/>
        <horizontal/>
      </border>
    </dxf>
    <dxf>
      <fill>
        <patternFill>
          <bgColor theme="9" tint="0.7999816888943144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numFmt numFmtId="164" formatCode="#,##0\ &quot;₽&quot;"/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/>
        <bottom/>
        <vertical/>
        <horizontal/>
      </border>
    </dxf>
    <dxf>
      <numFmt numFmtId="164" formatCode="#,##0\ &quot;₽&quot;"/>
      <alignment horizontal="center" vertical="center" textRotation="0" wrapText="0" indent="0" justifyLastLine="0" shrinkToFit="0" readingOrder="0"/>
    </dxf>
    <dxf>
      <numFmt numFmtId="164" formatCode="#,##0\ &quot;₽&quot;"/>
      <alignment horizontal="center" vertical="center" textRotation="0" wrapText="0" indent="0" justifyLastLine="0" shrinkToFit="0" readingOrder="0"/>
    </dxf>
    <dxf>
      <numFmt numFmtId="164" formatCode="#,##0\ &quot;₽&quot;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numFmt numFmtId="164" formatCode="#,##0\ &quot;₽&quot;"/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/>
        <bottom/>
        <vertical/>
        <horizontal/>
      </border>
    </dxf>
    <dxf>
      <numFmt numFmtId="164" formatCode="#,##0\ &quot;₽&quot;"/>
      <alignment horizontal="center" vertical="center" textRotation="0" wrapText="0" indent="0" justifyLastLine="0" shrinkToFit="0" readingOrder="0"/>
    </dxf>
    <dxf>
      <numFmt numFmtId="164" formatCode="#,##0\ &quot;₽&quot;"/>
      <alignment horizontal="center" vertical="center" textRotation="0" wrapText="0" indent="0" justifyLastLine="0" shrinkToFit="0" readingOrder="0"/>
    </dxf>
    <dxf>
      <numFmt numFmtId="164" formatCode="#,##0\ &quot;₽&quot;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numFmt numFmtId="164" formatCode="#,##0\ &quot;₽&quot;"/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vertical/>
      </border>
    </dxf>
    <dxf>
      <numFmt numFmtId="164" formatCode="#,##0\ &quot;₽&quot;"/>
      <alignment horizontal="center" vertical="center" textRotation="0" wrapText="0" indent="0" justifyLastLine="0" shrinkToFit="0" readingOrder="0"/>
    </dxf>
    <dxf>
      <numFmt numFmtId="164" formatCode="#,##0\ &quot;₽&quot;"/>
      <alignment horizontal="center" vertical="center" textRotation="0" wrapText="0" indent="0" justifyLastLine="0" shrinkToFit="0" readingOrder="0"/>
    </dxf>
    <dxf>
      <numFmt numFmtId="164" formatCode="#,##0\ &quot;₽&quot;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#,##0\ &quot;₽&quot;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#,##0\ &quot;₽&quot;"/>
      <alignment horizontal="center" vertical="center" textRotation="0" wrapText="0" indent="0" justifyLastLine="0" shrinkToFit="0" readingOrder="0"/>
    </dxf>
    <dxf>
      <numFmt numFmtId="164" formatCode="#,##0\ &quot;₽&quot;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medium">
          <color theme="1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#,##0\ &quot;₽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theme="1"/>
        </left>
        <right/>
        <top/>
        <bottom/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#,##0\ &quot;₽&quot;"/>
      <alignment horizontal="center" vertical="bottom" textRotation="0" wrapText="0" indent="0" justifyLastLine="0" shrinkToFit="0" readingOrder="0"/>
    </dxf>
    <dxf>
      <numFmt numFmtId="164" formatCode="#,##0\ &quot;₽&quot;"/>
      <alignment horizontal="center" vertical="bottom" textRotation="0" wrapText="0" indent="0" justifyLastLine="0" shrinkToFit="0" readingOrder="0"/>
    </dxf>
    <dxf>
      <numFmt numFmtId="164" formatCode="#,##0\ &quot;₽&quot;"/>
      <alignment horizontal="center" vertical="bottom" textRotation="0" wrapText="0" indent="0" justifyLastLine="0" shrinkToFit="0" readingOrder="0"/>
    </dxf>
    <dxf>
      <numFmt numFmtId="164" formatCode="#,##0\ &quot;₽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powerPivotData" Target="model/item.data"/><Relationship Id="rId10" Type="http://schemas.openxmlformats.org/officeDocument/2006/relationships/pivotCacheDefinition" Target="pivotCache/pivotCacheDefinition1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[Пельменные.xlsx]Общ_промежут!Сводная таблица21</c:name>
    <c:fmtId val="2"/>
  </c:pivotSource>
  <c:chart>
    <c:title>
      <c:tx>
        <c:strRef>
          <c:f>Общ_промежут!$A$6</c:f>
          <c:strCache>
            <c:ptCount val="1"/>
            <c:pt idx="0">
              <c:v>Прогноз прибыли на период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Общ_промежут!$A$6</c:f>
              <c:strCache>
                <c:ptCount val="1"/>
                <c:pt idx="0">
                  <c:v>Реальные значения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Общ_промежут!$A$6</c:f>
              <c:strCache>
                <c:ptCount val="10"/>
                <c:pt idx="0">
                  <c:v>01.09.2020</c:v>
                </c:pt>
                <c:pt idx="1">
                  <c:v>02.09.2020</c:v>
                </c:pt>
                <c:pt idx="2">
                  <c:v>03.09.2020</c:v>
                </c:pt>
                <c:pt idx="3">
                  <c:v>04.09.2020</c:v>
                </c:pt>
                <c:pt idx="4">
                  <c:v>05.09.2020</c:v>
                </c:pt>
                <c:pt idx="5">
                  <c:v>06.09.2020</c:v>
                </c:pt>
                <c:pt idx="6">
                  <c:v>07.09.2020</c:v>
                </c:pt>
                <c:pt idx="7">
                  <c:v>08.09.2020</c:v>
                </c:pt>
                <c:pt idx="8">
                  <c:v>09.09.2020</c:v>
                </c:pt>
                <c:pt idx="9">
                  <c:v>10.09.2020</c:v>
                </c:pt>
              </c:strCache>
            </c:strRef>
          </c:cat>
          <c:val>
            <c:numRef>
              <c:f>Общ_промежут!$A$6</c:f>
              <c:numCache>
                <c:formatCode>General</c:formatCode>
                <c:ptCount val="10"/>
                <c:pt idx="0">
                  <c:v>8699</c:v>
                </c:pt>
                <c:pt idx="1">
                  <c:v>6145</c:v>
                </c:pt>
                <c:pt idx="2">
                  <c:v>10718</c:v>
                </c:pt>
                <c:pt idx="3">
                  <c:v>6529</c:v>
                </c:pt>
                <c:pt idx="4">
                  <c:v>10118</c:v>
                </c:pt>
                <c:pt idx="5">
                  <c:v>2373</c:v>
                </c:pt>
                <c:pt idx="6">
                  <c:v>4975</c:v>
                </c:pt>
                <c:pt idx="7">
                  <c:v>6234</c:v>
                </c:pt>
                <c:pt idx="8">
                  <c:v>6594</c:v>
                </c:pt>
                <c:pt idx="9">
                  <c:v>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5-49AD-9D8B-91D7D9340FCA}"/>
            </c:ext>
          </c:extLst>
        </c:ser>
        <c:ser>
          <c:idx val="1"/>
          <c:order val="1"/>
          <c:tx>
            <c:strRef>
              <c:f>Общ_промежут!$A$6</c:f>
              <c:strCache>
                <c:ptCount val="1"/>
                <c:pt idx="0">
                  <c:v>Прогнозируемые значения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Общ_промежут!$A$6</c:f>
              <c:strCache>
                <c:ptCount val="10"/>
                <c:pt idx="0">
                  <c:v>01.09.2020</c:v>
                </c:pt>
                <c:pt idx="1">
                  <c:v>02.09.2020</c:v>
                </c:pt>
                <c:pt idx="2">
                  <c:v>03.09.2020</c:v>
                </c:pt>
                <c:pt idx="3">
                  <c:v>04.09.2020</c:v>
                </c:pt>
                <c:pt idx="4">
                  <c:v>05.09.2020</c:v>
                </c:pt>
                <c:pt idx="5">
                  <c:v>06.09.2020</c:v>
                </c:pt>
                <c:pt idx="6">
                  <c:v>07.09.2020</c:v>
                </c:pt>
                <c:pt idx="7">
                  <c:v>08.09.2020</c:v>
                </c:pt>
                <c:pt idx="8">
                  <c:v>09.09.2020</c:v>
                </c:pt>
                <c:pt idx="9">
                  <c:v>10.09.2020</c:v>
                </c:pt>
              </c:strCache>
            </c:strRef>
          </c:cat>
          <c:val>
            <c:numRef>
              <c:f>Общ_промежут!$A$6</c:f>
              <c:numCache>
                <c:formatCode>General</c:formatCode>
                <c:ptCount val="10"/>
                <c:pt idx="0">
                  <c:v>8573.1</c:v>
                </c:pt>
                <c:pt idx="1">
                  <c:v>7039.5</c:v>
                </c:pt>
                <c:pt idx="2">
                  <c:v>8929.2000000000007</c:v>
                </c:pt>
                <c:pt idx="3">
                  <c:v>8294.1</c:v>
                </c:pt>
                <c:pt idx="4">
                  <c:v>9775.2000000000007</c:v>
                </c:pt>
                <c:pt idx="5">
                  <c:v>3636.7</c:v>
                </c:pt>
                <c:pt idx="6">
                  <c:v>4887.5</c:v>
                </c:pt>
                <c:pt idx="7">
                  <c:v>6387.6</c:v>
                </c:pt>
                <c:pt idx="8">
                  <c:v>7433.6</c:v>
                </c:pt>
                <c:pt idx="9">
                  <c:v>7914.3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5-49AD-9D8B-91D7D9340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180879"/>
        <c:axId val="674116239"/>
      </c:lineChart>
      <c:catAx>
        <c:axId val="105918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4116239"/>
        <c:crosses val="autoZero"/>
        <c:auto val="1"/>
        <c:lblAlgn val="ctr"/>
        <c:lblOffset val="100"/>
        <c:noMultiLvlLbl val="0"/>
      </c:catAx>
      <c:valAx>
        <c:axId val="67411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18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[Пельменные.xlsx]Общ_промежут!Сводная таблица23</c:name>
    <c:fmtId val="2"/>
  </c:pivotSource>
  <c:chart>
    <c:title>
      <c:tx>
        <c:strRef>
          <c:f>Общ_промежут!$A$22</c:f>
          <c:strCache>
            <c:ptCount val="1"/>
            <c:pt idx="0">
              <c:v>Отмененные заказы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Общ_промежут!$A$22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8E-48FB-9F23-12112DD769CF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8E-48FB-9F23-12112DD769CF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8E-48FB-9F23-12112DD769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Общ_промежут!$A$22</c:f>
              <c:strCache>
                <c:ptCount val="3"/>
                <c:pt idx="0">
                  <c:v>ТТ №1</c:v>
                </c:pt>
                <c:pt idx="1">
                  <c:v>ТТ №2</c:v>
                </c:pt>
                <c:pt idx="2">
                  <c:v>ТТ №3</c:v>
                </c:pt>
              </c:strCache>
            </c:strRef>
          </c:cat>
          <c:val>
            <c:numRef>
              <c:f>Общ_промежут!$A$22</c:f>
              <c:numCache>
                <c:formatCode>General</c:formatCode>
                <c:ptCount val="3"/>
                <c:pt idx="0">
                  <c:v>7</c:v>
                </c:pt>
                <c:pt idx="1">
                  <c:v>11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8E-48FB-9F23-12112DD76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15375871"/>
        <c:axId val="1019434863"/>
      </c:barChart>
      <c:catAx>
        <c:axId val="1015375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9434863"/>
        <c:crosses val="autoZero"/>
        <c:auto val="1"/>
        <c:lblAlgn val="ctr"/>
        <c:lblOffset val="100"/>
        <c:noMultiLvlLbl val="0"/>
      </c:catAx>
      <c:valAx>
        <c:axId val="10194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537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[Пельменные.xlsx]Фин_промежут!Прибыль</c:name>
    <c:fmtId val="3"/>
  </c:pivotSource>
  <c:chart>
    <c:title>
      <c:tx>
        <c:strRef>
          <c:f>Фин_промежут!$A$1</c:f>
          <c:strCache>
            <c:ptCount val="1"/>
            <c:pt idx="0">
              <c:v>Прибыль от заказов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Фин_промежут!$A$1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Фин_промежут!$A$1</c:f>
              <c:strCache>
                <c:ptCount val="10"/>
                <c:pt idx="0">
                  <c:v>01.09.2020</c:v>
                </c:pt>
                <c:pt idx="1">
                  <c:v>02.09.2020</c:v>
                </c:pt>
                <c:pt idx="2">
                  <c:v>03.09.2020</c:v>
                </c:pt>
                <c:pt idx="3">
                  <c:v>04.09.2020</c:v>
                </c:pt>
                <c:pt idx="4">
                  <c:v>05.09.2020</c:v>
                </c:pt>
                <c:pt idx="5">
                  <c:v>06.09.2020</c:v>
                </c:pt>
                <c:pt idx="6">
                  <c:v>07.09.2020</c:v>
                </c:pt>
                <c:pt idx="7">
                  <c:v>08.09.2020</c:v>
                </c:pt>
                <c:pt idx="8">
                  <c:v>09.09.2020</c:v>
                </c:pt>
                <c:pt idx="9">
                  <c:v>10.09.2020</c:v>
                </c:pt>
              </c:strCache>
            </c:strRef>
          </c:cat>
          <c:val>
            <c:numRef>
              <c:f>Фин_промежут!$A$1</c:f>
              <c:numCache>
                <c:formatCode>General</c:formatCode>
                <c:ptCount val="10"/>
                <c:pt idx="0">
                  <c:v>8699</c:v>
                </c:pt>
                <c:pt idx="1">
                  <c:v>6145</c:v>
                </c:pt>
                <c:pt idx="2">
                  <c:v>10718</c:v>
                </c:pt>
                <c:pt idx="3">
                  <c:v>6529</c:v>
                </c:pt>
                <c:pt idx="4">
                  <c:v>10118</c:v>
                </c:pt>
                <c:pt idx="5">
                  <c:v>2373</c:v>
                </c:pt>
                <c:pt idx="6">
                  <c:v>4975</c:v>
                </c:pt>
                <c:pt idx="7">
                  <c:v>6234</c:v>
                </c:pt>
                <c:pt idx="8">
                  <c:v>6594</c:v>
                </c:pt>
                <c:pt idx="9">
                  <c:v>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3-4691-BDDF-8ADFE896BC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7107519"/>
        <c:axId val="426895151"/>
      </c:barChart>
      <c:catAx>
        <c:axId val="787107519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895151"/>
        <c:crosses val="autoZero"/>
        <c:auto val="1"/>
        <c:lblAlgn val="ctr"/>
        <c:lblOffset val="100"/>
        <c:noMultiLvlLbl val="0"/>
      </c:catAx>
      <c:valAx>
        <c:axId val="4268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10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[Пельменные.xlsx]Фин_промежут!Единицы</c:name>
    <c:fmtId val="4"/>
  </c:pivotSource>
  <c:chart>
    <c:title>
      <c:tx>
        <c:strRef>
          <c:f>Фин_промежут!$A$19</c:f>
          <c:strCache>
            <c:ptCount val="1"/>
            <c:pt idx="0">
              <c:v>Единиц за период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Фин_промежут!$A$19</c:f>
              <c:strCache>
                <c:ptCount val="1"/>
                <c:pt idx="0">
                  <c:v>Пельмени "Кавказ"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Фин_промежут!$A$19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Фин_промежут!$A$19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D-4CCE-BD59-C41D08998440}"/>
            </c:ext>
          </c:extLst>
        </c:ser>
        <c:ser>
          <c:idx val="1"/>
          <c:order val="1"/>
          <c:tx>
            <c:strRef>
              <c:f>Фин_промежут!$A$19</c:f>
              <c:strCache>
                <c:ptCount val="1"/>
                <c:pt idx="0">
                  <c:v>Вареники "Нежные"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Фин_промежут!$A$19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Фин_промежут!$A$19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D-4CCE-BD59-C41D08998440}"/>
            </c:ext>
          </c:extLst>
        </c:ser>
        <c:ser>
          <c:idx val="2"/>
          <c:order val="2"/>
          <c:tx>
            <c:strRef>
              <c:f>Фин_промежут!$A$19</c:f>
              <c:strCache>
                <c:ptCount val="1"/>
                <c:pt idx="0">
                  <c:v>Манты с тыквой "Интересные"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Фин_промежут!$A$19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Фин_промежут!$A$19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D-4CCE-BD59-C41D08998440}"/>
            </c:ext>
          </c:extLst>
        </c:ser>
        <c:ser>
          <c:idx val="3"/>
          <c:order val="3"/>
          <c:tx>
            <c:strRef>
              <c:f>Фин_промежут!$A$19</c:f>
              <c:strCache>
                <c:ptCount val="1"/>
                <c:pt idx="0">
                  <c:v>Вареники с творогом "Белоснежные"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Фин_промежут!$A$19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Фин_промежут!$A$19</c:f>
              <c:numCache>
                <c:formatCode>General</c:formatCode>
                <c:ptCount val="1"/>
                <c:pt idx="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0D-4CCE-BD59-C41D08998440}"/>
            </c:ext>
          </c:extLst>
        </c:ser>
        <c:ser>
          <c:idx val="4"/>
          <c:order val="4"/>
          <c:tx>
            <c:strRef>
              <c:f>Фин_промежут!$A$19</c:f>
              <c:strCache>
                <c:ptCount val="1"/>
                <c:pt idx="0">
                  <c:v>Пельмени "Вау, хочу"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Фин_промежут!$A$19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Фин_промежут!$A$19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0D-4CCE-BD59-C41D08998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7102319"/>
        <c:axId val="671281391"/>
      </c:barChart>
      <c:catAx>
        <c:axId val="7871023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1281391"/>
        <c:crosses val="autoZero"/>
        <c:auto val="1"/>
        <c:lblAlgn val="ctr"/>
        <c:lblOffset val="100"/>
        <c:noMultiLvlLbl val="0"/>
      </c:catAx>
      <c:valAx>
        <c:axId val="67128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10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[Пельменные.xlsx]Фин_промежут!Выручка</c:name>
    <c:fmtId val="4"/>
  </c:pivotSource>
  <c:chart>
    <c:title>
      <c:tx>
        <c:strRef>
          <c:f>Фин_промежут!$A$27</c:f>
          <c:strCache>
            <c:ptCount val="1"/>
            <c:pt idx="0">
              <c:v>Прибыль по ТТ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Фин_промежут!$A$27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DF4-4A9E-BC5F-812013D834F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DF4-4A9E-BC5F-812013D834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DF4-4A9E-BC5F-812013D834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Фин_промежут!$A$27</c:f>
              <c:strCache>
                <c:ptCount val="3"/>
                <c:pt idx="0">
                  <c:v>ТТ №1</c:v>
                </c:pt>
                <c:pt idx="1">
                  <c:v>ТТ №2</c:v>
                </c:pt>
                <c:pt idx="2">
                  <c:v>ТТ №3</c:v>
                </c:pt>
              </c:strCache>
            </c:strRef>
          </c:cat>
          <c:val>
            <c:numRef>
              <c:f>Фин_промежут!$A$27</c:f>
              <c:numCache>
                <c:formatCode>General</c:formatCode>
                <c:ptCount val="3"/>
                <c:pt idx="0">
                  <c:v>25219</c:v>
                </c:pt>
                <c:pt idx="1">
                  <c:v>17966</c:v>
                </c:pt>
                <c:pt idx="2">
                  <c:v>29197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F4-4A9E-BC5F-812013D834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&#1060;&#1080;&#1085;_&#1086;&#1090;&#1095;&#1077;&#1090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hyperlink" Target="#&#1054;&#1073;&#1097;_&#1086;&#1090;&#1095;&#1077;&#109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600075</xdr:colOff>
      <xdr:row>0</xdr:row>
      <xdr:rowOff>142875</xdr:rowOff>
    </xdr:from>
    <xdr:to>
      <xdr:col>3</xdr:col>
      <xdr:colOff>219075</xdr:colOff>
      <xdr:row>4</xdr:row>
      <xdr:rowOff>57150</xdr:rowOff>
    </xdr:to>
    <xdr:sp macro="" textlink="">
      <xdr:nvSpPr>
        <xdr:cNvPr id="4" name="Прямоугольник: скругленные углы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6016C1-72DA-41ED-A39B-70CCB7AC5BC8}"/>
            </a:ext>
          </a:extLst>
        </xdr:cNvPr>
        <xdr:cNvSpPr/>
      </xdr:nvSpPr>
      <xdr:spPr>
        <a:xfrm>
          <a:off x="600075" y="142875"/>
          <a:ext cx="1447800" cy="676275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600" b="1">
              <a:solidFill>
                <a:schemeClr val="tx1"/>
              </a:solidFill>
            </a:rPr>
            <a:t>Финансовый отчет</a:t>
          </a:r>
        </a:p>
      </xdr:txBody>
    </xdr:sp>
    <xdr:clientData/>
  </xdr:twoCellAnchor>
  <xdr:twoCellAnchor editAs="oneCell">
    <xdr:from>
      <xdr:col>1</xdr:col>
      <xdr:colOff>438150</xdr:colOff>
      <xdr:row>6</xdr:row>
      <xdr:rowOff>47625</xdr:rowOff>
    </xdr:from>
    <xdr:to>
      <xdr:col>3</xdr:col>
      <xdr:colOff>190500</xdr:colOff>
      <xdr:row>10</xdr:row>
      <xdr:rowOff>28575</xdr:rowOff>
    </xdr:to>
    <xdr:sp macro="" textlink="Общ_промежут!E2">
      <xdr:nvSpPr>
        <xdr:cNvPr id="8" name="Овал 7">
          <a:extLst>
            <a:ext uri="{FF2B5EF4-FFF2-40B4-BE49-F238E27FC236}">
              <a16:creationId xmlns:a16="http://schemas.microsoft.com/office/drawing/2014/main" id="{9C5BC6CB-7818-4E4D-868A-685F9B502B6A}"/>
            </a:ext>
          </a:extLst>
        </xdr:cNvPr>
        <xdr:cNvSpPr/>
      </xdr:nvSpPr>
      <xdr:spPr>
        <a:xfrm>
          <a:off x="1047750" y="1543050"/>
          <a:ext cx="971550" cy="962025"/>
        </a:xfrm>
        <a:prstGeom prst="ellips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41EEF4F-96DA-440D-9F22-30453D7BDCDE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4,491525424</a:t>
          </a:fld>
          <a:endParaRPr lang="ru-RU" sz="6600" b="1"/>
        </a:p>
      </xdr:txBody>
    </xdr:sp>
    <xdr:clientData/>
  </xdr:twoCellAnchor>
  <xdr:twoCellAnchor editAs="oneCell">
    <xdr:from>
      <xdr:col>4</xdr:col>
      <xdr:colOff>447675</xdr:colOff>
      <xdr:row>6</xdr:row>
      <xdr:rowOff>47625</xdr:rowOff>
    </xdr:from>
    <xdr:to>
      <xdr:col>6</xdr:col>
      <xdr:colOff>200025</xdr:colOff>
      <xdr:row>10</xdr:row>
      <xdr:rowOff>28575</xdr:rowOff>
    </xdr:to>
    <xdr:sp macro="" textlink="Общ_промежут!F2">
      <xdr:nvSpPr>
        <xdr:cNvPr id="9" name="Овал 8">
          <a:extLst>
            <a:ext uri="{FF2B5EF4-FFF2-40B4-BE49-F238E27FC236}">
              <a16:creationId xmlns:a16="http://schemas.microsoft.com/office/drawing/2014/main" id="{1024F6E4-4A96-446E-B853-21AC00067722}"/>
            </a:ext>
          </a:extLst>
        </xdr:cNvPr>
        <xdr:cNvSpPr/>
      </xdr:nvSpPr>
      <xdr:spPr>
        <a:xfrm>
          <a:off x="2886075" y="1543050"/>
          <a:ext cx="971550" cy="962025"/>
        </a:xfrm>
        <a:prstGeom prst="ellips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B6C7CEF-D8AB-4A0C-9B78-8261CD5C186E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4,542372881</a:t>
          </a:fld>
          <a:endParaRPr lang="ru-RU" sz="11500" b="1"/>
        </a:p>
      </xdr:txBody>
    </xdr:sp>
    <xdr:clientData/>
  </xdr:twoCellAnchor>
  <xdr:twoCellAnchor editAs="oneCell">
    <xdr:from>
      <xdr:col>7</xdr:col>
      <xdr:colOff>428625</xdr:colOff>
      <xdr:row>6</xdr:row>
      <xdr:rowOff>47625</xdr:rowOff>
    </xdr:from>
    <xdr:to>
      <xdr:col>9</xdr:col>
      <xdr:colOff>180975</xdr:colOff>
      <xdr:row>10</xdr:row>
      <xdr:rowOff>28575</xdr:rowOff>
    </xdr:to>
    <xdr:sp macro="" textlink="Общ_промежут!G2">
      <xdr:nvSpPr>
        <xdr:cNvPr id="10" name="Овал 9">
          <a:extLst>
            <a:ext uri="{FF2B5EF4-FFF2-40B4-BE49-F238E27FC236}">
              <a16:creationId xmlns:a16="http://schemas.microsoft.com/office/drawing/2014/main" id="{D92AB4E4-587A-44FF-A474-122EA7EB2EEF}"/>
            </a:ext>
          </a:extLst>
        </xdr:cNvPr>
        <xdr:cNvSpPr/>
      </xdr:nvSpPr>
      <xdr:spPr>
        <a:xfrm>
          <a:off x="4695825" y="1543050"/>
          <a:ext cx="971550" cy="962025"/>
        </a:xfrm>
        <a:prstGeom prst="ellips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C7B6AC8-EA55-4B14-A60E-115B1C70DC1A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4,525423729</a:t>
          </a:fld>
          <a:endParaRPr lang="ru-RU" sz="28700" b="1"/>
        </a:p>
      </xdr:txBody>
    </xdr:sp>
    <xdr:clientData/>
  </xdr:twoCellAnchor>
  <xdr:twoCellAnchor editAs="oneCell">
    <xdr:from>
      <xdr:col>1</xdr:col>
      <xdr:colOff>1</xdr:colOff>
      <xdr:row>11</xdr:row>
      <xdr:rowOff>133349</xdr:rowOff>
    </xdr:from>
    <xdr:to>
      <xdr:col>10</xdr:col>
      <xdr:colOff>0</xdr:colOff>
      <xdr:row>27</xdr:row>
      <xdr:rowOff>66674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33F6A726-CB84-4EB5-8220-09FDD15A6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314325</xdr:colOff>
      <xdr:row>0</xdr:row>
      <xdr:rowOff>161925</xdr:rowOff>
    </xdr:from>
    <xdr:to>
      <xdr:col>16</xdr:col>
      <xdr:colOff>9524</xdr:colOff>
      <xdr:row>4</xdr:row>
      <xdr:rowOff>47624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№ Точки 2">
              <a:extLst>
                <a:ext uri="{FF2B5EF4-FFF2-40B4-BE49-F238E27FC236}">
                  <a16:creationId xmlns:a16="http://schemas.microsoft.com/office/drawing/2014/main" id="{15E14AE9-F3F0-4368-8E15-3357A60200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№ Точки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0400" y="161925"/>
              <a:ext cx="1981199" cy="647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</xdr:colOff>
      <xdr:row>14</xdr:row>
      <xdr:rowOff>123825</xdr:rowOff>
    </xdr:from>
    <xdr:to>
      <xdr:col>16</xdr:col>
      <xdr:colOff>0</xdr:colOff>
      <xdr:row>27</xdr:row>
      <xdr:rowOff>66675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AB895974-5FFF-463A-B1F9-FA903D904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447674</xdr:colOff>
      <xdr:row>6</xdr:row>
      <xdr:rowOff>9525</xdr:rowOff>
    </xdr:from>
    <xdr:to>
      <xdr:col>15</xdr:col>
      <xdr:colOff>38099</xdr:colOff>
      <xdr:row>8</xdr:row>
      <xdr:rowOff>95250</xdr:rowOff>
    </xdr:to>
    <xdr:sp macro="" textlink="Общ_промежут!G4">
      <xdr:nvSpPr>
        <xdr:cNvPr id="17" name="Прямоугольник 16">
          <a:extLst>
            <a:ext uri="{FF2B5EF4-FFF2-40B4-BE49-F238E27FC236}">
              <a16:creationId xmlns:a16="http://schemas.microsoft.com/office/drawing/2014/main" id="{9A3EFAD4-3D8C-4C82-B632-2F08FBAF09E6}"/>
            </a:ext>
          </a:extLst>
        </xdr:cNvPr>
        <xdr:cNvSpPr/>
      </xdr:nvSpPr>
      <xdr:spPr>
        <a:xfrm>
          <a:off x="6696074" y="1457325"/>
          <a:ext cx="1866900" cy="466725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20F5F3F-5D75-442A-BD95-890F648591A5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t>72382</a:t>
          </a:fld>
          <a:endParaRPr lang="ru-RU" sz="4400" b="1"/>
        </a:p>
      </xdr:txBody>
    </xdr:sp>
    <xdr:clientData/>
  </xdr:twoCellAnchor>
  <xdr:twoCellAnchor editAs="oneCell">
    <xdr:from>
      <xdr:col>11</xdr:col>
      <xdr:colOff>438149</xdr:colOff>
      <xdr:row>10</xdr:row>
      <xdr:rowOff>9525</xdr:rowOff>
    </xdr:from>
    <xdr:to>
      <xdr:col>15</xdr:col>
      <xdr:colOff>28574</xdr:colOff>
      <xdr:row>12</xdr:row>
      <xdr:rowOff>76200</xdr:rowOff>
    </xdr:to>
    <xdr:sp macro="" textlink="Общ_промежут!H4">
      <xdr:nvSpPr>
        <xdr:cNvPr id="18" name="Прямоугольник 17">
          <a:extLst>
            <a:ext uri="{FF2B5EF4-FFF2-40B4-BE49-F238E27FC236}">
              <a16:creationId xmlns:a16="http://schemas.microsoft.com/office/drawing/2014/main" id="{7F367B66-A8B3-4E75-BAB2-49E58A820458}"/>
            </a:ext>
          </a:extLst>
        </xdr:cNvPr>
        <xdr:cNvSpPr/>
      </xdr:nvSpPr>
      <xdr:spPr>
        <a:xfrm>
          <a:off x="6686549" y="2438400"/>
          <a:ext cx="1866900" cy="466725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9F96CB9-E3E9-4E4B-8838-ADC48DB142F5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t>72870,8</a:t>
          </a:fld>
          <a:endParaRPr lang="ru-RU" sz="80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590551</xdr:colOff>
      <xdr:row>4</xdr:row>
      <xdr:rowOff>66673</xdr:rowOff>
    </xdr:from>
    <xdr:to>
      <xdr:col>14</xdr:col>
      <xdr:colOff>66675</xdr:colOff>
      <xdr:row>18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573A982-356F-4490-9ADE-8A2EFEEA0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104775</xdr:colOff>
      <xdr:row>19</xdr:row>
      <xdr:rowOff>0</xdr:rowOff>
    </xdr:from>
    <xdr:to>
      <xdr:col>14</xdr:col>
      <xdr:colOff>66675</xdr:colOff>
      <xdr:row>31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12447BF-0135-44F2-AEB4-1D75C4CBB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10</xdr:col>
      <xdr:colOff>571500</xdr:colOff>
      <xdr:row>0</xdr:row>
      <xdr:rowOff>104775</xdr:rowOff>
    </xdr:from>
    <xdr:to>
      <xdr:col>14</xdr:col>
      <xdr:colOff>76200</xdr:colOff>
      <xdr:row>3</xdr:row>
      <xdr:rowOff>161924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№ Точки 1">
              <a:extLst>
                <a:ext uri="{FF2B5EF4-FFF2-40B4-BE49-F238E27FC236}">
                  <a16:creationId xmlns:a16="http://schemas.microsoft.com/office/drawing/2014/main" id="{3C9522DF-003B-47BB-9EA7-65B5D9FAA8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№ Точки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3375" y="104775"/>
              <a:ext cx="1943100" cy="628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4</xdr:row>
      <xdr:rowOff>66674</xdr:rowOff>
    </xdr:from>
    <xdr:to>
      <xdr:col>2</xdr:col>
      <xdr:colOff>485774</xdr:colOff>
      <xdr:row>18</xdr:row>
      <xdr:rowOff>85723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B1414B3-8E6B-479E-9A97-40F60D186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0</xdr:colOff>
      <xdr:row>0</xdr:row>
      <xdr:rowOff>152400</xdr:rowOff>
    </xdr:from>
    <xdr:to>
      <xdr:col>1</xdr:col>
      <xdr:colOff>1447800</xdr:colOff>
      <xdr:row>3</xdr:row>
      <xdr:rowOff>66675</xdr:rowOff>
    </xdr:to>
    <xdr:sp macro="" textlink="">
      <xdr:nvSpPr>
        <xdr:cNvPr id="7" name="Прямоугольник: скругленные углы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91BCFA2-7B62-4933-86DE-D1B8ACD5DFE8}"/>
            </a:ext>
          </a:extLst>
        </xdr:cNvPr>
        <xdr:cNvSpPr/>
      </xdr:nvSpPr>
      <xdr:spPr>
        <a:xfrm>
          <a:off x="609600" y="152400"/>
          <a:ext cx="1447800" cy="48577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600" b="1">
              <a:solidFill>
                <a:schemeClr val="tx1"/>
              </a:solidFill>
            </a:rPr>
            <a:t>Общий отчет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na Takhtareva" refreshedDate="44133.487052777775" createdVersion="6" refreshedVersion="6" minRefreshableVersion="3" recordCount="59" xr:uid="{4BE64287-A8DA-4D21-B41F-2B9664632340}">
  <cacheSource type="worksheet">
    <worksheetSource name="ТЗаказы"/>
  </cacheSource>
  <cacheFields count="16">
    <cacheField name="Дата" numFmtId="14">
      <sharedItems containsSemiMixedTypes="0" containsNonDate="0" containsDate="1" containsString="0" minDate="2020-09-01T00:00:00" maxDate="2020-09-11T00:00:00" count="10"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</sharedItems>
    </cacheField>
    <cacheField name="№ Точки" numFmtId="0">
      <sharedItems count="3">
        <s v="ТТ №2"/>
        <s v="ТТ №1"/>
        <s v="ТТ №3"/>
      </sharedItems>
    </cacheField>
    <cacheField name="№ Заказа" numFmtId="0">
      <sharedItems containsSemiMixedTypes="0" containsString="0" containsNumber="1" containsInteger="1" minValue="1" maxValue="59"/>
    </cacheField>
    <cacheField name="Товаров в заказе" numFmtId="0">
      <sharedItems containsSemiMixedTypes="0" containsString="0" containsNumber="1" containsInteger="1" minValue="2" maxValue="11"/>
    </cacheField>
    <cacheField name="Сумма заказа" numFmtId="164">
      <sharedItems containsSemiMixedTypes="0" containsString="0" containsNumber="1" containsInteger="1" minValue="450" maxValue="2640"/>
    </cacheField>
    <cacheField name="Расход на доставку" numFmtId="164">
      <sharedItems containsSemiMixedTypes="0" containsString="0" containsNumber="1" containsInteger="1" minValue="104" maxValue="578"/>
    </cacheField>
    <cacheField name="Прибыль от заказа" numFmtId="164">
      <sharedItems containsSemiMixedTypes="0" containsString="0" containsNumber="1" containsInteger="1" minValue="333" maxValue="2075"/>
    </cacheField>
    <cacheField name="Прогноз прибыли" numFmtId="164">
      <sharedItems containsSemiMixedTypes="0" containsString="0" containsNumber="1" minValue="329.6" maxValue="2204.8000000000002"/>
    </cacheField>
    <cacheField name="Товар №1" numFmtId="0">
      <sharedItems containsSemiMixedTypes="0" containsString="0" containsNumber="1" containsInteger="1" minValue="0" maxValue="3"/>
    </cacheField>
    <cacheField name="Товар №2" numFmtId="0">
      <sharedItems containsSemiMixedTypes="0" containsString="0" containsNumber="1" containsInteger="1" minValue="0" maxValue="3"/>
    </cacheField>
    <cacheField name="Товар №3" numFmtId="0">
      <sharedItems containsSemiMixedTypes="0" containsString="0" containsNumber="1" containsInteger="1" minValue="0" maxValue="3"/>
    </cacheField>
    <cacheField name="Товар №4" numFmtId="0">
      <sharedItems containsSemiMixedTypes="0" containsString="0" containsNumber="1" containsInteger="1" minValue="0" maxValue="3"/>
    </cacheField>
    <cacheField name="Товар №5" numFmtId="0">
      <sharedItems containsSemiMixedTypes="0" containsString="0" containsNumber="1" containsInteger="1" minValue="0" maxValue="3"/>
    </cacheField>
    <cacheField name="Оценка: Время доставки" numFmtId="0">
      <sharedItems containsSemiMixedTypes="0" containsString="0" containsNumber="1" containsInteger="1" minValue="2" maxValue="5"/>
    </cacheField>
    <cacheField name="Оценка: Вкус еды" numFmtId="0">
      <sharedItems containsSemiMixedTypes="0" containsString="0" containsNumber="1" containsInteger="1" minValue="3" maxValue="5"/>
    </cacheField>
    <cacheField name="Оценка: Состав заказа" numFmtId="0">
      <sharedItems containsSemiMixedTypes="0" containsString="0" containsNumber="1" containsInteger="1" minValue="3" maxValue="5"/>
    </cacheField>
  </cacheFields>
  <extLst>
    <ext xmlns:x14="http://schemas.microsoft.com/office/spreadsheetml/2009/9/main" uri="{725AE2AE-9491-48be-B2B4-4EB974FC3084}">
      <x14:pivotCacheDefinition pivotCacheId="129015397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na Takhtareva" refreshedDate="44133.487053009259" createdVersion="6" refreshedVersion="6" minRefreshableVersion="3" recordCount="23" xr:uid="{368DD102-07D4-44C1-9DAD-F961ACB9AC46}">
  <cacheSource type="worksheet">
    <worksheetSource name="ТЗаказы_отмен"/>
  </cacheSource>
  <cacheFields count="10">
    <cacheField name="Дата" numFmtId="14">
      <sharedItems containsSemiMixedTypes="0" containsNonDate="0" containsDate="1" containsString="0" minDate="2020-09-01T00:00:00" maxDate="2020-09-11T00:00:00"/>
    </cacheField>
    <cacheField name="№ Точки" numFmtId="0">
      <sharedItems containsMixedTypes="1" containsNumber="1" containsInteger="1" minValue="1" maxValue="3" count="6">
        <s v="ТТ №1"/>
        <s v="ТТ №2"/>
        <s v="ТТ №3"/>
        <n v="3" u="1"/>
        <n v="2" u="1"/>
        <n v="1" u="1"/>
      </sharedItems>
    </cacheField>
    <cacheField name="№ Заказа" numFmtId="0">
      <sharedItems containsSemiMixedTypes="0" containsString="0" containsNumber="1" containsInteger="1" minValue="1" maxValue="23"/>
    </cacheField>
    <cacheField name="Товаров в заказе" numFmtId="0">
      <sharedItems containsSemiMixedTypes="0" containsString="0" containsNumber="1" containsInteger="1" minValue="1" maxValue="11"/>
    </cacheField>
    <cacheField name="Сумма заказа" numFmtId="164">
      <sharedItems containsSemiMixedTypes="0" containsString="0" containsNumber="1" containsInteger="1" minValue="80" maxValue="2620"/>
    </cacheField>
    <cacheField name="Товар №1" numFmtId="0">
      <sharedItems containsSemiMixedTypes="0" containsString="0" containsNumber="1" containsInteger="1" minValue="0" maxValue="3"/>
    </cacheField>
    <cacheField name="Товар №2" numFmtId="0">
      <sharedItems containsSemiMixedTypes="0" containsString="0" containsNumber="1" containsInteger="1" minValue="0" maxValue="3"/>
    </cacheField>
    <cacheField name="Товар №3" numFmtId="0">
      <sharedItems containsSemiMixedTypes="0" containsString="0" containsNumber="1" containsInteger="1" minValue="0" maxValue="3"/>
    </cacheField>
    <cacheField name="Товар №4" numFmtId="0">
      <sharedItems containsSemiMixedTypes="0" containsString="0" containsNumber="1" containsInteger="1" minValue="0" maxValue="3"/>
    </cacheField>
    <cacheField name="Товар №5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na Takhtareva" refreshedDate="44133.545275231481" backgroundQuery="1" createdVersion="6" refreshedVersion="6" minRefreshableVersion="3" recordCount="0" supportSubquery="1" supportAdvancedDrill="1" xr:uid="{57C90356-E4D8-4143-9494-39B37BD4DE5A}">
  <cacheSource type="external" connectionId="1"/>
  <cacheFields count="4">
    <cacheField name="[ТЗаказы].[№ Точки].[№ Точки]" caption="№ Точки" numFmtId="0" hierarchy="1" level="1">
      <sharedItems containsSemiMixedTypes="0" containsNonDate="0" containsString="0"/>
    </cacheField>
    <cacheField name="[Measures].[Среднее по столбцу Оценка: Время доставки]" caption="Среднее по столбцу Оценка: Время доставки" numFmtId="0" hierarchy="23" level="32767"/>
    <cacheField name="[Measures].[Среднее по столбцу Оценка: Вкус еды]" caption="Среднее по столбцу Оценка: Вкус еды" numFmtId="0" hierarchy="24" level="32767"/>
    <cacheField name="[Measures].[Среднее по столбцу Оценка: Состав заказа]" caption="Среднее по столбцу Оценка: Состав заказа" numFmtId="0" hierarchy="25" level="32767"/>
  </cacheFields>
  <cacheHierarchies count="28">
    <cacheHierarchy uniqueName="[ТЗаказы].[Дата]" caption="Дата" attribute="1" time="1" defaultMemberUniqueName="[ТЗаказы].[Дата].[All]" allUniqueName="[ТЗаказы].[Дата].[All]" dimensionUniqueName="[ТЗаказы]" displayFolder="" count="0" memberValueDatatype="7" unbalanced="0"/>
    <cacheHierarchy uniqueName="[ТЗаказы].[№ Точки]" caption="№ Точки" attribute="1" defaultMemberUniqueName="[ТЗаказы].[№ Точки].[All]" allUniqueName="[ТЗаказы].[№ Точки].[All]" dimensionUniqueName="[ТЗаказы]" displayFolder="" count="2" memberValueDatatype="130" unbalanced="0">
      <fieldsUsage count="2">
        <fieldUsage x="-1"/>
        <fieldUsage x="0"/>
      </fieldsUsage>
    </cacheHierarchy>
    <cacheHierarchy uniqueName="[ТЗаказы].[№ Заказа]" caption="№ Заказа" attribute="1" defaultMemberUniqueName="[ТЗаказы].[№ Заказа].[All]" allUniqueName="[ТЗаказы].[№ Заказа].[All]" dimensionUniqueName="[ТЗаказы]" displayFolder="" count="0" memberValueDatatype="20" unbalanced="0"/>
    <cacheHierarchy uniqueName="[ТЗаказы].[Товаров в заказе]" caption="Товаров в заказе" attribute="1" defaultMemberUniqueName="[ТЗаказы].[Товаров в заказе].[All]" allUniqueName="[ТЗаказы].[Товаров в заказе].[All]" dimensionUniqueName="[ТЗаказы]" displayFolder="" count="0" memberValueDatatype="20" unbalanced="0"/>
    <cacheHierarchy uniqueName="[ТЗаказы].[Сумма заказа]" caption="Сумма заказа" attribute="1" defaultMemberUniqueName="[ТЗаказы].[Сумма заказа].[All]" allUniqueName="[ТЗаказы].[Сумма заказа].[All]" dimensionUniqueName="[ТЗаказы]" displayFolder="" count="0" memberValueDatatype="20" unbalanced="0"/>
    <cacheHierarchy uniqueName="[ТЗаказы].[Расход на доставку]" caption="Расход на доставку" attribute="1" defaultMemberUniqueName="[ТЗаказы].[Расход на доставку].[All]" allUniqueName="[ТЗаказы].[Расход на доставку].[All]" dimensionUniqueName="[ТЗаказы]" displayFolder="" count="0" memberValueDatatype="20" unbalanced="0"/>
    <cacheHierarchy uniqueName="[ТЗаказы].[Прибыль от заказа]" caption="Прибыль от заказа" attribute="1" defaultMemberUniqueName="[ТЗаказы].[Прибыль от заказа].[All]" allUniqueName="[ТЗаказы].[Прибыль от заказа].[All]" dimensionUniqueName="[ТЗаказы]" displayFolder="" count="0" memberValueDatatype="20" unbalanced="0"/>
    <cacheHierarchy uniqueName="[ТЗаказы].[Прогноз прибыли]" caption="Прогноз прибыли" attribute="1" defaultMemberUniqueName="[ТЗаказы].[Прогноз прибыли].[All]" allUniqueName="[ТЗаказы].[Прогноз прибыли].[All]" dimensionUniqueName="[ТЗаказы]" displayFolder="" count="0" memberValueDatatype="5" unbalanced="0"/>
    <cacheHierarchy uniqueName="[ТЗаказы].[Товар №1]" caption="Товар №1" attribute="1" defaultMemberUniqueName="[ТЗаказы].[Товар №1].[All]" allUniqueName="[ТЗаказы].[Товар №1].[All]" dimensionUniqueName="[ТЗаказы]" displayFolder="" count="0" memberValueDatatype="20" unbalanced="0"/>
    <cacheHierarchy uniqueName="[ТЗаказы].[Товар №2]" caption="Товар №2" attribute="1" defaultMemberUniqueName="[ТЗаказы].[Товар №2].[All]" allUniqueName="[ТЗаказы].[Товар №2].[All]" dimensionUniqueName="[ТЗаказы]" displayFolder="" count="0" memberValueDatatype="20" unbalanced="0"/>
    <cacheHierarchy uniqueName="[ТЗаказы].[Товар №3]" caption="Товар №3" attribute="1" defaultMemberUniqueName="[ТЗаказы].[Товар №3].[All]" allUniqueName="[ТЗаказы].[Товар №3].[All]" dimensionUniqueName="[ТЗаказы]" displayFolder="" count="0" memberValueDatatype="20" unbalanced="0"/>
    <cacheHierarchy uniqueName="[ТЗаказы].[Товар №4]" caption="Товар №4" attribute="1" defaultMemberUniqueName="[ТЗаказы].[Товар №4].[All]" allUniqueName="[ТЗаказы].[Товар №4].[All]" dimensionUniqueName="[ТЗаказы]" displayFolder="" count="0" memberValueDatatype="20" unbalanced="0"/>
    <cacheHierarchy uniqueName="[ТЗаказы].[Товар №5]" caption="Товар №5" attribute="1" defaultMemberUniqueName="[ТЗаказы].[Товар №5].[All]" allUniqueName="[ТЗаказы].[Товар №5].[All]" dimensionUniqueName="[ТЗаказы]" displayFolder="" count="0" memberValueDatatype="20" unbalanced="0"/>
    <cacheHierarchy uniqueName="[ТЗаказы].[Оценка: Время доставки]" caption="Оценка: Время доставки" attribute="1" defaultMemberUniqueName="[ТЗаказы].[Оценка: Время доставки].[All]" allUniqueName="[ТЗаказы].[Оценка: Время доставки].[All]" dimensionUniqueName="[ТЗаказы]" displayFolder="" count="0" memberValueDatatype="20" unbalanced="0"/>
    <cacheHierarchy uniqueName="[ТЗаказы].[Оценка: Вкус еды]" caption="Оценка: Вкус еды" attribute="1" defaultMemberUniqueName="[ТЗаказы].[Оценка: Вкус еды].[All]" allUniqueName="[ТЗаказы].[Оценка: Вкус еды].[All]" dimensionUniqueName="[ТЗаказы]" displayFolder="" count="0" memberValueDatatype="20" unbalanced="0"/>
    <cacheHierarchy uniqueName="[ТЗаказы].[Оценка: Состав заказа]" caption="Оценка: Состав заказа" attribute="1" defaultMemberUniqueName="[ТЗаказы].[Оценка: Состав заказа].[All]" allUniqueName="[ТЗаказы].[Оценка: Состав заказа].[All]" dimensionUniqueName="[ТЗаказы]" displayFolder="" count="0" memberValueDatatype="20" unbalanced="0"/>
    <cacheHierarchy uniqueName="[Measures].[__XL_Count ТЗаказы]" caption="__XL_Count ТЗаказы" measure="1" displayFolder="" measureGroup="ТЗаказы" count="0" hidden="1"/>
    <cacheHierarchy uniqueName="[Measures].[__No measures defined]" caption="__No measures defined" measure="1" displayFolder="" count="0" hidden="1"/>
    <cacheHierarchy uniqueName="[Measures].[Сумма по столбцу Оценка: Время доставки]" caption="Сумма по столбцу Оценка: Время доставки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Оценка: Вкус еды]" caption="Сумма по столбцу Оценка: Вкус еды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умма по столбцу Оценка: Состав заказа]" caption="Сумма по столбцу Оценка: Состав заказа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Прибыль от заказа]" caption="Сумма по столбцу Прибыль от заказа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Прогноз прибыли]" caption="Сумма по столбцу Прогноз прибыли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реднее по столбцу Оценка: Время доставки]" caption="Среднее по столбцу Оценка: Время доставки" measure="1" displayFolder="" measureGroup="ТЗаказы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Оценка: Вкус еды]" caption="Среднее по столбцу Оценка: Вкус еды" measure="1" displayFolder="" measureGroup="ТЗаказы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по столбцу Оценка: Состав заказа]" caption="Среднее по столбцу Оценка: Состав заказа" measure="1" displayFolder="" measureGroup="ТЗаказы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Расход на доставку]" caption="Сумма по столбцу Расход на доставку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Сумма заказа]" caption="Сумма по столбцу Сумма заказа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ТЗаказы" uniqueName="[ТЗаказы]" caption="ТЗаказы"/>
  </dimensions>
  <measureGroups count="1">
    <measureGroup name="ТЗаказы" caption="ТЗаказы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na Takhtareva" refreshedDate="44133.545275810182" backgroundQuery="1" createdVersion="6" refreshedVersion="6" minRefreshableVersion="3" recordCount="0" supportSubquery="1" supportAdvancedDrill="1" xr:uid="{4434C360-787C-4C7A-B4FD-8BCD59914BAB}">
  <cacheSource type="external" connectionId="1"/>
  <cacheFields count="4">
    <cacheField name="[ТЗаказы].[№ Точки].[№ Точки]" caption="№ Точки" numFmtId="0" hierarchy="1" level="1">
      <sharedItems containsSemiMixedTypes="0" containsNonDate="0" containsString="0"/>
    </cacheField>
    <cacheField name="[Measures].[Сумма по столбцу Прибыль от заказа]" caption="Сумма по столбцу Прибыль от заказа" numFmtId="0" hierarchy="21" level="32767"/>
    <cacheField name="[Measures].[Сумма по столбцу Прогноз прибыли]" caption="Сумма по столбцу Прогноз прибыли" numFmtId="0" hierarchy="22" level="32767"/>
    <cacheField name="[ТЗаказы].[Дата].[Дата]" caption="Дата" numFmtId="0" level="1">
      <sharedItems containsSemiMixedTypes="0" containsNonDate="0" containsDate="1" containsString="0" minDate="2020-09-01T00:00:00" maxDate="2020-09-11T00:00:00" count="10"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</sharedItems>
    </cacheField>
  </cacheFields>
  <cacheHierarchies count="28">
    <cacheHierarchy uniqueName="[ТЗаказы].[Дата]" caption="Дата" attribute="1" time="1" defaultMemberUniqueName="[ТЗаказы].[Дата].[All]" allUniqueName="[ТЗаказы].[Дата].[All]" dimensionUniqueName="[ТЗаказы]" displayFolder="" count="2" memberValueDatatype="7" unbalanced="0">
      <fieldsUsage count="2">
        <fieldUsage x="-1"/>
        <fieldUsage x="3"/>
      </fieldsUsage>
    </cacheHierarchy>
    <cacheHierarchy uniqueName="[ТЗаказы].[№ Точки]" caption="№ Точки" attribute="1" defaultMemberUniqueName="[ТЗаказы].[№ Точки].[All]" allUniqueName="[ТЗаказы].[№ Точки].[All]" dimensionUniqueName="[ТЗаказы]" displayFolder="" count="2" memberValueDatatype="130" unbalanced="0">
      <fieldsUsage count="2">
        <fieldUsage x="-1"/>
        <fieldUsage x="0"/>
      </fieldsUsage>
    </cacheHierarchy>
    <cacheHierarchy uniqueName="[ТЗаказы].[№ Заказа]" caption="№ Заказа" attribute="1" defaultMemberUniqueName="[ТЗаказы].[№ Заказа].[All]" allUniqueName="[ТЗаказы].[№ Заказа].[All]" dimensionUniqueName="[ТЗаказы]" displayFolder="" count="0" memberValueDatatype="20" unbalanced="0"/>
    <cacheHierarchy uniqueName="[ТЗаказы].[Товаров в заказе]" caption="Товаров в заказе" attribute="1" defaultMemberUniqueName="[ТЗаказы].[Товаров в заказе].[All]" allUniqueName="[ТЗаказы].[Товаров в заказе].[All]" dimensionUniqueName="[ТЗаказы]" displayFolder="" count="0" memberValueDatatype="20" unbalanced="0"/>
    <cacheHierarchy uniqueName="[ТЗаказы].[Сумма заказа]" caption="Сумма заказа" attribute="1" defaultMemberUniqueName="[ТЗаказы].[Сумма заказа].[All]" allUniqueName="[ТЗаказы].[Сумма заказа].[All]" dimensionUniqueName="[ТЗаказы]" displayFolder="" count="0" memberValueDatatype="20" unbalanced="0"/>
    <cacheHierarchy uniqueName="[ТЗаказы].[Расход на доставку]" caption="Расход на доставку" attribute="1" defaultMemberUniqueName="[ТЗаказы].[Расход на доставку].[All]" allUniqueName="[ТЗаказы].[Расход на доставку].[All]" dimensionUniqueName="[ТЗаказы]" displayFolder="" count="0" memberValueDatatype="20" unbalanced="0"/>
    <cacheHierarchy uniqueName="[ТЗаказы].[Прибыль от заказа]" caption="Прибыль от заказа" attribute="1" defaultMemberUniqueName="[ТЗаказы].[Прибыль от заказа].[All]" allUniqueName="[ТЗаказы].[Прибыль от заказа].[All]" dimensionUniqueName="[ТЗаказы]" displayFolder="" count="0" memberValueDatatype="20" unbalanced="0"/>
    <cacheHierarchy uniqueName="[ТЗаказы].[Прогноз прибыли]" caption="Прогноз прибыли" attribute="1" defaultMemberUniqueName="[ТЗаказы].[Прогноз прибыли].[All]" allUniqueName="[ТЗаказы].[Прогноз прибыли].[All]" dimensionUniqueName="[ТЗаказы]" displayFolder="" count="0" memberValueDatatype="5" unbalanced="0"/>
    <cacheHierarchy uniqueName="[ТЗаказы].[Товар №1]" caption="Товар №1" attribute="1" defaultMemberUniqueName="[ТЗаказы].[Товар №1].[All]" allUniqueName="[ТЗаказы].[Товар №1].[All]" dimensionUniqueName="[ТЗаказы]" displayFolder="" count="0" memberValueDatatype="20" unbalanced="0"/>
    <cacheHierarchy uniqueName="[ТЗаказы].[Товар №2]" caption="Товар №2" attribute="1" defaultMemberUniqueName="[ТЗаказы].[Товар №2].[All]" allUniqueName="[ТЗаказы].[Товар №2].[All]" dimensionUniqueName="[ТЗаказы]" displayFolder="" count="0" memberValueDatatype="20" unbalanced="0"/>
    <cacheHierarchy uniqueName="[ТЗаказы].[Товар №3]" caption="Товар №3" attribute="1" defaultMemberUniqueName="[ТЗаказы].[Товар №3].[All]" allUniqueName="[ТЗаказы].[Товар №3].[All]" dimensionUniqueName="[ТЗаказы]" displayFolder="" count="0" memberValueDatatype="20" unbalanced="0"/>
    <cacheHierarchy uniqueName="[ТЗаказы].[Товар №4]" caption="Товар №4" attribute="1" defaultMemberUniqueName="[ТЗаказы].[Товар №4].[All]" allUniqueName="[ТЗаказы].[Товар №4].[All]" dimensionUniqueName="[ТЗаказы]" displayFolder="" count="0" memberValueDatatype="20" unbalanced="0"/>
    <cacheHierarchy uniqueName="[ТЗаказы].[Товар №5]" caption="Товар №5" attribute="1" defaultMemberUniqueName="[ТЗаказы].[Товар №5].[All]" allUniqueName="[ТЗаказы].[Товар №5].[All]" dimensionUniqueName="[ТЗаказы]" displayFolder="" count="0" memberValueDatatype="20" unbalanced="0"/>
    <cacheHierarchy uniqueName="[ТЗаказы].[Оценка: Время доставки]" caption="Оценка: Время доставки" attribute="1" defaultMemberUniqueName="[ТЗаказы].[Оценка: Время доставки].[All]" allUniqueName="[ТЗаказы].[Оценка: Время доставки].[All]" dimensionUniqueName="[ТЗаказы]" displayFolder="" count="0" memberValueDatatype="20" unbalanced="0"/>
    <cacheHierarchy uniqueName="[ТЗаказы].[Оценка: Вкус еды]" caption="Оценка: Вкус еды" attribute="1" defaultMemberUniqueName="[ТЗаказы].[Оценка: Вкус еды].[All]" allUniqueName="[ТЗаказы].[Оценка: Вкус еды].[All]" dimensionUniqueName="[ТЗаказы]" displayFolder="" count="0" memberValueDatatype="20" unbalanced="0"/>
    <cacheHierarchy uniqueName="[ТЗаказы].[Оценка: Состав заказа]" caption="Оценка: Состав заказа" attribute="1" defaultMemberUniqueName="[ТЗаказы].[Оценка: Состав заказа].[All]" allUniqueName="[ТЗаказы].[Оценка: Состав заказа].[All]" dimensionUniqueName="[ТЗаказы]" displayFolder="" count="0" memberValueDatatype="20" unbalanced="0"/>
    <cacheHierarchy uniqueName="[Measures].[__XL_Count ТЗаказы]" caption="__XL_Count ТЗаказы" measure="1" displayFolder="" measureGroup="ТЗаказы" count="0" hidden="1"/>
    <cacheHierarchy uniqueName="[Measures].[__No measures defined]" caption="__No measures defined" measure="1" displayFolder="" count="0" hidden="1"/>
    <cacheHierarchy uniqueName="[Measures].[Сумма по столбцу Оценка: Время доставки]" caption="Сумма по столбцу Оценка: Время доставки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Оценка: Вкус еды]" caption="Сумма по столбцу Оценка: Вкус еды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умма по столбцу Оценка: Состав заказа]" caption="Сумма по столбцу Оценка: Состав заказа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Прибыль от заказа]" caption="Сумма по столбцу Прибыль от заказа" measure="1" displayFolder="" measureGroup="ТЗаказы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Прогноз прибыли]" caption="Сумма по столбцу Прогноз прибыли" measure="1" displayFolder="" measureGroup="ТЗаказы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реднее по столбцу Оценка: Время доставки]" caption="Среднее по столбцу Оценка: Время доставки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Оценка: Вкус еды]" caption="Среднее по столбцу Оценка: Вкус еды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по столбцу Оценка: Состав заказа]" caption="Среднее по столбцу Оценка: Состав заказа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Расход на доставку]" caption="Сумма по столбцу Расход на доставку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Сумма заказа]" caption="Сумма по столбцу Сумма заказа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ТЗаказы" uniqueName="[ТЗаказы]" caption="ТЗаказы"/>
  </dimensions>
  <measureGroups count="1">
    <measureGroup name="ТЗаказы" caption="ТЗаказы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na Takhtareva" refreshedDate="44133.545276273151" backgroundQuery="1" createdVersion="6" refreshedVersion="6" minRefreshableVersion="3" recordCount="0" supportSubquery="1" supportAdvancedDrill="1" xr:uid="{1EB3A1C5-7A4C-441E-B3D8-6E6BE775CF03}">
  <cacheSource type="external" connectionId="1"/>
  <cacheFields count="3">
    <cacheField name="[Measures].[Сумма по столбцу Прибыль от заказа]" caption="Сумма по столбцу Прибыль от заказа" numFmtId="0" hierarchy="21" level="32767"/>
    <cacheField name="[Measures].[Сумма по столбцу Прогноз прибыли]" caption="Сумма по столбцу Прогноз прибыли" numFmtId="0" hierarchy="22" level="32767"/>
    <cacheField name="[ТЗаказы].[№ Точки].[№ Точки]" caption="№ Точки" numFmtId="0" hierarchy="1" level="1">
      <sharedItems containsSemiMixedTypes="0" containsNonDate="0" containsString="0"/>
    </cacheField>
  </cacheFields>
  <cacheHierarchies count="28">
    <cacheHierarchy uniqueName="[ТЗаказы].[Дата]" caption="Дата" attribute="1" time="1" defaultMemberUniqueName="[ТЗаказы].[Дата].[All]" allUniqueName="[ТЗаказы].[Дата].[All]" dimensionUniqueName="[ТЗаказы]" displayFolder="" count="0" memberValueDatatype="7" unbalanced="0"/>
    <cacheHierarchy uniqueName="[ТЗаказы].[№ Точки]" caption="№ Точки" attribute="1" defaultMemberUniqueName="[ТЗаказы].[№ Точки].[All]" allUniqueName="[ТЗаказы].[№ Точки].[All]" dimensionUniqueName="[ТЗаказы]" displayFolder="" count="2" memberValueDatatype="130" unbalanced="0">
      <fieldsUsage count="2">
        <fieldUsage x="-1"/>
        <fieldUsage x="2"/>
      </fieldsUsage>
    </cacheHierarchy>
    <cacheHierarchy uniqueName="[ТЗаказы].[№ Заказа]" caption="№ Заказа" attribute="1" defaultMemberUniqueName="[ТЗаказы].[№ Заказа].[All]" allUniqueName="[ТЗаказы].[№ Заказа].[All]" dimensionUniqueName="[ТЗаказы]" displayFolder="" count="0" memberValueDatatype="20" unbalanced="0"/>
    <cacheHierarchy uniqueName="[ТЗаказы].[Товаров в заказе]" caption="Товаров в заказе" attribute="1" defaultMemberUniqueName="[ТЗаказы].[Товаров в заказе].[All]" allUniqueName="[ТЗаказы].[Товаров в заказе].[All]" dimensionUniqueName="[ТЗаказы]" displayFolder="" count="0" memberValueDatatype="20" unbalanced="0"/>
    <cacheHierarchy uniqueName="[ТЗаказы].[Сумма заказа]" caption="Сумма заказа" attribute="1" defaultMemberUniqueName="[ТЗаказы].[Сумма заказа].[All]" allUniqueName="[ТЗаказы].[Сумма заказа].[All]" dimensionUniqueName="[ТЗаказы]" displayFolder="" count="0" memberValueDatatype="20" unbalanced="0"/>
    <cacheHierarchy uniqueName="[ТЗаказы].[Расход на доставку]" caption="Расход на доставку" attribute="1" defaultMemberUniqueName="[ТЗаказы].[Расход на доставку].[All]" allUniqueName="[ТЗаказы].[Расход на доставку].[All]" dimensionUniqueName="[ТЗаказы]" displayFolder="" count="0" memberValueDatatype="20" unbalanced="0"/>
    <cacheHierarchy uniqueName="[ТЗаказы].[Прибыль от заказа]" caption="Прибыль от заказа" attribute="1" defaultMemberUniqueName="[ТЗаказы].[Прибыль от заказа].[All]" allUniqueName="[ТЗаказы].[Прибыль от заказа].[All]" dimensionUniqueName="[ТЗаказы]" displayFolder="" count="0" memberValueDatatype="20" unbalanced="0"/>
    <cacheHierarchy uniqueName="[ТЗаказы].[Прогноз прибыли]" caption="Прогноз прибыли" attribute="1" defaultMemberUniqueName="[ТЗаказы].[Прогноз прибыли].[All]" allUniqueName="[ТЗаказы].[Прогноз прибыли].[All]" dimensionUniqueName="[ТЗаказы]" displayFolder="" count="0" memberValueDatatype="5" unbalanced="0"/>
    <cacheHierarchy uniqueName="[ТЗаказы].[Товар №1]" caption="Товар №1" attribute="1" defaultMemberUniqueName="[ТЗаказы].[Товар №1].[All]" allUniqueName="[ТЗаказы].[Товар №1].[All]" dimensionUniqueName="[ТЗаказы]" displayFolder="" count="0" memberValueDatatype="20" unbalanced="0"/>
    <cacheHierarchy uniqueName="[ТЗаказы].[Товар №2]" caption="Товар №2" attribute="1" defaultMemberUniqueName="[ТЗаказы].[Товар №2].[All]" allUniqueName="[ТЗаказы].[Товар №2].[All]" dimensionUniqueName="[ТЗаказы]" displayFolder="" count="0" memberValueDatatype="20" unbalanced="0"/>
    <cacheHierarchy uniqueName="[ТЗаказы].[Товар №3]" caption="Товар №3" attribute="1" defaultMemberUniqueName="[ТЗаказы].[Товар №3].[All]" allUniqueName="[ТЗаказы].[Товар №3].[All]" dimensionUniqueName="[ТЗаказы]" displayFolder="" count="0" memberValueDatatype="20" unbalanced="0"/>
    <cacheHierarchy uniqueName="[ТЗаказы].[Товар №4]" caption="Товар №4" attribute="1" defaultMemberUniqueName="[ТЗаказы].[Товар №4].[All]" allUniqueName="[ТЗаказы].[Товар №4].[All]" dimensionUniqueName="[ТЗаказы]" displayFolder="" count="0" memberValueDatatype="20" unbalanced="0"/>
    <cacheHierarchy uniqueName="[ТЗаказы].[Товар №5]" caption="Товар №5" attribute="1" defaultMemberUniqueName="[ТЗаказы].[Товар №5].[All]" allUniqueName="[ТЗаказы].[Товар №5].[All]" dimensionUniqueName="[ТЗаказы]" displayFolder="" count="0" memberValueDatatype="20" unbalanced="0"/>
    <cacheHierarchy uniqueName="[ТЗаказы].[Оценка: Время доставки]" caption="Оценка: Время доставки" attribute="1" defaultMemberUniqueName="[ТЗаказы].[Оценка: Время доставки].[All]" allUniqueName="[ТЗаказы].[Оценка: Время доставки].[All]" dimensionUniqueName="[ТЗаказы]" displayFolder="" count="0" memberValueDatatype="20" unbalanced="0"/>
    <cacheHierarchy uniqueName="[ТЗаказы].[Оценка: Вкус еды]" caption="Оценка: Вкус еды" attribute="1" defaultMemberUniqueName="[ТЗаказы].[Оценка: Вкус еды].[All]" allUniqueName="[ТЗаказы].[Оценка: Вкус еды].[All]" dimensionUniqueName="[ТЗаказы]" displayFolder="" count="0" memberValueDatatype="20" unbalanced="0"/>
    <cacheHierarchy uniqueName="[ТЗаказы].[Оценка: Состав заказа]" caption="Оценка: Состав заказа" attribute="1" defaultMemberUniqueName="[ТЗаказы].[Оценка: Состав заказа].[All]" allUniqueName="[ТЗаказы].[Оценка: Состав заказа].[All]" dimensionUniqueName="[ТЗаказы]" displayFolder="" count="0" memberValueDatatype="20" unbalanced="0"/>
    <cacheHierarchy uniqueName="[Measures].[__XL_Count ТЗаказы]" caption="__XL_Count ТЗаказы" measure="1" displayFolder="" measureGroup="ТЗаказы" count="0" hidden="1"/>
    <cacheHierarchy uniqueName="[Measures].[__No measures defined]" caption="__No measures defined" measure="1" displayFolder="" count="0" hidden="1"/>
    <cacheHierarchy uniqueName="[Measures].[Сумма по столбцу Оценка: Время доставки]" caption="Сумма по столбцу Оценка: Время доставки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Оценка: Вкус еды]" caption="Сумма по столбцу Оценка: Вкус еды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умма по столбцу Оценка: Состав заказа]" caption="Сумма по столбцу Оценка: Состав заказа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Прибыль от заказа]" caption="Сумма по столбцу Прибыль от заказа" measure="1" displayFolder="" measureGroup="ТЗаказы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Прогноз прибыли]" caption="Сумма по столбцу Прогноз прибыли" measure="1" displayFolder="" measureGroup="ТЗаказы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реднее по столбцу Оценка: Время доставки]" caption="Среднее по столбцу Оценка: Время доставки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Оценка: Вкус еды]" caption="Среднее по столбцу Оценка: Вкус еды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по столбцу Оценка: Состав заказа]" caption="Среднее по столбцу Оценка: Состав заказа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Расход на доставку]" caption="Сумма по столбцу Расход на доставку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Сумма заказа]" caption="Сумма по столбцу Сумма заказа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ТЗаказы" uniqueName="[ТЗаказы]" caption="ТЗаказы"/>
  </dimensions>
  <measureGroups count="1">
    <measureGroup name="ТЗаказы" caption="ТЗаказы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na Takhtareva" refreshedDate="44133.487047916664" backgroundQuery="1" createdVersion="3" refreshedVersion="6" minRefreshableVersion="3" recordCount="0" supportSubquery="1" supportAdvancedDrill="1" xr:uid="{B4FCF9B1-04EF-4CF1-A968-80F546EE1A9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8">
    <cacheHierarchy uniqueName="[ТЗаказы].[Дата]" caption="Дата" attribute="1" time="1" defaultMemberUniqueName="[ТЗаказы].[Дата].[All]" allUniqueName="[ТЗаказы].[Дата].[All]" dimensionUniqueName="[ТЗаказы]" displayFolder="" count="0" memberValueDatatype="7" unbalanced="0"/>
    <cacheHierarchy uniqueName="[ТЗаказы].[№ Точки]" caption="№ Точки" attribute="1" defaultMemberUniqueName="[ТЗаказы].[№ Точки].[All]" allUniqueName="[ТЗаказы].[№ Точки].[All]" dimensionUniqueName="[ТЗаказы]" displayFolder="" count="2" memberValueDatatype="130" unbalanced="0"/>
    <cacheHierarchy uniqueName="[ТЗаказы].[№ Заказа]" caption="№ Заказа" attribute="1" defaultMemberUniqueName="[ТЗаказы].[№ Заказа].[All]" allUniqueName="[ТЗаказы].[№ Заказа].[All]" dimensionUniqueName="[ТЗаказы]" displayFolder="" count="0" memberValueDatatype="20" unbalanced="0"/>
    <cacheHierarchy uniqueName="[ТЗаказы].[Товаров в заказе]" caption="Товаров в заказе" attribute="1" defaultMemberUniqueName="[ТЗаказы].[Товаров в заказе].[All]" allUniqueName="[ТЗаказы].[Товаров в заказе].[All]" dimensionUniqueName="[ТЗаказы]" displayFolder="" count="0" memberValueDatatype="20" unbalanced="0"/>
    <cacheHierarchy uniqueName="[ТЗаказы].[Сумма заказа]" caption="Сумма заказа" attribute="1" defaultMemberUniqueName="[ТЗаказы].[Сумма заказа].[All]" allUniqueName="[ТЗаказы].[Сумма заказа].[All]" dimensionUniqueName="[ТЗаказы]" displayFolder="" count="0" memberValueDatatype="20" unbalanced="0"/>
    <cacheHierarchy uniqueName="[ТЗаказы].[Расход на доставку]" caption="Расход на доставку" attribute="1" defaultMemberUniqueName="[ТЗаказы].[Расход на доставку].[All]" allUniqueName="[ТЗаказы].[Расход на доставку].[All]" dimensionUniqueName="[ТЗаказы]" displayFolder="" count="0" memberValueDatatype="20" unbalanced="0"/>
    <cacheHierarchy uniqueName="[ТЗаказы].[Прибыль от заказа]" caption="Прибыль от заказа" attribute="1" defaultMemberUniqueName="[ТЗаказы].[Прибыль от заказа].[All]" allUniqueName="[ТЗаказы].[Прибыль от заказа].[All]" dimensionUniqueName="[ТЗаказы]" displayFolder="" count="0" memberValueDatatype="20" unbalanced="0"/>
    <cacheHierarchy uniqueName="[ТЗаказы].[Прогноз прибыли]" caption="Прогноз прибыли" attribute="1" defaultMemberUniqueName="[ТЗаказы].[Прогноз прибыли].[All]" allUniqueName="[ТЗаказы].[Прогноз прибыли].[All]" dimensionUniqueName="[ТЗаказы]" displayFolder="" count="0" memberValueDatatype="5" unbalanced="0"/>
    <cacheHierarchy uniqueName="[ТЗаказы].[Товар №1]" caption="Товар №1" attribute="1" defaultMemberUniqueName="[ТЗаказы].[Товар №1].[All]" allUniqueName="[ТЗаказы].[Товар №1].[All]" dimensionUniqueName="[ТЗаказы]" displayFolder="" count="0" memberValueDatatype="20" unbalanced="0"/>
    <cacheHierarchy uniqueName="[ТЗаказы].[Товар №2]" caption="Товар №2" attribute="1" defaultMemberUniqueName="[ТЗаказы].[Товар №2].[All]" allUniqueName="[ТЗаказы].[Товар №2].[All]" dimensionUniqueName="[ТЗаказы]" displayFolder="" count="0" memberValueDatatype="20" unbalanced="0"/>
    <cacheHierarchy uniqueName="[ТЗаказы].[Товар №3]" caption="Товар №3" attribute="1" defaultMemberUniqueName="[ТЗаказы].[Товар №3].[All]" allUniqueName="[ТЗаказы].[Товар №3].[All]" dimensionUniqueName="[ТЗаказы]" displayFolder="" count="0" memberValueDatatype="20" unbalanced="0"/>
    <cacheHierarchy uniqueName="[ТЗаказы].[Товар №4]" caption="Товар №4" attribute="1" defaultMemberUniqueName="[ТЗаказы].[Товар №4].[All]" allUniqueName="[ТЗаказы].[Товар №4].[All]" dimensionUniqueName="[ТЗаказы]" displayFolder="" count="0" memberValueDatatype="20" unbalanced="0"/>
    <cacheHierarchy uniqueName="[ТЗаказы].[Товар №5]" caption="Товар №5" attribute="1" defaultMemberUniqueName="[ТЗаказы].[Товар №5].[All]" allUniqueName="[ТЗаказы].[Товар №5].[All]" dimensionUniqueName="[ТЗаказы]" displayFolder="" count="0" memberValueDatatype="20" unbalanced="0"/>
    <cacheHierarchy uniqueName="[ТЗаказы].[Оценка: Время доставки]" caption="Оценка: Время доставки" attribute="1" defaultMemberUniqueName="[ТЗаказы].[Оценка: Время доставки].[All]" allUniqueName="[ТЗаказы].[Оценка: Время доставки].[All]" dimensionUniqueName="[ТЗаказы]" displayFolder="" count="0" memberValueDatatype="20" unbalanced="0"/>
    <cacheHierarchy uniqueName="[ТЗаказы].[Оценка: Вкус еды]" caption="Оценка: Вкус еды" attribute="1" defaultMemberUniqueName="[ТЗаказы].[Оценка: Вкус еды].[All]" allUniqueName="[ТЗаказы].[Оценка: Вкус еды].[All]" dimensionUniqueName="[ТЗаказы]" displayFolder="" count="0" memberValueDatatype="20" unbalanced="0"/>
    <cacheHierarchy uniqueName="[ТЗаказы].[Оценка: Состав заказа]" caption="Оценка: Состав заказа" attribute="1" defaultMemberUniqueName="[ТЗаказы].[Оценка: Состав заказа].[All]" allUniqueName="[ТЗаказы].[Оценка: Состав заказа].[All]" dimensionUniqueName="[ТЗаказы]" displayFolder="" count="0" memberValueDatatype="20" unbalanced="0"/>
    <cacheHierarchy uniqueName="[Measures].[__XL_Count ТЗаказы]" caption="__XL_Count ТЗаказы" measure="1" displayFolder="" measureGroup="ТЗаказы" count="0" hidden="1"/>
    <cacheHierarchy uniqueName="[Measures].[__No measures defined]" caption="__No measures defined" measure="1" displayFolder="" count="0" hidden="1"/>
    <cacheHierarchy uniqueName="[Measures].[Сумма по столбцу Оценка: Время доставки]" caption="Сумма по столбцу Оценка: Время доставки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Оценка: Вкус еды]" caption="Сумма по столбцу Оценка: Вкус еды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умма по столбцу Оценка: Состав заказа]" caption="Сумма по столбцу Оценка: Состав заказа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Прибыль от заказа]" caption="Сумма по столбцу Прибыль от заказа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Прогноз прибыли]" caption="Сумма по столбцу Прогноз прибыли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реднее по столбцу Оценка: Время доставки]" caption="Среднее по столбцу Оценка: Время доставки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Оценка: Вкус еды]" caption="Среднее по столбцу Оценка: Вкус еды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по столбцу Оценка: Состав заказа]" caption="Среднее по столбцу Оценка: Состав заказа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Расход на доставку]" caption="Сумма по столбцу Расход на доставку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Сумма заказа]" caption="Сумма по столбцу Сумма заказа" measure="1" displayFolder="" measureGroup="ТЗаказы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017953545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n v="1"/>
    <n v="10"/>
    <n v="2360"/>
    <n v="320"/>
    <n v="2040"/>
    <n v="1095"/>
    <n v="2"/>
    <n v="3"/>
    <n v="1"/>
    <n v="1"/>
    <n v="3"/>
    <n v="3"/>
    <n v="5"/>
    <n v="4"/>
  </r>
  <r>
    <x v="0"/>
    <x v="1"/>
    <n v="2"/>
    <n v="7"/>
    <n v="1740"/>
    <n v="388"/>
    <n v="1352"/>
    <n v="1231.8"/>
    <n v="0"/>
    <n v="0"/>
    <n v="2"/>
    <n v="3"/>
    <n v="2"/>
    <n v="5"/>
    <n v="5"/>
    <n v="5"/>
  </r>
  <r>
    <x v="0"/>
    <x v="2"/>
    <n v="3"/>
    <n v="10"/>
    <n v="1840"/>
    <n v="435"/>
    <n v="1405"/>
    <n v="1205.5"/>
    <n v="2"/>
    <n v="3"/>
    <n v="2"/>
    <n v="2"/>
    <n v="1"/>
    <n v="5"/>
    <n v="5"/>
    <n v="5"/>
  </r>
  <r>
    <x v="0"/>
    <x v="1"/>
    <n v="4"/>
    <n v="9"/>
    <n v="1390"/>
    <n v="292"/>
    <n v="1098"/>
    <n v="2187.1999999999998"/>
    <n v="2"/>
    <n v="3"/>
    <n v="2"/>
    <n v="2"/>
    <n v="0"/>
    <n v="4"/>
    <n v="4"/>
    <n v="5"/>
  </r>
  <r>
    <x v="0"/>
    <x v="1"/>
    <n v="5"/>
    <n v="5"/>
    <n v="1270"/>
    <n v="270"/>
    <n v="1000"/>
    <n v="2053"/>
    <n v="1"/>
    <n v="2"/>
    <n v="0"/>
    <n v="0"/>
    <n v="2"/>
    <n v="3"/>
    <n v="4"/>
    <n v="5"/>
  </r>
  <r>
    <x v="0"/>
    <x v="1"/>
    <n v="6"/>
    <n v="8"/>
    <n v="2290"/>
    <n v="486"/>
    <n v="1804"/>
    <n v="800.6"/>
    <n v="1"/>
    <n v="1"/>
    <n v="2"/>
    <n v="1"/>
    <n v="3"/>
    <n v="5"/>
    <n v="5"/>
    <n v="5"/>
  </r>
  <r>
    <x v="1"/>
    <x v="2"/>
    <n v="7"/>
    <n v="8"/>
    <n v="1740"/>
    <n v="443"/>
    <n v="1297"/>
    <n v="1053.3"/>
    <n v="2"/>
    <n v="0"/>
    <n v="1"/>
    <n v="3"/>
    <n v="2"/>
    <n v="5"/>
    <n v="5"/>
    <n v="5"/>
  </r>
  <r>
    <x v="1"/>
    <x v="1"/>
    <n v="8"/>
    <n v="10"/>
    <n v="2400"/>
    <n v="540"/>
    <n v="1860"/>
    <n v="1844"/>
    <n v="2"/>
    <n v="2"/>
    <n v="3"/>
    <n v="1"/>
    <n v="2"/>
    <n v="5"/>
    <n v="5"/>
    <n v="5"/>
  </r>
  <r>
    <x v="1"/>
    <x v="2"/>
    <n v="9"/>
    <n v="8"/>
    <n v="940"/>
    <n v="249"/>
    <n v="691"/>
    <n v="734.9"/>
    <n v="3"/>
    <n v="3"/>
    <n v="0"/>
    <n v="2"/>
    <n v="0"/>
    <n v="5"/>
    <n v="5"/>
    <n v="5"/>
  </r>
  <r>
    <x v="1"/>
    <x v="0"/>
    <n v="10"/>
    <n v="9"/>
    <n v="1400"/>
    <n v="298"/>
    <n v="1102"/>
    <n v="2204.8000000000002"/>
    <n v="3"/>
    <n v="1"/>
    <n v="2"/>
    <n v="3"/>
    <n v="0"/>
    <n v="3"/>
    <n v="5"/>
    <n v="5"/>
  </r>
  <r>
    <x v="1"/>
    <x v="1"/>
    <n v="11"/>
    <n v="6"/>
    <n v="1580"/>
    <n v="385"/>
    <n v="1195"/>
    <n v="1202.5"/>
    <n v="2"/>
    <n v="0"/>
    <n v="1"/>
    <n v="1"/>
    <n v="2"/>
    <n v="5"/>
    <n v="5"/>
    <n v="5"/>
  </r>
  <r>
    <x v="2"/>
    <x v="2"/>
    <n v="12"/>
    <n v="9"/>
    <n v="1390"/>
    <n v="352"/>
    <n v="1038"/>
    <n v="994.2"/>
    <n v="2"/>
    <n v="3"/>
    <n v="2"/>
    <n v="2"/>
    <n v="0"/>
    <n v="5"/>
    <n v="4"/>
    <n v="4"/>
  </r>
  <r>
    <x v="2"/>
    <x v="2"/>
    <n v="13"/>
    <n v="7"/>
    <n v="1680"/>
    <n v="353"/>
    <n v="1327"/>
    <n v="1413.3"/>
    <n v="0"/>
    <n v="3"/>
    <n v="3"/>
    <n v="0"/>
    <n v="1"/>
    <n v="5"/>
    <n v="5"/>
    <n v="5"/>
  </r>
  <r>
    <x v="2"/>
    <x v="2"/>
    <n v="14"/>
    <n v="7"/>
    <n v="830"/>
    <n v="239"/>
    <n v="591"/>
    <n v="723.9"/>
    <n v="3"/>
    <n v="2"/>
    <n v="0"/>
    <n v="2"/>
    <n v="0"/>
    <n v="5"/>
    <n v="5"/>
    <n v="5"/>
  </r>
  <r>
    <x v="2"/>
    <x v="0"/>
    <n v="15"/>
    <n v="10"/>
    <n v="2450"/>
    <n v="539"/>
    <n v="1911"/>
    <n v="1955.9"/>
    <n v="1"/>
    <n v="1"/>
    <n v="2"/>
    <n v="3"/>
    <n v="3"/>
    <n v="4"/>
    <n v="3"/>
    <n v="4"/>
  </r>
  <r>
    <x v="2"/>
    <x v="0"/>
    <n v="16"/>
    <n v="3"/>
    <n v="980"/>
    <n v="229"/>
    <n v="751"/>
    <n v="805.9"/>
    <n v="0"/>
    <n v="0"/>
    <n v="0"/>
    <n v="1"/>
    <n v="2"/>
    <n v="5"/>
    <n v="5"/>
    <n v="5"/>
  </r>
  <r>
    <x v="2"/>
    <x v="2"/>
    <n v="17"/>
    <n v="9"/>
    <n v="2360"/>
    <n v="486"/>
    <n v="1874"/>
    <n v="866.6"/>
    <n v="0"/>
    <n v="3"/>
    <n v="2"/>
    <n v="1"/>
    <n v="3"/>
    <n v="5"/>
    <n v="3"/>
    <n v="4"/>
  </r>
  <r>
    <x v="2"/>
    <x v="1"/>
    <n v="18"/>
    <n v="8"/>
    <n v="2190"/>
    <n v="532"/>
    <n v="1658"/>
    <n v="508.2"/>
    <n v="0"/>
    <n v="0"/>
    <n v="2"/>
    <n v="3"/>
    <n v="3"/>
    <n v="5"/>
    <n v="5"/>
    <n v="5"/>
  </r>
  <r>
    <x v="2"/>
    <x v="0"/>
    <n v="19"/>
    <n v="4"/>
    <n v="520"/>
    <n v="174"/>
    <n v="346"/>
    <n v="535.4"/>
    <n v="2"/>
    <n v="2"/>
    <n v="0"/>
    <n v="0"/>
    <n v="0"/>
    <n v="3"/>
    <n v="3"/>
    <n v="3"/>
  </r>
  <r>
    <x v="2"/>
    <x v="2"/>
    <n v="20"/>
    <n v="5"/>
    <n v="1650"/>
    <n v="428"/>
    <n v="1222"/>
    <n v="1125.8"/>
    <n v="2"/>
    <n v="0"/>
    <n v="0"/>
    <n v="0"/>
    <n v="3"/>
    <n v="5"/>
    <n v="5"/>
    <n v="5"/>
  </r>
  <r>
    <x v="3"/>
    <x v="2"/>
    <n v="21"/>
    <n v="4"/>
    <n v="1160"/>
    <n v="248"/>
    <n v="912"/>
    <n v="987.8"/>
    <n v="1"/>
    <n v="1"/>
    <n v="0"/>
    <n v="0"/>
    <n v="2"/>
    <n v="5"/>
    <n v="5"/>
    <n v="5"/>
  </r>
  <r>
    <x v="3"/>
    <x v="2"/>
    <n v="22"/>
    <n v="4"/>
    <n v="680"/>
    <n v="190"/>
    <n v="490"/>
    <n v="1308"/>
    <n v="2"/>
    <n v="0"/>
    <n v="1"/>
    <n v="1"/>
    <n v="0"/>
    <n v="5"/>
    <n v="5"/>
    <n v="5"/>
  </r>
  <r>
    <x v="3"/>
    <x v="2"/>
    <n v="23"/>
    <n v="10"/>
    <n v="1700"/>
    <n v="387"/>
    <n v="1313"/>
    <n v="1238.7"/>
    <n v="3"/>
    <n v="1"/>
    <n v="3"/>
    <n v="3"/>
    <n v="0"/>
    <n v="5"/>
    <n v="5"/>
    <n v="5"/>
  </r>
  <r>
    <x v="3"/>
    <x v="0"/>
    <n v="24"/>
    <n v="5"/>
    <n v="1430"/>
    <n v="320"/>
    <n v="1110"/>
    <n v="2146"/>
    <n v="0"/>
    <n v="0"/>
    <n v="3"/>
    <n v="1"/>
    <n v="1"/>
    <n v="4"/>
    <n v="3"/>
    <n v="4"/>
  </r>
  <r>
    <x v="3"/>
    <x v="2"/>
    <n v="25"/>
    <n v="6"/>
    <n v="1910"/>
    <n v="426"/>
    <n v="1484"/>
    <n v="1445.6"/>
    <n v="1"/>
    <n v="1"/>
    <n v="1"/>
    <n v="0"/>
    <n v="3"/>
    <n v="5"/>
    <n v="5"/>
    <n v="5"/>
  </r>
  <r>
    <x v="3"/>
    <x v="1"/>
    <n v="26"/>
    <n v="7"/>
    <n v="1590"/>
    <n v="370"/>
    <n v="1220"/>
    <n v="1168"/>
    <n v="0"/>
    <n v="0"/>
    <n v="3"/>
    <n v="3"/>
    <n v="1"/>
    <n v="5"/>
    <n v="4"/>
    <n v="4"/>
  </r>
  <r>
    <x v="4"/>
    <x v="0"/>
    <n v="27"/>
    <n v="11"/>
    <n v="2640"/>
    <n v="565"/>
    <n v="2075"/>
    <n v="2153.5"/>
    <n v="3"/>
    <n v="0"/>
    <n v="2"/>
    <n v="3"/>
    <n v="3"/>
    <n v="5"/>
    <n v="4"/>
    <n v="4"/>
  </r>
  <r>
    <x v="4"/>
    <x v="2"/>
    <n v="28"/>
    <n v="10"/>
    <n v="2480"/>
    <n v="547"/>
    <n v="1933"/>
    <n v="769.7"/>
    <n v="1"/>
    <n v="2"/>
    <n v="2"/>
    <n v="2"/>
    <n v="3"/>
    <n v="5"/>
    <n v="4"/>
    <n v="3"/>
  </r>
  <r>
    <x v="4"/>
    <x v="1"/>
    <n v="29"/>
    <n v="8"/>
    <n v="1130"/>
    <n v="246"/>
    <n v="884"/>
    <n v="1917.6"/>
    <n v="3"/>
    <n v="2"/>
    <n v="1"/>
    <n v="2"/>
    <n v="0"/>
    <n v="4"/>
    <n v="3"/>
    <n v="4"/>
  </r>
  <r>
    <x v="4"/>
    <x v="1"/>
    <n v="30"/>
    <n v="7"/>
    <n v="1960"/>
    <n v="412"/>
    <n v="1548"/>
    <n v="1535.2"/>
    <n v="0"/>
    <n v="0"/>
    <n v="3"/>
    <n v="2"/>
    <n v="2"/>
    <n v="3"/>
    <n v="5"/>
    <n v="3"/>
  </r>
  <r>
    <x v="4"/>
    <x v="0"/>
    <n v="31"/>
    <n v="8"/>
    <n v="1470"/>
    <n v="341"/>
    <n v="1129"/>
    <n v="1073.0999999999999"/>
    <n v="3"/>
    <n v="1"/>
    <n v="1"/>
    <n v="2"/>
    <n v="1"/>
    <n v="4"/>
    <n v="5"/>
    <n v="5"/>
  </r>
  <r>
    <x v="4"/>
    <x v="0"/>
    <n v="32"/>
    <n v="4"/>
    <n v="1310"/>
    <n v="347"/>
    <n v="963"/>
    <n v="515.70000000000005"/>
    <n v="0"/>
    <n v="1"/>
    <n v="1"/>
    <n v="0"/>
    <n v="2"/>
    <n v="3"/>
    <n v="5"/>
    <n v="3"/>
  </r>
  <r>
    <x v="4"/>
    <x v="0"/>
    <n v="33"/>
    <n v="11"/>
    <n v="2070"/>
    <n v="484"/>
    <n v="1586"/>
    <n v="1810.4"/>
    <n v="2"/>
    <n v="3"/>
    <n v="1"/>
    <n v="3"/>
    <n v="2"/>
    <n v="2"/>
    <n v="4"/>
    <n v="4"/>
  </r>
  <r>
    <x v="5"/>
    <x v="1"/>
    <n v="34"/>
    <n v="4"/>
    <n v="530"/>
    <n v="197"/>
    <n v="333"/>
    <n v="351.7"/>
    <n v="3"/>
    <n v="0"/>
    <n v="0"/>
    <n v="1"/>
    <n v="0"/>
    <n v="5"/>
    <n v="5"/>
    <n v="5"/>
  </r>
  <r>
    <x v="5"/>
    <x v="1"/>
    <n v="35"/>
    <n v="6"/>
    <n v="1140"/>
    <n v="253"/>
    <n v="887"/>
    <n v="929.3"/>
    <n v="0"/>
    <n v="0"/>
    <n v="3"/>
    <n v="3"/>
    <n v="0"/>
    <n v="5"/>
    <n v="5"/>
    <n v="5"/>
  </r>
  <r>
    <x v="5"/>
    <x v="2"/>
    <n v="36"/>
    <n v="4"/>
    <n v="1130"/>
    <n v="323"/>
    <n v="807"/>
    <n v="1871.3"/>
    <n v="0"/>
    <n v="0"/>
    <n v="2"/>
    <n v="1"/>
    <n v="1"/>
    <n v="5"/>
    <n v="5"/>
    <n v="5"/>
  </r>
  <r>
    <x v="5"/>
    <x v="0"/>
    <n v="37"/>
    <n v="2"/>
    <n v="450"/>
    <n v="104"/>
    <n v="346"/>
    <n v="484.4"/>
    <n v="1"/>
    <n v="0"/>
    <n v="1"/>
    <n v="0"/>
    <n v="0"/>
    <n v="3"/>
    <n v="3"/>
    <n v="5"/>
  </r>
  <r>
    <x v="6"/>
    <x v="1"/>
    <n v="38"/>
    <n v="9"/>
    <n v="1920"/>
    <n v="435"/>
    <n v="1485"/>
    <n v="1447.5"/>
    <n v="2"/>
    <n v="1"/>
    <n v="3"/>
    <n v="2"/>
    <n v="1"/>
    <n v="4"/>
    <n v="5"/>
    <n v="5"/>
  </r>
  <r>
    <x v="6"/>
    <x v="2"/>
    <n v="39"/>
    <n v="6"/>
    <n v="1080"/>
    <n v="257"/>
    <n v="823"/>
    <n v="848.7"/>
    <n v="1"/>
    <n v="3"/>
    <n v="2"/>
    <n v="0"/>
    <n v="0"/>
    <n v="5"/>
    <n v="5"/>
    <n v="5"/>
  </r>
  <r>
    <x v="6"/>
    <x v="2"/>
    <n v="40"/>
    <n v="8"/>
    <n v="1590"/>
    <n v="333"/>
    <n v="1257"/>
    <n v="1122.3"/>
    <n v="2"/>
    <n v="0"/>
    <n v="2"/>
    <n v="3"/>
    <n v="1"/>
    <n v="5"/>
    <n v="5"/>
    <n v="5"/>
  </r>
  <r>
    <x v="6"/>
    <x v="0"/>
    <n v="41"/>
    <n v="10"/>
    <n v="1850"/>
    <n v="440"/>
    <n v="1410"/>
    <n v="1469"/>
    <n v="3"/>
    <n v="1"/>
    <n v="2"/>
    <n v="3"/>
    <n v="1"/>
    <n v="4"/>
    <n v="4"/>
    <n v="3"/>
  </r>
  <r>
    <x v="7"/>
    <x v="1"/>
    <n v="42"/>
    <n v="7"/>
    <n v="1090"/>
    <n v="230"/>
    <n v="860"/>
    <n v="900"/>
    <n v="0"/>
    <n v="3"/>
    <n v="2"/>
    <n v="2"/>
    <n v="0"/>
    <n v="5"/>
    <n v="5"/>
    <n v="4"/>
  </r>
  <r>
    <x v="7"/>
    <x v="0"/>
    <n v="43"/>
    <n v="7"/>
    <n v="1430"/>
    <n v="327"/>
    <n v="1103"/>
    <n v="1391.7"/>
    <n v="3"/>
    <n v="0"/>
    <n v="3"/>
    <n v="1"/>
    <n v="0"/>
    <n v="4"/>
    <n v="3"/>
    <n v="3"/>
  </r>
  <r>
    <x v="7"/>
    <x v="1"/>
    <n v="44"/>
    <n v="7"/>
    <n v="1310"/>
    <n v="331"/>
    <n v="979"/>
    <n v="960.1"/>
    <n v="0"/>
    <n v="3"/>
    <n v="3"/>
    <n v="1"/>
    <n v="0"/>
    <n v="5"/>
    <n v="5"/>
    <n v="5"/>
  </r>
  <r>
    <x v="7"/>
    <x v="2"/>
    <n v="45"/>
    <n v="10"/>
    <n v="2370"/>
    <n v="505"/>
    <n v="1865"/>
    <n v="1754.5"/>
    <n v="2"/>
    <n v="1"/>
    <n v="3"/>
    <n v="2"/>
    <n v="2"/>
    <n v="5"/>
    <n v="5"/>
    <n v="5"/>
  </r>
  <r>
    <x v="7"/>
    <x v="1"/>
    <n v="46"/>
    <n v="8"/>
    <n v="1810"/>
    <n v="383"/>
    <n v="1427"/>
    <n v="1381.3"/>
    <n v="3"/>
    <n v="0"/>
    <n v="1"/>
    <n v="2"/>
    <n v="2"/>
    <n v="5"/>
    <n v="4"/>
    <n v="4"/>
  </r>
  <r>
    <x v="8"/>
    <x v="2"/>
    <n v="47"/>
    <n v="11"/>
    <n v="2410"/>
    <n v="520"/>
    <n v="1890"/>
    <n v="1972"/>
    <n v="1"/>
    <n v="2"/>
    <n v="3"/>
    <n v="3"/>
    <n v="2"/>
    <n v="4"/>
    <n v="5"/>
    <n v="5"/>
  </r>
  <r>
    <x v="8"/>
    <x v="1"/>
    <n v="48"/>
    <n v="4"/>
    <n v="460"/>
    <n v="126"/>
    <n v="334"/>
    <n v="329.6"/>
    <n v="2"/>
    <n v="0"/>
    <n v="0"/>
    <n v="2"/>
    <n v="0"/>
    <n v="5"/>
    <n v="4"/>
    <n v="4"/>
  </r>
  <r>
    <x v="8"/>
    <x v="1"/>
    <n v="49"/>
    <n v="6"/>
    <n v="1350"/>
    <n v="343"/>
    <n v="1007"/>
    <n v="1091.3"/>
    <n v="0"/>
    <n v="2"/>
    <n v="2"/>
    <n v="1"/>
    <n v="1"/>
    <n v="4"/>
    <n v="5"/>
    <n v="4"/>
  </r>
  <r>
    <x v="8"/>
    <x v="2"/>
    <n v="50"/>
    <n v="10"/>
    <n v="2600"/>
    <n v="562"/>
    <n v="2038"/>
    <n v="1797.2"/>
    <n v="0"/>
    <n v="1"/>
    <n v="3"/>
    <n v="3"/>
    <n v="3"/>
    <n v="5"/>
    <n v="5"/>
    <n v="5"/>
  </r>
  <r>
    <x v="8"/>
    <x v="2"/>
    <n v="51"/>
    <n v="9"/>
    <n v="1170"/>
    <n v="261"/>
    <n v="909"/>
    <n v="746.1"/>
    <n v="2"/>
    <n v="3"/>
    <n v="1"/>
    <n v="3"/>
    <n v="0"/>
    <n v="5"/>
    <n v="5"/>
    <n v="5"/>
  </r>
  <r>
    <x v="8"/>
    <x v="0"/>
    <n v="52"/>
    <n v="3"/>
    <n v="610"/>
    <n v="194"/>
    <n v="416"/>
    <n v="1497.4"/>
    <n v="0"/>
    <n v="0"/>
    <n v="0"/>
    <n v="2"/>
    <n v="1"/>
    <n v="3"/>
    <n v="4"/>
    <n v="4"/>
  </r>
  <r>
    <x v="9"/>
    <x v="2"/>
    <n v="53"/>
    <n v="10"/>
    <n v="2450"/>
    <n v="572"/>
    <n v="1878"/>
    <n v="815.2"/>
    <n v="1"/>
    <n v="1"/>
    <n v="2"/>
    <n v="3"/>
    <n v="3"/>
    <n v="5"/>
    <n v="5"/>
    <n v="5"/>
  </r>
  <r>
    <x v="9"/>
    <x v="1"/>
    <n v="54"/>
    <n v="9"/>
    <n v="2410"/>
    <n v="578"/>
    <n v="1832"/>
    <n v="865.8"/>
    <n v="2"/>
    <n v="0"/>
    <n v="2"/>
    <n v="2"/>
    <n v="3"/>
    <n v="4"/>
    <n v="5"/>
    <n v="4"/>
  </r>
  <r>
    <x v="9"/>
    <x v="2"/>
    <n v="55"/>
    <n v="9"/>
    <n v="2140"/>
    <n v="465"/>
    <n v="1675"/>
    <n v="536.5"/>
    <n v="0"/>
    <n v="3"/>
    <n v="1"/>
    <n v="2"/>
    <n v="3"/>
    <n v="5"/>
    <n v="4"/>
    <n v="5"/>
  </r>
  <r>
    <x v="9"/>
    <x v="2"/>
    <n v="56"/>
    <n v="6"/>
    <n v="650"/>
    <n v="172"/>
    <n v="478"/>
    <n v="1510.2"/>
    <n v="2"/>
    <n v="1"/>
    <n v="0"/>
    <n v="3"/>
    <n v="0"/>
    <n v="5"/>
    <n v="5"/>
    <n v="5"/>
  </r>
  <r>
    <x v="9"/>
    <x v="1"/>
    <n v="57"/>
    <n v="5"/>
    <n v="1540"/>
    <n v="366"/>
    <n v="1174"/>
    <n v="1177.5999999999999"/>
    <n v="0"/>
    <n v="1"/>
    <n v="0"/>
    <n v="1"/>
    <n v="3"/>
    <n v="5"/>
    <n v="4"/>
    <n v="5"/>
  </r>
  <r>
    <x v="9"/>
    <x v="0"/>
    <n v="58"/>
    <n v="11"/>
    <n v="2150"/>
    <n v="472"/>
    <n v="1678"/>
    <n v="1710.2"/>
    <n v="3"/>
    <n v="1"/>
    <n v="3"/>
    <n v="3"/>
    <n v="1"/>
    <n v="5"/>
    <n v="5"/>
    <n v="4"/>
  </r>
  <r>
    <x v="9"/>
    <x v="1"/>
    <n v="59"/>
    <n v="4"/>
    <n v="1650"/>
    <n v="368"/>
    <n v="1282"/>
    <n v="1298.8"/>
    <n v="0"/>
    <n v="0"/>
    <n v="1"/>
    <n v="0"/>
    <n v="3"/>
    <n v="5"/>
    <n v="5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d v="2020-09-01T00:00:00"/>
    <x v="0"/>
    <n v="1"/>
    <n v="6"/>
    <n v="870"/>
    <n v="2"/>
    <n v="1"/>
    <n v="1"/>
    <n v="2"/>
    <n v="0"/>
  </r>
  <r>
    <d v="2020-09-01T00:00:00"/>
    <x v="1"/>
    <n v="2"/>
    <n v="8"/>
    <n v="2130"/>
    <n v="1"/>
    <n v="3"/>
    <n v="1"/>
    <n v="0"/>
    <n v="3"/>
  </r>
  <r>
    <d v="2020-09-02T00:00:00"/>
    <x v="0"/>
    <n v="3"/>
    <n v="5"/>
    <n v="930"/>
    <n v="1"/>
    <n v="3"/>
    <n v="0"/>
    <n v="0"/>
    <n v="1"/>
  </r>
  <r>
    <d v="2020-09-03T00:00:00"/>
    <x v="1"/>
    <n v="4"/>
    <n v="6"/>
    <n v="1230"/>
    <n v="1"/>
    <n v="3"/>
    <n v="1"/>
    <n v="0"/>
    <n v="1"/>
  </r>
  <r>
    <d v="2020-09-03T00:00:00"/>
    <x v="2"/>
    <n v="5"/>
    <n v="10"/>
    <n v="2620"/>
    <n v="3"/>
    <n v="2"/>
    <n v="2"/>
    <n v="0"/>
    <n v="3"/>
  </r>
  <r>
    <d v="2020-09-03T00:00:00"/>
    <x v="1"/>
    <n v="6"/>
    <n v="10"/>
    <n v="2410"/>
    <n v="3"/>
    <n v="0"/>
    <n v="3"/>
    <n v="2"/>
    <n v="2"/>
  </r>
  <r>
    <d v="2020-09-04T00:00:00"/>
    <x v="1"/>
    <n v="7"/>
    <n v="11"/>
    <n v="2140"/>
    <n v="2"/>
    <n v="3"/>
    <n v="3"/>
    <n v="2"/>
    <n v="1"/>
  </r>
  <r>
    <d v="2020-09-04T00:00:00"/>
    <x v="2"/>
    <n v="8"/>
    <n v="7"/>
    <n v="1130"/>
    <n v="2"/>
    <n v="2"/>
    <n v="0"/>
    <n v="2"/>
    <n v="1"/>
  </r>
  <r>
    <d v="2020-09-04T00:00:00"/>
    <x v="2"/>
    <n v="9"/>
    <n v="1"/>
    <n v="80"/>
    <n v="0"/>
    <n v="0"/>
    <n v="0"/>
    <n v="1"/>
    <n v="0"/>
  </r>
  <r>
    <d v="2020-09-04T00:00:00"/>
    <x v="0"/>
    <n v="10"/>
    <n v="6"/>
    <n v="1160"/>
    <n v="0"/>
    <n v="3"/>
    <n v="1"/>
    <n v="1"/>
    <n v="1"/>
  </r>
  <r>
    <d v="2020-09-05T00:00:00"/>
    <x v="0"/>
    <n v="11"/>
    <n v="9"/>
    <n v="2000"/>
    <n v="2"/>
    <n v="1"/>
    <n v="0"/>
    <n v="3"/>
    <n v="3"/>
  </r>
  <r>
    <d v="2020-09-05T00:00:00"/>
    <x v="2"/>
    <n v="12"/>
    <n v="8"/>
    <n v="1500"/>
    <n v="3"/>
    <n v="2"/>
    <n v="1"/>
    <n v="1"/>
    <n v="1"/>
  </r>
  <r>
    <d v="2020-09-06T00:00:00"/>
    <x v="1"/>
    <n v="13"/>
    <n v="8"/>
    <n v="2170"/>
    <n v="1"/>
    <n v="2"/>
    <n v="3"/>
    <n v="0"/>
    <n v="2"/>
  </r>
  <r>
    <d v="2020-09-06T00:00:00"/>
    <x v="0"/>
    <n v="14"/>
    <n v="10"/>
    <n v="2290"/>
    <n v="0"/>
    <n v="3"/>
    <n v="3"/>
    <n v="2"/>
    <n v="2"/>
  </r>
  <r>
    <d v="2020-09-06T00:00:00"/>
    <x v="1"/>
    <n v="15"/>
    <n v="7"/>
    <n v="1740"/>
    <n v="0"/>
    <n v="0"/>
    <n v="2"/>
    <n v="3"/>
    <n v="2"/>
  </r>
  <r>
    <d v="2020-09-06T00:00:00"/>
    <x v="1"/>
    <n v="16"/>
    <n v="10"/>
    <n v="2520"/>
    <n v="2"/>
    <n v="1"/>
    <n v="2"/>
    <n v="2"/>
    <n v="3"/>
  </r>
  <r>
    <d v="2020-09-07T00:00:00"/>
    <x v="0"/>
    <n v="17"/>
    <n v="4"/>
    <n v="820"/>
    <n v="1"/>
    <n v="2"/>
    <n v="0"/>
    <n v="0"/>
    <n v="1"/>
  </r>
  <r>
    <d v="2020-09-08T00:00:00"/>
    <x v="0"/>
    <n v="18"/>
    <n v="10"/>
    <n v="2440"/>
    <n v="3"/>
    <n v="1"/>
    <n v="3"/>
    <n v="1"/>
    <n v="2"/>
  </r>
  <r>
    <d v="2020-09-08T00:00:00"/>
    <x v="1"/>
    <n v="19"/>
    <n v="5"/>
    <n v="1580"/>
    <n v="0"/>
    <n v="0"/>
    <n v="2"/>
    <n v="1"/>
    <n v="2"/>
  </r>
  <r>
    <d v="2020-09-09T00:00:00"/>
    <x v="1"/>
    <n v="20"/>
    <n v="4"/>
    <n v="710"/>
    <n v="2"/>
    <n v="1"/>
    <n v="1"/>
    <n v="0"/>
    <n v="0"/>
  </r>
  <r>
    <d v="2020-09-10T00:00:00"/>
    <x v="2"/>
    <n v="21"/>
    <n v="2"/>
    <n v="260"/>
    <n v="1"/>
    <n v="1"/>
    <n v="0"/>
    <n v="0"/>
    <n v="0"/>
  </r>
  <r>
    <d v="2020-09-10T00:00:00"/>
    <x v="1"/>
    <n v="22"/>
    <n v="4"/>
    <n v="1090"/>
    <n v="0"/>
    <n v="1"/>
    <n v="0"/>
    <n v="1"/>
    <n v="2"/>
  </r>
  <r>
    <d v="2020-09-10T00:00:00"/>
    <x v="1"/>
    <n v="23"/>
    <n v="11"/>
    <n v="2210"/>
    <n v="3"/>
    <n v="3"/>
    <n v="3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F7407-572F-463F-ADC5-2DD275D47111}" name="Сводная таблица32" cacheId="265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>
  <location ref="F9:G10" firstHeaderRow="0" firstDataRow="1" firstDataCol="0" rowPageCount="1" colPageCount="1"/>
  <pivotFields count="3"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Items count="1">
    <i/>
  </rowItems>
  <colFields count="1">
    <field x="-2"/>
  </colFields>
  <colItems count="2">
    <i>
      <x/>
    </i>
    <i i="1">
      <x v="1"/>
    </i>
  </colItems>
  <pageFields count="1">
    <pageField fld="2" hier="1" name="[ТЗаказы].[№ Точки].[All]" cap="All"/>
  </pageFields>
  <dataFields count="2">
    <dataField name="Сумма по столбцу Прибыль от заказа" fld="0" baseField="0" baseItem="0"/>
    <dataField name="Сумма по столбцу Прогноз прибыли" fld="1" baseField="0" baseItem="0"/>
  </dataFields>
  <pivotHierarchies count="28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Пельменные.xlsx!ТЗаказы">
        <x15:activeTabTopLevelEntity name="[ТЗаказ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454CE-74D9-4E40-A110-57F2F101867C}" name="Сводная таблица23" cacheId="20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23:B27" firstHeaderRow="1" firstDataRow="1" firstDataCol="1"/>
  <pivotFields count="10">
    <pivotField numFmtId="14" showAll="0"/>
    <pivotField axis="axisRow" showAll="0">
      <items count="7">
        <item m="1" x="5"/>
        <item m="1" x="4"/>
        <item m="1" x="3"/>
        <item x="0"/>
        <item x="1"/>
        <item x="2"/>
        <item t="default"/>
      </items>
    </pivotField>
    <pivotField dataField="1" showAll="0"/>
    <pivotField showAll="0"/>
    <pivotField numFmtId="164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 v="3"/>
    </i>
    <i>
      <x v="4"/>
    </i>
    <i>
      <x v="5"/>
    </i>
    <i t="grand">
      <x/>
    </i>
  </rowItems>
  <colItems count="1">
    <i/>
  </colItems>
  <dataFields count="1">
    <dataField name="Количество заказов" fld="2" subtotal="count" baseField="1" baseItem="0"/>
  </dataField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9CB4A6-F73D-4ECA-AA9D-E616CCBEFB63}" name="Сводная таблица21" cacheId="262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 chartFormat="3">
  <location ref="A9:C20" firstHeaderRow="0" firstDataRow="1" firstDataCol="1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1" name="[ТЗаказы].[№ Точки].[All]" cap="All"/>
  </pageFields>
  <dataFields count="2">
    <dataField name="Реальные значения" fld="1" baseField="0" baseItem="0"/>
    <dataField name="Прогнозируемые значения" fld="2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8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Реальные значения"/>
    <pivotHierarchy dragToData="1" caption="Прогнозируемые значения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Пельменные.xlsx!ТЗаказы">
        <x15:activeTabTopLevelEntity name="[ТЗаказ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5D20F-7DA3-4262-A61F-929A5EB567A7}" name="Сводная таблица19" cacheId="259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>
  <location ref="A3:C4" firstHeaderRow="0" firstDataRow="1" firstDataCol="0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0" hier="1" name="[ТЗаказы].[№ Точки].[All]" cap="All"/>
  </pageFields>
  <dataFields count="3">
    <dataField name="Среднее по столбцу Оценка: Время доставки" fld="1" subtotal="average" baseField="0" baseItem="1"/>
    <dataField name="Среднее по столбцу Оценка: Вкус еды" fld="2" subtotal="average" baseField="0" baseItem="1"/>
    <dataField name="Среднее по столбцу Оценка: Состав заказа" fld="3" subtotal="average" baseField="0" baseItem="1"/>
  </dataFields>
  <pivotHierarchies count="28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Среднее по столбцу Оценка: Время доставки"/>
    <pivotHierarchy dragToData="1" caption="Среднее по столбцу Оценка: Вкус еды"/>
    <pivotHierarchy dragToData="1" caption="Среднее по столбцу Оценка: Состав заказа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Пельменные.xlsx!ТЗаказы">
        <x15:activeTabTopLevelEntity name="[ТЗаказ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3C347-51EA-4EB3-941F-9AB5470EB202}" name="Выручка" cacheId="19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A28:B32" firstHeaderRow="1" firstDataRow="1" firstDataCol="1"/>
  <pivotFields count="16">
    <pivotField numFmtId="1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numFmtId="164" showAll="0"/>
    <pivotField numFmtId="164" showAll="0"/>
    <pivotField dataField="1"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Сумма по полю Прибыль от заказа" fld="6" baseField="0" baseItem="0"/>
  </dataFields>
  <chartFormats count="4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2B563-CA9A-46B1-A3E8-0F11934850D4}" name="Единицы" cacheId="19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6">
  <location ref="A22:E23" firstHeaderRow="0" firstDataRow="1" firstDataCol="0" rowPageCount="1" colPageCount="1"/>
  <pivotFields count="16">
    <pivotField numFmtId="1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hier="-1"/>
  </pageFields>
  <dataFields count="5">
    <dataField name="Пельмени &quot;Кавказ&quot;" fld="8" baseField="0" baseItem="0"/>
    <dataField name="Вареники &quot;Нежные&quot;" fld="9" baseField="0" baseItem="0"/>
    <dataField name="Манты с тыквой &quot;Интересные&quot;" fld="10" baseField="0" baseItem="0"/>
    <dataField name="Вареники с творогом &quot;Белоснежные&quot;" fld="11" baseField="0" baseItem="0"/>
    <dataField name="Пельмени &quot;Вау, хочу&quot;" fld="12" baseField="0" baseItem="0"/>
  </dataFields>
  <chartFormats count="5"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991DF5-A06A-4933-9A01-EDF4C80622F4}" name="Прибыль" cacheId="19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4:B15" firstHeaderRow="1" firstDataRow="1" firstDataCol="1" rowPageCount="1" colPageCount="1"/>
  <pivotFields count="16">
    <pivotField axis="axisRow"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numFmtId="164" showAll="0"/>
    <pivotField numFmtId="164" showAll="0"/>
    <pivotField dataField="1"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1" hier="-1"/>
  </pageFields>
  <dataFields count="1">
    <dataField name="Сумма по полю Прибыль от заказа" fld="6" baseField="0" baseItem="0"/>
  </dataFields>
  <chartFormats count="1"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№_Точки" xr10:uid="{E1063706-AA67-49BE-9EC2-BE677C7DFF80}" sourceName="№ Точки">
  <pivotTables>
    <pivotTable tabId="12" name="Прибыль"/>
    <pivotTable tabId="12" name="Единицы"/>
  </pivotTables>
  <data>
    <tabular pivotCacheId="1290153972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№_Точки2" xr10:uid="{EEE0ACEC-01E5-44C7-AF4E-EBD38EAD4C3F}" sourceName="[ТЗаказы].[№ Точки]">
  <pivotTables>
    <pivotTable tabId="23" name="Сводная таблица19"/>
    <pivotTable tabId="23" name="Сводная таблица21"/>
    <pivotTable tabId="23" name="Сводная таблица32"/>
  </pivotTables>
  <data>
    <olap pivotCacheId="1017953545">
      <levels count="2">
        <level uniqueName="[ТЗаказы].[№ Точки].[(All)]" sourceCaption="(All)" count="0"/>
        <level uniqueName="[ТЗаказы].[№ Точки].[№ Точки]" sourceCaption="№ Точки" count="3">
          <ranges>
            <range startItem="0">
              <i n="[ТЗаказы].[№ Точки].&amp;[ТТ №1]" c="ТТ №1"/>
              <i n="[ТЗаказы].[№ Точки].&amp;[ТТ №2]" c="ТТ №2"/>
              <i n="[ТЗаказы].[№ Точки].&amp;[ТТ №3]" c="ТТ №3"/>
            </range>
          </ranges>
        </level>
      </levels>
      <selections count="1">
        <selection n="[ТЗаказы].[№ Точки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№ Точки 2" xr10:uid="{BF440F8D-451E-4A10-8B47-8544AFD18EC3}" cache="Срез_№_Точки2" caption="№ Точки" columnCount="3" level="1" style="SlicerStyleLight5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№ Точки 1" xr10:uid="{B7D9F2CA-42DA-44D1-822A-63B6B2E78259}" cache="Срез_№_Точки" caption="№ Точки" columnCount="3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C3E09A-9251-42BE-9226-19342AA6E5AA}" name="ТЗаказы" displayName="ТЗаказы" ref="A1:P60" totalsRowShown="0" headerRowDxfId="79" dataDxfId="78" tableBorderDxfId="77">
  <autoFilter ref="A1:P60" xr:uid="{9E2D8589-9FA2-47CC-BBB5-8D9434651B17}"/>
  <tableColumns count="16">
    <tableColumn id="1" xr3:uid="{AC566C07-8256-4CC4-B93E-CAC95A48EC59}" name="Дата" dataDxfId="76"/>
    <tableColumn id="2" xr3:uid="{2DA8E992-2FDF-4BC3-AEBB-25A0B0516729}" name="№ Точки" dataDxfId="75"/>
    <tableColumn id="3" xr3:uid="{509AFB54-728A-4DDE-83AA-DC9118F0A3B0}" name="№ Заказа" dataDxfId="74"/>
    <tableColumn id="4" xr3:uid="{75F13909-05D4-4DD2-9E5C-7251596C3098}" name="Товаров в заказе" dataDxfId="73"/>
    <tableColumn id="5" xr3:uid="{25D35E41-C728-444F-9C15-807C2F10E4EB}" name="Сумма заказа" dataDxfId="72"/>
    <tableColumn id="14" xr3:uid="{0939C7BA-FEE5-4535-8ACB-4BC0119D75DD}" name="Расход на доставку" dataDxfId="71"/>
    <tableColumn id="15" xr3:uid="{E23ED387-88D8-466E-8F3F-EF6DDAC3FD7F}" name="Прибыль от заказа" dataDxfId="70"/>
    <tableColumn id="16" xr3:uid="{F2BEFBC5-D40B-4898-A480-23B6412235F8}" name="Прогноз прибыли" dataDxfId="69"/>
    <tableColumn id="6" xr3:uid="{BC1F0EEC-5422-4C9F-B22B-030BBE053570}" name="Товар №1" dataDxfId="68"/>
    <tableColumn id="7" xr3:uid="{5ECA5D52-747B-48DA-A632-5711E53105E9}" name="Товар №2" dataDxfId="67"/>
    <tableColumn id="8" xr3:uid="{BFCC2C30-8A25-44B1-BBF9-E7EF05F58B96}" name="Товар №3" dataDxfId="66"/>
    <tableColumn id="9" xr3:uid="{D1BB9A22-2D5A-4F48-8066-88CC98E097DB}" name="Товар №4" dataDxfId="65"/>
    <tableColumn id="10" xr3:uid="{C8303A44-9DB9-4034-AC80-1087A46FCBC6}" name="Товар №5" dataDxfId="64"/>
    <tableColumn id="11" xr3:uid="{7E7E68CC-15D2-49C2-80BE-11995BF8CFF6}" name="Оценка: Время доставки" dataDxfId="63"/>
    <tableColumn id="12" xr3:uid="{D9D91017-D69E-4FC3-BFCF-6B95B5DEC33F}" name="Оценка: Вкус еды" dataDxfId="62"/>
    <tableColumn id="13" xr3:uid="{0A0E14E4-925E-4380-8A2C-B7FA1D4939BC}" name="Оценка: Состав заказа" dataDxfId="6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F6E54C2-5A26-4A05-9E6E-5223B38F05EA}" name="ТЗаказы_отмен" displayName="ТЗаказы_отмен" ref="A1:J24" totalsRowShown="0" headerRowDxfId="60" dataDxfId="59" tableBorderDxfId="58">
  <autoFilter ref="A1:J24" xr:uid="{C1DC0EF8-46AA-4FC1-8C33-EA6EF4F8A079}"/>
  <tableColumns count="10">
    <tableColumn id="1" xr3:uid="{35221FDB-B93D-4D45-918E-5BD044BBEA0A}" name="Дата" dataDxfId="57"/>
    <tableColumn id="2" xr3:uid="{79023F24-992B-4A3D-BC47-672B9F0AAA5C}" name="№ Точки" dataDxfId="56"/>
    <tableColumn id="3" xr3:uid="{ADB44C19-3F8D-49AF-9AE4-63FAC9C2CF01}" name="№ Заказа" dataDxfId="55"/>
    <tableColumn id="4" xr3:uid="{23F7D4DD-CC04-4411-B5AD-019A0B09ECF0}" name="Товаров в заказе" dataDxfId="54"/>
    <tableColumn id="5" xr3:uid="{F77AD3DB-5770-4B14-B9DB-63870168E45B}" name="Сумма заказа" dataDxfId="53"/>
    <tableColumn id="6" xr3:uid="{32B992AE-EE7D-4ADB-846C-93E49B7460BA}" name="Товар №1" dataDxfId="52"/>
    <tableColumn id="7" xr3:uid="{4E9E1107-C64E-4C53-A724-3D024EB60884}" name="Товар №2" dataDxfId="51"/>
    <tableColumn id="8" xr3:uid="{33D4174B-AD41-4F12-A605-517AC466304C}" name="Товар №3" dataDxfId="50"/>
    <tableColumn id="9" xr3:uid="{06CE4D65-52EA-4863-82B6-36C3CF698A99}" name="Товар №4" dataDxfId="49"/>
    <tableColumn id="10" xr3:uid="{BCDA30D8-E2A6-4796-A2A2-EF73148A1DDD}" name="Товар №5" dataDxfId="4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5B164F-BB80-4F67-BF50-E5DBFA7D5C8D}" name="Таблица5" displayName="Таблица5" ref="A2:E13" totalsRowShown="0" headerRowDxfId="47" dataDxfId="45" headerRowBorderDxfId="46" tableBorderDxfId="44">
  <autoFilter ref="A2:E13" xr:uid="{D690A789-BB74-4032-9893-449A826785A7}"/>
  <tableColumns count="5">
    <tableColumn id="1" xr3:uid="{155159FB-6C98-40E5-8F42-161A5B637D7F}" name="Дата" dataDxfId="43"/>
    <tableColumn id="2" xr3:uid="{E669111A-D490-4CE8-8E05-96940809245C}" name="Сумма заказов" dataDxfId="42"/>
    <tableColumn id="3" xr3:uid="{79EF7428-0559-4F7B-BBBC-2E5D82C31965}" name="Расходы на доставку" dataDxfId="41"/>
    <tableColumn id="4" xr3:uid="{A133DBA2-ABC5-497E-951D-B8CC6D230243}" name="Прибыль" dataDxfId="40"/>
    <tableColumn id="5" xr3:uid="{FD7AB25C-7E8B-40CB-8563-A56D2A5D3260}" name="Прогноз прибыли" dataDxfId="3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F9E685-6114-4DF2-A571-2A6CDA8B926F}" name="Таблица6" displayName="Таблица6" ref="G2:K13" totalsRowShown="0" headerRowDxfId="38" dataDxfId="36" headerRowBorderDxfId="37" tableBorderDxfId="35">
  <autoFilter ref="G2:K13" xr:uid="{2CFE8827-3AB5-4BE4-A5D7-EEEFC4F98C6F}"/>
  <tableColumns count="5">
    <tableColumn id="1" xr3:uid="{2BFC4A07-B3A0-4441-81FD-F634513E30BA}" name="Дата" dataDxfId="34"/>
    <tableColumn id="2" xr3:uid="{F4424280-D1EF-490C-B907-97A7FEEFDC4D}" name="Сумма заказов" dataDxfId="33"/>
    <tableColumn id="3" xr3:uid="{84DB1CE7-4455-4453-ACA1-831AD9232798}" name="Расходы на доставку" dataDxfId="32"/>
    <tableColumn id="4" xr3:uid="{8167D3B7-B011-4CBE-942B-122E10F54565}" name="Прибыль" dataDxfId="31"/>
    <tableColumn id="5" xr3:uid="{0656B0E1-7FFC-4DC6-AC66-C46F112B1447}" name="Прогноз прибыли" dataDxfId="30">
      <calculatedColumnFormula>J3-J3*0.1+RANDBETWEEN(100,1000)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AF53911-5523-4142-89C7-12EAC72542CC}" name="Таблица7" displayName="Таблица7" ref="M2:Q13" totalsRowShown="0" headerRowDxfId="29" dataDxfId="27" headerRowBorderDxfId="28" tableBorderDxfId="26">
  <autoFilter ref="M2:Q13" xr:uid="{27C7122B-CFDB-48C5-9D31-A27243DC646F}"/>
  <tableColumns count="5">
    <tableColumn id="1" xr3:uid="{D4634CA1-24F2-476E-9E85-58B8CF73F376}" name="Дата" dataDxfId="25"/>
    <tableColumn id="2" xr3:uid="{0E455F8E-594F-4D7E-A4B3-783AA833A5D9}" name="Сумма заказов" dataDxfId="24"/>
    <tableColumn id="3" xr3:uid="{A3B20237-516E-4CA5-8635-B603F8999B0A}" name="Расходы на доставку" dataDxfId="23"/>
    <tableColumn id="4" xr3:uid="{290719D9-ECA1-440A-B4BB-6F138FA8D54A}" name="Прибыль" dataDxfId="22"/>
    <tableColumn id="5" xr3:uid="{4D359A6D-EC63-4387-BF17-4A46FDAD00DC}" name="Прогноз прибыли" dataDxfId="21">
      <calculatedColumnFormula>P3-P3*0.1+RANDBETWEEN(100,1000)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28E28-CC37-4F30-B774-7818BDCAB8C2}" name="Таблица8" displayName="Таблица8" ref="S2:W13" totalsRowShown="0" headerRowDxfId="20" dataDxfId="18" headerRowBorderDxfId="19" tableBorderDxfId="17">
  <autoFilter ref="S2:W13" xr:uid="{0C968B03-3732-4E77-B3F4-0CFC96A0FAAF}"/>
  <tableColumns count="5">
    <tableColumn id="1" xr3:uid="{E43656C6-7892-41D9-A86F-D9392D10AA90}" name="Дата" dataDxfId="16"/>
    <tableColumn id="2" xr3:uid="{4DF0C2A6-9E5B-4C2D-8EBE-EE928965C0F4}" name="Сумма заказов" dataDxfId="15"/>
    <tableColumn id="3" xr3:uid="{518C74B0-CD30-4EEE-A5A3-002586B9A6DF}" name="Расходы на доставку" dataDxfId="14"/>
    <tableColumn id="4" xr3:uid="{5399B61B-A3AA-4F91-B21F-85BBEBFE9B91}" name="Прибыль" dataDxfId="13"/>
    <tableColumn id="5" xr3:uid="{B46ED9F0-C580-449A-8EA0-38E8AD862465}" name="Прогноз прибыли" dataDxfId="12">
      <calculatedColumnFormula>V3-V3*0.1+RANDBETWEEN(100,1000)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20CA933-7D87-44E6-B3B5-F8E7072D2D28}" name="Таблица9" displayName="Таблица9" ref="A17:B21" totalsRowShown="0" headerRowDxfId="11" headerRowBorderDxfId="10" tableBorderDxfId="9">
  <autoFilter ref="A17:B21" xr:uid="{81E47B1F-ED31-41A1-BEAF-9123C4F1FC7E}"/>
  <tableColumns count="2">
    <tableColumn id="1" xr3:uid="{3621F870-8508-4CED-BBBB-F680147607DE}" name="№ Точки"/>
    <tableColumn id="2" xr3:uid="{687EA7CF-DEA4-437D-8E79-257F9DFF488B}" name="ЧП от заказов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5E9A977-041E-421C-A8D6-4133B8E08850}" name="Таблица11" displayName="Таблица11" ref="D17:F22" totalsRowShown="0" headerRowDxfId="8" headerRowBorderDxfId="7" tableBorderDxfId="6">
  <autoFilter ref="D17:F22" xr:uid="{A0D1E2DF-5917-4A8D-B22E-4AA448125D85}"/>
  <tableColumns count="3">
    <tableColumn id="1" xr3:uid="{4D0C66F3-2B9A-40CC-A986-F1D56BDEEE23}" name="№ Товара" dataDxfId="5"/>
    <tableColumn id="2" xr3:uid="{80A686B3-7851-4693-B261-6D399E8D71CC}" name="Количество заказанных порций" dataDxfId="4"/>
    <tableColumn id="3" xr3:uid="{5E8977B9-A187-4BFB-A4D9-0A85EDC6A8C6}" name="Прибыль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95C8-C19D-4B26-A06F-FDC04AB5DB83}">
  <dimension ref="A2:P14"/>
  <sheetViews>
    <sheetView showGridLines="0" showRowColHeaders="0" tabSelected="1" workbookViewId="0">
      <selection activeCell="T32" sqref="T32"/>
    </sheetView>
  </sheetViews>
  <sheetFormatPr defaultRowHeight="15" x14ac:dyDescent="0.25"/>
  <cols>
    <col min="11" max="11" width="2.28515625" customWidth="1"/>
    <col min="12" max="12" width="6.7109375" customWidth="1"/>
    <col min="16" max="16" width="6.85546875" customWidth="1"/>
  </cols>
  <sheetData>
    <row r="2" spans="1:16" x14ac:dyDescent="0.25">
      <c r="F2" s="128" t="s">
        <v>62</v>
      </c>
      <c r="G2" s="128"/>
      <c r="H2" s="128"/>
      <c r="I2" s="128"/>
      <c r="J2" s="128"/>
      <c r="K2" s="128"/>
    </row>
    <row r="3" spans="1:16" x14ac:dyDescent="0.25">
      <c r="F3" s="128"/>
      <c r="G3" s="128"/>
      <c r="H3" s="128"/>
      <c r="I3" s="128"/>
      <c r="J3" s="128"/>
      <c r="K3" s="128"/>
    </row>
    <row r="4" spans="1:16" x14ac:dyDescent="0.25">
      <c r="F4" s="128"/>
      <c r="G4" s="128"/>
      <c r="H4" s="128"/>
      <c r="I4" s="128"/>
      <c r="J4" s="128"/>
      <c r="K4" s="128"/>
    </row>
    <row r="6" spans="1:16" ht="39" customHeight="1" x14ac:dyDescent="0.25">
      <c r="B6" s="132" t="s">
        <v>47</v>
      </c>
      <c r="C6" s="133"/>
      <c r="D6" s="133"/>
      <c r="E6" s="133" t="s">
        <v>48</v>
      </c>
      <c r="F6" s="133"/>
      <c r="G6" s="133"/>
      <c r="H6" s="133" t="s">
        <v>57</v>
      </c>
      <c r="I6" s="133"/>
      <c r="J6" s="134"/>
      <c r="L6" s="135" t="s">
        <v>61</v>
      </c>
      <c r="M6" s="136"/>
      <c r="N6" s="136"/>
      <c r="O6" s="136"/>
      <c r="P6" s="137"/>
    </row>
    <row r="7" spans="1:16" x14ac:dyDescent="0.25">
      <c r="B7" s="116"/>
      <c r="C7" s="85"/>
      <c r="D7" s="85"/>
      <c r="E7" s="85"/>
      <c r="F7" s="85"/>
      <c r="G7" s="85"/>
      <c r="H7" s="85"/>
      <c r="I7" s="85"/>
      <c r="J7" s="117"/>
      <c r="L7" s="116"/>
      <c r="M7" s="85"/>
      <c r="N7" s="85"/>
      <c r="O7" s="85"/>
      <c r="P7" s="117"/>
    </row>
    <row r="8" spans="1:16" x14ac:dyDescent="0.25">
      <c r="B8" s="116"/>
      <c r="C8" s="85"/>
      <c r="D8" s="85"/>
      <c r="E8" s="85"/>
      <c r="F8" s="85"/>
      <c r="G8" s="85"/>
      <c r="H8" s="85"/>
      <c r="I8" s="85"/>
      <c r="J8" s="117"/>
      <c r="L8" s="116"/>
      <c r="M8" s="85"/>
      <c r="N8" s="85"/>
      <c r="O8" s="85"/>
      <c r="P8" s="117"/>
    </row>
    <row r="9" spans="1:16" x14ac:dyDescent="0.25">
      <c r="B9" s="116"/>
      <c r="C9" s="85"/>
      <c r="D9" s="85"/>
      <c r="E9" s="85"/>
      <c r="F9" s="85"/>
      <c r="G9" s="85"/>
      <c r="H9" s="85"/>
      <c r="I9" s="85"/>
      <c r="J9" s="117"/>
      <c r="L9" s="116"/>
      <c r="M9" s="85"/>
      <c r="N9" s="85"/>
      <c r="O9" s="85"/>
      <c r="P9" s="117"/>
    </row>
    <row r="10" spans="1:16" ht="32.25" customHeight="1" x14ac:dyDescent="0.25">
      <c r="B10" s="116"/>
      <c r="C10" s="85"/>
      <c r="D10" s="85"/>
      <c r="E10" s="85"/>
      <c r="F10" s="85"/>
      <c r="G10" s="85"/>
      <c r="H10" s="85"/>
      <c r="I10" s="85"/>
      <c r="J10" s="117"/>
      <c r="L10" s="129" t="s">
        <v>63</v>
      </c>
      <c r="M10" s="130"/>
      <c r="N10" s="130"/>
      <c r="O10" s="130"/>
      <c r="P10" s="131"/>
    </row>
    <row r="11" spans="1:16" ht="16.5" customHeight="1" x14ac:dyDescent="0.25">
      <c r="B11" s="118"/>
      <c r="C11" s="119"/>
      <c r="D11" s="119"/>
      <c r="E11" s="119"/>
      <c r="F11" s="119"/>
      <c r="G11" s="119"/>
      <c r="H11" s="119"/>
      <c r="I11" s="119"/>
      <c r="J11" s="120"/>
      <c r="L11" s="121"/>
      <c r="M11" s="122"/>
      <c r="N11" s="122"/>
      <c r="O11" s="122"/>
      <c r="P11" s="123"/>
    </row>
    <row r="12" spans="1:16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L12" s="116"/>
      <c r="M12" s="85"/>
      <c r="N12" s="85"/>
      <c r="O12" s="85"/>
      <c r="P12" s="117"/>
    </row>
    <row r="13" spans="1:16" x14ac:dyDescent="0.25">
      <c r="A13" s="85"/>
      <c r="B13" s="85"/>
      <c r="C13" s="85"/>
      <c r="D13" s="85"/>
      <c r="E13" s="85"/>
      <c r="F13" s="85"/>
      <c r="G13" s="85"/>
      <c r="H13" s="85"/>
      <c r="I13" s="85"/>
      <c r="J13" s="85"/>
      <c r="L13" s="116"/>
      <c r="M13" s="85"/>
      <c r="N13" s="85"/>
      <c r="O13" s="85"/>
      <c r="P13" s="117"/>
    </row>
    <row r="14" spans="1:16" ht="10.5" customHeight="1" x14ac:dyDescent="0.25">
      <c r="A14" s="85"/>
      <c r="B14" s="85"/>
      <c r="C14" s="85"/>
      <c r="D14" s="85"/>
      <c r="E14" s="85"/>
      <c r="F14" s="85"/>
      <c r="G14" s="85"/>
      <c r="H14" s="85"/>
      <c r="I14" s="85"/>
      <c r="J14" s="85"/>
      <c r="L14" s="118"/>
      <c r="M14" s="119"/>
      <c r="N14" s="119"/>
      <c r="O14" s="119"/>
      <c r="P14" s="120"/>
    </row>
  </sheetData>
  <mergeCells count="6">
    <mergeCell ref="F2:K4"/>
    <mergeCell ref="L10:P10"/>
    <mergeCell ref="B6:D6"/>
    <mergeCell ref="E6:G6"/>
    <mergeCell ref="H6:J6"/>
    <mergeCell ref="L6:P6"/>
  </mergeCells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997D-7877-42C8-BB87-5699E6023C3D}">
  <dimension ref="B2:J31"/>
  <sheetViews>
    <sheetView showGridLines="0" showRowColHeaders="0" workbookViewId="0">
      <selection activeCell="V31" sqref="V31"/>
    </sheetView>
  </sheetViews>
  <sheetFormatPr defaultRowHeight="15" x14ac:dyDescent="0.25"/>
  <cols>
    <col min="1" max="1" width="9.140625" style="85" customWidth="1"/>
    <col min="2" max="2" width="37.28515625" style="85" bestFit="1" customWidth="1"/>
    <col min="3" max="6" width="9.140625" style="85"/>
    <col min="7" max="7" width="0.28515625" style="85" customWidth="1"/>
    <col min="8" max="16384" width="9.140625" style="85"/>
  </cols>
  <sheetData>
    <row r="2" spans="2:10" ht="15" customHeight="1" x14ac:dyDescent="0.25">
      <c r="C2" s="127" t="s">
        <v>45</v>
      </c>
      <c r="D2" s="127"/>
      <c r="E2" s="127"/>
      <c r="F2" s="127"/>
      <c r="G2" s="127"/>
      <c r="H2" s="127"/>
      <c r="I2" s="127"/>
      <c r="J2" s="127"/>
    </row>
    <row r="3" spans="2:10" ht="15" customHeight="1" x14ac:dyDescent="0.25">
      <c r="B3" s="89"/>
      <c r="C3" s="127"/>
      <c r="D3" s="127"/>
      <c r="E3" s="127"/>
      <c r="F3" s="127"/>
      <c r="G3" s="127"/>
      <c r="H3" s="127"/>
      <c r="I3" s="127"/>
      <c r="J3" s="127"/>
    </row>
    <row r="20" spans="2:7" x14ac:dyDescent="0.25">
      <c r="B20" s="90"/>
      <c r="C20" s="86"/>
      <c r="D20" s="86"/>
      <c r="E20" s="86"/>
      <c r="F20" s="86"/>
      <c r="G20" s="87"/>
    </row>
    <row r="21" spans="2:7" ht="21" x14ac:dyDescent="0.35">
      <c r="B21" s="124" t="s">
        <v>65</v>
      </c>
      <c r="C21" s="125"/>
      <c r="D21" s="125"/>
      <c r="E21" s="125"/>
      <c r="F21" s="125"/>
      <c r="G21" s="126"/>
    </row>
    <row r="22" spans="2:7" x14ac:dyDescent="0.25">
      <c r="B22" s="88"/>
      <c r="G22" s="91"/>
    </row>
    <row r="23" spans="2:7" x14ac:dyDescent="0.25">
      <c r="B23" s="88"/>
      <c r="C23" s="97" t="s">
        <v>14</v>
      </c>
      <c r="D23" s="97" t="s">
        <v>15</v>
      </c>
      <c r="E23" s="97" t="s">
        <v>16</v>
      </c>
      <c r="F23" s="97" t="s">
        <v>66</v>
      </c>
      <c r="G23" s="91"/>
    </row>
    <row r="24" spans="2:7" x14ac:dyDescent="0.25">
      <c r="B24" s="98" t="s">
        <v>27</v>
      </c>
      <c r="C24" s="31">
        <f>SUMIF(ТЗаказы[№ Точки],Фин_отчет!C23,ТЗаказы[Товар №1])*Фин_промежут!I10</f>
        <v>3450</v>
      </c>
      <c r="D24" s="31">
        <f>SUMIF(ТЗаказы[№ Точки],Фин_отчет!D23,ТЗаказы[Товар №1])*Фин_промежут!I10</f>
        <v>3900</v>
      </c>
      <c r="E24" s="31">
        <f>SUMIF(ТЗаказы[№ Точки],Фин_отчет!E23,ТЗаказы[Товар №1])*Фин_промежут!I10</f>
        <v>4950</v>
      </c>
      <c r="F24" s="156">
        <f>SUM(C24:E24)</f>
        <v>12300</v>
      </c>
      <c r="G24" s="91"/>
    </row>
    <row r="25" spans="2:7" x14ac:dyDescent="0.25">
      <c r="B25" s="98" t="s">
        <v>29</v>
      </c>
      <c r="C25" s="31">
        <f>SUMIF(ТЗаказы[№ Точки],Фин_отчет!C23,ТЗаказы[Товар №2])*Фин_промежут!I11</f>
        <v>2200</v>
      </c>
      <c r="D25" s="31">
        <f>SUMIF(ТЗаказы[№ Точки],Фин_отчет!D23,ТЗаказы[Товар №2])*Фин_промежут!I11</f>
        <v>1540</v>
      </c>
      <c r="E25" s="31">
        <f>SUMIF(ТЗаказы[№ Точки],Фин_отчет!E23,ТЗаказы[Товар №2])*Фин_промежут!I11</f>
        <v>4070</v>
      </c>
      <c r="F25" s="156">
        <f t="shared" ref="F25:F28" si="0">SUM(C25:E25)</f>
        <v>7810</v>
      </c>
      <c r="G25" s="91"/>
    </row>
    <row r="26" spans="2:7" x14ac:dyDescent="0.25">
      <c r="B26" s="98" t="s">
        <v>30</v>
      </c>
      <c r="C26" s="31">
        <f>SUMIF(ТЗаказы[№ Точки],Фин_отчет!C23,ТЗаказы[Товар №3])*Фин_промежут!I12</f>
        <v>10800</v>
      </c>
      <c r="D26" s="31">
        <f>SUMIF(ТЗаказы[№ Точки],Фин_отчет!D23,ТЗаказы[Товар №3])*Фин_промежут!I12</f>
        <v>6600</v>
      </c>
      <c r="E26" s="31">
        <f>SUMIF(ТЗаказы[№ Точки],Фин_отчет!E23,ТЗаказы[Товар №3])*Фин_промежут!I12</f>
        <v>10800</v>
      </c>
      <c r="F26" s="156">
        <f t="shared" si="0"/>
        <v>28200</v>
      </c>
      <c r="G26" s="91"/>
    </row>
    <row r="27" spans="2:7" x14ac:dyDescent="0.25">
      <c r="B27" s="98" t="s">
        <v>32</v>
      </c>
      <c r="C27" s="31">
        <f>SUMIF(ТЗаказы[№ Точки],Фин_отчет!C23,ТЗаказы[Товар №4])*Фин_промежут!I13</f>
        <v>2800</v>
      </c>
      <c r="D27" s="31">
        <f>SUMIF(ТЗаказы[№ Точки],Фин_отчет!D23,ТЗаказы[Товар №4])*Фин_промежут!I13</f>
        <v>2080</v>
      </c>
      <c r="E27" s="31">
        <f>SUMIF(ТЗаказы[№ Точки],Фин_отчет!E23,ТЗаказы[Товар №4])*Фин_промежут!I13</f>
        <v>3280</v>
      </c>
      <c r="F27" s="156">
        <f t="shared" si="0"/>
        <v>8160</v>
      </c>
      <c r="G27" s="91"/>
    </row>
    <row r="28" spans="2:7" x14ac:dyDescent="0.25">
      <c r="B28" s="98" t="s">
        <v>31</v>
      </c>
      <c r="C28" s="31">
        <f>SUMIF(ТЗаказы[№ Точки],Фин_отчет!C23,ТЗаказы[Товар №5])*Фин_промежут!I14</f>
        <v>13500</v>
      </c>
      <c r="D28" s="31">
        <f>SUMIF(ТЗаказы[№ Точки],Фин_отчет!D23,ТЗаказы[Товар №5])*Фин_промежут!I14</f>
        <v>9000</v>
      </c>
      <c r="E28" s="31">
        <f>SUMIF(ТЗаказы[№ Точки],Фин_отчет!E23,ТЗаказы[Товар №5])*Фин_промежут!I14</f>
        <v>14850</v>
      </c>
      <c r="F28" s="156">
        <f t="shared" si="0"/>
        <v>37350</v>
      </c>
      <c r="G28" s="91"/>
    </row>
    <row r="29" spans="2:7" x14ac:dyDescent="0.25">
      <c r="B29" s="92" t="s">
        <v>43</v>
      </c>
      <c r="C29" s="156">
        <f>SUM(C24:C28)</f>
        <v>32750</v>
      </c>
      <c r="D29" s="156">
        <f>SUM(D24:D28)</f>
        <v>23120</v>
      </c>
      <c r="E29" s="156">
        <f>SUM(E24:E28)</f>
        <v>37950</v>
      </c>
      <c r="F29" s="156">
        <f>SUM(F24:F28)</f>
        <v>93820</v>
      </c>
      <c r="G29" s="91"/>
    </row>
    <row r="30" spans="2:7" x14ac:dyDescent="0.25">
      <c r="B30" s="93"/>
      <c r="G30" s="91"/>
    </row>
    <row r="31" spans="2:7" ht="12.75" customHeight="1" x14ac:dyDescent="0.25">
      <c r="B31" s="94"/>
      <c r="C31" s="95"/>
      <c r="D31" s="95"/>
      <c r="E31" s="95"/>
      <c r="F31" s="95"/>
      <c r="G31" s="96"/>
    </row>
  </sheetData>
  <mergeCells count="2">
    <mergeCell ref="B21:G21"/>
    <mergeCell ref="C2:J3"/>
  </mergeCells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65C64F95-1BDC-47A7-ACF1-BEA939C9F9A9}">
            <xm:f>C23=Фин_промежут!$E$2</xm:f>
            <x14:dxf>
              <fill>
                <patternFill>
                  <bgColor theme="9" tint="0.79998168889431442"/>
                </patternFill>
              </fill>
              <border>
                <left style="thin">
                  <color theme="9"/>
                </left>
                <right style="thin">
                  <color theme="9"/>
                </right>
                <top style="thin">
                  <color theme="9"/>
                </top>
                <bottom style="thin">
                  <color theme="9"/>
                </bottom>
              </border>
            </x14:dxf>
          </x14:cfRule>
          <xm:sqref>C23:F23</xm:sqref>
        </x14:conditionalFormatting>
        <x14:conditionalFormatting xmlns:xm="http://schemas.microsoft.com/office/excel/2006/main">
          <x14:cfRule type="expression" priority="2" id="{86BFC785-57E0-4382-919C-ED8E2A0D9C2E}">
            <xm:f>C$23=Фин_промежут!$E$2</xm:f>
            <x14:dxf>
              <fill>
                <patternFill>
                  <bgColor theme="9" tint="0.79998168889431442"/>
                </patternFill>
              </fill>
              <border>
                <left style="thin">
                  <color theme="9"/>
                </left>
                <right style="thin">
                  <color theme="9"/>
                </right>
                <top/>
                <bottom/>
                <vertical/>
                <horizontal/>
              </border>
            </x14:dxf>
          </x14:cfRule>
          <xm:sqref>C24:F28</xm:sqref>
        </x14:conditionalFormatting>
        <x14:conditionalFormatting xmlns:xm="http://schemas.microsoft.com/office/excel/2006/main">
          <x14:cfRule type="expression" priority="1" id="{06B921A9-AE48-457C-95DA-84319DC52B4B}">
            <xm:f>C$23=Фин_промежут!$E$2</xm:f>
            <x14:dxf>
              <fill>
                <patternFill>
                  <bgColor theme="9" tint="0.79998168889431442"/>
                </patternFill>
              </fill>
              <border>
                <left style="thin">
                  <color theme="9"/>
                </left>
                <right style="thin">
                  <color theme="9"/>
                </right>
                <top style="thin">
                  <color theme="9"/>
                </top>
                <bottom style="thin">
                  <color theme="9"/>
                </bottom>
                <vertical/>
                <horizontal/>
              </border>
            </x14:dxf>
          </x14:cfRule>
          <xm:sqref>C29:F29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60E5-7010-42DA-94F1-975A19AE994C}">
  <dimension ref="A1:P60"/>
  <sheetViews>
    <sheetView workbookViewId="0">
      <selection activeCell="H9" sqref="H9"/>
    </sheetView>
  </sheetViews>
  <sheetFormatPr defaultRowHeight="15" x14ac:dyDescent="0.25"/>
  <cols>
    <col min="1" max="1" width="11.85546875" customWidth="1"/>
    <col min="2" max="2" width="13.5703125" bestFit="1" customWidth="1"/>
    <col min="3" max="3" width="14.140625" bestFit="1" customWidth="1"/>
    <col min="4" max="4" width="13" customWidth="1"/>
    <col min="5" max="5" width="10.5703125" customWidth="1"/>
    <col min="6" max="6" width="14.42578125" customWidth="1"/>
    <col min="7" max="7" width="12.42578125" customWidth="1"/>
    <col min="8" max="8" width="14" bestFit="1" customWidth="1"/>
    <col min="9" max="9" width="14" customWidth="1"/>
    <col min="10" max="13" width="14.5703125" bestFit="1" customWidth="1"/>
    <col min="14" max="14" width="14.5703125" customWidth="1"/>
    <col min="15" max="15" width="14.85546875" customWidth="1"/>
    <col min="16" max="16" width="14.28515625" customWidth="1"/>
    <col min="17" max="17" width="14.7109375" customWidth="1"/>
  </cols>
  <sheetData>
    <row r="1" spans="1:16" s="71" customFormat="1" ht="45.75" thickBot="1" x14ac:dyDescent="0.3">
      <c r="A1" s="67" t="s">
        <v>0</v>
      </c>
      <c r="B1" s="68" t="s">
        <v>4</v>
      </c>
      <c r="C1" s="69" t="s">
        <v>19</v>
      </c>
      <c r="D1" s="69" t="s">
        <v>5</v>
      </c>
      <c r="E1" s="70" t="s">
        <v>6</v>
      </c>
      <c r="F1" s="70" t="s">
        <v>38</v>
      </c>
      <c r="G1" s="70" t="s">
        <v>39</v>
      </c>
      <c r="H1" s="70" t="s">
        <v>46</v>
      </c>
      <c r="I1" s="70" t="s">
        <v>21</v>
      </c>
      <c r="J1" s="70" t="s">
        <v>22</v>
      </c>
      <c r="K1" s="70" t="s">
        <v>23</v>
      </c>
      <c r="L1" s="70" t="s">
        <v>24</v>
      </c>
      <c r="M1" s="70" t="s">
        <v>25</v>
      </c>
      <c r="N1" s="69" t="s">
        <v>7</v>
      </c>
      <c r="O1" s="69" t="s">
        <v>8</v>
      </c>
      <c r="P1" s="69" t="s">
        <v>9</v>
      </c>
    </row>
    <row r="2" spans="1:16" x14ac:dyDescent="0.25">
      <c r="A2" s="66">
        <v>44075</v>
      </c>
      <c r="B2" s="47" t="s">
        <v>15</v>
      </c>
      <c r="C2" s="48">
        <v>1</v>
      </c>
      <c r="D2" s="48">
        <v>10</v>
      </c>
      <c r="E2" s="49">
        <v>2360</v>
      </c>
      <c r="F2" s="49">
        <v>320</v>
      </c>
      <c r="G2" s="49">
        <v>2040</v>
      </c>
      <c r="H2" s="49">
        <v>1095</v>
      </c>
      <c r="I2" s="50">
        <v>2</v>
      </c>
      <c r="J2" s="50">
        <v>3</v>
      </c>
      <c r="K2" s="50">
        <v>1</v>
      </c>
      <c r="L2" s="50">
        <v>1</v>
      </c>
      <c r="M2" s="50">
        <v>3</v>
      </c>
      <c r="N2" s="48">
        <v>3</v>
      </c>
      <c r="O2" s="48">
        <v>5</v>
      </c>
      <c r="P2" s="48">
        <v>4</v>
      </c>
    </row>
    <row r="3" spans="1:16" x14ac:dyDescent="0.25">
      <c r="A3" s="66">
        <v>44075</v>
      </c>
      <c r="B3" s="52" t="s">
        <v>14</v>
      </c>
      <c r="C3" s="23">
        <v>2</v>
      </c>
      <c r="D3" s="23">
        <v>7</v>
      </c>
      <c r="E3" s="25">
        <v>1740</v>
      </c>
      <c r="F3" s="25">
        <v>388</v>
      </c>
      <c r="G3" s="25">
        <v>1352</v>
      </c>
      <c r="H3" s="25">
        <v>1231.8</v>
      </c>
      <c r="I3" s="44">
        <v>0</v>
      </c>
      <c r="J3" s="44">
        <v>0</v>
      </c>
      <c r="K3" s="44">
        <v>2</v>
      </c>
      <c r="L3" s="44">
        <v>3</v>
      </c>
      <c r="M3" s="44">
        <v>2</v>
      </c>
      <c r="N3" s="23">
        <v>5</v>
      </c>
      <c r="O3" s="23">
        <v>5</v>
      </c>
      <c r="P3" s="23">
        <v>5</v>
      </c>
    </row>
    <row r="4" spans="1:16" x14ac:dyDescent="0.25">
      <c r="A4" s="66">
        <v>44075</v>
      </c>
      <c r="B4" s="52" t="s">
        <v>16</v>
      </c>
      <c r="C4" s="23">
        <v>3</v>
      </c>
      <c r="D4" s="23">
        <v>10</v>
      </c>
      <c r="E4" s="25">
        <v>1840</v>
      </c>
      <c r="F4" s="25">
        <v>435</v>
      </c>
      <c r="G4" s="25">
        <v>1405</v>
      </c>
      <c r="H4" s="25">
        <v>1205.5</v>
      </c>
      <c r="I4" s="44">
        <v>2</v>
      </c>
      <c r="J4" s="44">
        <v>3</v>
      </c>
      <c r="K4" s="44">
        <v>2</v>
      </c>
      <c r="L4" s="44">
        <v>2</v>
      </c>
      <c r="M4" s="44">
        <v>1</v>
      </c>
      <c r="N4" s="23">
        <v>5</v>
      </c>
      <c r="O4" s="23">
        <v>5</v>
      </c>
      <c r="P4" s="23">
        <v>5</v>
      </c>
    </row>
    <row r="5" spans="1:16" x14ac:dyDescent="0.25">
      <c r="A5" s="66">
        <v>44075</v>
      </c>
      <c r="B5" s="52" t="s">
        <v>14</v>
      </c>
      <c r="C5" s="23">
        <v>4</v>
      </c>
      <c r="D5" s="23">
        <v>9</v>
      </c>
      <c r="E5" s="25">
        <v>1390</v>
      </c>
      <c r="F5" s="25">
        <v>292</v>
      </c>
      <c r="G5" s="25">
        <v>1098</v>
      </c>
      <c r="H5" s="25">
        <v>2187.1999999999998</v>
      </c>
      <c r="I5" s="44">
        <v>2</v>
      </c>
      <c r="J5" s="44">
        <v>3</v>
      </c>
      <c r="K5" s="44">
        <v>2</v>
      </c>
      <c r="L5" s="44">
        <v>2</v>
      </c>
      <c r="M5" s="44">
        <v>0</v>
      </c>
      <c r="N5" s="23">
        <v>4</v>
      </c>
      <c r="O5" s="23">
        <v>4</v>
      </c>
      <c r="P5" s="23">
        <v>5</v>
      </c>
    </row>
    <row r="6" spans="1:16" x14ac:dyDescent="0.25">
      <c r="A6" s="66">
        <v>44075</v>
      </c>
      <c r="B6" s="52" t="s">
        <v>14</v>
      </c>
      <c r="C6" s="23">
        <v>5</v>
      </c>
      <c r="D6" s="23">
        <v>5</v>
      </c>
      <c r="E6" s="25">
        <v>1270</v>
      </c>
      <c r="F6" s="25">
        <v>270</v>
      </c>
      <c r="G6" s="25">
        <v>1000</v>
      </c>
      <c r="H6" s="25">
        <v>2053</v>
      </c>
      <c r="I6" s="44">
        <v>1</v>
      </c>
      <c r="J6" s="44">
        <v>2</v>
      </c>
      <c r="K6" s="44">
        <v>0</v>
      </c>
      <c r="L6" s="44">
        <v>0</v>
      </c>
      <c r="M6" s="44">
        <v>2</v>
      </c>
      <c r="N6" s="23">
        <v>3</v>
      </c>
      <c r="O6" s="23">
        <v>4</v>
      </c>
      <c r="P6" s="23">
        <v>5</v>
      </c>
    </row>
    <row r="7" spans="1:16" x14ac:dyDescent="0.25">
      <c r="A7" s="66">
        <v>44075</v>
      </c>
      <c r="B7" s="52" t="s">
        <v>14</v>
      </c>
      <c r="C7" s="23">
        <v>6</v>
      </c>
      <c r="D7" s="23">
        <v>8</v>
      </c>
      <c r="E7" s="25">
        <v>2290</v>
      </c>
      <c r="F7" s="25">
        <v>486</v>
      </c>
      <c r="G7" s="25">
        <v>1804</v>
      </c>
      <c r="H7" s="25">
        <v>800.6</v>
      </c>
      <c r="I7" s="44">
        <v>1</v>
      </c>
      <c r="J7" s="44">
        <v>1</v>
      </c>
      <c r="K7" s="44">
        <v>2</v>
      </c>
      <c r="L7" s="44">
        <v>1</v>
      </c>
      <c r="M7" s="44">
        <v>3</v>
      </c>
      <c r="N7" s="23">
        <v>5</v>
      </c>
      <c r="O7" s="23">
        <v>5</v>
      </c>
      <c r="P7" s="23">
        <v>5</v>
      </c>
    </row>
    <row r="8" spans="1:16" x14ac:dyDescent="0.25">
      <c r="A8" s="66">
        <v>44076</v>
      </c>
      <c r="B8" s="52" t="s">
        <v>16</v>
      </c>
      <c r="C8" s="23">
        <v>7</v>
      </c>
      <c r="D8" s="23">
        <v>8</v>
      </c>
      <c r="E8" s="25">
        <v>1740</v>
      </c>
      <c r="F8" s="25">
        <v>443</v>
      </c>
      <c r="G8" s="25">
        <v>1297</v>
      </c>
      <c r="H8" s="25">
        <v>1053.3</v>
      </c>
      <c r="I8" s="44">
        <v>2</v>
      </c>
      <c r="J8" s="44">
        <v>0</v>
      </c>
      <c r="K8" s="44">
        <v>1</v>
      </c>
      <c r="L8" s="44">
        <v>3</v>
      </c>
      <c r="M8" s="44">
        <v>2</v>
      </c>
      <c r="N8" s="23">
        <v>5</v>
      </c>
      <c r="O8" s="23">
        <v>5</v>
      </c>
      <c r="P8" s="23">
        <v>5</v>
      </c>
    </row>
    <row r="9" spans="1:16" x14ac:dyDescent="0.25">
      <c r="A9" s="66">
        <v>44076</v>
      </c>
      <c r="B9" s="52" t="s">
        <v>14</v>
      </c>
      <c r="C9" s="23">
        <v>8</v>
      </c>
      <c r="D9" s="23">
        <v>10</v>
      </c>
      <c r="E9" s="25">
        <v>2400</v>
      </c>
      <c r="F9" s="25">
        <v>540</v>
      </c>
      <c r="G9" s="25">
        <v>1860</v>
      </c>
      <c r="H9" s="25">
        <v>1844</v>
      </c>
      <c r="I9" s="44">
        <v>2</v>
      </c>
      <c r="J9" s="44">
        <v>2</v>
      </c>
      <c r="K9" s="44">
        <v>3</v>
      </c>
      <c r="L9" s="44">
        <v>1</v>
      </c>
      <c r="M9" s="44">
        <v>2</v>
      </c>
      <c r="N9" s="23">
        <v>5</v>
      </c>
      <c r="O9" s="23">
        <v>5</v>
      </c>
      <c r="P9" s="23">
        <v>5</v>
      </c>
    </row>
    <row r="10" spans="1:16" x14ac:dyDescent="0.25">
      <c r="A10" s="66">
        <v>44076</v>
      </c>
      <c r="B10" s="52" t="s">
        <v>16</v>
      </c>
      <c r="C10" s="23">
        <v>9</v>
      </c>
      <c r="D10" s="23">
        <v>8</v>
      </c>
      <c r="E10" s="25">
        <v>940</v>
      </c>
      <c r="F10" s="25">
        <v>249</v>
      </c>
      <c r="G10" s="25">
        <v>691</v>
      </c>
      <c r="H10" s="25">
        <v>734.9</v>
      </c>
      <c r="I10" s="44">
        <v>3</v>
      </c>
      <c r="J10" s="44">
        <v>3</v>
      </c>
      <c r="K10" s="44">
        <v>0</v>
      </c>
      <c r="L10" s="44">
        <v>2</v>
      </c>
      <c r="M10" s="44">
        <v>0</v>
      </c>
      <c r="N10" s="23">
        <v>5</v>
      </c>
      <c r="O10" s="23">
        <v>5</v>
      </c>
      <c r="P10" s="23">
        <v>5</v>
      </c>
    </row>
    <row r="11" spans="1:16" x14ac:dyDescent="0.25">
      <c r="A11" s="66">
        <v>44076</v>
      </c>
      <c r="B11" s="52" t="s">
        <v>15</v>
      </c>
      <c r="C11" s="23">
        <v>10</v>
      </c>
      <c r="D11" s="23">
        <v>9</v>
      </c>
      <c r="E11" s="25">
        <v>1400</v>
      </c>
      <c r="F11" s="25">
        <v>298</v>
      </c>
      <c r="G11" s="25">
        <v>1102</v>
      </c>
      <c r="H11" s="25">
        <v>2204.8000000000002</v>
      </c>
      <c r="I11" s="44">
        <v>3</v>
      </c>
      <c r="J11" s="44">
        <v>1</v>
      </c>
      <c r="K11" s="44">
        <v>2</v>
      </c>
      <c r="L11" s="44">
        <v>3</v>
      </c>
      <c r="M11" s="44">
        <v>0</v>
      </c>
      <c r="N11" s="23">
        <v>3</v>
      </c>
      <c r="O11" s="23">
        <v>5</v>
      </c>
      <c r="P11" s="23">
        <v>5</v>
      </c>
    </row>
    <row r="12" spans="1:16" x14ac:dyDescent="0.25">
      <c r="A12" s="66">
        <v>44076</v>
      </c>
      <c r="B12" s="52" t="s">
        <v>14</v>
      </c>
      <c r="C12" s="23">
        <v>11</v>
      </c>
      <c r="D12" s="23">
        <v>6</v>
      </c>
      <c r="E12" s="25">
        <v>1580</v>
      </c>
      <c r="F12" s="25">
        <v>385</v>
      </c>
      <c r="G12" s="25">
        <v>1195</v>
      </c>
      <c r="H12" s="25">
        <v>1202.5</v>
      </c>
      <c r="I12" s="44">
        <v>2</v>
      </c>
      <c r="J12" s="44">
        <v>0</v>
      </c>
      <c r="K12" s="44">
        <v>1</v>
      </c>
      <c r="L12" s="44">
        <v>1</v>
      </c>
      <c r="M12" s="44">
        <v>2</v>
      </c>
      <c r="N12" s="23">
        <v>5</v>
      </c>
      <c r="O12" s="23">
        <v>5</v>
      </c>
      <c r="P12" s="23">
        <v>5</v>
      </c>
    </row>
    <row r="13" spans="1:16" x14ac:dyDescent="0.25">
      <c r="A13" s="66">
        <v>44077</v>
      </c>
      <c r="B13" s="52" t="s">
        <v>16</v>
      </c>
      <c r="C13" s="23">
        <v>12</v>
      </c>
      <c r="D13" s="23">
        <v>9</v>
      </c>
      <c r="E13" s="25">
        <v>1390</v>
      </c>
      <c r="F13" s="25">
        <v>352</v>
      </c>
      <c r="G13" s="25">
        <v>1038</v>
      </c>
      <c r="H13" s="25">
        <v>994.2</v>
      </c>
      <c r="I13" s="44">
        <v>2</v>
      </c>
      <c r="J13" s="44">
        <v>3</v>
      </c>
      <c r="K13" s="44">
        <v>2</v>
      </c>
      <c r="L13" s="44">
        <v>2</v>
      </c>
      <c r="M13" s="44">
        <v>0</v>
      </c>
      <c r="N13" s="23">
        <v>5</v>
      </c>
      <c r="O13" s="23">
        <v>4</v>
      </c>
      <c r="P13" s="23">
        <v>4</v>
      </c>
    </row>
    <row r="14" spans="1:16" x14ac:dyDescent="0.25">
      <c r="A14" s="66">
        <v>44077</v>
      </c>
      <c r="B14" s="52" t="s">
        <v>16</v>
      </c>
      <c r="C14" s="23">
        <v>13</v>
      </c>
      <c r="D14" s="23">
        <v>7</v>
      </c>
      <c r="E14" s="25">
        <v>1680</v>
      </c>
      <c r="F14" s="25">
        <v>353</v>
      </c>
      <c r="G14" s="25">
        <v>1327</v>
      </c>
      <c r="H14" s="25">
        <v>1413.3</v>
      </c>
      <c r="I14" s="44">
        <v>0</v>
      </c>
      <c r="J14" s="44">
        <v>3</v>
      </c>
      <c r="K14" s="44">
        <v>3</v>
      </c>
      <c r="L14" s="44">
        <v>0</v>
      </c>
      <c r="M14" s="44">
        <v>1</v>
      </c>
      <c r="N14" s="23">
        <v>5</v>
      </c>
      <c r="O14" s="23">
        <v>5</v>
      </c>
      <c r="P14" s="23">
        <v>5</v>
      </c>
    </row>
    <row r="15" spans="1:16" x14ac:dyDescent="0.25">
      <c r="A15" s="66">
        <v>44077</v>
      </c>
      <c r="B15" s="52" t="s">
        <v>16</v>
      </c>
      <c r="C15" s="23">
        <v>14</v>
      </c>
      <c r="D15" s="23">
        <v>7</v>
      </c>
      <c r="E15" s="25">
        <v>830</v>
      </c>
      <c r="F15" s="25">
        <v>239</v>
      </c>
      <c r="G15" s="25">
        <v>591</v>
      </c>
      <c r="H15" s="25">
        <v>723.9</v>
      </c>
      <c r="I15" s="44">
        <v>3</v>
      </c>
      <c r="J15" s="44">
        <v>2</v>
      </c>
      <c r="K15" s="44">
        <v>0</v>
      </c>
      <c r="L15" s="44">
        <v>2</v>
      </c>
      <c r="M15" s="44">
        <v>0</v>
      </c>
      <c r="N15" s="23">
        <v>5</v>
      </c>
      <c r="O15" s="23">
        <v>5</v>
      </c>
      <c r="P15" s="23">
        <v>5</v>
      </c>
    </row>
    <row r="16" spans="1:16" x14ac:dyDescent="0.25">
      <c r="A16" s="66">
        <v>44077</v>
      </c>
      <c r="B16" s="52" t="s">
        <v>15</v>
      </c>
      <c r="C16" s="23">
        <v>15</v>
      </c>
      <c r="D16" s="23">
        <v>10</v>
      </c>
      <c r="E16" s="25">
        <v>2450</v>
      </c>
      <c r="F16" s="25">
        <v>539</v>
      </c>
      <c r="G16" s="25">
        <v>1911</v>
      </c>
      <c r="H16" s="25">
        <v>1955.9</v>
      </c>
      <c r="I16" s="44">
        <v>1</v>
      </c>
      <c r="J16" s="44">
        <v>1</v>
      </c>
      <c r="K16" s="44">
        <v>2</v>
      </c>
      <c r="L16" s="44">
        <v>3</v>
      </c>
      <c r="M16" s="44">
        <v>3</v>
      </c>
      <c r="N16" s="23">
        <v>4</v>
      </c>
      <c r="O16" s="23">
        <v>3</v>
      </c>
      <c r="P16" s="23">
        <v>4</v>
      </c>
    </row>
    <row r="17" spans="1:16" x14ac:dyDescent="0.25">
      <c r="A17" s="66">
        <v>44077</v>
      </c>
      <c r="B17" s="52" t="s">
        <v>15</v>
      </c>
      <c r="C17" s="23">
        <v>16</v>
      </c>
      <c r="D17" s="23">
        <v>3</v>
      </c>
      <c r="E17" s="25">
        <v>980</v>
      </c>
      <c r="F17" s="25">
        <v>229</v>
      </c>
      <c r="G17" s="25">
        <v>751</v>
      </c>
      <c r="H17" s="25">
        <v>805.9</v>
      </c>
      <c r="I17" s="44">
        <v>0</v>
      </c>
      <c r="J17" s="44">
        <v>0</v>
      </c>
      <c r="K17" s="44">
        <v>0</v>
      </c>
      <c r="L17" s="44">
        <v>1</v>
      </c>
      <c r="M17" s="44">
        <v>2</v>
      </c>
      <c r="N17" s="23">
        <v>5</v>
      </c>
      <c r="O17" s="23">
        <v>5</v>
      </c>
      <c r="P17" s="23">
        <v>5</v>
      </c>
    </row>
    <row r="18" spans="1:16" x14ac:dyDescent="0.25">
      <c r="A18" s="66">
        <v>44077</v>
      </c>
      <c r="B18" s="52" t="s">
        <v>16</v>
      </c>
      <c r="C18" s="23">
        <v>17</v>
      </c>
      <c r="D18" s="23">
        <v>9</v>
      </c>
      <c r="E18" s="25">
        <v>2360</v>
      </c>
      <c r="F18" s="25">
        <v>486</v>
      </c>
      <c r="G18" s="25">
        <v>1874</v>
      </c>
      <c r="H18" s="25">
        <v>866.6</v>
      </c>
      <c r="I18" s="44">
        <v>0</v>
      </c>
      <c r="J18" s="44">
        <v>3</v>
      </c>
      <c r="K18" s="44">
        <v>2</v>
      </c>
      <c r="L18" s="44">
        <v>1</v>
      </c>
      <c r="M18" s="44">
        <v>3</v>
      </c>
      <c r="N18" s="23">
        <v>5</v>
      </c>
      <c r="O18" s="23">
        <v>3</v>
      </c>
      <c r="P18" s="23">
        <v>4</v>
      </c>
    </row>
    <row r="19" spans="1:16" x14ac:dyDescent="0.25">
      <c r="A19" s="66">
        <v>44077</v>
      </c>
      <c r="B19" s="52" t="s">
        <v>14</v>
      </c>
      <c r="C19" s="23">
        <v>18</v>
      </c>
      <c r="D19" s="23">
        <v>8</v>
      </c>
      <c r="E19" s="25">
        <v>2190</v>
      </c>
      <c r="F19" s="25">
        <v>532</v>
      </c>
      <c r="G19" s="25">
        <v>1658</v>
      </c>
      <c r="H19" s="25">
        <v>508.2</v>
      </c>
      <c r="I19" s="44">
        <v>0</v>
      </c>
      <c r="J19" s="44">
        <v>0</v>
      </c>
      <c r="K19" s="44">
        <v>2</v>
      </c>
      <c r="L19" s="44">
        <v>3</v>
      </c>
      <c r="M19" s="44">
        <v>3</v>
      </c>
      <c r="N19" s="23">
        <v>5</v>
      </c>
      <c r="O19" s="23">
        <v>5</v>
      </c>
      <c r="P19" s="23">
        <v>5</v>
      </c>
    </row>
    <row r="20" spans="1:16" x14ac:dyDescent="0.25">
      <c r="A20" s="66">
        <v>44077</v>
      </c>
      <c r="B20" s="52" t="s">
        <v>15</v>
      </c>
      <c r="C20" s="23">
        <v>19</v>
      </c>
      <c r="D20" s="23">
        <v>4</v>
      </c>
      <c r="E20" s="25">
        <v>520</v>
      </c>
      <c r="F20" s="25">
        <v>174</v>
      </c>
      <c r="G20" s="25">
        <v>346</v>
      </c>
      <c r="H20" s="25">
        <v>535.4</v>
      </c>
      <c r="I20" s="44">
        <v>2</v>
      </c>
      <c r="J20" s="44">
        <v>2</v>
      </c>
      <c r="K20" s="44">
        <v>0</v>
      </c>
      <c r="L20" s="44">
        <v>0</v>
      </c>
      <c r="M20" s="44">
        <v>0</v>
      </c>
      <c r="N20" s="23">
        <v>3</v>
      </c>
      <c r="O20" s="23">
        <v>3</v>
      </c>
      <c r="P20" s="23">
        <v>3</v>
      </c>
    </row>
    <row r="21" spans="1:16" x14ac:dyDescent="0.25">
      <c r="A21" s="66">
        <v>44077</v>
      </c>
      <c r="B21" s="52" t="s">
        <v>16</v>
      </c>
      <c r="C21" s="23">
        <v>20</v>
      </c>
      <c r="D21" s="23">
        <v>5</v>
      </c>
      <c r="E21" s="25">
        <v>1650</v>
      </c>
      <c r="F21" s="25">
        <v>428</v>
      </c>
      <c r="G21" s="25">
        <v>1222</v>
      </c>
      <c r="H21" s="25">
        <v>1125.8</v>
      </c>
      <c r="I21" s="44">
        <v>2</v>
      </c>
      <c r="J21" s="44">
        <v>0</v>
      </c>
      <c r="K21" s="44">
        <v>0</v>
      </c>
      <c r="L21" s="44">
        <v>0</v>
      </c>
      <c r="M21" s="44">
        <v>3</v>
      </c>
      <c r="N21" s="23">
        <v>5</v>
      </c>
      <c r="O21" s="23">
        <v>5</v>
      </c>
      <c r="P21" s="23">
        <v>5</v>
      </c>
    </row>
    <row r="22" spans="1:16" x14ac:dyDescent="0.25">
      <c r="A22" s="66">
        <v>44078</v>
      </c>
      <c r="B22" s="52" t="s">
        <v>16</v>
      </c>
      <c r="C22" s="23">
        <v>21</v>
      </c>
      <c r="D22" s="23">
        <v>4</v>
      </c>
      <c r="E22" s="25">
        <v>1160</v>
      </c>
      <c r="F22" s="25">
        <v>248</v>
      </c>
      <c r="G22" s="25">
        <v>912</v>
      </c>
      <c r="H22" s="25">
        <v>987.8</v>
      </c>
      <c r="I22" s="44">
        <v>1</v>
      </c>
      <c r="J22" s="44">
        <v>1</v>
      </c>
      <c r="K22" s="44">
        <v>0</v>
      </c>
      <c r="L22" s="44">
        <v>0</v>
      </c>
      <c r="M22" s="44">
        <v>2</v>
      </c>
      <c r="N22" s="23">
        <v>5</v>
      </c>
      <c r="O22" s="23">
        <v>5</v>
      </c>
      <c r="P22" s="23">
        <v>5</v>
      </c>
    </row>
    <row r="23" spans="1:16" x14ac:dyDescent="0.25">
      <c r="A23" s="66">
        <v>44078</v>
      </c>
      <c r="B23" s="52" t="s">
        <v>16</v>
      </c>
      <c r="C23" s="23">
        <v>22</v>
      </c>
      <c r="D23" s="23">
        <v>4</v>
      </c>
      <c r="E23" s="25">
        <v>680</v>
      </c>
      <c r="F23" s="25">
        <v>190</v>
      </c>
      <c r="G23" s="25">
        <v>490</v>
      </c>
      <c r="H23" s="25">
        <v>1308</v>
      </c>
      <c r="I23" s="44">
        <v>2</v>
      </c>
      <c r="J23" s="44">
        <v>0</v>
      </c>
      <c r="K23" s="44">
        <v>1</v>
      </c>
      <c r="L23" s="44">
        <v>1</v>
      </c>
      <c r="M23" s="44">
        <v>0</v>
      </c>
      <c r="N23" s="23">
        <v>5</v>
      </c>
      <c r="O23" s="23">
        <v>5</v>
      </c>
      <c r="P23" s="23">
        <v>5</v>
      </c>
    </row>
    <row r="24" spans="1:16" x14ac:dyDescent="0.25">
      <c r="A24" s="66">
        <v>44078</v>
      </c>
      <c r="B24" s="52" t="s">
        <v>16</v>
      </c>
      <c r="C24" s="23">
        <v>23</v>
      </c>
      <c r="D24" s="23">
        <v>10</v>
      </c>
      <c r="E24" s="25">
        <v>1700</v>
      </c>
      <c r="F24" s="25">
        <v>387</v>
      </c>
      <c r="G24" s="25">
        <v>1313</v>
      </c>
      <c r="H24" s="25">
        <v>1238.7</v>
      </c>
      <c r="I24" s="44">
        <v>3</v>
      </c>
      <c r="J24" s="44">
        <v>1</v>
      </c>
      <c r="K24" s="44">
        <v>3</v>
      </c>
      <c r="L24" s="44">
        <v>3</v>
      </c>
      <c r="M24" s="44">
        <v>0</v>
      </c>
      <c r="N24" s="23">
        <v>5</v>
      </c>
      <c r="O24" s="23">
        <v>5</v>
      </c>
      <c r="P24" s="23">
        <v>5</v>
      </c>
    </row>
    <row r="25" spans="1:16" x14ac:dyDescent="0.25">
      <c r="A25" s="66">
        <v>44078</v>
      </c>
      <c r="B25" s="52" t="s">
        <v>15</v>
      </c>
      <c r="C25" s="23">
        <v>24</v>
      </c>
      <c r="D25" s="23">
        <v>5</v>
      </c>
      <c r="E25" s="25">
        <v>1430</v>
      </c>
      <c r="F25" s="25">
        <v>320</v>
      </c>
      <c r="G25" s="25">
        <v>1110</v>
      </c>
      <c r="H25" s="25">
        <v>2146</v>
      </c>
      <c r="I25" s="44">
        <v>0</v>
      </c>
      <c r="J25" s="44">
        <v>0</v>
      </c>
      <c r="K25" s="44">
        <v>3</v>
      </c>
      <c r="L25" s="44">
        <v>1</v>
      </c>
      <c r="M25" s="44">
        <v>1</v>
      </c>
      <c r="N25" s="23">
        <v>4</v>
      </c>
      <c r="O25" s="23">
        <v>3</v>
      </c>
      <c r="P25" s="23">
        <v>4</v>
      </c>
    </row>
    <row r="26" spans="1:16" x14ac:dyDescent="0.25">
      <c r="A26" s="66">
        <v>44078</v>
      </c>
      <c r="B26" s="52" t="s">
        <v>16</v>
      </c>
      <c r="C26" s="23">
        <v>25</v>
      </c>
      <c r="D26" s="23">
        <v>6</v>
      </c>
      <c r="E26" s="25">
        <v>1910</v>
      </c>
      <c r="F26" s="25">
        <v>426</v>
      </c>
      <c r="G26" s="25">
        <v>1484</v>
      </c>
      <c r="H26" s="25">
        <v>1445.6</v>
      </c>
      <c r="I26" s="44">
        <v>1</v>
      </c>
      <c r="J26" s="44">
        <v>1</v>
      </c>
      <c r="K26" s="44">
        <v>1</v>
      </c>
      <c r="L26" s="44">
        <v>0</v>
      </c>
      <c r="M26" s="44">
        <v>3</v>
      </c>
      <c r="N26" s="23">
        <v>5</v>
      </c>
      <c r="O26" s="23">
        <v>5</v>
      </c>
      <c r="P26" s="23">
        <v>5</v>
      </c>
    </row>
    <row r="27" spans="1:16" x14ac:dyDescent="0.25">
      <c r="A27" s="66">
        <v>44078</v>
      </c>
      <c r="B27" s="52" t="s">
        <v>14</v>
      </c>
      <c r="C27" s="23">
        <v>26</v>
      </c>
      <c r="D27" s="23">
        <v>7</v>
      </c>
      <c r="E27" s="25">
        <v>1590</v>
      </c>
      <c r="F27" s="25">
        <v>370</v>
      </c>
      <c r="G27" s="25">
        <v>1220</v>
      </c>
      <c r="H27" s="25">
        <v>1168</v>
      </c>
      <c r="I27" s="44">
        <v>0</v>
      </c>
      <c r="J27" s="44">
        <v>0</v>
      </c>
      <c r="K27" s="44">
        <v>3</v>
      </c>
      <c r="L27" s="44">
        <v>3</v>
      </c>
      <c r="M27" s="44">
        <v>1</v>
      </c>
      <c r="N27" s="23">
        <v>5</v>
      </c>
      <c r="O27" s="23">
        <v>4</v>
      </c>
      <c r="P27" s="23">
        <v>4</v>
      </c>
    </row>
    <row r="28" spans="1:16" x14ac:dyDescent="0.25">
      <c r="A28" s="66">
        <v>44079</v>
      </c>
      <c r="B28" s="52" t="s">
        <v>15</v>
      </c>
      <c r="C28" s="23">
        <v>27</v>
      </c>
      <c r="D28" s="23">
        <v>11</v>
      </c>
      <c r="E28" s="25">
        <v>2640</v>
      </c>
      <c r="F28" s="25">
        <v>565</v>
      </c>
      <c r="G28" s="25">
        <v>2075</v>
      </c>
      <c r="H28" s="25">
        <v>2153.5</v>
      </c>
      <c r="I28" s="44">
        <v>3</v>
      </c>
      <c r="J28" s="44">
        <v>0</v>
      </c>
      <c r="K28" s="44">
        <v>2</v>
      </c>
      <c r="L28" s="44">
        <v>3</v>
      </c>
      <c r="M28" s="44">
        <v>3</v>
      </c>
      <c r="N28" s="23">
        <v>5</v>
      </c>
      <c r="O28" s="23">
        <v>4</v>
      </c>
      <c r="P28" s="23">
        <v>4</v>
      </c>
    </row>
    <row r="29" spans="1:16" x14ac:dyDescent="0.25">
      <c r="A29" s="66">
        <v>44079</v>
      </c>
      <c r="B29" s="52" t="s">
        <v>16</v>
      </c>
      <c r="C29" s="23">
        <v>28</v>
      </c>
      <c r="D29" s="23">
        <v>10</v>
      </c>
      <c r="E29" s="25">
        <v>2480</v>
      </c>
      <c r="F29" s="25">
        <v>547</v>
      </c>
      <c r="G29" s="25">
        <v>1933</v>
      </c>
      <c r="H29" s="25">
        <v>769.7</v>
      </c>
      <c r="I29" s="44">
        <v>1</v>
      </c>
      <c r="J29" s="44">
        <v>2</v>
      </c>
      <c r="K29" s="44">
        <v>2</v>
      </c>
      <c r="L29" s="44">
        <v>2</v>
      </c>
      <c r="M29" s="44">
        <v>3</v>
      </c>
      <c r="N29" s="23">
        <v>5</v>
      </c>
      <c r="O29" s="23">
        <v>4</v>
      </c>
      <c r="P29" s="23">
        <v>3</v>
      </c>
    </row>
    <row r="30" spans="1:16" x14ac:dyDescent="0.25">
      <c r="A30" s="66">
        <v>44079</v>
      </c>
      <c r="B30" s="52" t="s">
        <v>14</v>
      </c>
      <c r="C30" s="23">
        <v>29</v>
      </c>
      <c r="D30" s="23">
        <v>8</v>
      </c>
      <c r="E30" s="25">
        <v>1130</v>
      </c>
      <c r="F30" s="25">
        <v>246</v>
      </c>
      <c r="G30" s="25">
        <v>884</v>
      </c>
      <c r="H30" s="25">
        <v>1917.6</v>
      </c>
      <c r="I30" s="44">
        <v>3</v>
      </c>
      <c r="J30" s="44">
        <v>2</v>
      </c>
      <c r="K30" s="44">
        <v>1</v>
      </c>
      <c r="L30" s="44">
        <v>2</v>
      </c>
      <c r="M30" s="44">
        <v>0</v>
      </c>
      <c r="N30" s="23">
        <v>4</v>
      </c>
      <c r="O30" s="23">
        <v>3</v>
      </c>
      <c r="P30" s="23">
        <v>4</v>
      </c>
    </row>
    <row r="31" spans="1:16" x14ac:dyDescent="0.25">
      <c r="A31" s="66">
        <v>44079</v>
      </c>
      <c r="B31" s="52" t="s">
        <v>14</v>
      </c>
      <c r="C31" s="23">
        <v>30</v>
      </c>
      <c r="D31" s="23">
        <v>7</v>
      </c>
      <c r="E31" s="25">
        <v>1960</v>
      </c>
      <c r="F31" s="25">
        <v>412</v>
      </c>
      <c r="G31" s="25">
        <v>1548</v>
      </c>
      <c r="H31" s="25">
        <v>1535.2</v>
      </c>
      <c r="I31" s="44">
        <v>0</v>
      </c>
      <c r="J31" s="44">
        <v>0</v>
      </c>
      <c r="K31" s="44">
        <v>3</v>
      </c>
      <c r="L31" s="44">
        <v>2</v>
      </c>
      <c r="M31" s="44">
        <v>2</v>
      </c>
      <c r="N31" s="23">
        <v>3</v>
      </c>
      <c r="O31" s="23">
        <v>5</v>
      </c>
      <c r="P31" s="23">
        <v>3</v>
      </c>
    </row>
    <row r="32" spans="1:16" x14ac:dyDescent="0.25">
      <c r="A32" s="66">
        <v>44079</v>
      </c>
      <c r="B32" s="52" t="s">
        <v>15</v>
      </c>
      <c r="C32" s="23">
        <v>31</v>
      </c>
      <c r="D32" s="23">
        <v>8</v>
      </c>
      <c r="E32" s="25">
        <v>1470</v>
      </c>
      <c r="F32" s="25">
        <v>341</v>
      </c>
      <c r="G32" s="25">
        <v>1129</v>
      </c>
      <c r="H32" s="25">
        <v>1073.0999999999999</v>
      </c>
      <c r="I32" s="44">
        <v>3</v>
      </c>
      <c r="J32" s="44">
        <v>1</v>
      </c>
      <c r="K32" s="44">
        <v>1</v>
      </c>
      <c r="L32" s="44">
        <v>2</v>
      </c>
      <c r="M32" s="44">
        <v>1</v>
      </c>
      <c r="N32" s="23">
        <v>4</v>
      </c>
      <c r="O32" s="23">
        <v>5</v>
      </c>
      <c r="P32" s="23">
        <v>5</v>
      </c>
    </row>
    <row r="33" spans="1:16" x14ac:dyDescent="0.25">
      <c r="A33" s="66">
        <v>44079</v>
      </c>
      <c r="B33" s="52" t="s">
        <v>15</v>
      </c>
      <c r="C33" s="23">
        <v>32</v>
      </c>
      <c r="D33" s="23">
        <v>4</v>
      </c>
      <c r="E33" s="25">
        <v>1310</v>
      </c>
      <c r="F33" s="25">
        <v>347</v>
      </c>
      <c r="G33" s="25">
        <v>963</v>
      </c>
      <c r="H33" s="25">
        <v>515.70000000000005</v>
      </c>
      <c r="I33" s="44">
        <v>0</v>
      </c>
      <c r="J33" s="44">
        <v>1</v>
      </c>
      <c r="K33" s="44">
        <v>1</v>
      </c>
      <c r="L33" s="44">
        <v>0</v>
      </c>
      <c r="M33" s="44">
        <v>2</v>
      </c>
      <c r="N33" s="23">
        <v>3</v>
      </c>
      <c r="O33" s="23">
        <v>5</v>
      </c>
      <c r="P33" s="23">
        <v>3</v>
      </c>
    </row>
    <row r="34" spans="1:16" x14ac:dyDescent="0.25">
      <c r="A34" s="66">
        <v>44079</v>
      </c>
      <c r="B34" s="52" t="s">
        <v>15</v>
      </c>
      <c r="C34" s="23">
        <v>33</v>
      </c>
      <c r="D34" s="23">
        <v>11</v>
      </c>
      <c r="E34" s="25">
        <v>2070</v>
      </c>
      <c r="F34" s="25">
        <v>484</v>
      </c>
      <c r="G34" s="25">
        <v>1586</v>
      </c>
      <c r="H34" s="25">
        <v>1810.4</v>
      </c>
      <c r="I34" s="44">
        <v>2</v>
      </c>
      <c r="J34" s="44">
        <v>3</v>
      </c>
      <c r="K34" s="44">
        <v>1</v>
      </c>
      <c r="L34" s="44">
        <v>3</v>
      </c>
      <c r="M34" s="44">
        <v>2</v>
      </c>
      <c r="N34" s="23">
        <v>2</v>
      </c>
      <c r="O34" s="23">
        <v>4</v>
      </c>
      <c r="P34" s="23">
        <v>4</v>
      </c>
    </row>
    <row r="35" spans="1:16" x14ac:dyDescent="0.25">
      <c r="A35" s="66">
        <v>44080</v>
      </c>
      <c r="B35" s="52" t="s">
        <v>14</v>
      </c>
      <c r="C35" s="23">
        <v>34</v>
      </c>
      <c r="D35" s="23">
        <v>4</v>
      </c>
      <c r="E35" s="25">
        <v>530</v>
      </c>
      <c r="F35" s="25">
        <v>197</v>
      </c>
      <c r="G35" s="25">
        <v>333</v>
      </c>
      <c r="H35" s="25">
        <v>351.7</v>
      </c>
      <c r="I35" s="44">
        <v>3</v>
      </c>
      <c r="J35" s="44">
        <v>0</v>
      </c>
      <c r="K35" s="44">
        <v>0</v>
      </c>
      <c r="L35" s="44">
        <v>1</v>
      </c>
      <c r="M35" s="44">
        <v>0</v>
      </c>
      <c r="N35" s="23">
        <v>5</v>
      </c>
      <c r="O35" s="23">
        <v>5</v>
      </c>
      <c r="P35" s="23">
        <v>5</v>
      </c>
    </row>
    <row r="36" spans="1:16" x14ac:dyDescent="0.25">
      <c r="A36" s="66">
        <v>44080</v>
      </c>
      <c r="B36" s="52" t="s">
        <v>14</v>
      </c>
      <c r="C36" s="23">
        <v>35</v>
      </c>
      <c r="D36" s="23">
        <v>6</v>
      </c>
      <c r="E36" s="25">
        <v>1140</v>
      </c>
      <c r="F36" s="25">
        <v>253</v>
      </c>
      <c r="G36" s="25">
        <v>887</v>
      </c>
      <c r="H36" s="25">
        <v>929.3</v>
      </c>
      <c r="I36" s="44">
        <v>0</v>
      </c>
      <c r="J36" s="44">
        <v>0</v>
      </c>
      <c r="K36" s="44">
        <v>3</v>
      </c>
      <c r="L36" s="44">
        <v>3</v>
      </c>
      <c r="M36" s="44">
        <v>0</v>
      </c>
      <c r="N36" s="23">
        <v>5</v>
      </c>
      <c r="O36" s="23">
        <v>5</v>
      </c>
      <c r="P36" s="23">
        <v>5</v>
      </c>
    </row>
    <row r="37" spans="1:16" x14ac:dyDescent="0.25">
      <c r="A37" s="66">
        <v>44080</v>
      </c>
      <c r="B37" s="52" t="s">
        <v>16</v>
      </c>
      <c r="C37" s="23">
        <v>36</v>
      </c>
      <c r="D37" s="23">
        <v>4</v>
      </c>
      <c r="E37" s="25">
        <v>1130</v>
      </c>
      <c r="F37" s="25">
        <v>323</v>
      </c>
      <c r="G37" s="25">
        <v>807</v>
      </c>
      <c r="H37" s="25">
        <v>1871.3</v>
      </c>
      <c r="I37" s="44">
        <v>0</v>
      </c>
      <c r="J37" s="44">
        <v>0</v>
      </c>
      <c r="K37" s="44">
        <v>2</v>
      </c>
      <c r="L37" s="44">
        <v>1</v>
      </c>
      <c r="M37" s="44">
        <v>1</v>
      </c>
      <c r="N37" s="23">
        <v>5</v>
      </c>
      <c r="O37" s="23">
        <v>5</v>
      </c>
      <c r="P37" s="23">
        <v>5</v>
      </c>
    </row>
    <row r="38" spans="1:16" x14ac:dyDescent="0.25">
      <c r="A38" s="66">
        <v>44080</v>
      </c>
      <c r="B38" s="52" t="s">
        <v>15</v>
      </c>
      <c r="C38" s="23">
        <v>37</v>
      </c>
      <c r="D38" s="23">
        <v>2</v>
      </c>
      <c r="E38" s="25">
        <v>450</v>
      </c>
      <c r="F38" s="25">
        <v>104</v>
      </c>
      <c r="G38" s="25">
        <v>346</v>
      </c>
      <c r="H38" s="25">
        <v>484.4</v>
      </c>
      <c r="I38" s="44">
        <v>1</v>
      </c>
      <c r="J38" s="44">
        <v>0</v>
      </c>
      <c r="K38" s="44">
        <v>1</v>
      </c>
      <c r="L38" s="44">
        <v>0</v>
      </c>
      <c r="M38" s="44">
        <v>0</v>
      </c>
      <c r="N38" s="23">
        <v>3</v>
      </c>
      <c r="O38" s="23">
        <v>3</v>
      </c>
      <c r="P38" s="23">
        <v>5</v>
      </c>
    </row>
    <row r="39" spans="1:16" x14ac:dyDescent="0.25">
      <c r="A39" s="66">
        <v>44081</v>
      </c>
      <c r="B39" s="52" t="s">
        <v>14</v>
      </c>
      <c r="C39" s="23">
        <v>38</v>
      </c>
      <c r="D39" s="23">
        <v>9</v>
      </c>
      <c r="E39" s="25">
        <v>1920</v>
      </c>
      <c r="F39" s="25">
        <v>435</v>
      </c>
      <c r="G39" s="25">
        <v>1485</v>
      </c>
      <c r="H39" s="25">
        <v>1447.5</v>
      </c>
      <c r="I39" s="44">
        <v>2</v>
      </c>
      <c r="J39" s="44">
        <v>1</v>
      </c>
      <c r="K39" s="44">
        <v>3</v>
      </c>
      <c r="L39" s="44">
        <v>2</v>
      </c>
      <c r="M39" s="44">
        <v>1</v>
      </c>
      <c r="N39" s="23">
        <v>4</v>
      </c>
      <c r="O39" s="23">
        <v>5</v>
      </c>
      <c r="P39" s="23">
        <v>5</v>
      </c>
    </row>
    <row r="40" spans="1:16" x14ac:dyDescent="0.25">
      <c r="A40" s="66">
        <v>44081</v>
      </c>
      <c r="B40" s="52" t="s">
        <v>16</v>
      </c>
      <c r="C40" s="23">
        <v>39</v>
      </c>
      <c r="D40" s="23">
        <v>6</v>
      </c>
      <c r="E40" s="25">
        <v>1080</v>
      </c>
      <c r="F40" s="25">
        <v>257</v>
      </c>
      <c r="G40" s="25">
        <v>823</v>
      </c>
      <c r="H40" s="25">
        <v>848.7</v>
      </c>
      <c r="I40" s="44">
        <v>1</v>
      </c>
      <c r="J40" s="44">
        <v>3</v>
      </c>
      <c r="K40" s="44">
        <v>2</v>
      </c>
      <c r="L40" s="44">
        <v>0</v>
      </c>
      <c r="M40" s="44">
        <v>0</v>
      </c>
      <c r="N40" s="23">
        <v>5</v>
      </c>
      <c r="O40" s="23">
        <v>5</v>
      </c>
      <c r="P40" s="23">
        <v>5</v>
      </c>
    </row>
    <row r="41" spans="1:16" x14ac:dyDescent="0.25">
      <c r="A41" s="66">
        <v>44081</v>
      </c>
      <c r="B41" s="52" t="s">
        <v>16</v>
      </c>
      <c r="C41" s="23">
        <v>40</v>
      </c>
      <c r="D41" s="23">
        <v>8</v>
      </c>
      <c r="E41" s="25">
        <v>1590</v>
      </c>
      <c r="F41" s="25">
        <v>333</v>
      </c>
      <c r="G41" s="25">
        <v>1257</v>
      </c>
      <c r="H41" s="25">
        <v>1122.3</v>
      </c>
      <c r="I41" s="44">
        <v>2</v>
      </c>
      <c r="J41" s="44">
        <v>0</v>
      </c>
      <c r="K41" s="44">
        <v>2</v>
      </c>
      <c r="L41" s="44">
        <v>3</v>
      </c>
      <c r="M41" s="44">
        <v>1</v>
      </c>
      <c r="N41" s="23">
        <v>5</v>
      </c>
      <c r="O41" s="23">
        <v>5</v>
      </c>
      <c r="P41" s="23">
        <v>5</v>
      </c>
    </row>
    <row r="42" spans="1:16" x14ac:dyDescent="0.25">
      <c r="A42" s="66">
        <v>44081</v>
      </c>
      <c r="B42" s="52" t="s">
        <v>15</v>
      </c>
      <c r="C42" s="23">
        <v>41</v>
      </c>
      <c r="D42" s="23">
        <v>10</v>
      </c>
      <c r="E42" s="25">
        <v>1850</v>
      </c>
      <c r="F42" s="25">
        <v>440</v>
      </c>
      <c r="G42" s="25">
        <v>1410</v>
      </c>
      <c r="H42" s="25">
        <v>1469</v>
      </c>
      <c r="I42" s="44">
        <v>3</v>
      </c>
      <c r="J42" s="44">
        <v>1</v>
      </c>
      <c r="K42" s="44">
        <v>2</v>
      </c>
      <c r="L42" s="44">
        <v>3</v>
      </c>
      <c r="M42" s="44">
        <v>1</v>
      </c>
      <c r="N42" s="23">
        <v>4</v>
      </c>
      <c r="O42" s="23">
        <v>4</v>
      </c>
      <c r="P42" s="23">
        <v>3</v>
      </c>
    </row>
    <row r="43" spans="1:16" x14ac:dyDescent="0.25">
      <c r="A43" s="66">
        <v>44082</v>
      </c>
      <c r="B43" s="52" t="s">
        <v>14</v>
      </c>
      <c r="C43" s="23">
        <v>42</v>
      </c>
      <c r="D43" s="23">
        <v>7</v>
      </c>
      <c r="E43" s="25">
        <v>1090</v>
      </c>
      <c r="F43" s="25">
        <v>230</v>
      </c>
      <c r="G43" s="25">
        <v>860</v>
      </c>
      <c r="H43" s="25">
        <v>900</v>
      </c>
      <c r="I43" s="44">
        <v>0</v>
      </c>
      <c r="J43" s="44">
        <v>3</v>
      </c>
      <c r="K43" s="44">
        <v>2</v>
      </c>
      <c r="L43" s="44">
        <v>2</v>
      </c>
      <c r="M43" s="44">
        <v>0</v>
      </c>
      <c r="N43" s="23">
        <v>5</v>
      </c>
      <c r="O43" s="23">
        <v>5</v>
      </c>
      <c r="P43" s="23">
        <v>4</v>
      </c>
    </row>
    <row r="44" spans="1:16" x14ac:dyDescent="0.25">
      <c r="A44" s="66">
        <v>44082</v>
      </c>
      <c r="B44" s="52" t="s">
        <v>15</v>
      </c>
      <c r="C44" s="23">
        <v>43</v>
      </c>
      <c r="D44" s="23">
        <v>7</v>
      </c>
      <c r="E44" s="25">
        <v>1430</v>
      </c>
      <c r="F44" s="25">
        <v>327</v>
      </c>
      <c r="G44" s="25">
        <v>1103</v>
      </c>
      <c r="H44" s="25">
        <v>1391.7</v>
      </c>
      <c r="I44" s="44">
        <v>3</v>
      </c>
      <c r="J44" s="44">
        <v>0</v>
      </c>
      <c r="K44" s="44">
        <v>3</v>
      </c>
      <c r="L44" s="44">
        <v>1</v>
      </c>
      <c r="M44" s="44">
        <v>0</v>
      </c>
      <c r="N44" s="23">
        <v>4</v>
      </c>
      <c r="O44" s="23">
        <v>3</v>
      </c>
      <c r="P44" s="23">
        <v>3</v>
      </c>
    </row>
    <row r="45" spans="1:16" x14ac:dyDescent="0.25">
      <c r="A45" s="66">
        <v>44082</v>
      </c>
      <c r="B45" s="52" t="s">
        <v>14</v>
      </c>
      <c r="C45" s="23">
        <v>44</v>
      </c>
      <c r="D45" s="23">
        <v>7</v>
      </c>
      <c r="E45" s="25">
        <v>1310</v>
      </c>
      <c r="F45" s="25">
        <v>331</v>
      </c>
      <c r="G45" s="25">
        <v>979</v>
      </c>
      <c r="H45" s="25">
        <v>960.1</v>
      </c>
      <c r="I45" s="44">
        <v>0</v>
      </c>
      <c r="J45" s="44">
        <v>3</v>
      </c>
      <c r="K45" s="44">
        <v>3</v>
      </c>
      <c r="L45" s="44">
        <v>1</v>
      </c>
      <c r="M45" s="44">
        <v>0</v>
      </c>
      <c r="N45" s="23">
        <v>5</v>
      </c>
      <c r="O45" s="23">
        <v>5</v>
      </c>
      <c r="P45" s="23">
        <v>5</v>
      </c>
    </row>
    <row r="46" spans="1:16" x14ac:dyDescent="0.25">
      <c r="A46" s="66">
        <v>44082</v>
      </c>
      <c r="B46" s="52" t="s">
        <v>16</v>
      </c>
      <c r="C46" s="23">
        <v>45</v>
      </c>
      <c r="D46" s="23">
        <v>10</v>
      </c>
      <c r="E46" s="25">
        <v>2370</v>
      </c>
      <c r="F46" s="25">
        <v>505</v>
      </c>
      <c r="G46" s="25">
        <v>1865</v>
      </c>
      <c r="H46" s="25">
        <v>1754.5</v>
      </c>
      <c r="I46" s="44">
        <v>2</v>
      </c>
      <c r="J46" s="44">
        <v>1</v>
      </c>
      <c r="K46" s="44">
        <v>3</v>
      </c>
      <c r="L46" s="44">
        <v>2</v>
      </c>
      <c r="M46" s="44">
        <v>2</v>
      </c>
      <c r="N46" s="23">
        <v>5</v>
      </c>
      <c r="O46" s="23">
        <v>5</v>
      </c>
      <c r="P46" s="23">
        <v>5</v>
      </c>
    </row>
    <row r="47" spans="1:16" x14ac:dyDescent="0.25">
      <c r="A47" s="66">
        <v>44082</v>
      </c>
      <c r="B47" s="52" t="s">
        <v>14</v>
      </c>
      <c r="C47" s="23">
        <v>46</v>
      </c>
      <c r="D47" s="23">
        <v>8</v>
      </c>
      <c r="E47" s="25">
        <v>1810</v>
      </c>
      <c r="F47" s="25">
        <v>383</v>
      </c>
      <c r="G47" s="25">
        <v>1427</v>
      </c>
      <c r="H47" s="25">
        <v>1381.3</v>
      </c>
      <c r="I47" s="44">
        <v>3</v>
      </c>
      <c r="J47" s="44">
        <v>0</v>
      </c>
      <c r="K47" s="44">
        <v>1</v>
      </c>
      <c r="L47" s="44">
        <v>2</v>
      </c>
      <c r="M47" s="44">
        <v>2</v>
      </c>
      <c r="N47" s="23">
        <v>5</v>
      </c>
      <c r="O47" s="23">
        <v>4</v>
      </c>
      <c r="P47" s="23">
        <v>4</v>
      </c>
    </row>
    <row r="48" spans="1:16" x14ac:dyDescent="0.25">
      <c r="A48" s="66">
        <v>44083</v>
      </c>
      <c r="B48" s="52" t="s">
        <v>16</v>
      </c>
      <c r="C48" s="23">
        <v>47</v>
      </c>
      <c r="D48" s="23">
        <v>11</v>
      </c>
      <c r="E48" s="25">
        <v>2410</v>
      </c>
      <c r="F48" s="25">
        <v>520</v>
      </c>
      <c r="G48" s="25">
        <v>1890</v>
      </c>
      <c r="H48" s="25">
        <v>1972</v>
      </c>
      <c r="I48" s="44">
        <v>1</v>
      </c>
      <c r="J48" s="44">
        <v>2</v>
      </c>
      <c r="K48" s="44">
        <v>3</v>
      </c>
      <c r="L48" s="44">
        <v>3</v>
      </c>
      <c r="M48" s="44">
        <v>2</v>
      </c>
      <c r="N48" s="23">
        <v>4</v>
      </c>
      <c r="O48" s="23">
        <v>5</v>
      </c>
      <c r="P48" s="23">
        <v>5</v>
      </c>
    </row>
    <row r="49" spans="1:16" x14ac:dyDescent="0.25">
      <c r="A49" s="66">
        <v>44083</v>
      </c>
      <c r="B49" s="52" t="s">
        <v>14</v>
      </c>
      <c r="C49" s="23">
        <v>48</v>
      </c>
      <c r="D49" s="23">
        <v>4</v>
      </c>
      <c r="E49" s="25">
        <v>460</v>
      </c>
      <c r="F49" s="25">
        <v>126</v>
      </c>
      <c r="G49" s="25">
        <v>334</v>
      </c>
      <c r="H49" s="25">
        <v>329.6</v>
      </c>
      <c r="I49" s="44">
        <v>2</v>
      </c>
      <c r="J49" s="44">
        <v>0</v>
      </c>
      <c r="K49" s="44">
        <v>0</v>
      </c>
      <c r="L49" s="44">
        <v>2</v>
      </c>
      <c r="M49" s="44">
        <v>0</v>
      </c>
      <c r="N49" s="23">
        <v>5</v>
      </c>
      <c r="O49" s="23">
        <v>4</v>
      </c>
      <c r="P49" s="23">
        <v>4</v>
      </c>
    </row>
    <row r="50" spans="1:16" x14ac:dyDescent="0.25">
      <c r="A50" s="66">
        <v>44083</v>
      </c>
      <c r="B50" s="52" t="s">
        <v>14</v>
      </c>
      <c r="C50" s="23">
        <v>49</v>
      </c>
      <c r="D50" s="23">
        <v>6</v>
      </c>
      <c r="E50" s="25">
        <v>1350</v>
      </c>
      <c r="F50" s="25">
        <v>343</v>
      </c>
      <c r="G50" s="25">
        <v>1007</v>
      </c>
      <c r="H50" s="25">
        <v>1091.3</v>
      </c>
      <c r="I50" s="44">
        <v>0</v>
      </c>
      <c r="J50" s="44">
        <v>2</v>
      </c>
      <c r="K50" s="44">
        <v>2</v>
      </c>
      <c r="L50" s="44">
        <v>1</v>
      </c>
      <c r="M50" s="44">
        <v>1</v>
      </c>
      <c r="N50" s="23">
        <v>4</v>
      </c>
      <c r="O50" s="23">
        <v>5</v>
      </c>
      <c r="P50" s="23">
        <v>4</v>
      </c>
    </row>
    <row r="51" spans="1:16" x14ac:dyDescent="0.25">
      <c r="A51" s="66">
        <v>44083</v>
      </c>
      <c r="B51" s="52" t="s">
        <v>16</v>
      </c>
      <c r="C51" s="23">
        <v>50</v>
      </c>
      <c r="D51" s="23">
        <v>10</v>
      </c>
      <c r="E51" s="25">
        <v>2600</v>
      </c>
      <c r="F51" s="25">
        <v>562</v>
      </c>
      <c r="G51" s="25">
        <v>2038</v>
      </c>
      <c r="H51" s="25">
        <v>1797.2</v>
      </c>
      <c r="I51" s="44">
        <v>0</v>
      </c>
      <c r="J51" s="44">
        <v>1</v>
      </c>
      <c r="K51" s="44">
        <v>3</v>
      </c>
      <c r="L51" s="44">
        <v>3</v>
      </c>
      <c r="M51" s="44">
        <v>3</v>
      </c>
      <c r="N51" s="23">
        <v>5</v>
      </c>
      <c r="O51" s="23">
        <v>5</v>
      </c>
      <c r="P51" s="23">
        <v>5</v>
      </c>
    </row>
    <row r="52" spans="1:16" x14ac:dyDescent="0.25">
      <c r="A52" s="66">
        <v>44083</v>
      </c>
      <c r="B52" s="52" t="s">
        <v>16</v>
      </c>
      <c r="C52" s="23">
        <v>51</v>
      </c>
      <c r="D52" s="23">
        <v>9</v>
      </c>
      <c r="E52" s="25">
        <v>1170</v>
      </c>
      <c r="F52" s="25">
        <v>261</v>
      </c>
      <c r="G52" s="25">
        <v>909</v>
      </c>
      <c r="H52" s="25">
        <v>746.1</v>
      </c>
      <c r="I52" s="44">
        <v>2</v>
      </c>
      <c r="J52" s="44">
        <v>3</v>
      </c>
      <c r="K52" s="44">
        <v>1</v>
      </c>
      <c r="L52" s="44">
        <v>3</v>
      </c>
      <c r="M52" s="44">
        <v>0</v>
      </c>
      <c r="N52" s="23">
        <v>5</v>
      </c>
      <c r="O52" s="23">
        <v>5</v>
      </c>
      <c r="P52" s="23">
        <v>5</v>
      </c>
    </row>
    <row r="53" spans="1:16" x14ac:dyDescent="0.25">
      <c r="A53" s="66">
        <v>44083</v>
      </c>
      <c r="B53" s="52" t="s">
        <v>15</v>
      </c>
      <c r="C53" s="23">
        <v>52</v>
      </c>
      <c r="D53" s="23">
        <v>3</v>
      </c>
      <c r="E53" s="25">
        <v>610</v>
      </c>
      <c r="F53" s="25">
        <v>194</v>
      </c>
      <c r="G53" s="25">
        <v>416</v>
      </c>
      <c r="H53" s="25">
        <v>1497.4</v>
      </c>
      <c r="I53" s="44">
        <v>0</v>
      </c>
      <c r="J53" s="44">
        <v>0</v>
      </c>
      <c r="K53" s="44">
        <v>0</v>
      </c>
      <c r="L53" s="44">
        <v>2</v>
      </c>
      <c r="M53" s="44">
        <v>1</v>
      </c>
      <c r="N53" s="23">
        <v>3</v>
      </c>
      <c r="O53" s="23">
        <v>4</v>
      </c>
      <c r="P53" s="23">
        <v>4</v>
      </c>
    </row>
    <row r="54" spans="1:16" x14ac:dyDescent="0.25">
      <c r="A54" s="66">
        <v>44084</v>
      </c>
      <c r="B54" s="52" t="s">
        <v>16</v>
      </c>
      <c r="C54" s="23">
        <v>53</v>
      </c>
      <c r="D54" s="23">
        <v>10</v>
      </c>
      <c r="E54" s="25">
        <v>2450</v>
      </c>
      <c r="F54" s="25">
        <v>572</v>
      </c>
      <c r="G54" s="25">
        <v>1878</v>
      </c>
      <c r="H54" s="25">
        <v>815.2</v>
      </c>
      <c r="I54" s="44">
        <v>1</v>
      </c>
      <c r="J54" s="44">
        <v>1</v>
      </c>
      <c r="K54" s="44">
        <v>2</v>
      </c>
      <c r="L54" s="44">
        <v>3</v>
      </c>
      <c r="M54" s="44">
        <v>3</v>
      </c>
      <c r="N54" s="23">
        <v>5</v>
      </c>
      <c r="O54" s="23">
        <v>5</v>
      </c>
      <c r="P54" s="23">
        <v>5</v>
      </c>
    </row>
    <row r="55" spans="1:16" x14ac:dyDescent="0.25">
      <c r="A55" s="66">
        <v>44084</v>
      </c>
      <c r="B55" s="52" t="s">
        <v>14</v>
      </c>
      <c r="C55" s="23">
        <v>54</v>
      </c>
      <c r="D55" s="23">
        <v>9</v>
      </c>
      <c r="E55" s="25">
        <v>2410</v>
      </c>
      <c r="F55" s="25">
        <v>578</v>
      </c>
      <c r="G55" s="25">
        <v>1832</v>
      </c>
      <c r="H55" s="25">
        <v>865.8</v>
      </c>
      <c r="I55" s="44">
        <v>2</v>
      </c>
      <c r="J55" s="44">
        <v>0</v>
      </c>
      <c r="K55" s="44">
        <v>2</v>
      </c>
      <c r="L55" s="44">
        <v>2</v>
      </c>
      <c r="M55" s="44">
        <v>3</v>
      </c>
      <c r="N55" s="23">
        <v>4</v>
      </c>
      <c r="O55" s="23">
        <v>5</v>
      </c>
      <c r="P55" s="23">
        <v>4</v>
      </c>
    </row>
    <row r="56" spans="1:16" x14ac:dyDescent="0.25">
      <c r="A56" s="66">
        <v>44084</v>
      </c>
      <c r="B56" s="52" t="s">
        <v>16</v>
      </c>
      <c r="C56" s="23">
        <v>55</v>
      </c>
      <c r="D56" s="23">
        <v>9</v>
      </c>
      <c r="E56" s="25">
        <v>2140</v>
      </c>
      <c r="F56" s="25">
        <v>465</v>
      </c>
      <c r="G56" s="25">
        <v>1675</v>
      </c>
      <c r="H56" s="25">
        <v>536.5</v>
      </c>
      <c r="I56" s="44">
        <v>0</v>
      </c>
      <c r="J56" s="44">
        <v>3</v>
      </c>
      <c r="K56" s="44">
        <v>1</v>
      </c>
      <c r="L56" s="44">
        <v>2</v>
      </c>
      <c r="M56" s="44">
        <v>3</v>
      </c>
      <c r="N56" s="23">
        <v>5</v>
      </c>
      <c r="O56" s="23">
        <v>4</v>
      </c>
      <c r="P56" s="23">
        <v>5</v>
      </c>
    </row>
    <row r="57" spans="1:16" x14ac:dyDescent="0.25">
      <c r="A57" s="66">
        <v>44084</v>
      </c>
      <c r="B57" s="52" t="s">
        <v>16</v>
      </c>
      <c r="C57" s="23">
        <v>56</v>
      </c>
      <c r="D57" s="23">
        <v>6</v>
      </c>
      <c r="E57" s="25">
        <v>650</v>
      </c>
      <c r="F57" s="25">
        <v>172</v>
      </c>
      <c r="G57" s="25">
        <v>478</v>
      </c>
      <c r="H57" s="25">
        <v>1510.2</v>
      </c>
      <c r="I57" s="44">
        <v>2</v>
      </c>
      <c r="J57" s="44">
        <v>1</v>
      </c>
      <c r="K57" s="44">
        <v>0</v>
      </c>
      <c r="L57" s="44">
        <v>3</v>
      </c>
      <c r="M57" s="44">
        <v>0</v>
      </c>
      <c r="N57" s="23">
        <v>5</v>
      </c>
      <c r="O57" s="23">
        <v>5</v>
      </c>
      <c r="P57" s="23">
        <v>5</v>
      </c>
    </row>
    <row r="58" spans="1:16" x14ac:dyDescent="0.25">
      <c r="A58" s="66">
        <v>44084</v>
      </c>
      <c r="B58" s="52" t="s">
        <v>14</v>
      </c>
      <c r="C58" s="23">
        <v>57</v>
      </c>
      <c r="D58" s="23">
        <v>5</v>
      </c>
      <c r="E58" s="25">
        <v>1540</v>
      </c>
      <c r="F58" s="25">
        <v>366</v>
      </c>
      <c r="G58" s="25">
        <v>1174</v>
      </c>
      <c r="H58" s="25">
        <v>1177.5999999999999</v>
      </c>
      <c r="I58" s="44">
        <v>0</v>
      </c>
      <c r="J58" s="44">
        <v>1</v>
      </c>
      <c r="K58" s="44">
        <v>0</v>
      </c>
      <c r="L58" s="44">
        <v>1</v>
      </c>
      <c r="M58" s="44">
        <v>3</v>
      </c>
      <c r="N58" s="23">
        <v>5</v>
      </c>
      <c r="O58" s="23">
        <v>4</v>
      </c>
      <c r="P58" s="23">
        <v>5</v>
      </c>
    </row>
    <row r="59" spans="1:16" x14ac:dyDescent="0.25">
      <c r="A59" s="66">
        <v>44084</v>
      </c>
      <c r="B59" s="52" t="s">
        <v>15</v>
      </c>
      <c r="C59" s="23">
        <v>58</v>
      </c>
      <c r="D59" s="23">
        <v>11</v>
      </c>
      <c r="E59" s="25">
        <v>2150</v>
      </c>
      <c r="F59" s="25">
        <v>472</v>
      </c>
      <c r="G59" s="25">
        <v>1678</v>
      </c>
      <c r="H59" s="25">
        <v>1710.2</v>
      </c>
      <c r="I59" s="44">
        <v>3</v>
      </c>
      <c r="J59" s="44">
        <v>1</v>
      </c>
      <c r="K59" s="44">
        <v>3</v>
      </c>
      <c r="L59" s="44">
        <v>3</v>
      </c>
      <c r="M59" s="44">
        <v>1</v>
      </c>
      <c r="N59" s="23">
        <v>5</v>
      </c>
      <c r="O59" s="23">
        <v>5</v>
      </c>
      <c r="P59" s="23">
        <v>4</v>
      </c>
    </row>
    <row r="60" spans="1:16" x14ac:dyDescent="0.25">
      <c r="A60" s="66">
        <v>44084</v>
      </c>
      <c r="B60" s="52" t="s">
        <v>14</v>
      </c>
      <c r="C60" s="23">
        <v>59</v>
      </c>
      <c r="D60" s="23">
        <v>4</v>
      </c>
      <c r="E60" s="25">
        <v>1650</v>
      </c>
      <c r="F60" s="25">
        <v>368</v>
      </c>
      <c r="G60" s="25">
        <v>1282</v>
      </c>
      <c r="H60" s="25">
        <v>1298.8</v>
      </c>
      <c r="I60" s="44">
        <v>0</v>
      </c>
      <c r="J60" s="44">
        <v>0</v>
      </c>
      <c r="K60" s="44">
        <v>1</v>
      </c>
      <c r="L60" s="44">
        <v>0</v>
      </c>
      <c r="M60" s="44">
        <v>3</v>
      </c>
      <c r="N60" s="23">
        <v>5</v>
      </c>
      <c r="O60" s="23">
        <v>5</v>
      </c>
      <c r="P60" s="23"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60FF-CACB-41AA-9FC7-0D95846D5B10}">
  <dimension ref="A1:O24"/>
  <sheetViews>
    <sheetView workbookViewId="0">
      <selection activeCell="A26" sqref="A26"/>
    </sheetView>
  </sheetViews>
  <sheetFormatPr defaultRowHeight="15" x14ac:dyDescent="0.25"/>
  <cols>
    <col min="1" max="1" width="11.85546875" customWidth="1"/>
    <col min="2" max="2" width="13.5703125" bestFit="1" customWidth="1"/>
    <col min="3" max="3" width="14.140625" bestFit="1" customWidth="1"/>
    <col min="4" max="4" width="13" customWidth="1"/>
    <col min="5" max="5" width="10.5703125" customWidth="1"/>
    <col min="6" max="10" width="14.5703125" bestFit="1" customWidth="1"/>
    <col min="13" max="13" width="9.85546875" bestFit="1" customWidth="1"/>
    <col min="14" max="14" width="36" bestFit="1" customWidth="1"/>
    <col min="15" max="15" width="15.85546875" bestFit="1" customWidth="1"/>
  </cols>
  <sheetData>
    <row r="1" spans="1:15" s="71" customFormat="1" ht="30.75" thickBot="1" x14ac:dyDescent="0.3">
      <c r="A1" s="67" t="s">
        <v>0</v>
      </c>
      <c r="B1" s="68" t="s">
        <v>4</v>
      </c>
      <c r="C1" s="69" t="s">
        <v>19</v>
      </c>
      <c r="D1" s="69" t="s">
        <v>5</v>
      </c>
      <c r="E1" s="70" t="s">
        <v>6</v>
      </c>
      <c r="F1" s="70" t="s">
        <v>21</v>
      </c>
      <c r="G1" s="70" t="s">
        <v>22</v>
      </c>
      <c r="H1" s="70" t="s">
        <v>23</v>
      </c>
      <c r="I1" s="70" t="s">
        <v>24</v>
      </c>
      <c r="J1" s="70" t="s">
        <v>25</v>
      </c>
    </row>
    <row r="2" spans="1:15" x14ac:dyDescent="0.25">
      <c r="A2" s="99">
        <v>44075</v>
      </c>
      <c r="B2" s="100" t="s">
        <v>14</v>
      </c>
      <c r="C2" s="101">
        <v>1</v>
      </c>
      <c r="D2" s="101">
        <v>6</v>
      </c>
      <c r="E2" s="102">
        <v>870</v>
      </c>
      <c r="F2" s="103">
        <v>2</v>
      </c>
      <c r="G2" s="103">
        <v>1</v>
      </c>
      <c r="H2" s="103">
        <v>1</v>
      </c>
      <c r="I2" s="103">
        <v>2</v>
      </c>
      <c r="J2" s="104">
        <v>0</v>
      </c>
      <c r="M2" s="32"/>
      <c r="N2" s="32"/>
      <c r="O2" s="32"/>
    </row>
    <row r="3" spans="1:15" x14ac:dyDescent="0.25">
      <c r="A3" s="99">
        <v>44075</v>
      </c>
      <c r="B3" s="105" t="s">
        <v>15</v>
      </c>
      <c r="C3" s="23">
        <v>2</v>
      </c>
      <c r="D3" s="23">
        <v>8</v>
      </c>
      <c r="E3" s="25">
        <v>2130</v>
      </c>
      <c r="F3" s="44">
        <v>1</v>
      </c>
      <c r="G3" s="44">
        <v>3</v>
      </c>
      <c r="H3" s="44">
        <v>1</v>
      </c>
      <c r="I3" s="44">
        <v>0</v>
      </c>
      <c r="J3" s="106">
        <v>3</v>
      </c>
      <c r="M3" s="32"/>
      <c r="N3" s="32"/>
      <c r="O3" s="25"/>
    </row>
    <row r="4" spans="1:15" x14ac:dyDescent="0.25">
      <c r="A4" s="99">
        <v>44076</v>
      </c>
      <c r="B4" s="105" t="s">
        <v>14</v>
      </c>
      <c r="C4" s="23">
        <v>3</v>
      </c>
      <c r="D4" s="23">
        <v>5</v>
      </c>
      <c r="E4" s="25">
        <v>930</v>
      </c>
      <c r="F4" s="44">
        <v>1</v>
      </c>
      <c r="G4" s="44">
        <v>3</v>
      </c>
      <c r="H4" s="44">
        <v>0</v>
      </c>
      <c r="I4" s="44">
        <v>0</v>
      </c>
      <c r="J4" s="106">
        <v>1</v>
      </c>
      <c r="M4" s="32"/>
      <c r="N4" s="32"/>
      <c r="O4" s="25"/>
    </row>
    <row r="5" spans="1:15" x14ac:dyDescent="0.25">
      <c r="A5" s="99">
        <v>44077</v>
      </c>
      <c r="B5" s="105" t="s">
        <v>15</v>
      </c>
      <c r="C5" s="23">
        <v>4</v>
      </c>
      <c r="D5" s="23">
        <v>6</v>
      </c>
      <c r="E5" s="25">
        <v>1230</v>
      </c>
      <c r="F5" s="44">
        <v>1</v>
      </c>
      <c r="G5" s="44">
        <v>3</v>
      </c>
      <c r="H5" s="44">
        <v>1</v>
      </c>
      <c r="I5" s="44">
        <v>0</v>
      </c>
      <c r="J5" s="106">
        <v>1</v>
      </c>
      <c r="M5" s="32"/>
      <c r="N5" s="32"/>
      <c r="O5" s="25"/>
    </row>
    <row r="6" spans="1:15" x14ac:dyDescent="0.25">
      <c r="A6" s="99">
        <v>44077</v>
      </c>
      <c r="B6" s="105" t="s">
        <v>16</v>
      </c>
      <c r="C6" s="23">
        <v>5</v>
      </c>
      <c r="D6" s="23">
        <v>10</v>
      </c>
      <c r="E6" s="25">
        <v>2620</v>
      </c>
      <c r="F6" s="44">
        <v>3</v>
      </c>
      <c r="G6" s="44">
        <v>2</v>
      </c>
      <c r="H6" s="44">
        <v>2</v>
      </c>
      <c r="I6" s="44">
        <v>0</v>
      </c>
      <c r="J6" s="106">
        <v>3</v>
      </c>
      <c r="M6" s="32"/>
      <c r="N6" s="32"/>
      <c r="O6" s="25"/>
    </row>
    <row r="7" spans="1:15" x14ac:dyDescent="0.25">
      <c r="A7" s="99">
        <v>44077</v>
      </c>
      <c r="B7" s="105" t="s">
        <v>15</v>
      </c>
      <c r="C7" s="23">
        <v>6</v>
      </c>
      <c r="D7" s="23">
        <v>10</v>
      </c>
      <c r="E7" s="25">
        <v>2410</v>
      </c>
      <c r="F7" s="44">
        <v>3</v>
      </c>
      <c r="G7" s="44">
        <v>0</v>
      </c>
      <c r="H7" s="44">
        <v>3</v>
      </c>
      <c r="I7" s="44">
        <v>2</v>
      </c>
      <c r="J7" s="106">
        <v>2</v>
      </c>
      <c r="M7" s="32"/>
      <c r="N7" s="32"/>
      <c r="O7" s="25"/>
    </row>
    <row r="8" spans="1:15" x14ac:dyDescent="0.25">
      <c r="A8" s="99">
        <v>44078</v>
      </c>
      <c r="B8" s="105" t="s">
        <v>15</v>
      </c>
      <c r="C8" s="23">
        <v>7</v>
      </c>
      <c r="D8" s="23">
        <v>11</v>
      </c>
      <c r="E8" s="25">
        <v>2140</v>
      </c>
      <c r="F8" s="44">
        <v>2</v>
      </c>
      <c r="G8" s="44">
        <v>3</v>
      </c>
      <c r="H8" s="44">
        <v>3</v>
      </c>
      <c r="I8" s="44">
        <v>2</v>
      </c>
      <c r="J8" s="106">
        <v>1</v>
      </c>
      <c r="M8" s="85"/>
      <c r="N8" s="85"/>
      <c r="O8" s="85"/>
    </row>
    <row r="9" spans="1:15" x14ac:dyDescent="0.25">
      <c r="A9" s="99">
        <v>44078</v>
      </c>
      <c r="B9" s="105" t="s">
        <v>16</v>
      </c>
      <c r="C9" s="23">
        <v>8</v>
      </c>
      <c r="D9" s="23">
        <v>7</v>
      </c>
      <c r="E9" s="25">
        <v>1130</v>
      </c>
      <c r="F9" s="44">
        <v>2</v>
      </c>
      <c r="G9" s="44">
        <v>2</v>
      </c>
      <c r="H9" s="44">
        <v>0</v>
      </c>
      <c r="I9" s="44">
        <v>2</v>
      </c>
      <c r="J9" s="106">
        <v>1</v>
      </c>
    </row>
    <row r="10" spans="1:15" x14ac:dyDescent="0.25">
      <c r="A10" s="99">
        <v>44078</v>
      </c>
      <c r="B10" s="105" t="s">
        <v>16</v>
      </c>
      <c r="C10" s="23">
        <v>9</v>
      </c>
      <c r="D10" s="23">
        <v>1</v>
      </c>
      <c r="E10" s="25">
        <v>80</v>
      </c>
      <c r="F10" s="44">
        <v>0</v>
      </c>
      <c r="G10" s="44">
        <v>0</v>
      </c>
      <c r="H10" s="44">
        <v>0</v>
      </c>
      <c r="I10" s="44">
        <v>1</v>
      </c>
      <c r="J10" s="106">
        <v>0</v>
      </c>
    </row>
    <row r="11" spans="1:15" x14ac:dyDescent="0.25">
      <c r="A11" s="99">
        <v>44078</v>
      </c>
      <c r="B11" s="105" t="s">
        <v>14</v>
      </c>
      <c r="C11" s="23">
        <v>10</v>
      </c>
      <c r="D11" s="23">
        <v>6</v>
      </c>
      <c r="E11" s="25">
        <v>1160</v>
      </c>
      <c r="F11" s="44">
        <v>0</v>
      </c>
      <c r="G11" s="44">
        <v>3</v>
      </c>
      <c r="H11" s="44">
        <v>1</v>
      </c>
      <c r="I11" s="44">
        <v>1</v>
      </c>
      <c r="J11" s="106">
        <v>1</v>
      </c>
    </row>
    <row r="12" spans="1:15" x14ac:dyDescent="0.25">
      <c r="A12" s="99">
        <v>44079</v>
      </c>
      <c r="B12" s="105" t="s">
        <v>14</v>
      </c>
      <c r="C12" s="23">
        <v>11</v>
      </c>
      <c r="D12" s="23">
        <v>9</v>
      </c>
      <c r="E12" s="25">
        <v>2000</v>
      </c>
      <c r="F12" s="44">
        <v>2</v>
      </c>
      <c r="G12" s="44">
        <v>1</v>
      </c>
      <c r="H12" s="44">
        <v>0</v>
      </c>
      <c r="I12" s="44">
        <v>3</v>
      </c>
      <c r="J12" s="106">
        <v>3</v>
      </c>
    </row>
    <row r="13" spans="1:15" x14ac:dyDescent="0.25">
      <c r="A13" s="99">
        <v>44079</v>
      </c>
      <c r="B13" s="105" t="s">
        <v>16</v>
      </c>
      <c r="C13" s="23">
        <v>12</v>
      </c>
      <c r="D13" s="23">
        <v>8</v>
      </c>
      <c r="E13" s="25">
        <v>1500</v>
      </c>
      <c r="F13" s="44">
        <v>3</v>
      </c>
      <c r="G13" s="44">
        <v>2</v>
      </c>
      <c r="H13" s="44">
        <v>1</v>
      </c>
      <c r="I13" s="44">
        <v>1</v>
      </c>
      <c r="J13" s="106">
        <v>1</v>
      </c>
    </row>
    <row r="14" spans="1:15" x14ac:dyDescent="0.25">
      <c r="A14" s="99">
        <v>44080</v>
      </c>
      <c r="B14" s="105" t="s">
        <v>15</v>
      </c>
      <c r="C14" s="23">
        <v>13</v>
      </c>
      <c r="D14" s="23">
        <v>8</v>
      </c>
      <c r="E14" s="25">
        <v>2170</v>
      </c>
      <c r="F14" s="44">
        <v>1</v>
      </c>
      <c r="G14" s="44">
        <v>2</v>
      </c>
      <c r="H14" s="44">
        <v>3</v>
      </c>
      <c r="I14" s="44">
        <v>0</v>
      </c>
      <c r="J14" s="106">
        <v>2</v>
      </c>
    </row>
    <row r="15" spans="1:15" x14ac:dyDescent="0.25">
      <c r="A15" s="99">
        <v>44080</v>
      </c>
      <c r="B15" s="105" t="s">
        <v>14</v>
      </c>
      <c r="C15" s="23">
        <v>14</v>
      </c>
      <c r="D15" s="23">
        <v>10</v>
      </c>
      <c r="E15" s="25">
        <v>2290</v>
      </c>
      <c r="F15" s="44">
        <v>0</v>
      </c>
      <c r="G15" s="44">
        <v>3</v>
      </c>
      <c r="H15" s="44">
        <v>3</v>
      </c>
      <c r="I15" s="44">
        <v>2</v>
      </c>
      <c r="J15" s="106">
        <v>2</v>
      </c>
    </row>
    <row r="16" spans="1:15" x14ac:dyDescent="0.25">
      <c r="A16" s="99">
        <v>44080</v>
      </c>
      <c r="B16" s="105" t="s">
        <v>15</v>
      </c>
      <c r="C16" s="23">
        <v>15</v>
      </c>
      <c r="D16" s="23">
        <v>7</v>
      </c>
      <c r="E16" s="25">
        <v>1740</v>
      </c>
      <c r="F16" s="44">
        <v>0</v>
      </c>
      <c r="G16" s="44">
        <v>0</v>
      </c>
      <c r="H16" s="44">
        <v>2</v>
      </c>
      <c r="I16" s="44">
        <v>3</v>
      </c>
      <c r="J16" s="106">
        <v>2</v>
      </c>
    </row>
    <row r="17" spans="1:10" x14ac:dyDescent="0.25">
      <c r="A17" s="99">
        <v>44080</v>
      </c>
      <c r="B17" s="105" t="s">
        <v>15</v>
      </c>
      <c r="C17" s="23">
        <v>16</v>
      </c>
      <c r="D17" s="23">
        <v>10</v>
      </c>
      <c r="E17" s="25">
        <v>2520</v>
      </c>
      <c r="F17" s="44">
        <v>2</v>
      </c>
      <c r="G17" s="44">
        <v>1</v>
      </c>
      <c r="H17" s="44">
        <v>2</v>
      </c>
      <c r="I17" s="44">
        <v>2</v>
      </c>
      <c r="J17" s="106">
        <v>3</v>
      </c>
    </row>
    <row r="18" spans="1:10" x14ac:dyDescent="0.25">
      <c r="A18" s="99">
        <v>44081</v>
      </c>
      <c r="B18" s="105" t="s">
        <v>14</v>
      </c>
      <c r="C18" s="23">
        <v>17</v>
      </c>
      <c r="D18" s="23">
        <v>4</v>
      </c>
      <c r="E18" s="25">
        <v>820</v>
      </c>
      <c r="F18" s="44">
        <v>1</v>
      </c>
      <c r="G18" s="44">
        <v>2</v>
      </c>
      <c r="H18" s="44">
        <v>0</v>
      </c>
      <c r="I18" s="44">
        <v>0</v>
      </c>
      <c r="J18" s="106">
        <v>1</v>
      </c>
    </row>
    <row r="19" spans="1:10" x14ac:dyDescent="0.25">
      <c r="A19" s="99">
        <v>44082</v>
      </c>
      <c r="B19" s="105" t="s">
        <v>14</v>
      </c>
      <c r="C19" s="23">
        <v>18</v>
      </c>
      <c r="D19" s="23">
        <v>10</v>
      </c>
      <c r="E19" s="25">
        <v>2440</v>
      </c>
      <c r="F19" s="44">
        <v>3</v>
      </c>
      <c r="G19" s="44">
        <v>1</v>
      </c>
      <c r="H19" s="44">
        <v>3</v>
      </c>
      <c r="I19" s="44">
        <v>1</v>
      </c>
      <c r="J19" s="106">
        <v>2</v>
      </c>
    </row>
    <row r="20" spans="1:10" x14ac:dyDescent="0.25">
      <c r="A20" s="99">
        <v>44082</v>
      </c>
      <c r="B20" s="105" t="s">
        <v>15</v>
      </c>
      <c r="C20" s="23">
        <v>19</v>
      </c>
      <c r="D20" s="23">
        <v>5</v>
      </c>
      <c r="E20" s="25">
        <v>1580</v>
      </c>
      <c r="F20" s="44">
        <v>0</v>
      </c>
      <c r="G20" s="44">
        <v>0</v>
      </c>
      <c r="H20" s="44">
        <v>2</v>
      </c>
      <c r="I20" s="44">
        <v>1</v>
      </c>
      <c r="J20" s="106">
        <v>2</v>
      </c>
    </row>
    <row r="21" spans="1:10" x14ac:dyDescent="0.25">
      <c r="A21" s="99">
        <v>44083</v>
      </c>
      <c r="B21" s="105" t="s">
        <v>15</v>
      </c>
      <c r="C21" s="23">
        <v>20</v>
      </c>
      <c r="D21" s="23">
        <v>4</v>
      </c>
      <c r="E21" s="25">
        <v>710</v>
      </c>
      <c r="F21" s="44">
        <v>2</v>
      </c>
      <c r="G21" s="44">
        <v>1</v>
      </c>
      <c r="H21" s="44">
        <v>1</v>
      </c>
      <c r="I21" s="44">
        <v>0</v>
      </c>
      <c r="J21" s="106">
        <v>0</v>
      </c>
    </row>
    <row r="22" spans="1:10" x14ac:dyDescent="0.25">
      <c r="A22" s="99">
        <v>44084</v>
      </c>
      <c r="B22" s="105" t="s">
        <v>16</v>
      </c>
      <c r="C22" s="23">
        <v>21</v>
      </c>
      <c r="D22" s="23">
        <v>2</v>
      </c>
      <c r="E22" s="25">
        <v>260</v>
      </c>
      <c r="F22" s="44">
        <v>1</v>
      </c>
      <c r="G22" s="44">
        <v>1</v>
      </c>
      <c r="H22" s="44">
        <v>0</v>
      </c>
      <c r="I22" s="44">
        <v>0</v>
      </c>
      <c r="J22" s="106">
        <v>0</v>
      </c>
    </row>
    <row r="23" spans="1:10" x14ac:dyDescent="0.25">
      <c r="A23" s="99">
        <v>44084</v>
      </c>
      <c r="B23" s="105" t="s">
        <v>15</v>
      </c>
      <c r="C23" s="23">
        <v>22</v>
      </c>
      <c r="D23" s="23">
        <v>4</v>
      </c>
      <c r="E23" s="25">
        <v>1090</v>
      </c>
      <c r="F23" s="44">
        <v>0</v>
      </c>
      <c r="G23" s="44">
        <v>1</v>
      </c>
      <c r="H23" s="44">
        <v>0</v>
      </c>
      <c r="I23" s="44">
        <v>1</v>
      </c>
      <c r="J23" s="106">
        <v>2</v>
      </c>
    </row>
    <row r="24" spans="1:10" ht="15.75" thickBot="1" x14ac:dyDescent="0.3">
      <c r="A24" s="99">
        <v>44084</v>
      </c>
      <c r="B24" s="107" t="s">
        <v>15</v>
      </c>
      <c r="C24" s="108">
        <v>23</v>
      </c>
      <c r="D24" s="108">
        <v>11</v>
      </c>
      <c r="E24" s="109">
        <v>2210</v>
      </c>
      <c r="F24" s="110">
        <v>3</v>
      </c>
      <c r="G24" s="110">
        <v>3</v>
      </c>
      <c r="H24" s="110">
        <v>3</v>
      </c>
      <c r="I24" s="110">
        <v>1</v>
      </c>
      <c r="J24" s="111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1A36C-2B29-4470-9F03-7D8700525BAD}">
  <dimension ref="A1:H27"/>
  <sheetViews>
    <sheetView workbookViewId="0">
      <selection activeCell="C12" sqref="C12"/>
    </sheetView>
  </sheetViews>
  <sheetFormatPr defaultRowHeight="15" x14ac:dyDescent="0.25"/>
  <cols>
    <col min="1" max="1" width="17.28515625" bestFit="1" customWidth="1"/>
    <col min="2" max="2" width="19.42578125" bestFit="1" customWidth="1"/>
    <col min="3" max="3" width="26.5703125" bestFit="1" customWidth="1"/>
    <col min="4" max="4" width="6.85546875" customWidth="1"/>
    <col min="6" max="6" width="36" bestFit="1" customWidth="1"/>
    <col min="7" max="7" width="35.28515625" bestFit="1" customWidth="1"/>
    <col min="8" max="8" width="36.5703125" bestFit="1" customWidth="1"/>
  </cols>
  <sheetData>
    <row r="1" spans="1:8" x14ac:dyDescent="0.25">
      <c r="A1" s="81" t="s">
        <v>4</v>
      </c>
      <c r="B1" t="s" vm="1">
        <v>49</v>
      </c>
    </row>
    <row r="2" spans="1:8" x14ac:dyDescent="0.25">
      <c r="E2">
        <f>GETPIVOTDATA("[Measures].[Среднее по столбцу Оценка: Время доставки]",$A$3)</f>
        <v>4.4915254237288131</v>
      </c>
      <c r="F2">
        <f>GETPIVOTDATA("[Measures].[Среднее по столбцу Оценка: Вкус еды]",$A$3)</f>
        <v>4.5423728813559325</v>
      </c>
      <c r="G2">
        <f>GETPIVOTDATA("[Measures].[Среднее по столбцу Оценка: Состав заказа]",$A$3)</f>
        <v>4.5254237288135597</v>
      </c>
    </row>
    <row r="3" spans="1:8" x14ac:dyDescent="0.25">
      <c r="A3" t="s">
        <v>52</v>
      </c>
      <c r="B3" t="s">
        <v>53</v>
      </c>
      <c r="C3" t="s">
        <v>54</v>
      </c>
    </row>
    <row r="4" spans="1:8" x14ac:dyDescent="0.25">
      <c r="A4" s="80">
        <v>4.4915254237288131</v>
      </c>
      <c r="B4" s="80">
        <v>4.5423728813559325</v>
      </c>
      <c r="C4" s="80">
        <v>4.5254237288135597</v>
      </c>
      <c r="G4">
        <f>GETPIVOTDATA("[Measures].[Сумма по столбцу Прибыль от заказа]",$F$9)</f>
        <v>72382</v>
      </c>
      <c r="H4">
        <f>GETPIVOTDATA("[Measures].[Сумма по столбцу Прогноз прибыли]",$F$9)</f>
        <v>72870.8</v>
      </c>
    </row>
    <row r="6" spans="1:8" x14ac:dyDescent="0.25">
      <c r="A6" t="s">
        <v>58</v>
      </c>
    </row>
    <row r="7" spans="1:8" x14ac:dyDescent="0.25">
      <c r="A7" s="81" t="s">
        <v>4</v>
      </c>
      <c r="B7" t="s" vm="1">
        <v>49</v>
      </c>
      <c r="F7" s="81" t="s">
        <v>4</v>
      </c>
      <c r="G7" t="s" vm="1">
        <v>49</v>
      </c>
    </row>
    <row r="9" spans="1:8" x14ac:dyDescent="0.25">
      <c r="A9" s="81" t="s">
        <v>36</v>
      </c>
      <c r="B9" t="s">
        <v>56</v>
      </c>
      <c r="C9" t="s">
        <v>55</v>
      </c>
      <c r="F9" t="s">
        <v>50</v>
      </c>
      <c r="G9" t="s">
        <v>51</v>
      </c>
    </row>
    <row r="10" spans="1:8" x14ac:dyDescent="0.25">
      <c r="A10" s="83">
        <v>44075</v>
      </c>
      <c r="B10" s="80">
        <v>8699</v>
      </c>
      <c r="C10" s="80">
        <v>8573.1</v>
      </c>
      <c r="F10" s="80">
        <v>72382</v>
      </c>
      <c r="G10" s="80">
        <v>72870.8</v>
      </c>
    </row>
    <row r="11" spans="1:8" x14ac:dyDescent="0.25">
      <c r="A11" s="83">
        <v>44076</v>
      </c>
      <c r="B11" s="80">
        <v>6145</v>
      </c>
      <c r="C11" s="80">
        <v>7039.5</v>
      </c>
    </row>
    <row r="12" spans="1:8" x14ac:dyDescent="0.25">
      <c r="A12" s="83">
        <v>44077</v>
      </c>
      <c r="B12" s="80">
        <v>10718</v>
      </c>
      <c r="C12" s="80">
        <v>8929.2000000000007</v>
      </c>
    </row>
    <row r="13" spans="1:8" x14ac:dyDescent="0.25">
      <c r="A13" s="83">
        <v>44078</v>
      </c>
      <c r="B13" s="80">
        <v>6529</v>
      </c>
      <c r="C13" s="80">
        <v>8294.1</v>
      </c>
    </row>
    <row r="14" spans="1:8" x14ac:dyDescent="0.25">
      <c r="A14" s="83">
        <v>44079</v>
      </c>
      <c r="B14" s="80">
        <v>10118</v>
      </c>
      <c r="C14" s="80">
        <v>9775.2000000000007</v>
      </c>
    </row>
    <row r="15" spans="1:8" x14ac:dyDescent="0.25">
      <c r="A15" s="83">
        <v>44080</v>
      </c>
      <c r="B15" s="80">
        <v>2373</v>
      </c>
      <c r="C15" s="80">
        <v>3636.7</v>
      </c>
    </row>
    <row r="16" spans="1:8" x14ac:dyDescent="0.25">
      <c r="A16" s="83">
        <v>44081</v>
      </c>
      <c r="B16" s="80">
        <v>4975</v>
      </c>
      <c r="C16" s="80">
        <v>4887.5</v>
      </c>
    </row>
    <row r="17" spans="1:3" x14ac:dyDescent="0.25">
      <c r="A17" s="83">
        <v>44082</v>
      </c>
      <c r="B17" s="80">
        <v>6234</v>
      </c>
      <c r="C17" s="80">
        <v>6387.6</v>
      </c>
    </row>
    <row r="18" spans="1:3" x14ac:dyDescent="0.25">
      <c r="A18" s="83">
        <v>44083</v>
      </c>
      <c r="B18" s="80">
        <v>6594</v>
      </c>
      <c r="C18" s="80">
        <v>7433.6</v>
      </c>
    </row>
    <row r="19" spans="1:3" x14ac:dyDescent="0.25">
      <c r="A19" s="83">
        <v>44084</v>
      </c>
      <c r="B19" s="80">
        <v>9997</v>
      </c>
      <c r="C19" s="80">
        <v>7914.3</v>
      </c>
    </row>
    <row r="20" spans="1:3" x14ac:dyDescent="0.25">
      <c r="A20" s="82" t="s">
        <v>12</v>
      </c>
      <c r="B20" s="80">
        <v>72382</v>
      </c>
      <c r="C20" s="80">
        <v>72870.8</v>
      </c>
    </row>
    <row r="22" spans="1:3" x14ac:dyDescent="0.25">
      <c r="A22" t="s">
        <v>60</v>
      </c>
    </row>
    <row r="23" spans="1:3" x14ac:dyDescent="0.25">
      <c r="A23" s="81" t="s">
        <v>36</v>
      </c>
      <c r="B23" t="s">
        <v>59</v>
      </c>
    </row>
    <row r="24" spans="1:3" x14ac:dyDescent="0.25">
      <c r="A24" s="82" t="s">
        <v>14</v>
      </c>
      <c r="B24" s="80">
        <v>7</v>
      </c>
    </row>
    <row r="25" spans="1:3" x14ac:dyDescent="0.25">
      <c r="A25" s="82" t="s">
        <v>15</v>
      </c>
      <c r="B25" s="80">
        <v>11</v>
      </c>
    </row>
    <row r="26" spans="1:3" x14ac:dyDescent="0.25">
      <c r="A26" s="82" t="s">
        <v>16</v>
      </c>
      <c r="B26" s="80">
        <v>5</v>
      </c>
    </row>
    <row r="27" spans="1:3" x14ac:dyDescent="0.25">
      <c r="A27" s="82" t="s">
        <v>12</v>
      </c>
      <c r="B27" s="80">
        <v>23</v>
      </c>
    </row>
  </sheetData>
  <pageMargins left="0.7" right="0.7" top="0.75" bottom="0.75" header="0.3" footer="0.3"/>
  <pageSetup paperSize="9" orientation="portrait" horizontalDpi="1200" verticalDpi="1200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A560B-BF94-4E08-84F2-1A8E794708C1}">
  <dimension ref="A1:I32"/>
  <sheetViews>
    <sheetView workbookViewId="0">
      <selection activeCell="B25" sqref="B25"/>
    </sheetView>
  </sheetViews>
  <sheetFormatPr defaultRowHeight="15" x14ac:dyDescent="0.25"/>
  <cols>
    <col min="1" max="1" width="19.28515625" bestFit="1" customWidth="1"/>
    <col min="2" max="2" width="20.42578125" bestFit="1" customWidth="1"/>
    <col min="3" max="3" width="30.5703125" bestFit="1" customWidth="1"/>
    <col min="4" max="4" width="36.7109375" bestFit="1" customWidth="1"/>
    <col min="5" max="5" width="21.7109375" bestFit="1" customWidth="1"/>
    <col min="6" max="6" width="25.28515625" bestFit="1" customWidth="1"/>
    <col min="7" max="7" width="9.85546875" bestFit="1" customWidth="1"/>
    <col min="8" max="8" width="36" bestFit="1" customWidth="1"/>
    <col min="9" max="9" width="16.28515625" customWidth="1"/>
  </cols>
  <sheetData>
    <row r="1" spans="1:9" x14ac:dyDescent="0.25">
      <c r="A1" t="s">
        <v>10</v>
      </c>
    </row>
    <row r="2" spans="1:9" x14ac:dyDescent="0.25">
      <c r="A2" s="81" t="s">
        <v>4</v>
      </c>
      <c r="B2" t="s">
        <v>37</v>
      </c>
      <c r="D2" t="s">
        <v>44</v>
      </c>
      <c r="E2" t="str">
        <f>B2</f>
        <v>(Все)</v>
      </c>
      <c r="G2" s="155"/>
      <c r="H2" s="155"/>
    </row>
    <row r="3" spans="1:9" x14ac:dyDescent="0.25">
      <c r="G3" s="32"/>
      <c r="H3" s="32"/>
    </row>
    <row r="4" spans="1:9" x14ac:dyDescent="0.25">
      <c r="A4" s="81" t="s">
        <v>36</v>
      </c>
      <c r="B4" t="s">
        <v>41</v>
      </c>
      <c r="G4" s="32"/>
      <c r="H4" s="32"/>
    </row>
    <row r="5" spans="1:9" x14ac:dyDescent="0.25">
      <c r="A5" s="83">
        <v>44075</v>
      </c>
      <c r="B5" s="80">
        <v>8699</v>
      </c>
      <c r="G5" s="32"/>
      <c r="H5" s="32"/>
    </row>
    <row r="6" spans="1:9" x14ac:dyDescent="0.25">
      <c r="A6" s="83">
        <v>44076</v>
      </c>
      <c r="B6" s="80">
        <v>6145</v>
      </c>
      <c r="G6" s="85"/>
      <c r="H6" s="85"/>
    </row>
    <row r="7" spans="1:9" x14ac:dyDescent="0.25">
      <c r="A7" s="83">
        <v>44077</v>
      </c>
      <c r="B7" s="80">
        <v>10718</v>
      </c>
    </row>
    <row r="8" spans="1:9" ht="15.75" thickBot="1" x14ac:dyDescent="0.3">
      <c r="A8" s="83">
        <v>44078</v>
      </c>
      <c r="B8" s="80">
        <v>6529</v>
      </c>
    </row>
    <row r="9" spans="1:9" ht="15.75" thickBot="1" x14ac:dyDescent="0.3">
      <c r="A9" s="83">
        <v>44079</v>
      </c>
      <c r="B9" s="80">
        <v>10118</v>
      </c>
      <c r="G9" s="11" t="s">
        <v>20</v>
      </c>
      <c r="H9" s="14" t="s">
        <v>26</v>
      </c>
      <c r="I9" s="39" t="s">
        <v>28</v>
      </c>
    </row>
    <row r="10" spans="1:9" x14ac:dyDescent="0.25">
      <c r="A10" s="83">
        <v>44080</v>
      </c>
      <c r="B10" s="80">
        <v>2373</v>
      </c>
      <c r="G10" s="41">
        <v>1</v>
      </c>
      <c r="H10" s="41" t="s">
        <v>27</v>
      </c>
      <c r="I10" s="54">
        <v>150</v>
      </c>
    </row>
    <row r="11" spans="1:9" x14ac:dyDescent="0.25">
      <c r="A11" s="83">
        <v>44081</v>
      </c>
      <c r="B11" s="80">
        <v>4975</v>
      </c>
      <c r="G11" s="19">
        <v>2</v>
      </c>
      <c r="H11" s="19" t="s">
        <v>29</v>
      </c>
      <c r="I11" s="40">
        <v>110</v>
      </c>
    </row>
    <row r="12" spans="1:9" x14ac:dyDescent="0.25">
      <c r="A12" s="83">
        <v>44082</v>
      </c>
      <c r="B12" s="80">
        <v>6234</v>
      </c>
      <c r="G12" s="19">
        <v>3</v>
      </c>
      <c r="H12" s="19" t="s">
        <v>30</v>
      </c>
      <c r="I12" s="40">
        <v>300</v>
      </c>
    </row>
    <row r="13" spans="1:9" x14ac:dyDescent="0.25">
      <c r="A13" s="83">
        <v>44083</v>
      </c>
      <c r="B13" s="80">
        <v>6594</v>
      </c>
      <c r="G13" s="19">
        <v>4</v>
      </c>
      <c r="H13" s="19" t="s">
        <v>32</v>
      </c>
      <c r="I13" s="40">
        <v>80</v>
      </c>
    </row>
    <row r="14" spans="1:9" ht="15.75" thickBot="1" x14ac:dyDescent="0.3">
      <c r="A14" s="83">
        <v>44084</v>
      </c>
      <c r="B14" s="80">
        <v>9997</v>
      </c>
      <c r="G14" s="21">
        <v>5</v>
      </c>
      <c r="H14" s="21" t="s">
        <v>31</v>
      </c>
      <c r="I14" s="55">
        <v>450</v>
      </c>
    </row>
    <row r="15" spans="1:9" x14ac:dyDescent="0.25">
      <c r="A15" s="83" t="s">
        <v>12</v>
      </c>
      <c r="B15" s="80">
        <v>72382</v>
      </c>
    </row>
    <row r="19" spans="1:5" x14ac:dyDescent="0.25">
      <c r="A19" t="s">
        <v>42</v>
      </c>
    </row>
    <row r="20" spans="1:5" x14ac:dyDescent="0.25">
      <c r="A20" s="81" t="s">
        <v>4</v>
      </c>
      <c r="B20" t="s">
        <v>37</v>
      </c>
    </row>
    <row r="22" spans="1:5" x14ac:dyDescent="0.25">
      <c r="A22" t="s">
        <v>27</v>
      </c>
      <c r="B22" t="s">
        <v>29</v>
      </c>
      <c r="C22" t="s">
        <v>30</v>
      </c>
      <c r="D22" t="s">
        <v>32</v>
      </c>
      <c r="E22" t="s">
        <v>31</v>
      </c>
    </row>
    <row r="23" spans="1:5" x14ac:dyDescent="0.25">
      <c r="A23" s="80">
        <v>82</v>
      </c>
      <c r="B23" s="80">
        <v>71</v>
      </c>
      <c r="C23" s="80">
        <v>94</v>
      </c>
      <c r="D23" s="80">
        <v>102</v>
      </c>
      <c r="E23" s="80">
        <v>83</v>
      </c>
    </row>
    <row r="27" spans="1:5" x14ac:dyDescent="0.25">
      <c r="A27" t="s">
        <v>64</v>
      </c>
    </row>
    <row r="28" spans="1:5" x14ac:dyDescent="0.25">
      <c r="A28" s="81" t="s">
        <v>36</v>
      </c>
      <c r="B28" t="s">
        <v>41</v>
      </c>
    </row>
    <row r="29" spans="1:5" x14ac:dyDescent="0.25">
      <c r="A29" s="82" t="s">
        <v>14</v>
      </c>
      <c r="B29" s="80">
        <v>25219</v>
      </c>
    </row>
    <row r="30" spans="1:5" x14ac:dyDescent="0.25">
      <c r="A30" s="82" t="s">
        <v>15</v>
      </c>
      <c r="B30" s="80">
        <v>17966</v>
      </c>
    </row>
    <row r="31" spans="1:5" x14ac:dyDescent="0.25">
      <c r="A31" s="82" t="s">
        <v>16</v>
      </c>
      <c r="B31" s="80">
        <v>29197</v>
      </c>
    </row>
    <row r="32" spans="1:5" x14ac:dyDescent="0.25">
      <c r="A32" s="82" t="s">
        <v>12</v>
      </c>
      <c r="B32" s="80">
        <v>72382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BBC7F-C89F-4D11-8603-5035631D58D1}">
  <dimension ref="A1:W35"/>
  <sheetViews>
    <sheetView workbookViewId="0">
      <selection activeCell="K3" sqref="K3"/>
    </sheetView>
  </sheetViews>
  <sheetFormatPr defaultRowHeight="15" x14ac:dyDescent="0.25"/>
  <cols>
    <col min="1" max="1" width="12" style="4" customWidth="1"/>
    <col min="2" max="2" width="11.7109375" style="38" customWidth="1"/>
    <col min="3" max="3" width="14.5703125" style="5" customWidth="1"/>
    <col min="4" max="4" width="12.42578125" style="5" customWidth="1"/>
    <col min="5" max="5" width="13" style="5" customWidth="1"/>
    <col min="6" max="6" width="14.5703125" style="5" customWidth="1"/>
    <col min="7" max="7" width="13.42578125" style="5" customWidth="1"/>
    <col min="8" max="8" width="13.140625" style="5" customWidth="1"/>
    <col min="9" max="9" width="15.85546875" style="5" customWidth="1"/>
    <col min="10" max="10" width="12.28515625" style="5" customWidth="1"/>
    <col min="11" max="11" width="11.140625" style="5" customWidth="1"/>
    <col min="12" max="12" width="12.5703125" style="5" customWidth="1"/>
    <col min="13" max="13" width="13.140625" style="5" customWidth="1"/>
    <col min="14" max="14" width="13" style="5" customWidth="1"/>
    <col min="15" max="15" width="14" style="5" customWidth="1"/>
    <col min="16" max="16" width="11.28515625" style="5" customWidth="1"/>
    <col min="17" max="18" width="9.140625" style="5"/>
    <col min="19" max="19" width="11.7109375" style="5" bestFit="1" customWidth="1"/>
    <col min="20" max="20" width="11.85546875" style="5" customWidth="1"/>
    <col min="21" max="21" width="14.85546875" style="5" customWidth="1"/>
    <col min="22" max="22" width="10.5703125" style="5" customWidth="1"/>
    <col min="23" max="16384" width="9.140625" style="5"/>
  </cols>
  <sheetData>
    <row r="1" spans="1:23" ht="15.75" thickBot="1" x14ac:dyDescent="0.3">
      <c r="A1" s="140" t="s">
        <v>13</v>
      </c>
      <c r="B1" s="141"/>
      <c r="C1" s="141"/>
      <c r="D1" s="142"/>
      <c r="G1" s="143" t="s">
        <v>14</v>
      </c>
      <c r="H1" s="144"/>
      <c r="I1" s="144"/>
      <c r="J1" s="144"/>
      <c r="K1" s="145"/>
      <c r="M1" s="146" t="s">
        <v>15</v>
      </c>
      <c r="N1" s="147"/>
      <c r="O1" s="147"/>
      <c r="P1" s="147"/>
      <c r="Q1" s="148"/>
      <c r="S1" s="146" t="s">
        <v>16</v>
      </c>
      <c r="T1" s="147"/>
      <c r="U1" s="147"/>
      <c r="V1" s="147"/>
      <c r="W1" s="148"/>
    </row>
    <row r="2" spans="1:23" s="1" customFormat="1" ht="34.5" customHeight="1" thickBot="1" x14ac:dyDescent="0.3">
      <c r="A2" s="67" t="s">
        <v>0</v>
      </c>
      <c r="B2" s="84" t="s">
        <v>40</v>
      </c>
      <c r="C2" s="75" t="s">
        <v>11</v>
      </c>
      <c r="D2" s="39" t="s">
        <v>34</v>
      </c>
      <c r="E2" s="75" t="s">
        <v>46</v>
      </c>
      <c r="G2" s="67" t="s">
        <v>0</v>
      </c>
      <c r="H2" s="112" t="s">
        <v>40</v>
      </c>
      <c r="I2" s="75" t="s">
        <v>11</v>
      </c>
      <c r="J2" s="22" t="s">
        <v>34</v>
      </c>
      <c r="K2" s="69" t="s">
        <v>46</v>
      </c>
      <c r="M2" s="67" t="s">
        <v>0</v>
      </c>
      <c r="N2" s="112" t="s">
        <v>40</v>
      </c>
      <c r="O2" s="75" t="s">
        <v>11</v>
      </c>
      <c r="P2" s="22" t="s">
        <v>34</v>
      </c>
      <c r="Q2" s="69" t="s">
        <v>46</v>
      </c>
      <c r="S2" s="67" t="s">
        <v>0</v>
      </c>
      <c r="T2" s="112" t="s">
        <v>40</v>
      </c>
      <c r="U2" s="75" t="s">
        <v>11</v>
      </c>
      <c r="V2" s="22" t="s">
        <v>34</v>
      </c>
      <c r="W2" s="69" t="s">
        <v>46</v>
      </c>
    </row>
    <row r="3" spans="1:23" ht="15.75" thickBot="1" x14ac:dyDescent="0.3">
      <c r="A3" s="72">
        <v>44075</v>
      </c>
      <c r="B3" s="31">
        <f>SUM(H3,N3,T3)</f>
        <v>10890</v>
      </c>
      <c r="C3" s="31">
        <f>SUM(I3,O3,U3)</f>
        <v>2191</v>
      </c>
      <c r="D3" s="33">
        <f>B3-C3</f>
        <v>8699</v>
      </c>
      <c r="E3" s="31">
        <f>SUM(K3,Q3,W3)</f>
        <v>8573.1</v>
      </c>
      <c r="G3" s="72">
        <v>44075</v>
      </c>
      <c r="H3" s="31">
        <f>SUMIFS(Заказы!$E$2:$E$60,Заказы!$A$2:$A$60,Расчеты!$G3,Заказы!$B$2:$B$60,"ТТ №1")</f>
        <v>6690</v>
      </c>
      <c r="I3" s="31">
        <f>SUMIFS(Заказы!$F$2:$F$60,Заказы!$A$2:$A$60,Расчеты!$G3,Заказы!$B$2:$B$60,"ТТ №1")</f>
        <v>1436</v>
      </c>
      <c r="J3" s="31">
        <f>Таблица6[[#This Row],[Сумма заказов]]-Таблица6[[#This Row],[Расходы на доставку]]</f>
        <v>5254</v>
      </c>
      <c r="K3" s="114">
        <f>SUMIFS(ТЗаказы[Прогноз прибыли],Заказы!$A$2:$A$60,Расчеты!$G3,Заказы!$B$2:$B$60,"ТТ №1")</f>
        <v>6272.6</v>
      </c>
      <c r="M3" s="72">
        <v>44075</v>
      </c>
      <c r="N3" s="31">
        <f>SUMIFS(Заказы!$E$2:$E$60,Заказы!$A$2:$A$60,Расчеты!$G3,Заказы!$B$2:$B$60,"ТТ №2")</f>
        <v>2360</v>
      </c>
      <c r="O3" s="31">
        <f>SUMIFS(Заказы!$F$2:$F$60,Заказы!$A$2:$A$60,Расчеты!$G3,Заказы!$B$2:$B$60,"ТТ №2")</f>
        <v>320</v>
      </c>
      <c r="P3" s="31">
        <f>Таблица7[[#This Row],[Сумма заказов]]-Таблица7[[#This Row],[Расходы на доставку]]</f>
        <v>2040</v>
      </c>
      <c r="Q3" s="114">
        <f>SUMIFS(ТЗаказы[Прогноз прибыли],Заказы!$A$2:$A$60,Расчеты!$G3,Заказы!$B$2:$B$60,"ТТ №2")</f>
        <v>1095</v>
      </c>
      <c r="S3" s="72">
        <v>44075</v>
      </c>
      <c r="T3" s="31">
        <f>SUMIFS(Заказы!$E$2:$E$60,Заказы!$A$2:$A$60,Расчеты!$G3,Заказы!$B$2:$B$60,"ТТ №3")</f>
        <v>1840</v>
      </c>
      <c r="U3" s="31">
        <f>SUMIFS(Заказы!$F$2:$F$60,Заказы!$A$2:$A$60,Расчеты!$G3,Заказы!$B$2:$B$60,"ТТ №3")</f>
        <v>435</v>
      </c>
      <c r="V3" s="31">
        <f>Таблица8[[#This Row],[Сумма заказов]]-Таблица8[[#This Row],[Расходы на доставку]]</f>
        <v>1405</v>
      </c>
      <c r="W3" s="114">
        <f>SUMIFS(ТЗаказы[Прогноз прибыли],Заказы!$A$2:$A$60,Расчеты!$G3,Заказы!$B$2:$B$60,"ТТ №3")</f>
        <v>1205.5</v>
      </c>
    </row>
    <row r="4" spans="1:23" ht="15.75" thickBot="1" x14ac:dyDescent="0.3">
      <c r="A4" s="72">
        <v>44076</v>
      </c>
      <c r="B4" s="31">
        <f t="shared" ref="B4:C12" si="0">SUM(H4,N4,T4)</f>
        <v>8060</v>
      </c>
      <c r="C4" s="31">
        <f t="shared" si="0"/>
        <v>1915</v>
      </c>
      <c r="D4" s="33">
        <f t="shared" ref="D4:D12" si="1">B4-C4</f>
        <v>6145</v>
      </c>
      <c r="E4" s="31">
        <f t="shared" ref="E4:E12" si="2">SUM(K4,Q4,W4)</f>
        <v>7039.5</v>
      </c>
      <c r="G4" s="72">
        <v>44076</v>
      </c>
      <c r="H4" s="31">
        <f>SUMIFS(Заказы!$E$2:$E$60,Заказы!$A$2:$A$60,Расчеты!$G4,Заказы!$B$2:$B$60,"ТТ №1")</f>
        <v>3980</v>
      </c>
      <c r="I4" s="31">
        <f>SUMIFS(Заказы!$F$2:$F$60,Заказы!$A$2:$A$60,Расчеты!$G4,Заказы!$B$2:$B$60,"ТТ №1")</f>
        <v>925</v>
      </c>
      <c r="J4" s="31">
        <f>Таблица6[[#This Row],[Сумма заказов]]-Таблица6[[#This Row],[Расходы на доставку]]</f>
        <v>3055</v>
      </c>
      <c r="K4" s="114">
        <f>SUMIFS(ТЗаказы[Прогноз прибыли],Заказы!$A$2:$A$60,Расчеты!$G4,Заказы!$B$2:$B$60,"ТТ №1")</f>
        <v>3046.5</v>
      </c>
      <c r="M4" s="72">
        <v>44076</v>
      </c>
      <c r="N4" s="31">
        <f>SUMIFS(Заказы!$E$2:$E$60,Заказы!$A$2:$A$60,Расчеты!$G4,Заказы!$B$2:$B$60,"ТТ №2")</f>
        <v>1400</v>
      </c>
      <c r="O4" s="31">
        <f>SUMIFS(Заказы!$F$2:$F$60,Заказы!$A$2:$A$60,Расчеты!$G4,Заказы!$B$2:$B$60,"ТТ №2")</f>
        <v>298</v>
      </c>
      <c r="P4" s="31">
        <f>Таблица7[[#This Row],[Сумма заказов]]-Таблица7[[#This Row],[Расходы на доставку]]</f>
        <v>1102</v>
      </c>
      <c r="Q4" s="114">
        <f>SUMIFS(ТЗаказы[Прогноз прибыли],Заказы!$A$2:$A$60,Расчеты!$G4,Заказы!$B$2:$B$60,"ТТ №2")</f>
        <v>2204.8000000000002</v>
      </c>
      <c r="S4" s="72">
        <v>44076</v>
      </c>
      <c r="T4" s="31">
        <f>SUMIFS(Заказы!$E$2:$E$60,Заказы!$A$2:$A$60,Расчеты!$G4,Заказы!$B$2:$B$60,"ТТ №3")</f>
        <v>2680</v>
      </c>
      <c r="U4" s="31">
        <f>SUMIFS(Заказы!$F$2:$F$60,Заказы!$A$2:$A$60,Расчеты!$G4,Заказы!$B$2:$B$60,"ТТ №3")</f>
        <v>692</v>
      </c>
      <c r="V4" s="31">
        <f>Таблица8[[#This Row],[Сумма заказов]]-Таблица8[[#This Row],[Расходы на доставку]]</f>
        <v>1988</v>
      </c>
      <c r="W4" s="114">
        <f>SUMIFS(ТЗаказы[Прогноз прибыли],Заказы!$A$2:$A$60,Расчеты!$G4,Заказы!$B$2:$B$60,"ТТ №3")</f>
        <v>1788.1999999999998</v>
      </c>
    </row>
    <row r="5" spans="1:23" ht="15.75" thickBot="1" x14ac:dyDescent="0.3">
      <c r="A5" s="72">
        <v>44077</v>
      </c>
      <c r="B5" s="31">
        <f t="shared" si="0"/>
        <v>14050</v>
      </c>
      <c r="C5" s="31">
        <f t="shared" si="0"/>
        <v>3332</v>
      </c>
      <c r="D5" s="33">
        <f t="shared" si="1"/>
        <v>10718</v>
      </c>
      <c r="E5" s="31">
        <f t="shared" si="2"/>
        <v>8929.2000000000007</v>
      </c>
      <c r="G5" s="72">
        <v>44077</v>
      </c>
      <c r="H5" s="31">
        <f>SUMIFS(Заказы!$E$2:$E$60,Заказы!$A$2:$A$60,Расчеты!$G5,Заказы!$B$2:$B$60,"ТТ №1")</f>
        <v>2190</v>
      </c>
      <c r="I5" s="31">
        <f>SUMIFS(Заказы!$F$2:$F$60,Заказы!$A$2:$A$60,Расчеты!$G5,Заказы!$B$2:$B$60,"ТТ №1")</f>
        <v>532</v>
      </c>
      <c r="J5" s="31">
        <f>Таблица6[[#This Row],[Сумма заказов]]-Таблица6[[#This Row],[Расходы на доставку]]</f>
        <v>1658</v>
      </c>
      <c r="K5" s="114">
        <f>SUMIFS(ТЗаказы[Прогноз прибыли],Заказы!$A$2:$A$60,Расчеты!$G5,Заказы!$B$2:$B$60,"ТТ №1")</f>
        <v>508.2</v>
      </c>
      <c r="M5" s="72">
        <v>44077</v>
      </c>
      <c r="N5" s="31">
        <f>SUMIFS(Заказы!$E$2:$E$60,Заказы!$A$2:$A$60,Расчеты!$G5,Заказы!$B$2:$B$60,"ТТ №2")</f>
        <v>3950</v>
      </c>
      <c r="O5" s="31">
        <f>SUMIFS(Заказы!$F$2:$F$60,Заказы!$A$2:$A$60,Расчеты!$G5,Заказы!$B$2:$B$60,"ТТ №2")</f>
        <v>942</v>
      </c>
      <c r="P5" s="31">
        <f>Таблица7[[#This Row],[Сумма заказов]]-Таблица7[[#This Row],[Расходы на доставку]]</f>
        <v>3008</v>
      </c>
      <c r="Q5" s="114">
        <f>SUMIFS(ТЗаказы[Прогноз прибыли],Заказы!$A$2:$A$60,Расчеты!$G5,Заказы!$B$2:$B$60,"ТТ №2")</f>
        <v>3297.2000000000003</v>
      </c>
      <c r="S5" s="72">
        <v>44077</v>
      </c>
      <c r="T5" s="31">
        <f>SUMIFS(Заказы!$E$2:$E$60,Заказы!$A$2:$A$60,Расчеты!$G5,Заказы!$B$2:$B$60,"ТТ №3")</f>
        <v>7910</v>
      </c>
      <c r="U5" s="31">
        <f>SUMIFS(Заказы!$F$2:$F$60,Заказы!$A$2:$A$60,Расчеты!$G5,Заказы!$B$2:$B$60,"ТТ №3")</f>
        <v>1858</v>
      </c>
      <c r="V5" s="31">
        <f>Таблица8[[#This Row],[Сумма заказов]]-Таблица8[[#This Row],[Расходы на доставку]]</f>
        <v>6052</v>
      </c>
      <c r="W5" s="114">
        <f>SUMIFS(ТЗаказы[Прогноз прибыли],Заказы!$A$2:$A$60,Расчеты!$G5,Заказы!$B$2:$B$60,"ТТ №3")</f>
        <v>5123.8</v>
      </c>
    </row>
    <row r="6" spans="1:23" ht="15.75" thickBot="1" x14ac:dyDescent="0.3">
      <c r="A6" s="72">
        <v>44078</v>
      </c>
      <c r="B6" s="31">
        <f t="shared" si="0"/>
        <v>8470</v>
      </c>
      <c r="C6" s="31">
        <f t="shared" si="0"/>
        <v>1941</v>
      </c>
      <c r="D6" s="33">
        <f t="shared" si="1"/>
        <v>6529</v>
      </c>
      <c r="E6" s="31">
        <f t="shared" si="2"/>
        <v>8294.1</v>
      </c>
      <c r="G6" s="72">
        <v>44078</v>
      </c>
      <c r="H6" s="31">
        <f>SUMIFS(Заказы!$E$2:$E$60,Заказы!$A$2:$A$60,Расчеты!$G6,Заказы!$B$2:$B$60,"ТТ №1")</f>
        <v>1590</v>
      </c>
      <c r="I6" s="31">
        <f>SUMIFS(Заказы!$F$2:$F$60,Заказы!$A$2:$A$60,Расчеты!$G6,Заказы!$B$2:$B$60,"ТТ №1")</f>
        <v>370</v>
      </c>
      <c r="J6" s="31">
        <f>Таблица6[[#This Row],[Сумма заказов]]-Таблица6[[#This Row],[Расходы на доставку]]</f>
        <v>1220</v>
      </c>
      <c r="K6" s="114">
        <f>SUMIFS(ТЗаказы[Прогноз прибыли],Заказы!$A$2:$A$60,Расчеты!$G6,Заказы!$B$2:$B$60,"ТТ №1")</f>
        <v>1168</v>
      </c>
      <c r="M6" s="72">
        <v>44078</v>
      </c>
      <c r="N6" s="31">
        <f>SUMIFS(Заказы!$E$2:$E$60,Заказы!$A$2:$A$60,Расчеты!$G6,Заказы!$B$2:$B$60,"ТТ №2")</f>
        <v>1430</v>
      </c>
      <c r="O6" s="31">
        <f>SUMIFS(Заказы!$F$2:$F$60,Заказы!$A$2:$A$60,Расчеты!$G6,Заказы!$B$2:$B$60,"ТТ №2")</f>
        <v>320</v>
      </c>
      <c r="P6" s="31">
        <f>Таблица7[[#This Row],[Сумма заказов]]-Таблица7[[#This Row],[Расходы на доставку]]</f>
        <v>1110</v>
      </c>
      <c r="Q6" s="114">
        <f>SUMIFS(ТЗаказы[Прогноз прибыли],Заказы!$A$2:$A$60,Расчеты!$G6,Заказы!$B$2:$B$60,"ТТ №2")</f>
        <v>2146</v>
      </c>
      <c r="S6" s="72">
        <v>44078</v>
      </c>
      <c r="T6" s="31">
        <f>SUMIFS(Заказы!$E$2:$E$60,Заказы!$A$2:$A$60,Расчеты!$G6,Заказы!$B$2:$B$60,"ТТ №3")</f>
        <v>5450</v>
      </c>
      <c r="U6" s="31">
        <f>SUMIFS(Заказы!$F$2:$F$60,Заказы!$A$2:$A$60,Расчеты!$G6,Заказы!$B$2:$B$60,"ТТ №3")</f>
        <v>1251</v>
      </c>
      <c r="V6" s="31">
        <f>Таблица8[[#This Row],[Сумма заказов]]-Таблица8[[#This Row],[Расходы на доставку]]</f>
        <v>4199</v>
      </c>
      <c r="W6" s="114">
        <f>SUMIFS(ТЗаказы[Прогноз прибыли],Заказы!$A$2:$A$60,Расчеты!$G6,Заказы!$B$2:$B$60,"ТТ №3")</f>
        <v>4980.1000000000004</v>
      </c>
    </row>
    <row r="7" spans="1:23" ht="15.75" thickBot="1" x14ac:dyDescent="0.3">
      <c r="A7" s="72">
        <v>44079</v>
      </c>
      <c r="B7" s="31">
        <f t="shared" si="0"/>
        <v>13060</v>
      </c>
      <c r="C7" s="31">
        <f t="shared" si="0"/>
        <v>2942</v>
      </c>
      <c r="D7" s="33">
        <f t="shared" si="1"/>
        <v>10118</v>
      </c>
      <c r="E7" s="31">
        <f t="shared" si="2"/>
        <v>9775.2000000000007</v>
      </c>
      <c r="G7" s="72">
        <v>44079</v>
      </c>
      <c r="H7" s="31">
        <f>SUMIFS(Заказы!$E$2:$E$60,Заказы!$A$2:$A$60,Расчеты!$G7,Заказы!$B$2:$B$60,"ТТ №1")</f>
        <v>3090</v>
      </c>
      <c r="I7" s="31">
        <f>SUMIFS(Заказы!$F$2:$F$60,Заказы!$A$2:$A$60,Расчеты!$G7,Заказы!$B$2:$B$60,"ТТ №1")</f>
        <v>658</v>
      </c>
      <c r="J7" s="31">
        <f>Таблица6[[#This Row],[Сумма заказов]]-Таблица6[[#This Row],[Расходы на доставку]]</f>
        <v>2432</v>
      </c>
      <c r="K7" s="114">
        <f>SUMIFS(ТЗаказы[Прогноз прибыли],Заказы!$A$2:$A$60,Расчеты!$G7,Заказы!$B$2:$B$60,"ТТ №1")</f>
        <v>3452.8</v>
      </c>
      <c r="M7" s="72">
        <v>44079</v>
      </c>
      <c r="N7" s="31">
        <f>SUMIFS(Заказы!$E$2:$E$60,Заказы!$A$2:$A$60,Расчеты!$G7,Заказы!$B$2:$B$60,"ТТ №2")</f>
        <v>7490</v>
      </c>
      <c r="O7" s="31">
        <f>SUMIFS(Заказы!$F$2:$F$60,Заказы!$A$2:$A$60,Расчеты!$G7,Заказы!$B$2:$B$60,"ТТ №2")</f>
        <v>1737</v>
      </c>
      <c r="P7" s="31">
        <f>Таблица7[[#This Row],[Сумма заказов]]-Таблица7[[#This Row],[Расходы на доставку]]</f>
        <v>5753</v>
      </c>
      <c r="Q7" s="114">
        <f>SUMIFS(ТЗаказы[Прогноз прибыли],Заказы!$A$2:$A$60,Расчеты!$G7,Заказы!$B$2:$B$60,"ТТ №2")</f>
        <v>5552.7000000000007</v>
      </c>
      <c r="S7" s="72">
        <v>44079</v>
      </c>
      <c r="T7" s="31">
        <f>SUMIFS(Заказы!$E$2:$E$60,Заказы!$A$2:$A$60,Расчеты!$G7,Заказы!$B$2:$B$60,"ТТ №3")</f>
        <v>2480</v>
      </c>
      <c r="U7" s="31">
        <f>SUMIFS(Заказы!$F$2:$F$60,Заказы!$A$2:$A$60,Расчеты!$G7,Заказы!$B$2:$B$60,"ТТ №3")</f>
        <v>547</v>
      </c>
      <c r="V7" s="31">
        <f>Таблица8[[#This Row],[Сумма заказов]]-Таблица8[[#This Row],[Расходы на доставку]]</f>
        <v>1933</v>
      </c>
      <c r="W7" s="114">
        <f>SUMIFS(ТЗаказы[Прогноз прибыли],Заказы!$A$2:$A$60,Расчеты!$G7,Заказы!$B$2:$B$60,"ТТ №3")</f>
        <v>769.7</v>
      </c>
    </row>
    <row r="8" spans="1:23" ht="15.75" thickBot="1" x14ac:dyDescent="0.3">
      <c r="A8" s="72">
        <v>44080</v>
      </c>
      <c r="B8" s="31">
        <f t="shared" si="0"/>
        <v>3250</v>
      </c>
      <c r="C8" s="31">
        <f t="shared" si="0"/>
        <v>877</v>
      </c>
      <c r="D8" s="33">
        <f t="shared" si="1"/>
        <v>2373</v>
      </c>
      <c r="E8" s="31">
        <f t="shared" si="2"/>
        <v>3636.7</v>
      </c>
      <c r="G8" s="72">
        <v>44080</v>
      </c>
      <c r="H8" s="31">
        <f>SUMIFS(Заказы!$E$2:$E$60,Заказы!$A$2:$A$60,Расчеты!$G8,Заказы!$B$2:$B$60,"ТТ №1")</f>
        <v>1670</v>
      </c>
      <c r="I8" s="31">
        <f>SUMIFS(Заказы!$F$2:$F$60,Заказы!$A$2:$A$60,Расчеты!$G8,Заказы!$B$2:$B$60,"ТТ №1")</f>
        <v>450</v>
      </c>
      <c r="J8" s="31">
        <f>Таблица6[[#This Row],[Сумма заказов]]-Таблица6[[#This Row],[Расходы на доставку]]</f>
        <v>1220</v>
      </c>
      <c r="K8" s="114">
        <f>SUMIFS(ТЗаказы[Прогноз прибыли],Заказы!$A$2:$A$60,Расчеты!$G8,Заказы!$B$2:$B$60,"ТТ №1")</f>
        <v>1281</v>
      </c>
      <c r="M8" s="72">
        <v>44080</v>
      </c>
      <c r="N8" s="31">
        <f>SUMIFS(Заказы!$E$2:$E$60,Заказы!$A$2:$A$60,Расчеты!$G8,Заказы!$B$2:$B$60,"ТТ №2")</f>
        <v>450</v>
      </c>
      <c r="O8" s="31">
        <f>SUMIFS(Заказы!$F$2:$F$60,Заказы!$A$2:$A$60,Расчеты!$G8,Заказы!$B$2:$B$60,"ТТ №2")</f>
        <v>104</v>
      </c>
      <c r="P8" s="31">
        <f>Таблица7[[#This Row],[Сумма заказов]]-Таблица7[[#This Row],[Расходы на доставку]]</f>
        <v>346</v>
      </c>
      <c r="Q8" s="114">
        <f>SUMIFS(ТЗаказы[Прогноз прибыли],Заказы!$A$2:$A$60,Расчеты!$G8,Заказы!$B$2:$B$60,"ТТ №2")</f>
        <v>484.4</v>
      </c>
      <c r="S8" s="72">
        <v>44080</v>
      </c>
      <c r="T8" s="31">
        <f>SUMIFS(Заказы!$E$2:$E$60,Заказы!$A$2:$A$60,Расчеты!$G8,Заказы!$B$2:$B$60,"ТТ №3")</f>
        <v>1130</v>
      </c>
      <c r="U8" s="31">
        <f>SUMIFS(Заказы!$F$2:$F$60,Заказы!$A$2:$A$60,Расчеты!$G8,Заказы!$B$2:$B$60,"ТТ №3")</f>
        <v>323</v>
      </c>
      <c r="V8" s="31">
        <f>Таблица8[[#This Row],[Сумма заказов]]-Таблица8[[#This Row],[Расходы на доставку]]</f>
        <v>807</v>
      </c>
      <c r="W8" s="114">
        <f>SUMIFS(ТЗаказы[Прогноз прибыли],Заказы!$A$2:$A$60,Расчеты!$G8,Заказы!$B$2:$B$60,"ТТ №3")</f>
        <v>1871.3</v>
      </c>
    </row>
    <row r="9" spans="1:23" ht="15.75" thickBot="1" x14ac:dyDescent="0.3">
      <c r="A9" s="72">
        <v>44081</v>
      </c>
      <c r="B9" s="31">
        <f t="shared" si="0"/>
        <v>6440</v>
      </c>
      <c r="C9" s="31">
        <f t="shared" si="0"/>
        <v>1465</v>
      </c>
      <c r="D9" s="33">
        <f t="shared" si="1"/>
        <v>4975</v>
      </c>
      <c r="E9" s="31">
        <f t="shared" si="2"/>
        <v>4887.5</v>
      </c>
      <c r="G9" s="72">
        <v>44081</v>
      </c>
      <c r="H9" s="31">
        <f>SUMIFS(Заказы!$E$2:$E$60,Заказы!$A$2:$A$60,Расчеты!$G9,Заказы!$B$2:$B$60,"ТТ №1")</f>
        <v>1920</v>
      </c>
      <c r="I9" s="31">
        <f>SUMIFS(Заказы!$F$2:$F$60,Заказы!$A$2:$A$60,Расчеты!$G9,Заказы!$B$2:$B$60,"ТТ №1")</f>
        <v>435</v>
      </c>
      <c r="J9" s="31">
        <f>Таблица6[[#This Row],[Сумма заказов]]-Таблица6[[#This Row],[Расходы на доставку]]</f>
        <v>1485</v>
      </c>
      <c r="K9" s="114">
        <f>SUMIFS(ТЗаказы[Прогноз прибыли],Заказы!$A$2:$A$60,Расчеты!$G9,Заказы!$B$2:$B$60,"ТТ №1")</f>
        <v>1447.5</v>
      </c>
      <c r="M9" s="72">
        <v>44081</v>
      </c>
      <c r="N9" s="31">
        <f>SUMIFS(Заказы!$E$2:$E$60,Заказы!$A$2:$A$60,Расчеты!$G9,Заказы!$B$2:$B$60,"ТТ №2")</f>
        <v>1850</v>
      </c>
      <c r="O9" s="31">
        <f>SUMIFS(Заказы!$F$2:$F$60,Заказы!$A$2:$A$60,Расчеты!$G9,Заказы!$B$2:$B$60,"ТТ №2")</f>
        <v>440</v>
      </c>
      <c r="P9" s="31">
        <f>Таблица7[[#This Row],[Сумма заказов]]-Таблица7[[#This Row],[Расходы на доставку]]</f>
        <v>1410</v>
      </c>
      <c r="Q9" s="114">
        <f>SUMIFS(ТЗаказы[Прогноз прибыли],Заказы!$A$2:$A$60,Расчеты!$G9,Заказы!$B$2:$B$60,"ТТ №2")</f>
        <v>1469</v>
      </c>
      <c r="S9" s="72">
        <v>44081</v>
      </c>
      <c r="T9" s="31">
        <f>SUMIFS(Заказы!$E$2:$E$60,Заказы!$A$2:$A$60,Расчеты!$G9,Заказы!$B$2:$B$60,"ТТ №3")</f>
        <v>2670</v>
      </c>
      <c r="U9" s="31">
        <f>SUMIFS(Заказы!$F$2:$F$60,Заказы!$A$2:$A$60,Расчеты!$G9,Заказы!$B$2:$B$60,"ТТ №3")</f>
        <v>590</v>
      </c>
      <c r="V9" s="31">
        <f>Таблица8[[#This Row],[Сумма заказов]]-Таблица8[[#This Row],[Расходы на доставку]]</f>
        <v>2080</v>
      </c>
      <c r="W9" s="114">
        <f>SUMIFS(ТЗаказы[Прогноз прибыли],Заказы!$A$2:$A$60,Расчеты!$G9,Заказы!$B$2:$B$60,"ТТ №3")</f>
        <v>1971</v>
      </c>
    </row>
    <row r="10" spans="1:23" ht="15.75" thickBot="1" x14ac:dyDescent="0.3">
      <c r="A10" s="72">
        <v>44082</v>
      </c>
      <c r="B10" s="31">
        <f t="shared" si="0"/>
        <v>8010</v>
      </c>
      <c r="C10" s="31">
        <f t="shared" si="0"/>
        <v>1776</v>
      </c>
      <c r="D10" s="33">
        <f t="shared" si="1"/>
        <v>6234</v>
      </c>
      <c r="E10" s="31">
        <f t="shared" si="2"/>
        <v>6387.5999999999995</v>
      </c>
      <c r="G10" s="72">
        <v>44082</v>
      </c>
      <c r="H10" s="31">
        <f>SUMIFS(Заказы!$E$2:$E$60,Заказы!$A$2:$A$60,Расчеты!$G10,Заказы!$B$2:$B$60,"ТТ №1")</f>
        <v>4210</v>
      </c>
      <c r="I10" s="31">
        <f>SUMIFS(Заказы!$F$2:$F$60,Заказы!$A$2:$A$60,Расчеты!$G10,Заказы!$B$2:$B$60,"ТТ №1")</f>
        <v>944</v>
      </c>
      <c r="J10" s="31">
        <f>Таблица6[[#This Row],[Сумма заказов]]-Таблица6[[#This Row],[Расходы на доставку]]</f>
        <v>3266</v>
      </c>
      <c r="K10" s="114">
        <f>SUMIFS(ТЗаказы[Прогноз прибыли],Заказы!$A$2:$A$60,Расчеты!$G10,Заказы!$B$2:$B$60,"ТТ №1")</f>
        <v>3241.3999999999996</v>
      </c>
      <c r="M10" s="72">
        <v>44082</v>
      </c>
      <c r="N10" s="31">
        <f>SUMIFS(Заказы!$E$2:$E$60,Заказы!$A$2:$A$60,Расчеты!$G10,Заказы!$B$2:$B$60,"ТТ №2")</f>
        <v>1430</v>
      </c>
      <c r="O10" s="31">
        <f>SUMIFS(Заказы!$F$2:$F$60,Заказы!$A$2:$A$60,Расчеты!$G10,Заказы!$B$2:$B$60,"ТТ №2")</f>
        <v>327</v>
      </c>
      <c r="P10" s="31">
        <f>Таблица7[[#This Row],[Сумма заказов]]-Таблица7[[#This Row],[Расходы на доставку]]</f>
        <v>1103</v>
      </c>
      <c r="Q10" s="114">
        <f>SUMIFS(ТЗаказы[Прогноз прибыли],Заказы!$A$2:$A$60,Расчеты!$G10,Заказы!$B$2:$B$60,"ТТ №2")</f>
        <v>1391.7</v>
      </c>
      <c r="S10" s="72">
        <v>44082</v>
      </c>
      <c r="T10" s="31">
        <f>SUMIFS(Заказы!$E$2:$E$60,Заказы!$A$2:$A$60,Расчеты!$G10,Заказы!$B$2:$B$60,"ТТ №3")</f>
        <v>2370</v>
      </c>
      <c r="U10" s="31">
        <f>SUMIFS(Заказы!$F$2:$F$60,Заказы!$A$2:$A$60,Расчеты!$G10,Заказы!$B$2:$B$60,"ТТ №3")</f>
        <v>505</v>
      </c>
      <c r="V10" s="31">
        <f>Таблица8[[#This Row],[Сумма заказов]]-Таблица8[[#This Row],[Расходы на доставку]]</f>
        <v>1865</v>
      </c>
      <c r="W10" s="114">
        <f>SUMIFS(ТЗаказы[Прогноз прибыли],Заказы!$A$2:$A$60,Расчеты!$G10,Заказы!$B$2:$B$60,"ТТ №3")</f>
        <v>1754.5</v>
      </c>
    </row>
    <row r="11" spans="1:23" ht="15.75" thickBot="1" x14ac:dyDescent="0.3">
      <c r="A11" s="72">
        <v>44083</v>
      </c>
      <c r="B11" s="31">
        <f t="shared" si="0"/>
        <v>8600</v>
      </c>
      <c r="C11" s="31">
        <f t="shared" si="0"/>
        <v>2006</v>
      </c>
      <c r="D11" s="33">
        <f t="shared" si="1"/>
        <v>6594</v>
      </c>
      <c r="E11" s="31">
        <f t="shared" si="2"/>
        <v>7433.6</v>
      </c>
      <c r="G11" s="72">
        <v>44083</v>
      </c>
      <c r="H11" s="31">
        <f>SUMIFS(Заказы!$E$2:$E$60,Заказы!$A$2:$A$60,Расчеты!$G11,Заказы!$B$2:$B$60,"ТТ №1")</f>
        <v>1810</v>
      </c>
      <c r="I11" s="31">
        <f>SUMIFS(Заказы!$F$2:$F$60,Заказы!$A$2:$A$60,Расчеты!$G11,Заказы!$B$2:$B$60,"ТТ №1")</f>
        <v>469</v>
      </c>
      <c r="J11" s="31">
        <f>Таблица6[[#This Row],[Сумма заказов]]-Таблица6[[#This Row],[Расходы на доставку]]</f>
        <v>1341</v>
      </c>
      <c r="K11" s="114">
        <f>SUMIFS(ТЗаказы[Прогноз прибыли],Заказы!$A$2:$A$60,Расчеты!$G11,Заказы!$B$2:$B$60,"ТТ №1")</f>
        <v>1420.9</v>
      </c>
      <c r="M11" s="72">
        <v>44083</v>
      </c>
      <c r="N11" s="31">
        <f>SUMIFS(Заказы!$E$2:$E$60,Заказы!$A$2:$A$60,Расчеты!$G11,Заказы!$B$2:$B$60,"ТТ №2")</f>
        <v>610</v>
      </c>
      <c r="O11" s="31">
        <f>SUMIFS(Заказы!$F$2:$F$60,Заказы!$A$2:$A$60,Расчеты!$G11,Заказы!$B$2:$B$60,"ТТ №2")</f>
        <v>194</v>
      </c>
      <c r="P11" s="31">
        <f>Таблица7[[#This Row],[Сумма заказов]]-Таблица7[[#This Row],[Расходы на доставку]]</f>
        <v>416</v>
      </c>
      <c r="Q11" s="114">
        <f>SUMIFS(ТЗаказы[Прогноз прибыли],Заказы!$A$2:$A$60,Расчеты!$G11,Заказы!$B$2:$B$60,"ТТ №2")</f>
        <v>1497.4</v>
      </c>
      <c r="S11" s="72">
        <v>44083</v>
      </c>
      <c r="T11" s="31">
        <f>SUMIFS(Заказы!$E$2:$E$60,Заказы!$A$2:$A$60,Расчеты!$G11,Заказы!$B$2:$B$60,"ТТ №3")</f>
        <v>6180</v>
      </c>
      <c r="U11" s="31">
        <f>SUMIFS(Заказы!$F$2:$F$60,Заказы!$A$2:$A$60,Расчеты!$G11,Заказы!$B$2:$B$60,"ТТ №3")</f>
        <v>1343</v>
      </c>
      <c r="V11" s="31">
        <f>Таблица8[[#This Row],[Сумма заказов]]-Таблица8[[#This Row],[Расходы на доставку]]</f>
        <v>4837</v>
      </c>
      <c r="W11" s="114">
        <f>SUMIFS(ТЗаказы[Прогноз прибыли],Заказы!$A$2:$A$60,Расчеты!$G11,Заказы!$B$2:$B$60,"ТТ №3")</f>
        <v>4515.3</v>
      </c>
    </row>
    <row r="12" spans="1:23" ht="15.75" thickBot="1" x14ac:dyDescent="0.3">
      <c r="A12" s="73">
        <v>44084</v>
      </c>
      <c r="B12" s="31">
        <f t="shared" si="0"/>
        <v>12990</v>
      </c>
      <c r="C12" s="31">
        <f t="shared" si="0"/>
        <v>2993</v>
      </c>
      <c r="D12" s="33">
        <f t="shared" si="1"/>
        <v>9997</v>
      </c>
      <c r="E12" s="31">
        <f t="shared" si="2"/>
        <v>7914.2999999999993</v>
      </c>
      <c r="G12" s="73">
        <v>44084</v>
      </c>
      <c r="H12" s="31">
        <f>SUMIFS(Заказы!$E$2:$E$60,Заказы!$A$2:$A$60,Расчеты!$G12,Заказы!$B$2:$B$60,"ТТ №1")</f>
        <v>5600</v>
      </c>
      <c r="I12" s="31">
        <f>SUMIFS(Заказы!$F$2:$F$60,Заказы!$A$2:$A$60,Расчеты!$G12,Заказы!$B$2:$B$60,"ТТ №1")</f>
        <v>1312</v>
      </c>
      <c r="J12" s="31">
        <f>Таблица6[[#This Row],[Сумма заказов]]-Таблица6[[#This Row],[Расходы на доставку]]</f>
        <v>4288</v>
      </c>
      <c r="K12" s="114">
        <f>SUMIFS(ТЗаказы[Прогноз прибыли],Заказы!$A$2:$A$60,Расчеты!$G12,Заказы!$B$2:$B$60,"ТТ №1")</f>
        <v>3342.2</v>
      </c>
      <c r="M12" s="73">
        <v>44084</v>
      </c>
      <c r="N12" s="31">
        <f>SUMIFS(Заказы!$E$2:$E$60,Заказы!$A$2:$A$60,Расчеты!$G12,Заказы!$B$2:$B$60,"ТТ №2")</f>
        <v>2150</v>
      </c>
      <c r="O12" s="31">
        <f>SUMIFS(Заказы!$F$2:$F$60,Заказы!$A$2:$A$60,Расчеты!$G12,Заказы!$B$2:$B$60,"ТТ №2")</f>
        <v>472</v>
      </c>
      <c r="P12" s="31">
        <f>Таблица7[[#This Row],[Сумма заказов]]-Таблица7[[#This Row],[Расходы на доставку]]</f>
        <v>1678</v>
      </c>
      <c r="Q12" s="114">
        <f>SUMIFS(ТЗаказы[Прогноз прибыли],Заказы!$A$2:$A$60,Расчеты!$G12,Заказы!$B$2:$B$60,"ТТ №2")</f>
        <v>1710.2</v>
      </c>
      <c r="S12" s="73">
        <v>44084</v>
      </c>
      <c r="T12" s="31">
        <f>SUMIFS(Заказы!$E$2:$E$60,Заказы!$A$2:$A$60,Расчеты!$G12,Заказы!$B$2:$B$60,"ТТ №3")</f>
        <v>5240</v>
      </c>
      <c r="U12" s="31">
        <f>SUMIFS(Заказы!$F$2:$F$60,Заказы!$A$2:$A$60,Расчеты!$G12,Заказы!$B$2:$B$60,"ТТ №3")</f>
        <v>1209</v>
      </c>
      <c r="V12" s="31">
        <f>Таблица8[[#This Row],[Сумма заказов]]-Таблица8[[#This Row],[Расходы на доставку]]</f>
        <v>4031</v>
      </c>
      <c r="W12" s="114">
        <f>SUMIFS(ТЗаказы[Прогноз прибыли],Заказы!$A$2:$A$60,Расчеты!$G12,Заказы!$B$2:$B$60,"ТТ №3")</f>
        <v>2861.9</v>
      </c>
    </row>
    <row r="13" spans="1:23" ht="15.75" thickBot="1" x14ac:dyDescent="0.3">
      <c r="A13" s="29" t="s">
        <v>12</v>
      </c>
      <c r="B13" s="35">
        <f>SUM(B3:B12)</f>
        <v>93820</v>
      </c>
      <c r="C13" s="36">
        <f>SUM(C3:C12)</f>
        <v>21438</v>
      </c>
      <c r="D13" s="37">
        <f>SUM(D3:D12)</f>
        <v>72382</v>
      </c>
      <c r="E13" s="113">
        <f>SUM(E3:E12)</f>
        <v>72870.8</v>
      </c>
      <c r="G13" s="29" t="s">
        <v>12</v>
      </c>
      <c r="H13" s="36">
        <f>SUM(H3:H12)</f>
        <v>32750</v>
      </c>
      <c r="I13" s="36">
        <f>SUM(I3:I12)</f>
        <v>7531</v>
      </c>
      <c r="J13" s="36">
        <f>SUM(J3:J12)</f>
        <v>25219</v>
      </c>
      <c r="K13" s="115">
        <f>SUM(K3:K12)</f>
        <v>25181.100000000002</v>
      </c>
      <c r="M13" s="8" t="s">
        <v>12</v>
      </c>
      <c r="N13" s="36">
        <f>SUM(N3:N12)</f>
        <v>23120</v>
      </c>
      <c r="O13" s="36">
        <f>SUM(O3:O12)</f>
        <v>5154</v>
      </c>
      <c r="P13" s="36">
        <f>SUM(P3:P12)</f>
        <v>17966</v>
      </c>
      <c r="Q13" s="113">
        <f>SUM(Q3:Q12)</f>
        <v>20848.400000000001</v>
      </c>
      <c r="S13" s="29" t="s">
        <v>12</v>
      </c>
      <c r="T13" s="36">
        <f>SUM(T3:T12)</f>
        <v>37950</v>
      </c>
      <c r="U13" s="36">
        <f>SUM(U3:U12)</f>
        <v>8753</v>
      </c>
      <c r="V13" s="36">
        <f>SUM(V3:V12)</f>
        <v>29197</v>
      </c>
      <c r="W13" s="113">
        <f>SUM(W3:W12)</f>
        <v>26841.3</v>
      </c>
    </row>
    <row r="14" spans="1:23" x14ac:dyDescent="0.25">
      <c r="A14" s="43"/>
      <c r="B14" s="31"/>
      <c r="C14" s="31"/>
      <c r="D14" s="31"/>
      <c r="G14" s="43"/>
      <c r="H14" s="31"/>
      <c r="I14" s="31"/>
      <c r="J14" s="31"/>
      <c r="M14" s="43"/>
      <c r="N14" s="31"/>
      <c r="O14" s="31"/>
      <c r="P14" s="31"/>
      <c r="S14" s="43"/>
      <c r="T14" s="31"/>
      <c r="U14" s="31"/>
      <c r="V14" s="31"/>
    </row>
    <row r="17" spans="1:9" s="1" customFormat="1" ht="45.75" customHeight="1" thickBot="1" x14ac:dyDescent="0.3">
      <c r="A17" s="78" t="s">
        <v>4</v>
      </c>
      <c r="B17" s="75" t="s">
        <v>35</v>
      </c>
      <c r="D17" s="67" t="s">
        <v>20</v>
      </c>
      <c r="E17" s="74" t="s">
        <v>33</v>
      </c>
      <c r="F17" s="75" t="s">
        <v>34</v>
      </c>
      <c r="G17" s="69"/>
      <c r="H17" s="69"/>
      <c r="I17" s="69"/>
    </row>
    <row r="18" spans="1:9" x14ac:dyDescent="0.25">
      <c r="A18" s="77">
        <v>1</v>
      </c>
      <c r="B18" s="31">
        <f>J13</f>
        <v>25219</v>
      </c>
      <c r="D18" s="77">
        <v>1</v>
      </c>
      <c r="E18" s="20">
        <v>82</v>
      </c>
      <c r="F18" s="56">
        <v>12300</v>
      </c>
      <c r="G18" s="32"/>
      <c r="H18" s="32"/>
      <c r="I18" s="32"/>
    </row>
    <row r="19" spans="1:9" x14ac:dyDescent="0.25">
      <c r="A19" s="77">
        <v>2</v>
      </c>
      <c r="B19" s="31">
        <f>P13</f>
        <v>17966</v>
      </c>
      <c r="D19" s="77">
        <v>2</v>
      </c>
      <c r="E19" s="20">
        <v>71</v>
      </c>
      <c r="F19" s="59">
        <v>7810</v>
      </c>
      <c r="G19" s="32"/>
      <c r="H19" s="32"/>
      <c r="I19" s="32"/>
    </row>
    <row r="20" spans="1:9" ht="15.75" thickBot="1" x14ac:dyDescent="0.3">
      <c r="A20" s="77">
        <v>3</v>
      </c>
      <c r="B20" s="31">
        <f>V13</f>
        <v>29197</v>
      </c>
      <c r="D20" s="77">
        <v>3</v>
      </c>
      <c r="E20" s="20">
        <v>94</v>
      </c>
      <c r="F20" s="59">
        <v>28200</v>
      </c>
      <c r="G20" s="32"/>
      <c r="H20" s="32"/>
      <c r="I20" s="32"/>
    </row>
    <row r="21" spans="1:9" x14ac:dyDescent="0.25">
      <c r="A21" s="79" t="s">
        <v>12</v>
      </c>
      <c r="B21" s="76">
        <v>69045</v>
      </c>
      <c r="D21" s="77">
        <v>4</v>
      </c>
      <c r="E21" s="20">
        <v>102</v>
      </c>
      <c r="F21" s="59">
        <v>8160</v>
      </c>
      <c r="G21" s="32"/>
      <c r="H21" s="32"/>
      <c r="I21" s="32"/>
    </row>
    <row r="22" spans="1:9" x14ac:dyDescent="0.25">
      <c r="A22" s="63"/>
      <c r="D22" s="77">
        <v>5</v>
      </c>
      <c r="E22" s="20">
        <v>83</v>
      </c>
      <c r="F22" s="59">
        <v>37350</v>
      </c>
      <c r="G22" s="32"/>
      <c r="H22" s="32"/>
      <c r="I22" s="32"/>
    </row>
    <row r="23" spans="1:9" x14ac:dyDescent="0.25">
      <c r="A23" s="63"/>
    </row>
    <row r="24" spans="1:9" x14ac:dyDescent="0.25">
      <c r="A24" s="63"/>
    </row>
    <row r="25" spans="1:9" ht="16.5" customHeight="1" x14ac:dyDescent="0.25"/>
    <row r="26" spans="1:9" x14ac:dyDescent="0.25">
      <c r="D26" s="32"/>
    </row>
    <row r="27" spans="1:9" x14ac:dyDescent="0.25">
      <c r="D27" s="25"/>
    </row>
    <row r="28" spans="1:9" x14ac:dyDescent="0.25">
      <c r="D28" s="25"/>
    </row>
    <row r="29" spans="1:9" x14ac:dyDescent="0.25">
      <c r="D29" s="25"/>
    </row>
    <row r="30" spans="1:9" x14ac:dyDescent="0.25">
      <c r="D30" s="25"/>
    </row>
    <row r="31" spans="1:9" x14ac:dyDescent="0.25">
      <c r="A31" s="64"/>
      <c r="B31" s="32"/>
      <c r="C31" s="32"/>
      <c r="D31" s="25"/>
    </row>
    <row r="32" spans="1:9" x14ac:dyDescent="0.25">
      <c r="A32" s="64"/>
      <c r="B32" s="31"/>
      <c r="C32" s="32"/>
      <c r="D32" s="32"/>
    </row>
    <row r="33" spans="1:4" x14ac:dyDescent="0.25">
      <c r="A33" s="64"/>
      <c r="B33" s="31"/>
      <c r="C33" s="32"/>
      <c r="D33" s="32"/>
    </row>
    <row r="34" spans="1:4" x14ac:dyDescent="0.25">
      <c r="A34" s="63"/>
    </row>
    <row r="35" spans="1:4" x14ac:dyDescent="0.25">
      <c r="A35" s="63"/>
    </row>
  </sheetData>
  <mergeCells count="4">
    <mergeCell ref="A1:D1"/>
    <mergeCell ref="G1:K1"/>
    <mergeCell ref="M1:Q1"/>
    <mergeCell ref="S1:W1"/>
  </mergeCells>
  <pageMargins left="0.7" right="0.7" top="0.75" bottom="0.75" header="0.3" footer="0.3"/>
  <pageSetup paperSize="9" orientation="portrait" horizontalDpi="1200" verticalDpi="120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CB3AE-EC92-4AF4-9A6D-7CF306DBB3AA}">
  <dimension ref="A1:V60"/>
  <sheetViews>
    <sheetView workbookViewId="0">
      <selection activeCell="G2" sqref="G2"/>
    </sheetView>
  </sheetViews>
  <sheetFormatPr defaultRowHeight="15" x14ac:dyDescent="0.25"/>
  <cols>
    <col min="1" max="1" width="10.140625" style="3" bestFit="1" customWidth="1"/>
    <col min="2" max="2" width="12.85546875" style="2" bestFit="1" customWidth="1"/>
    <col min="3" max="4" width="9.140625" style="2"/>
    <col min="5" max="5" width="9.140625" style="6"/>
    <col min="6" max="6" width="11.28515625" style="6" bestFit="1" customWidth="1"/>
    <col min="7" max="7" width="11.28515625" style="6" customWidth="1"/>
    <col min="8" max="12" width="9.140625" style="46"/>
    <col min="13" max="13" width="14.85546875" style="2" bestFit="1" customWidth="1"/>
    <col min="14" max="14" width="9.140625" style="2" bestFit="1" customWidth="1"/>
    <col min="15" max="15" width="13.28515625" style="2" bestFit="1" customWidth="1"/>
    <col min="17" max="17" width="9.42578125" customWidth="1"/>
    <col min="20" max="20" width="10.85546875" customWidth="1"/>
    <col min="21" max="21" width="37.85546875" customWidth="1"/>
    <col min="22" max="22" width="16.7109375" style="2" customWidth="1"/>
  </cols>
  <sheetData>
    <row r="1" spans="1:22" s="1" customFormat="1" ht="35.25" customHeight="1" thickBot="1" x14ac:dyDescent="0.3">
      <c r="A1" s="12" t="s">
        <v>0</v>
      </c>
      <c r="B1" s="15" t="s">
        <v>4</v>
      </c>
      <c r="C1" s="10" t="s">
        <v>19</v>
      </c>
      <c r="D1" s="10" t="s">
        <v>5</v>
      </c>
      <c r="E1" s="9" t="s">
        <v>6</v>
      </c>
      <c r="F1" s="9" t="s">
        <v>38</v>
      </c>
      <c r="G1" s="9" t="s">
        <v>39</v>
      </c>
      <c r="H1" s="9" t="s">
        <v>21</v>
      </c>
      <c r="I1" s="9" t="s">
        <v>22</v>
      </c>
      <c r="J1" s="9" t="s">
        <v>23</v>
      </c>
      <c r="K1" s="9" t="s">
        <v>24</v>
      </c>
      <c r="L1" s="9" t="s">
        <v>25</v>
      </c>
      <c r="M1" s="10" t="s">
        <v>7</v>
      </c>
      <c r="N1" s="10" t="s">
        <v>8</v>
      </c>
      <c r="O1" s="16" t="s">
        <v>9</v>
      </c>
      <c r="T1" s="138" t="s">
        <v>4</v>
      </c>
      <c r="U1" s="139"/>
    </row>
    <row r="2" spans="1:22" x14ac:dyDescent="0.25">
      <c r="A2" s="27">
        <v>44075</v>
      </c>
      <c r="B2" s="47">
        <f t="shared" ref="B2:B3" ca="1" si="0">RANDBETWEEN(1,3)</f>
        <v>3</v>
      </c>
      <c r="C2" s="48">
        <v>1</v>
      </c>
      <c r="D2" s="48">
        <f ca="1">SUM(H2:L2)</f>
        <v>6</v>
      </c>
      <c r="E2" s="49">
        <f ca="1">SUM($H2*$V$9,$I2*$V$10,$J2*$V$11,$K2*$V$12,$L2*$V$13)</f>
        <v>1460</v>
      </c>
      <c r="F2" s="49">
        <f ca="1">$E2*0.2+RANDBETWEEN(10,100)</f>
        <v>340</v>
      </c>
      <c r="G2" s="49">
        <f ca="1">$E2-$F2</f>
        <v>1120</v>
      </c>
      <c r="H2" s="50">
        <f ca="1">RANDBETWEEN(0,3)</f>
        <v>3</v>
      </c>
      <c r="I2" s="50">
        <f t="shared" ref="I2:L17" ca="1" si="1">RANDBETWEEN(0,3)</f>
        <v>1</v>
      </c>
      <c r="J2" s="50">
        <f t="shared" ca="1" si="1"/>
        <v>0</v>
      </c>
      <c r="K2" s="50">
        <f t="shared" ca="1" si="1"/>
        <v>0</v>
      </c>
      <c r="L2" s="50">
        <f t="shared" ca="1" si="1"/>
        <v>2</v>
      </c>
      <c r="M2" s="48">
        <f ca="1">RANDBETWEEN(1,5)</f>
        <v>4</v>
      </c>
      <c r="N2" s="48">
        <f t="shared" ref="N2:O17" ca="1" si="2">RANDBETWEEN(1,5)</f>
        <v>5</v>
      </c>
      <c r="O2" s="51">
        <f t="shared" ca="1" si="2"/>
        <v>2</v>
      </c>
      <c r="T2" s="19">
        <v>1</v>
      </c>
      <c r="U2" s="20" t="s">
        <v>1</v>
      </c>
    </row>
    <row r="3" spans="1:22" x14ac:dyDescent="0.25">
      <c r="A3" s="27">
        <v>44075</v>
      </c>
      <c r="B3" s="52">
        <f t="shared" ca="1" si="0"/>
        <v>1</v>
      </c>
      <c r="C3" s="23">
        <v>2</v>
      </c>
      <c r="D3" s="23">
        <f t="shared" ref="D3:D60" ca="1" si="3">SUM(H3:L3)</f>
        <v>13</v>
      </c>
      <c r="E3" s="25">
        <f t="shared" ref="E3:E60" ca="1" si="4">SUM($H3*$V$9,$I3*$V$10,$J3*$V$11,$K3*$V$12,$L3*$V$13)</f>
        <v>2740</v>
      </c>
      <c r="F3" s="25">
        <f t="shared" ref="F3:F60" ca="1" si="5">$E3*0.2+RANDBETWEEN(10,100)</f>
        <v>611</v>
      </c>
      <c r="G3" s="25">
        <f t="shared" ref="G3:G60" ca="1" si="6">$E3-$F3</f>
        <v>2129</v>
      </c>
      <c r="H3" s="44">
        <f t="shared" ref="H3:L34" ca="1" si="7">RANDBETWEEN(0,3)</f>
        <v>3</v>
      </c>
      <c r="I3" s="44">
        <f t="shared" ca="1" si="1"/>
        <v>3</v>
      </c>
      <c r="J3" s="44">
        <f t="shared" ca="1" si="1"/>
        <v>3</v>
      </c>
      <c r="K3" s="44">
        <f t="shared" ca="1" si="1"/>
        <v>2</v>
      </c>
      <c r="L3" s="44">
        <f t="shared" ca="1" si="1"/>
        <v>2</v>
      </c>
      <c r="M3" s="23">
        <f ca="1">RANDBETWEEN(1,5)</f>
        <v>1</v>
      </c>
      <c r="N3" s="23">
        <f t="shared" ca="1" si="2"/>
        <v>2</v>
      </c>
      <c r="O3" s="17">
        <f t="shared" ca="1" si="2"/>
        <v>2</v>
      </c>
      <c r="T3" s="19">
        <v>2</v>
      </c>
      <c r="U3" s="20" t="s">
        <v>3</v>
      </c>
    </row>
    <row r="4" spans="1:22" ht="15.75" thickBot="1" x14ac:dyDescent="0.3">
      <c r="A4" s="27">
        <v>44075</v>
      </c>
      <c r="B4" s="52">
        <f ca="1">RANDBETWEEN(1,3)</f>
        <v>2</v>
      </c>
      <c r="C4" s="23">
        <v>3</v>
      </c>
      <c r="D4" s="23">
        <f t="shared" ca="1" si="3"/>
        <v>10</v>
      </c>
      <c r="E4" s="25">
        <f t="shared" ca="1" si="4"/>
        <v>2630</v>
      </c>
      <c r="F4" s="25">
        <f t="shared" ca="1" si="5"/>
        <v>582</v>
      </c>
      <c r="G4" s="25">
        <f t="shared" ca="1" si="6"/>
        <v>2048</v>
      </c>
      <c r="H4" s="44">
        <f t="shared" ca="1" si="7"/>
        <v>0</v>
      </c>
      <c r="I4" s="44">
        <f t="shared" ca="1" si="1"/>
        <v>2</v>
      </c>
      <c r="J4" s="44">
        <f t="shared" ca="1" si="1"/>
        <v>3</v>
      </c>
      <c r="K4" s="44">
        <f t="shared" ca="1" si="1"/>
        <v>2</v>
      </c>
      <c r="L4" s="44">
        <f t="shared" ca="1" si="1"/>
        <v>3</v>
      </c>
      <c r="M4" s="23">
        <f t="shared" ref="M4:O35" ca="1" si="8">RANDBETWEEN(1,5)</f>
        <v>3</v>
      </c>
      <c r="N4" s="23">
        <f t="shared" ca="1" si="2"/>
        <v>5</v>
      </c>
      <c r="O4" s="17">
        <f t="shared" ca="1" si="2"/>
        <v>2</v>
      </c>
      <c r="T4" s="21">
        <v>3</v>
      </c>
      <c r="U4" s="22" t="s">
        <v>2</v>
      </c>
    </row>
    <row r="5" spans="1:22" x14ac:dyDescent="0.25">
      <c r="A5" s="27">
        <v>44075</v>
      </c>
      <c r="B5" s="52">
        <f t="shared" ref="B5:B60" ca="1" si="9">RANDBETWEEN(1,3)</f>
        <v>3</v>
      </c>
      <c r="C5" s="23">
        <v>4</v>
      </c>
      <c r="D5" s="23">
        <f t="shared" ca="1" si="3"/>
        <v>9</v>
      </c>
      <c r="E5" s="25">
        <f t="shared" ca="1" si="4"/>
        <v>2220</v>
      </c>
      <c r="F5" s="25">
        <f t="shared" ca="1" si="5"/>
        <v>531</v>
      </c>
      <c r="G5" s="25">
        <f t="shared" ca="1" si="6"/>
        <v>1689</v>
      </c>
      <c r="H5" s="44">
        <f t="shared" ca="1" si="7"/>
        <v>1</v>
      </c>
      <c r="I5" s="44">
        <f t="shared" ca="1" si="1"/>
        <v>1</v>
      </c>
      <c r="J5" s="44">
        <f t="shared" ca="1" si="1"/>
        <v>3</v>
      </c>
      <c r="K5" s="44">
        <f t="shared" ca="1" si="1"/>
        <v>2</v>
      </c>
      <c r="L5" s="44">
        <f t="shared" ca="1" si="1"/>
        <v>2</v>
      </c>
      <c r="M5" s="23">
        <f t="shared" ca="1" si="8"/>
        <v>3</v>
      </c>
      <c r="N5" s="23">
        <f t="shared" ca="1" si="2"/>
        <v>3</v>
      </c>
      <c r="O5" s="17">
        <f t="shared" ca="1" si="2"/>
        <v>3</v>
      </c>
    </row>
    <row r="6" spans="1:22" x14ac:dyDescent="0.25">
      <c r="A6" s="27">
        <v>44075</v>
      </c>
      <c r="B6" s="52">
        <f t="shared" ca="1" si="9"/>
        <v>3</v>
      </c>
      <c r="C6" s="23">
        <v>5</v>
      </c>
      <c r="D6" s="23">
        <f t="shared" ca="1" si="3"/>
        <v>8</v>
      </c>
      <c r="E6" s="25">
        <f t="shared" ca="1" si="4"/>
        <v>2040</v>
      </c>
      <c r="F6" s="25">
        <f t="shared" ca="1" si="5"/>
        <v>494</v>
      </c>
      <c r="G6" s="25">
        <f t="shared" ca="1" si="6"/>
        <v>1546</v>
      </c>
      <c r="H6" s="44">
        <f t="shared" ca="1" si="7"/>
        <v>0</v>
      </c>
      <c r="I6" s="44">
        <f t="shared" ca="1" si="1"/>
        <v>0</v>
      </c>
      <c r="J6" s="44">
        <f t="shared" ca="1" si="1"/>
        <v>3</v>
      </c>
      <c r="K6" s="44">
        <f t="shared" ca="1" si="1"/>
        <v>3</v>
      </c>
      <c r="L6" s="44">
        <f t="shared" ca="1" si="1"/>
        <v>2</v>
      </c>
      <c r="M6" s="23">
        <f t="shared" ca="1" si="8"/>
        <v>2</v>
      </c>
      <c r="N6" s="23">
        <f t="shared" ca="1" si="2"/>
        <v>2</v>
      </c>
      <c r="O6" s="17">
        <f t="shared" ca="1" si="2"/>
        <v>2</v>
      </c>
    </row>
    <row r="7" spans="1:22" ht="15.75" thickBot="1" x14ac:dyDescent="0.3">
      <c r="A7" s="27">
        <v>44075</v>
      </c>
      <c r="B7" s="52">
        <f t="shared" ca="1" si="9"/>
        <v>3</v>
      </c>
      <c r="C7" s="23">
        <v>6</v>
      </c>
      <c r="D7" s="23">
        <f t="shared" ca="1" si="3"/>
        <v>8</v>
      </c>
      <c r="E7" s="25">
        <f t="shared" ca="1" si="4"/>
        <v>2410</v>
      </c>
      <c r="F7" s="25">
        <f t="shared" ca="1" si="5"/>
        <v>567</v>
      </c>
      <c r="G7" s="25">
        <f t="shared" ca="1" si="6"/>
        <v>1843</v>
      </c>
      <c r="H7" s="44">
        <f t="shared" ca="1" si="7"/>
        <v>0</v>
      </c>
      <c r="I7" s="44">
        <f t="shared" ca="1" si="1"/>
        <v>0</v>
      </c>
      <c r="J7" s="44">
        <f t="shared" ca="1" si="1"/>
        <v>3</v>
      </c>
      <c r="K7" s="44">
        <f t="shared" ca="1" si="1"/>
        <v>2</v>
      </c>
      <c r="L7" s="44">
        <f t="shared" ca="1" si="1"/>
        <v>3</v>
      </c>
      <c r="M7" s="23">
        <f t="shared" ca="1" si="8"/>
        <v>5</v>
      </c>
      <c r="N7" s="23">
        <f t="shared" ca="1" si="2"/>
        <v>2</v>
      </c>
      <c r="O7" s="17">
        <f t="shared" ca="1" si="2"/>
        <v>2</v>
      </c>
    </row>
    <row r="8" spans="1:22" ht="15.75" thickBot="1" x14ac:dyDescent="0.3">
      <c r="A8" s="27">
        <v>44076</v>
      </c>
      <c r="B8" s="52">
        <f t="shared" ca="1" si="9"/>
        <v>1</v>
      </c>
      <c r="C8" s="23">
        <v>7</v>
      </c>
      <c r="D8" s="23">
        <f t="shared" ca="1" si="3"/>
        <v>8</v>
      </c>
      <c r="E8" s="25">
        <f t="shared" ca="1" si="4"/>
        <v>2140</v>
      </c>
      <c r="F8" s="25">
        <f t="shared" ca="1" si="5"/>
        <v>477</v>
      </c>
      <c r="G8" s="25">
        <f t="shared" ca="1" si="6"/>
        <v>1663</v>
      </c>
      <c r="H8" s="44">
        <f t="shared" ca="1" si="7"/>
        <v>2</v>
      </c>
      <c r="I8" s="44">
        <f t="shared" ca="1" si="1"/>
        <v>1</v>
      </c>
      <c r="J8" s="44">
        <f t="shared" ca="1" si="1"/>
        <v>1</v>
      </c>
      <c r="K8" s="44">
        <f t="shared" ca="1" si="1"/>
        <v>1</v>
      </c>
      <c r="L8" s="44">
        <f t="shared" ca="1" si="1"/>
        <v>3</v>
      </c>
      <c r="M8" s="23">
        <f t="shared" ca="1" si="8"/>
        <v>4</v>
      </c>
      <c r="N8" s="23">
        <f t="shared" ca="1" si="2"/>
        <v>2</v>
      </c>
      <c r="O8" s="17">
        <f t="shared" ca="1" si="2"/>
        <v>3</v>
      </c>
      <c r="T8" s="11" t="s">
        <v>20</v>
      </c>
      <c r="U8" s="14" t="s">
        <v>26</v>
      </c>
      <c r="V8" s="39" t="s">
        <v>28</v>
      </c>
    </row>
    <row r="9" spans="1:22" x14ac:dyDescent="0.25">
      <c r="A9" s="27">
        <v>44076</v>
      </c>
      <c r="B9" s="52">
        <f t="shared" ca="1" si="9"/>
        <v>3</v>
      </c>
      <c r="C9" s="23">
        <v>8</v>
      </c>
      <c r="D9" s="23">
        <f t="shared" ca="1" si="3"/>
        <v>13</v>
      </c>
      <c r="E9" s="25">
        <f t="shared" ca="1" si="4"/>
        <v>2670</v>
      </c>
      <c r="F9" s="25">
        <f t="shared" ca="1" si="5"/>
        <v>581</v>
      </c>
      <c r="G9" s="25">
        <f t="shared" ca="1" si="6"/>
        <v>2089</v>
      </c>
      <c r="H9" s="44">
        <f t="shared" ca="1" si="7"/>
        <v>3</v>
      </c>
      <c r="I9" s="44">
        <f t="shared" ca="1" si="1"/>
        <v>3</v>
      </c>
      <c r="J9" s="44">
        <f t="shared" ca="1" si="1"/>
        <v>1</v>
      </c>
      <c r="K9" s="44">
        <f t="shared" ca="1" si="1"/>
        <v>3</v>
      </c>
      <c r="L9" s="44">
        <f t="shared" ca="1" si="1"/>
        <v>3</v>
      </c>
      <c r="M9" s="23">
        <f t="shared" ca="1" si="8"/>
        <v>1</v>
      </c>
      <c r="N9" s="23">
        <f t="shared" ca="1" si="2"/>
        <v>1</v>
      </c>
      <c r="O9" s="17">
        <f t="shared" ca="1" si="2"/>
        <v>1</v>
      </c>
      <c r="T9" s="41">
        <v>1</v>
      </c>
      <c r="U9" s="41" t="s">
        <v>27</v>
      </c>
      <c r="V9" s="54">
        <v>150</v>
      </c>
    </row>
    <row r="10" spans="1:22" x14ac:dyDescent="0.25">
      <c r="A10" s="27">
        <v>44076</v>
      </c>
      <c r="B10" s="52">
        <f t="shared" ca="1" si="9"/>
        <v>3</v>
      </c>
      <c r="C10" s="23">
        <v>9</v>
      </c>
      <c r="D10" s="23">
        <f t="shared" ca="1" si="3"/>
        <v>9</v>
      </c>
      <c r="E10" s="25">
        <f t="shared" ca="1" si="4"/>
        <v>1590</v>
      </c>
      <c r="F10" s="25">
        <f t="shared" ca="1" si="5"/>
        <v>399</v>
      </c>
      <c r="G10" s="25">
        <f t="shared" ca="1" si="6"/>
        <v>1191</v>
      </c>
      <c r="H10" s="44">
        <f t="shared" ca="1" si="7"/>
        <v>3</v>
      </c>
      <c r="I10" s="44">
        <f t="shared" ca="1" si="1"/>
        <v>0</v>
      </c>
      <c r="J10" s="44">
        <f t="shared" ca="1" si="1"/>
        <v>3</v>
      </c>
      <c r="K10" s="44">
        <f t="shared" ca="1" si="1"/>
        <v>3</v>
      </c>
      <c r="L10" s="44">
        <f t="shared" ca="1" si="1"/>
        <v>0</v>
      </c>
      <c r="M10" s="23">
        <f t="shared" ca="1" si="8"/>
        <v>3</v>
      </c>
      <c r="N10" s="23">
        <f t="shared" ca="1" si="2"/>
        <v>1</v>
      </c>
      <c r="O10" s="17">
        <f t="shared" ca="1" si="2"/>
        <v>3</v>
      </c>
      <c r="T10" s="19">
        <v>2</v>
      </c>
      <c r="U10" s="19" t="s">
        <v>29</v>
      </c>
      <c r="V10" s="40">
        <v>110</v>
      </c>
    </row>
    <row r="11" spans="1:22" x14ac:dyDescent="0.25">
      <c r="A11" s="27">
        <v>44076</v>
      </c>
      <c r="B11" s="52">
        <f t="shared" ca="1" si="9"/>
        <v>2</v>
      </c>
      <c r="C11" s="23">
        <v>10</v>
      </c>
      <c r="D11" s="23">
        <f t="shared" ca="1" si="3"/>
        <v>7</v>
      </c>
      <c r="E11" s="25">
        <f t="shared" ca="1" si="4"/>
        <v>1170</v>
      </c>
      <c r="F11" s="25">
        <f t="shared" ca="1" si="5"/>
        <v>280</v>
      </c>
      <c r="G11" s="25">
        <f t="shared" ca="1" si="6"/>
        <v>890</v>
      </c>
      <c r="H11" s="44">
        <f t="shared" ca="1" si="7"/>
        <v>3</v>
      </c>
      <c r="I11" s="44">
        <f t="shared" ca="1" si="1"/>
        <v>1</v>
      </c>
      <c r="J11" s="44">
        <f t="shared" ca="1" si="1"/>
        <v>0</v>
      </c>
      <c r="K11" s="44">
        <f t="shared" ca="1" si="1"/>
        <v>2</v>
      </c>
      <c r="L11" s="44">
        <f t="shared" ca="1" si="1"/>
        <v>1</v>
      </c>
      <c r="M11" s="23">
        <f t="shared" ca="1" si="8"/>
        <v>3</v>
      </c>
      <c r="N11" s="23">
        <f t="shared" ca="1" si="2"/>
        <v>3</v>
      </c>
      <c r="O11" s="17">
        <f t="shared" ca="1" si="2"/>
        <v>5</v>
      </c>
      <c r="T11" s="19">
        <v>3</v>
      </c>
      <c r="U11" s="19" t="s">
        <v>30</v>
      </c>
      <c r="V11" s="40">
        <v>300</v>
      </c>
    </row>
    <row r="12" spans="1:22" x14ac:dyDescent="0.25">
      <c r="A12" s="27">
        <v>44076</v>
      </c>
      <c r="B12" s="52">
        <f t="shared" ca="1" si="9"/>
        <v>2</v>
      </c>
      <c r="C12" s="23">
        <v>11</v>
      </c>
      <c r="D12" s="23">
        <f t="shared" ca="1" si="3"/>
        <v>7</v>
      </c>
      <c r="E12" s="25">
        <f t="shared" ca="1" si="4"/>
        <v>1050</v>
      </c>
      <c r="F12" s="25">
        <f t="shared" ca="1" si="5"/>
        <v>238</v>
      </c>
      <c r="G12" s="25">
        <f t="shared" ca="1" si="6"/>
        <v>812</v>
      </c>
      <c r="H12" s="44">
        <f t="shared" ca="1" si="7"/>
        <v>3</v>
      </c>
      <c r="I12" s="44">
        <f t="shared" ca="1" si="1"/>
        <v>2</v>
      </c>
      <c r="J12" s="44">
        <f t="shared" ca="1" si="1"/>
        <v>1</v>
      </c>
      <c r="K12" s="44">
        <f t="shared" ca="1" si="1"/>
        <v>1</v>
      </c>
      <c r="L12" s="44">
        <f t="shared" ca="1" si="1"/>
        <v>0</v>
      </c>
      <c r="M12" s="23">
        <f t="shared" ca="1" si="8"/>
        <v>5</v>
      </c>
      <c r="N12" s="23">
        <f t="shared" ca="1" si="2"/>
        <v>4</v>
      </c>
      <c r="O12" s="17">
        <f t="shared" ca="1" si="2"/>
        <v>4</v>
      </c>
      <c r="T12" s="19">
        <v>4</v>
      </c>
      <c r="U12" s="19" t="s">
        <v>32</v>
      </c>
      <c r="V12" s="40">
        <v>80</v>
      </c>
    </row>
    <row r="13" spans="1:22" ht="15.75" thickBot="1" x14ac:dyDescent="0.3">
      <c r="A13" s="27">
        <v>44077</v>
      </c>
      <c r="B13" s="52">
        <f t="shared" ca="1" si="9"/>
        <v>2</v>
      </c>
      <c r="C13" s="23">
        <v>12</v>
      </c>
      <c r="D13" s="23">
        <f t="shared" ca="1" si="3"/>
        <v>8</v>
      </c>
      <c r="E13" s="25">
        <f t="shared" ca="1" si="4"/>
        <v>1680</v>
      </c>
      <c r="F13" s="25">
        <f t="shared" ca="1" si="5"/>
        <v>392</v>
      </c>
      <c r="G13" s="25">
        <f t="shared" ca="1" si="6"/>
        <v>1288</v>
      </c>
      <c r="H13" s="44">
        <f t="shared" ca="1" si="7"/>
        <v>2</v>
      </c>
      <c r="I13" s="44">
        <f t="shared" ca="1" si="1"/>
        <v>3</v>
      </c>
      <c r="J13" s="44">
        <f t="shared" ca="1" si="1"/>
        <v>2</v>
      </c>
      <c r="K13" s="44">
        <f t="shared" ca="1" si="1"/>
        <v>0</v>
      </c>
      <c r="L13" s="44">
        <f t="shared" ca="1" si="1"/>
        <v>1</v>
      </c>
      <c r="M13" s="23">
        <f t="shared" ca="1" si="8"/>
        <v>2</v>
      </c>
      <c r="N13" s="23">
        <f t="shared" ca="1" si="2"/>
        <v>2</v>
      </c>
      <c r="O13" s="17">
        <f t="shared" ca="1" si="2"/>
        <v>5</v>
      </c>
      <c r="T13" s="21">
        <v>5</v>
      </c>
      <c r="U13" s="21" t="s">
        <v>31</v>
      </c>
      <c r="V13" s="55">
        <v>450</v>
      </c>
    </row>
    <row r="14" spans="1:22" x14ac:dyDescent="0.25">
      <c r="A14" s="27">
        <v>44077</v>
      </c>
      <c r="B14" s="52">
        <f t="shared" ca="1" si="9"/>
        <v>2</v>
      </c>
      <c r="C14" s="23">
        <v>13</v>
      </c>
      <c r="D14" s="23">
        <f t="shared" ca="1" si="3"/>
        <v>9</v>
      </c>
      <c r="E14" s="25">
        <f t="shared" ca="1" si="4"/>
        <v>1020</v>
      </c>
      <c r="F14" s="25">
        <f t="shared" ca="1" si="5"/>
        <v>257</v>
      </c>
      <c r="G14" s="25">
        <f t="shared" ca="1" si="6"/>
        <v>763</v>
      </c>
      <c r="H14" s="44">
        <f t="shared" ca="1" si="7"/>
        <v>3</v>
      </c>
      <c r="I14" s="44">
        <f t="shared" ca="1" si="1"/>
        <v>3</v>
      </c>
      <c r="J14" s="44">
        <f t="shared" ca="1" si="1"/>
        <v>0</v>
      </c>
      <c r="K14" s="44">
        <f t="shared" ca="1" si="1"/>
        <v>3</v>
      </c>
      <c r="L14" s="44">
        <f t="shared" ca="1" si="1"/>
        <v>0</v>
      </c>
      <c r="M14" s="23">
        <f t="shared" ca="1" si="8"/>
        <v>4</v>
      </c>
      <c r="N14" s="23">
        <f t="shared" ca="1" si="2"/>
        <v>2</v>
      </c>
      <c r="O14" s="17">
        <f t="shared" ca="1" si="2"/>
        <v>1</v>
      </c>
    </row>
    <row r="15" spans="1:22" x14ac:dyDescent="0.25">
      <c r="A15" s="27">
        <v>44077</v>
      </c>
      <c r="B15" s="52">
        <f t="shared" ca="1" si="9"/>
        <v>3</v>
      </c>
      <c r="C15" s="23">
        <v>14</v>
      </c>
      <c r="D15" s="23">
        <f t="shared" ca="1" si="3"/>
        <v>5</v>
      </c>
      <c r="E15" s="25">
        <f t="shared" ca="1" si="4"/>
        <v>490</v>
      </c>
      <c r="F15" s="25">
        <f t="shared" ca="1" si="5"/>
        <v>118</v>
      </c>
      <c r="G15" s="25">
        <f t="shared" ca="1" si="6"/>
        <v>372</v>
      </c>
      <c r="H15" s="44">
        <f t="shared" ca="1" si="7"/>
        <v>0</v>
      </c>
      <c r="I15" s="44">
        <f t="shared" ca="1" si="1"/>
        <v>3</v>
      </c>
      <c r="J15" s="44">
        <f t="shared" ca="1" si="1"/>
        <v>0</v>
      </c>
      <c r="K15" s="44">
        <f t="shared" ca="1" si="1"/>
        <v>2</v>
      </c>
      <c r="L15" s="44">
        <f t="shared" ca="1" si="1"/>
        <v>0</v>
      </c>
      <c r="M15" s="23">
        <f t="shared" ca="1" si="8"/>
        <v>5</v>
      </c>
      <c r="N15" s="23">
        <f t="shared" ca="1" si="2"/>
        <v>1</v>
      </c>
      <c r="O15" s="17">
        <f t="shared" ca="1" si="2"/>
        <v>5</v>
      </c>
    </row>
    <row r="16" spans="1:22" x14ac:dyDescent="0.25">
      <c r="A16" s="27">
        <v>44077</v>
      </c>
      <c r="B16" s="52">
        <f t="shared" ca="1" si="9"/>
        <v>1</v>
      </c>
      <c r="C16" s="23">
        <v>15</v>
      </c>
      <c r="D16" s="23">
        <f t="shared" ca="1" si="3"/>
        <v>10</v>
      </c>
      <c r="E16" s="25">
        <f t="shared" ca="1" si="4"/>
        <v>2030</v>
      </c>
      <c r="F16" s="25">
        <f t="shared" ca="1" si="5"/>
        <v>485</v>
      </c>
      <c r="G16" s="25">
        <f t="shared" ca="1" si="6"/>
        <v>1545</v>
      </c>
      <c r="H16" s="44">
        <f t="shared" ca="1" si="7"/>
        <v>2</v>
      </c>
      <c r="I16" s="44">
        <f t="shared" ca="1" si="1"/>
        <v>2</v>
      </c>
      <c r="J16" s="44">
        <f t="shared" ca="1" si="1"/>
        <v>3</v>
      </c>
      <c r="K16" s="44">
        <f t="shared" ca="1" si="1"/>
        <v>2</v>
      </c>
      <c r="L16" s="44">
        <f t="shared" ca="1" si="1"/>
        <v>1</v>
      </c>
      <c r="M16" s="23">
        <f t="shared" ca="1" si="8"/>
        <v>3</v>
      </c>
      <c r="N16" s="23">
        <f t="shared" ca="1" si="2"/>
        <v>4</v>
      </c>
      <c r="O16" s="17">
        <f t="shared" ca="1" si="2"/>
        <v>5</v>
      </c>
    </row>
    <row r="17" spans="1:15" x14ac:dyDescent="0.25">
      <c r="A17" s="27">
        <v>44077</v>
      </c>
      <c r="B17" s="52">
        <f t="shared" ca="1" si="9"/>
        <v>1</v>
      </c>
      <c r="C17" s="23">
        <v>16</v>
      </c>
      <c r="D17" s="23">
        <f t="shared" ca="1" si="3"/>
        <v>11</v>
      </c>
      <c r="E17" s="25">
        <f t="shared" ca="1" si="4"/>
        <v>2850</v>
      </c>
      <c r="F17" s="25">
        <f t="shared" ca="1" si="5"/>
        <v>608</v>
      </c>
      <c r="G17" s="25">
        <f t="shared" ca="1" si="6"/>
        <v>2242</v>
      </c>
      <c r="H17" s="44">
        <f t="shared" ca="1" si="7"/>
        <v>2</v>
      </c>
      <c r="I17" s="44">
        <f t="shared" ca="1" si="1"/>
        <v>2</v>
      </c>
      <c r="J17" s="44">
        <f t="shared" ca="1" si="1"/>
        <v>3</v>
      </c>
      <c r="K17" s="44">
        <f t="shared" ca="1" si="1"/>
        <v>1</v>
      </c>
      <c r="L17" s="44">
        <f t="shared" ca="1" si="1"/>
        <v>3</v>
      </c>
      <c r="M17" s="23">
        <f t="shared" ca="1" si="8"/>
        <v>1</v>
      </c>
      <c r="N17" s="23">
        <f t="shared" ca="1" si="2"/>
        <v>5</v>
      </c>
      <c r="O17" s="17">
        <f t="shared" ca="1" si="2"/>
        <v>2</v>
      </c>
    </row>
    <row r="18" spans="1:15" x14ac:dyDescent="0.25">
      <c r="A18" s="27">
        <v>44077</v>
      </c>
      <c r="B18" s="52">
        <f t="shared" ca="1" si="9"/>
        <v>3</v>
      </c>
      <c r="C18" s="23">
        <v>17</v>
      </c>
      <c r="D18" s="23">
        <f t="shared" ca="1" si="3"/>
        <v>7</v>
      </c>
      <c r="E18" s="25">
        <f t="shared" ca="1" si="4"/>
        <v>1760</v>
      </c>
      <c r="F18" s="25">
        <f t="shared" ca="1" si="5"/>
        <v>366</v>
      </c>
      <c r="G18" s="25">
        <f t="shared" ca="1" si="6"/>
        <v>1394</v>
      </c>
      <c r="H18" s="44">
        <f t="shared" ca="1" si="7"/>
        <v>3</v>
      </c>
      <c r="I18" s="44">
        <f t="shared" ca="1" si="7"/>
        <v>1</v>
      </c>
      <c r="J18" s="44">
        <f t="shared" ca="1" si="7"/>
        <v>1</v>
      </c>
      <c r="K18" s="44">
        <f t="shared" ca="1" si="7"/>
        <v>0</v>
      </c>
      <c r="L18" s="44">
        <f t="shared" ca="1" si="7"/>
        <v>2</v>
      </c>
      <c r="M18" s="23">
        <f t="shared" ca="1" si="8"/>
        <v>1</v>
      </c>
      <c r="N18" s="23">
        <f t="shared" ca="1" si="8"/>
        <v>5</v>
      </c>
      <c r="O18" s="17">
        <f t="shared" ca="1" si="8"/>
        <v>5</v>
      </c>
    </row>
    <row r="19" spans="1:15" x14ac:dyDescent="0.25">
      <c r="A19" s="27">
        <v>44077</v>
      </c>
      <c r="B19" s="52">
        <f t="shared" ca="1" si="9"/>
        <v>1</v>
      </c>
      <c r="C19" s="23">
        <v>18</v>
      </c>
      <c r="D19" s="23">
        <f t="shared" ca="1" si="3"/>
        <v>5</v>
      </c>
      <c r="E19" s="25">
        <f t="shared" ca="1" si="4"/>
        <v>1800</v>
      </c>
      <c r="F19" s="25">
        <f t="shared" ca="1" si="5"/>
        <v>388</v>
      </c>
      <c r="G19" s="25">
        <f t="shared" ca="1" si="6"/>
        <v>1412</v>
      </c>
      <c r="H19" s="44">
        <f t="shared" ca="1" si="7"/>
        <v>1</v>
      </c>
      <c r="I19" s="44">
        <f t="shared" ca="1" si="7"/>
        <v>0</v>
      </c>
      <c r="J19" s="44">
        <f t="shared" ca="1" si="7"/>
        <v>1</v>
      </c>
      <c r="K19" s="44">
        <f t="shared" ca="1" si="7"/>
        <v>0</v>
      </c>
      <c r="L19" s="44">
        <f t="shared" ca="1" si="7"/>
        <v>3</v>
      </c>
      <c r="M19" s="23">
        <f t="shared" ca="1" si="8"/>
        <v>2</v>
      </c>
      <c r="N19" s="23">
        <f t="shared" ca="1" si="8"/>
        <v>5</v>
      </c>
      <c r="O19" s="17">
        <f t="shared" ca="1" si="8"/>
        <v>1</v>
      </c>
    </row>
    <row r="20" spans="1:15" x14ac:dyDescent="0.25">
      <c r="A20" s="27">
        <v>44077</v>
      </c>
      <c r="B20" s="52">
        <f t="shared" ca="1" si="9"/>
        <v>3</v>
      </c>
      <c r="C20" s="23">
        <v>19</v>
      </c>
      <c r="D20" s="23">
        <f t="shared" ca="1" si="3"/>
        <v>8</v>
      </c>
      <c r="E20" s="25">
        <f t="shared" ca="1" si="4"/>
        <v>2100</v>
      </c>
      <c r="F20" s="25">
        <f t="shared" ca="1" si="5"/>
        <v>451</v>
      </c>
      <c r="G20" s="25">
        <f t="shared" ca="1" si="6"/>
        <v>1649</v>
      </c>
      <c r="H20" s="44">
        <f t="shared" ca="1" si="7"/>
        <v>0</v>
      </c>
      <c r="I20" s="44">
        <f t="shared" ca="1" si="7"/>
        <v>2</v>
      </c>
      <c r="J20" s="44">
        <f t="shared" ca="1" si="7"/>
        <v>3</v>
      </c>
      <c r="K20" s="44">
        <f t="shared" ca="1" si="7"/>
        <v>1</v>
      </c>
      <c r="L20" s="44">
        <f t="shared" ca="1" si="7"/>
        <v>2</v>
      </c>
      <c r="M20" s="23">
        <f t="shared" ca="1" si="8"/>
        <v>2</v>
      </c>
      <c r="N20" s="23">
        <f t="shared" ca="1" si="8"/>
        <v>2</v>
      </c>
      <c r="O20" s="17">
        <f t="shared" ca="1" si="8"/>
        <v>3</v>
      </c>
    </row>
    <row r="21" spans="1:15" x14ac:dyDescent="0.25">
      <c r="A21" s="27">
        <v>44077</v>
      </c>
      <c r="B21" s="52">
        <f t="shared" ca="1" si="9"/>
        <v>3</v>
      </c>
      <c r="C21" s="23">
        <v>20</v>
      </c>
      <c r="D21" s="23">
        <f t="shared" ca="1" si="3"/>
        <v>5</v>
      </c>
      <c r="E21" s="25">
        <f t="shared" ca="1" si="4"/>
        <v>1310</v>
      </c>
      <c r="F21" s="25">
        <f t="shared" ca="1" si="5"/>
        <v>276</v>
      </c>
      <c r="G21" s="25">
        <f t="shared" ca="1" si="6"/>
        <v>1034</v>
      </c>
      <c r="H21" s="44">
        <f t="shared" ca="1" si="7"/>
        <v>1</v>
      </c>
      <c r="I21" s="44">
        <f t="shared" ca="1" si="7"/>
        <v>1</v>
      </c>
      <c r="J21" s="44">
        <f t="shared" ca="1" si="7"/>
        <v>2</v>
      </c>
      <c r="K21" s="44">
        <f t="shared" ca="1" si="7"/>
        <v>0</v>
      </c>
      <c r="L21" s="44">
        <f t="shared" ca="1" si="7"/>
        <v>1</v>
      </c>
      <c r="M21" s="23">
        <f t="shared" ca="1" si="8"/>
        <v>5</v>
      </c>
      <c r="N21" s="23">
        <f t="shared" ca="1" si="8"/>
        <v>3</v>
      </c>
      <c r="O21" s="17">
        <f t="shared" ca="1" si="8"/>
        <v>4</v>
      </c>
    </row>
    <row r="22" spans="1:15" x14ac:dyDescent="0.25">
      <c r="A22" s="27">
        <v>44078</v>
      </c>
      <c r="B22" s="52">
        <f t="shared" ca="1" si="9"/>
        <v>2</v>
      </c>
      <c r="C22" s="23">
        <v>21</v>
      </c>
      <c r="D22" s="23">
        <f t="shared" ca="1" si="3"/>
        <v>6</v>
      </c>
      <c r="E22" s="25">
        <f t="shared" ca="1" si="4"/>
        <v>1440</v>
      </c>
      <c r="F22" s="25">
        <f t="shared" ca="1" si="5"/>
        <v>362</v>
      </c>
      <c r="G22" s="25">
        <f t="shared" ca="1" si="6"/>
        <v>1078</v>
      </c>
      <c r="H22" s="44">
        <f t="shared" ca="1" si="7"/>
        <v>0</v>
      </c>
      <c r="I22" s="44">
        <f t="shared" ca="1" si="7"/>
        <v>0</v>
      </c>
      <c r="J22" s="44">
        <f t="shared" ca="1" si="7"/>
        <v>1</v>
      </c>
      <c r="K22" s="44">
        <f t="shared" ca="1" si="7"/>
        <v>3</v>
      </c>
      <c r="L22" s="44">
        <f t="shared" ca="1" si="7"/>
        <v>2</v>
      </c>
      <c r="M22" s="23">
        <f t="shared" ca="1" si="8"/>
        <v>5</v>
      </c>
      <c r="N22" s="23">
        <f t="shared" ca="1" si="8"/>
        <v>4</v>
      </c>
      <c r="O22" s="17">
        <f t="shared" ca="1" si="8"/>
        <v>3</v>
      </c>
    </row>
    <row r="23" spans="1:15" x14ac:dyDescent="0.25">
      <c r="A23" s="27">
        <v>44078</v>
      </c>
      <c r="B23" s="52">
        <f t="shared" ca="1" si="9"/>
        <v>1</v>
      </c>
      <c r="C23" s="23">
        <v>22</v>
      </c>
      <c r="D23" s="23">
        <f t="shared" ca="1" si="3"/>
        <v>6</v>
      </c>
      <c r="E23" s="25">
        <f t="shared" ca="1" si="4"/>
        <v>2100</v>
      </c>
      <c r="F23" s="25">
        <f t="shared" ca="1" si="5"/>
        <v>502</v>
      </c>
      <c r="G23" s="25">
        <f t="shared" ca="1" si="6"/>
        <v>1598</v>
      </c>
      <c r="H23" s="44">
        <f t="shared" ca="1" si="7"/>
        <v>1</v>
      </c>
      <c r="I23" s="44">
        <f t="shared" ca="1" si="7"/>
        <v>0</v>
      </c>
      <c r="J23" s="44">
        <f t="shared" ca="1" si="7"/>
        <v>2</v>
      </c>
      <c r="K23" s="44">
        <f t="shared" ca="1" si="7"/>
        <v>0</v>
      </c>
      <c r="L23" s="44">
        <f t="shared" ca="1" si="7"/>
        <v>3</v>
      </c>
      <c r="M23" s="23">
        <f t="shared" ca="1" si="8"/>
        <v>1</v>
      </c>
      <c r="N23" s="23">
        <f t="shared" ca="1" si="8"/>
        <v>4</v>
      </c>
      <c r="O23" s="17">
        <f t="shared" ca="1" si="8"/>
        <v>5</v>
      </c>
    </row>
    <row r="24" spans="1:15" x14ac:dyDescent="0.25">
      <c r="A24" s="27">
        <v>44078</v>
      </c>
      <c r="B24" s="52">
        <f t="shared" ca="1" si="9"/>
        <v>2</v>
      </c>
      <c r="C24" s="23">
        <v>23</v>
      </c>
      <c r="D24" s="23">
        <f t="shared" ca="1" si="3"/>
        <v>10</v>
      </c>
      <c r="E24" s="25">
        <f t="shared" ca="1" si="4"/>
        <v>2770</v>
      </c>
      <c r="F24" s="25">
        <f t="shared" ca="1" si="5"/>
        <v>570</v>
      </c>
      <c r="G24" s="25">
        <f t="shared" ca="1" si="6"/>
        <v>2200</v>
      </c>
      <c r="H24" s="44">
        <f t="shared" ca="1" si="7"/>
        <v>2</v>
      </c>
      <c r="I24" s="44">
        <f t="shared" ca="1" si="7"/>
        <v>2</v>
      </c>
      <c r="J24" s="44">
        <f t="shared" ca="1" si="7"/>
        <v>3</v>
      </c>
      <c r="K24" s="44">
        <f t="shared" ca="1" si="7"/>
        <v>0</v>
      </c>
      <c r="L24" s="44">
        <f t="shared" ca="1" si="7"/>
        <v>3</v>
      </c>
      <c r="M24" s="23">
        <f t="shared" ca="1" si="8"/>
        <v>3</v>
      </c>
      <c r="N24" s="23">
        <f t="shared" ca="1" si="8"/>
        <v>4</v>
      </c>
      <c r="O24" s="17">
        <f t="shared" ca="1" si="8"/>
        <v>4</v>
      </c>
    </row>
    <row r="25" spans="1:15" x14ac:dyDescent="0.25">
      <c r="A25" s="27">
        <v>44078</v>
      </c>
      <c r="B25" s="52">
        <f t="shared" ca="1" si="9"/>
        <v>2</v>
      </c>
      <c r="C25" s="23">
        <v>24</v>
      </c>
      <c r="D25" s="23">
        <f t="shared" ca="1" si="3"/>
        <v>10</v>
      </c>
      <c r="E25" s="25">
        <f t="shared" ca="1" si="4"/>
        <v>1470</v>
      </c>
      <c r="F25" s="25">
        <f t="shared" ca="1" si="5"/>
        <v>338</v>
      </c>
      <c r="G25" s="25">
        <f t="shared" ca="1" si="6"/>
        <v>1132</v>
      </c>
      <c r="H25" s="44">
        <f t="shared" ca="1" si="7"/>
        <v>3</v>
      </c>
      <c r="I25" s="44">
        <f t="shared" ca="1" si="7"/>
        <v>3</v>
      </c>
      <c r="J25" s="44">
        <f t="shared" ca="1" si="7"/>
        <v>0</v>
      </c>
      <c r="K25" s="44">
        <f t="shared" ca="1" si="7"/>
        <v>3</v>
      </c>
      <c r="L25" s="44">
        <f t="shared" ca="1" si="7"/>
        <v>1</v>
      </c>
      <c r="M25" s="23">
        <f t="shared" ca="1" si="8"/>
        <v>4</v>
      </c>
      <c r="N25" s="23">
        <f t="shared" ca="1" si="8"/>
        <v>1</v>
      </c>
      <c r="O25" s="17">
        <f t="shared" ca="1" si="8"/>
        <v>4</v>
      </c>
    </row>
    <row r="26" spans="1:15" x14ac:dyDescent="0.25">
      <c r="A26" s="27">
        <v>44078</v>
      </c>
      <c r="B26" s="52">
        <f t="shared" ca="1" si="9"/>
        <v>3</v>
      </c>
      <c r="C26" s="23">
        <v>25</v>
      </c>
      <c r="D26" s="23">
        <f t="shared" ca="1" si="3"/>
        <v>10</v>
      </c>
      <c r="E26" s="25">
        <f t="shared" ca="1" si="4"/>
        <v>2740</v>
      </c>
      <c r="F26" s="25">
        <f t="shared" ca="1" si="5"/>
        <v>628</v>
      </c>
      <c r="G26" s="25">
        <f t="shared" ca="1" si="6"/>
        <v>2112</v>
      </c>
      <c r="H26" s="44">
        <f t="shared" ca="1" si="7"/>
        <v>2</v>
      </c>
      <c r="I26" s="44">
        <f t="shared" ca="1" si="7"/>
        <v>1</v>
      </c>
      <c r="J26" s="44">
        <f t="shared" ca="1" si="7"/>
        <v>3</v>
      </c>
      <c r="K26" s="44">
        <f t="shared" ca="1" si="7"/>
        <v>1</v>
      </c>
      <c r="L26" s="44">
        <f t="shared" ca="1" si="7"/>
        <v>3</v>
      </c>
      <c r="M26" s="23">
        <f t="shared" ca="1" si="8"/>
        <v>4</v>
      </c>
      <c r="N26" s="23">
        <f t="shared" ca="1" si="8"/>
        <v>5</v>
      </c>
      <c r="O26" s="17">
        <f t="shared" ca="1" si="8"/>
        <v>5</v>
      </c>
    </row>
    <row r="27" spans="1:15" x14ac:dyDescent="0.25">
      <c r="A27" s="27">
        <v>44078</v>
      </c>
      <c r="B27" s="52">
        <f t="shared" ca="1" si="9"/>
        <v>2</v>
      </c>
      <c r="C27" s="23">
        <v>26</v>
      </c>
      <c r="D27" s="23">
        <f t="shared" ca="1" si="3"/>
        <v>5</v>
      </c>
      <c r="E27" s="25">
        <f t="shared" ca="1" si="4"/>
        <v>970</v>
      </c>
      <c r="F27" s="25">
        <f t="shared" ca="1" si="5"/>
        <v>248</v>
      </c>
      <c r="G27" s="25">
        <f t="shared" ca="1" si="6"/>
        <v>722</v>
      </c>
      <c r="H27" s="44">
        <f t="shared" ca="1" si="7"/>
        <v>1</v>
      </c>
      <c r="I27" s="44">
        <f t="shared" ca="1" si="7"/>
        <v>2</v>
      </c>
      <c r="J27" s="44">
        <f t="shared" ca="1" si="7"/>
        <v>2</v>
      </c>
      <c r="K27" s="44">
        <f t="shared" ca="1" si="7"/>
        <v>0</v>
      </c>
      <c r="L27" s="44">
        <f t="shared" ca="1" si="7"/>
        <v>0</v>
      </c>
      <c r="M27" s="23">
        <f t="shared" ca="1" si="8"/>
        <v>4</v>
      </c>
      <c r="N27" s="23">
        <f t="shared" ca="1" si="8"/>
        <v>4</v>
      </c>
      <c r="O27" s="17">
        <f t="shared" ca="1" si="8"/>
        <v>5</v>
      </c>
    </row>
    <row r="28" spans="1:15" x14ac:dyDescent="0.25">
      <c r="A28" s="27">
        <v>44079</v>
      </c>
      <c r="B28" s="52">
        <f t="shared" ca="1" si="9"/>
        <v>2</v>
      </c>
      <c r="C28" s="23">
        <v>27</v>
      </c>
      <c r="D28" s="23">
        <f t="shared" ca="1" si="3"/>
        <v>4</v>
      </c>
      <c r="E28" s="25">
        <f t="shared" ca="1" si="4"/>
        <v>1350</v>
      </c>
      <c r="F28" s="25">
        <f t="shared" ca="1" si="5"/>
        <v>360</v>
      </c>
      <c r="G28" s="25">
        <f t="shared" ca="1" si="6"/>
        <v>990</v>
      </c>
      <c r="H28" s="44">
        <f t="shared" ca="1" si="7"/>
        <v>1</v>
      </c>
      <c r="I28" s="44">
        <f t="shared" ca="1" si="7"/>
        <v>0</v>
      </c>
      <c r="J28" s="44">
        <f t="shared" ca="1" si="7"/>
        <v>1</v>
      </c>
      <c r="K28" s="44">
        <f t="shared" ca="1" si="7"/>
        <v>0</v>
      </c>
      <c r="L28" s="44">
        <f t="shared" ca="1" si="7"/>
        <v>2</v>
      </c>
      <c r="M28" s="23">
        <f t="shared" ca="1" si="8"/>
        <v>4</v>
      </c>
      <c r="N28" s="23">
        <f t="shared" ca="1" si="8"/>
        <v>3</v>
      </c>
      <c r="O28" s="17">
        <f t="shared" ca="1" si="8"/>
        <v>5</v>
      </c>
    </row>
    <row r="29" spans="1:15" x14ac:dyDescent="0.25">
      <c r="A29" s="27">
        <v>44079</v>
      </c>
      <c r="B29" s="52">
        <f t="shared" ca="1" si="9"/>
        <v>3</v>
      </c>
      <c r="C29" s="23">
        <v>28</v>
      </c>
      <c r="D29" s="23">
        <f t="shared" ca="1" si="3"/>
        <v>11</v>
      </c>
      <c r="E29" s="25">
        <f t="shared" ca="1" si="4"/>
        <v>2370</v>
      </c>
      <c r="F29" s="25">
        <f t="shared" ca="1" si="5"/>
        <v>566</v>
      </c>
      <c r="G29" s="25">
        <f t="shared" ca="1" si="6"/>
        <v>1804</v>
      </c>
      <c r="H29" s="44">
        <f t="shared" ca="1" si="7"/>
        <v>1</v>
      </c>
      <c r="I29" s="44">
        <f t="shared" ca="1" si="7"/>
        <v>3</v>
      </c>
      <c r="J29" s="44">
        <f t="shared" ca="1" si="7"/>
        <v>1</v>
      </c>
      <c r="K29" s="44">
        <f t="shared" ca="1" si="7"/>
        <v>3</v>
      </c>
      <c r="L29" s="44">
        <f t="shared" ca="1" si="7"/>
        <v>3</v>
      </c>
      <c r="M29" s="23">
        <f t="shared" ca="1" si="8"/>
        <v>5</v>
      </c>
      <c r="N29" s="23">
        <f t="shared" ca="1" si="8"/>
        <v>4</v>
      </c>
      <c r="O29" s="17">
        <f t="shared" ca="1" si="8"/>
        <v>1</v>
      </c>
    </row>
    <row r="30" spans="1:15" x14ac:dyDescent="0.25">
      <c r="A30" s="27">
        <v>44079</v>
      </c>
      <c r="B30" s="52">
        <f t="shared" ca="1" si="9"/>
        <v>3</v>
      </c>
      <c r="C30" s="23">
        <v>29</v>
      </c>
      <c r="D30" s="23">
        <f t="shared" ca="1" si="3"/>
        <v>6</v>
      </c>
      <c r="E30" s="25">
        <f t="shared" ca="1" si="4"/>
        <v>1090</v>
      </c>
      <c r="F30" s="25">
        <f t="shared" ca="1" si="5"/>
        <v>302</v>
      </c>
      <c r="G30" s="25">
        <f t="shared" ca="1" si="6"/>
        <v>788</v>
      </c>
      <c r="H30" s="44">
        <f t="shared" ca="1" si="7"/>
        <v>3</v>
      </c>
      <c r="I30" s="44">
        <f t="shared" ca="1" si="7"/>
        <v>1</v>
      </c>
      <c r="J30" s="44">
        <f t="shared" ca="1" si="7"/>
        <v>0</v>
      </c>
      <c r="K30" s="44">
        <f t="shared" ca="1" si="7"/>
        <v>1</v>
      </c>
      <c r="L30" s="44">
        <f t="shared" ca="1" si="7"/>
        <v>1</v>
      </c>
      <c r="M30" s="23">
        <f t="shared" ca="1" si="8"/>
        <v>5</v>
      </c>
      <c r="N30" s="23">
        <f t="shared" ca="1" si="8"/>
        <v>4</v>
      </c>
      <c r="O30" s="17">
        <f t="shared" ca="1" si="8"/>
        <v>4</v>
      </c>
    </row>
    <row r="31" spans="1:15" x14ac:dyDescent="0.25">
      <c r="A31" s="27">
        <v>44079</v>
      </c>
      <c r="B31" s="52">
        <f t="shared" ca="1" si="9"/>
        <v>2</v>
      </c>
      <c r="C31" s="23">
        <v>30</v>
      </c>
      <c r="D31" s="23">
        <f t="shared" ca="1" si="3"/>
        <v>4</v>
      </c>
      <c r="E31" s="25">
        <f t="shared" ca="1" si="4"/>
        <v>390</v>
      </c>
      <c r="F31" s="25">
        <f t="shared" ca="1" si="5"/>
        <v>114</v>
      </c>
      <c r="G31" s="25">
        <f t="shared" ca="1" si="6"/>
        <v>276</v>
      </c>
      <c r="H31" s="44">
        <f t="shared" ca="1" si="7"/>
        <v>1</v>
      </c>
      <c r="I31" s="44">
        <f t="shared" ca="1" si="7"/>
        <v>0</v>
      </c>
      <c r="J31" s="44">
        <f t="shared" ca="1" si="7"/>
        <v>0</v>
      </c>
      <c r="K31" s="44">
        <f t="shared" ca="1" si="7"/>
        <v>3</v>
      </c>
      <c r="L31" s="44">
        <f t="shared" ca="1" si="7"/>
        <v>0</v>
      </c>
      <c r="M31" s="23">
        <f t="shared" ca="1" si="8"/>
        <v>1</v>
      </c>
      <c r="N31" s="23">
        <f t="shared" ca="1" si="8"/>
        <v>1</v>
      </c>
      <c r="O31" s="17">
        <f t="shared" ca="1" si="8"/>
        <v>2</v>
      </c>
    </row>
    <row r="32" spans="1:15" x14ac:dyDescent="0.25">
      <c r="A32" s="27">
        <v>44079</v>
      </c>
      <c r="B32" s="52">
        <f t="shared" ca="1" si="9"/>
        <v>3</v>
      </c>
      <c r="C32" s="23">
        <v>31</v>
      </c>
      <c r="D32" s="23">
        <f t="shared" ca="1" si="3"/>
        <v>7</v>
      </c>
      <c r="E32" s="25">
        <f t="shared" ca="1" si="4"/>
        <v>1760</v>
      </c>
      <c r="F32" s="25">
        <f t="shared" ca="1" si="5"/>
        <v>446</v>
      </c>
      <c r="G32" s="25">
        <f t="shared" ca="1" si="6"/>
        <v>1314</v>
      </c>
      <c r="H32" s="44">
        <f t="shared" ca="1" si="7"/>
        <v>3</v>
      </c>
      <c r="I32" s="44">
        <f t="shared" ca="1" si="7"/>
        <v>1</v>
      </c>
      <c r="J32" s="44">
        <f t="shared" ca="1" si="7"/>
        <v>1</v>
      </c>
      <c r="K32" s="44">
        <f t="shared" ca="1" si="7"/>
        <v>0</v>
      </c>
      <c r="L32" s="44">
        <f t="shared" ca="1" si="7"/>
        <v>2</v>
      </c>
      <c r="M32" s="23">
        <f t="shared" ca="1" si="8"/>
        <v>3</v>
      </c>
      <c r="N32" s="23">
        <f t="shared" ca="1" si="8"/>
        <v>3</v>
      </c>
      <c r="O32" s="17">
        <f t="shared" ca="1" si="8"/>
        <v>5</v>
      </c>
    </row>
    <row r="33" spans="1:15" x14ac:dyDescent="0.25">
      <c r="A33" s="27">
        <v>44079</v>
      </c>
      <c r="B33" s="52">
        <f t="shared" ca="1" si="9"/>
        <v>3</v>
      </c>
      <c r="C33" s="23">
        <v>32</v>
      </c>
      <c r="D33" s="23">
        <f t="shared" ca="1" si="3"/>
        <v>11</v>
      </c>
      <c r="E33" s="25">
        <f t="shared" ca="1" si="4"/>
        <v>2140</v>
      </c>
      <c r="F33" s="25">
        <f t="shared" ca="1" si="5"/>
        <v>452</v>
      </c>
      <c r="G33" s="25">
        <f t="shared" ca="1" si="6"/>
        <v>1688</v>
      </c>
      <c r="H33" s="44">
        <f t="shared" ca="1" si="7"/>
        <v>2</v>
      </c>
      <c r="I33" s="44">
        <f t="shared" ca="1" si="7"/>
        <v>3</v>
      </c>
      <c r="J33" s="44">
        <f t="shared" ca="1" si="7"/>
        <v>3</v>
      </c>
      <c r="K33" s="44">
        <f t="shared" ca="1" si="7"/>
        <v>2</v>
      </c>
      <c r="L33" s="44">
        <f t="shared" ca="1" si="7"/>
        <v>1</v>
      </c>
      <c r="M33" s="23">
        <f t="shared" ca="1" si="8"/>
        <v>4</v>
      </c>
      <c r="N33" s="23">
        <f t="shared" ca="1" si="8"/>
        <v>3</v>
      </c>
      <c r="O33" s="17">
        <f t="shared" ca="1" si="8"/>
        <v>4</v>
      </c>
    </row>
    <row r="34" spans="1:15" x14ac:dyDescent="0.25">
      <c r="A34" s="27">
        <v>44079</v>
      </c>
      <c r="B34" s="52">
        <f t="shared" ca="1" si="9"/>
        <v>1</v>
      </c>
      <c r="C34" s="23">
        <v>33</v>
      </c>
      <c r="D34" s="23">
        <f t="shared" ca="1" si="3"/>
        <v>10</v>
      </c>
      <c r="E34" s="25">
        <f t="shared" ca="1" si="4"/>
        <v>2140</v>
      </c>
      <c r="F34" s="25">
        <f t="shared" ca="1" si="5"/>
        <v>460</v>
      </c>
      <c r="G34" s="25">
        <f t="shared" ca="1" si="6"/>
        <v>1680</v>
      </c>
      <c r="H34" s="44">
        <f t="shared" ca="1" si="7"/>
        <v>2</v>
      </c>
      <c r="I34" s="44">
        <f t="shared" ca="1" si="7"/>
        <v>3</v>
      </c>
      <c r="J34" s="44">
        <f t="shared" ca="1" si="7"/>
        <v>0</v>
      </c>
      <c r="K34" s="44">
        <f t="shared" ca="1" si="7"/>
        <v>2</v>
      </c>
      <c r="L34" s="44">
        <f t="shared" ca="1" si="7"/>
        <v>3</v>
      </c>
      <c r="M34" s="23">
        <f t="shared" ca="1" si="8"/>
        <v>5</v>
      </c>
      <c r="N34" s="23">
        <f t="shared" ca="1" si="8"/>
        <v>1</v>
      </c>
      <c r="O34" s="17">
        <f t="shared" ca="1" si="8"/>
        <v>4</v>
      </c>
    </row>
    <row r="35" spans="1:15" x14ac:dyDescent="0.25">
      <c r="A35" s="27">
        <v>44080</v>
      </c>
      <c r="B35" s="52">
        <f t="shared" ca="1" si="9"/>
        <v>1</v>
      </c>
      <c r="C35" s="23">
        <v>34</v>
      </c>
      <c r="D35" s="23">
        <f t="shared" ca="1" si="3"/>
        <v>8</v>
      </c>
      <c r="E35" s="25">
        <f t="shared" ca="1" si="4"/>
        <v>1740</v>
      </c>
      <c r="F35" s="25">
        <f t="shared" ca="1" si="5"/>
        <v>418</v>
      </c>
      <c r="G35" s="25">
        <f t="shared" ca="1" si="6"/>
        <v>1322</v>
      </c>
      <c r="H35" s="44">
        <f t="shared" ref="H35:L60" ca="1" si="10">RANDBETWEEN(0,3)</f>
        <v>2</v>
      </c>
      <c r="I35" s="44">
        <f t="shared" ca="1" si="10"/>
        <v>0</v>
      </c>
      <c r="J35" s="44">
        <f t="shared" ca="1" si="10"/>
        <v>1</v>
      </c>
      <c r="K35" s="44">
        <f t="shared" ca="1" si="10"/>
        <v>3</v>
      </c>
      <c r="L35" s="44">
        <f t="shared" ca="1" si="10"/>
        <v>2</v>
      </c>
      <c r="M35" s="23">
        <f t="shared" ca="1" si="8"/>
        <v>4</v>
      </c>
      <c r="N35" s="23">
        <f t="shared" ca="1" si="8"/>
        <v>1</v>
      </c>
      <c r="O35" s="17">
        <f t="shared" ca="1" si="8"/>
        <v>5</v>
      </c>
    </row>
    <row r="36" spans="1:15" x14ac:dyDescent="0.25">
      <c r="A36" s="27">
        <v>44080</v>
      </c>
      <c r="B36" s="52">
        <f t="shared" ca="1" si="9"/>
        <v>1</v>
      </c>
      <c r="C36" s="23">
        <v>35</v>
      </c>
      <c r="D36" s="23">
        <f t="shared" ca="1" si="3"/>
        <v>5</v>
      </c>
      <c r="E36" s="25">
        <f t="shared" ca="1" si="4"/>
        <v>460</v>
      </c>
      <c r="F36" s="25">
        <f t="shared" ca="1" si="5"/>
        <v>157</v>
      </c>
      <c r="G36" s="25">
        <f t="shared" ca="1" si="6"/>
        <v>303</v>
      </c>
      <c r="H36" s="44">
        <f t="shared" ca="1" si="10"/>
        <v>0</v>
      </c>
      <c r="I36" s="44">
        <f t="shared" ca="1" si="10"/>
        <v>2</v>
      </c>
      <c r="J36" s="44">
        <f t="shared" ca="1" si="10"/>
        <v>0</v>
      </c>
      <c r="K36" s="44">
        <f t="shared" ca="1" si="10"/>
        <v>3</v>
      </c>
      <c r="L36" s="44">
        <f t="shared" ca="1" si="10"/>
        <v>0</v>
      </c>
      <c r="M36" s="23">
        <f t="shared" ref="M36:O60" ca="1" si="11">RANDBETWEEN(1,5)</f>
        <v>4</v>
      </c>
      <c r="N36" s="23">
        <f t="shared" ca="1" si="11"/>
        <v>5</v>
      </c>
      <c r="O36" s="17">
        <f t="shared" ca="1" si="11"/>
        <v>2</v>
      </c>
    </row>
    <row r="37" spans="1:15" x14ac:dyDescent="0.25">
      <c r="A37" s="27">
        <v>44080</v>
      </c>
      <c r="B37" s="52">
        <f t="shared" ca="1" si="9"/>
        <v>1</v>
      </c>
      <c r="C37" s="23">
        <v>36</v>
      </c>
      <c r="D37" s="23">
        <f t="shared" ca="1" si="3"/>
        <v>11</v>
      </c>
      <c r="E37" s="25">
        <f t="shared" ca="1" si="4"/>
        <v>2550</v>
      </c>
      <c r="F37" s="25">
        <f t="shared" ca="1" si="5"/>
        <v>564</v>
      </c>
      <c r="G37" s="25">
        <f t="shared" ca="1" si="6"/>
        <v>1986</v>
      </c>
      <c r="H37" s="44">
        <f t="shared" ca="1" si="10"/>
        <v>3</v>
      </c>
      <c r="I37" s="44">
        <f t="shared" ca="1" si="10"/>
        <v>2</v>
      </c>
      <c r="J37" s="44">
        <f t="shared" ca="1" si="10"/>
        <v>3</v>
      </c>
      <c r="K37" s="44">
        <f t="shared" ca="1" si="10"/>
        <v>1</v>
      </c>
      <c r="L37" s="44">
        <f t="shared" ca="1" si="10"/>
        <v>2</v>
      </c>
      <c r="M37" s="23">
        <f t="shared" ca="1" si="11"/>
        <v>5</v>
      </c>
      <c r="N37" s="23">
        <f t="shared" ca="1" si="11"/>
        <v>4</v>
      </c>
      <c r="O37" s="17">
        <f t="shared" ca="1" si="11"/>
        <v>1</v>
      </c>
    </row>
    <row r="38" spans="1:15" x14ac:dyDescent="0.25">
      <c r="A38" s="27">
        <v>44080</v>
      </c>
      <c r="B38" s="52">
        <f t="shared" ca="1" si="9"/>
        <v>3</v>
      </c>
      <c r="C38" s="23">
        <v>37</v>
      </c>
      <c r="D38" s="23">
        <f t="shared" ca="1" si="3"/>
        <v>6</v>
      </c>
      <c r="E38" s="25">
        <f t="shared" ca="1" si="4"/>
        <v>1380</v>
      </c>
      <c r="F38" s="25">
        <f t="shared" ca="1" si="5"/>
        <v>295</v>
      </c>
      <c r="G38" s="25">
        <f t="shared" ca="1" si="6"/>
        <v>1085</v>
      </c>
      <c r="H38" s="44">
        <f t="shared" ca="1" si="10"/>
        <v>1</v>
      </c>
      <c r="I38" s="44">
        <f t="shared" ca="1" si="10"/>
        <v>3</v>
      </c>
      <c r="J38" s="44">
        <f t="shared" ca="1" si="10"/>
        <v>0</v>
      </c>
      <c r="K38" s="44">
        <f t="shared" ca="1" si="10"/>
        <v>0</v>
      </c>
      <c r="L38" s="44">
        <f t="shared" ca="1" si="10"/>
        <v>2</v>
      </c>
      <c r="M38" s="23">
        <f t="shared" ca="1" si="11"/>
        <v>2</v>
      </c>
      <c r="N38" s="23">
        <f t="shared" ca="1" si="11"/>
        <v>4</v>
      </c>
      <c r="O38" s="17">
        <f t="shared" ca="1" si="11"/>
        <v>5</v>
      </c>
    </row>
    <row r="39" spans="1:15" x14ac:dyDescent="0.25">
      <c r="A39" s="27">
        <v>44081</v>
      </c>
      <c r="B39" s="52">
        <f t="shared" ca="1" si="9"/>
        <v>1</v>
      </c>
      <c r="C39" s="23">
        <v>38</v>
      </c>
      <c r="D39" s="23">
        <f t="shared" ca="1" si="3"/>
        <v>10</v>
      </c>
      <c r="E39" s="25">
        <f t="shared" ca="1" si="4"/>
        <v>1690</v>
      </c>
      <c r="F39" s="25">
        <f t="shared" ca="1" si="5"/>
        <v>390</v>
      </c>
      <c r="G39" s="25">
        <f t="shared" ca="1" si="6"/>
        <v>1300</v>
      </c>
      <c r="H39" s="44">
        <f t="shared" ca="1" si="10"/>
        <v>3</v>
      </c>
      <c r="I39" s="44">
        <f t="shared" ca="1" si="10"/>
        <v>3</v>
      </c>
      <c r="J39" s="44">
        <f t="shared" ca="1" si="10"/>
        <v>1</v>
      </c>
      <c r="K39" s="44">
        <f t="shared" ca="1" si="10"/>
        <v>2</v>
      </c>
      <c r="L39" s="44">
        <f t="shared" ca="1" si="10"/>
        <v>1</v>
      </c>
      <c r="M39" s="23">
        <f t="shared" ca="1" si="11"/>
        <v>3</v>
      </c>
      <c r="N39" s="23">
        <f t="shared" ca="1" si="11"/>
        <v>4</v>
      </c>
      <c r="O39" s="17">
        <f t="shared" ca="1" si="11"/>
        <v>2</v>
      </c>
    </row>
    <row r="40" spans="1:15" x14ac:dyDescent="0.25">
      <c r="A40" s="27">
        <v>44081</v>
      </c>
      <c r="B40" s="52">
        <f t="shared" ca="1" si="9"/>
        <v>3</v>
      </c>
      <c r="C40" s="23">
        <v>39</v>
      </c>
      <c r="D40" s="23">
        <f t="shared" ca="1" si="3"/>
        <v>8</v>
      </c>
      <c r="E40" s="25">
        <f t="shared" ca="1" si="4"/>
        <v>2510</v>
      </c>
      <c r="F40" s="25">
        <f t="shared" ca="1" si="5"/>
        <v>533</v>
      </c>
      <c r="G40" s="25">
        <f t="shared" ca="1" si="6"/>
        <v>1977</v>
      </c>
      <c r="H40" s="44">
        <f t="shared" ca="1" si="10"/>
        <v>1</v>
      </c>
      <c r="I40" s="44">
        <f t="shared" ca="1" si="10"/>
        <v>1</v>
      </c>
      <c r="J40" s="44">
        <f t="shared" ca="1" si="10"/>
        <v>3</v>
      </c>
      <c r="K40" s="44">
        <f t="shared" ca="1" si="10"/>
        <v>0</v>
      </c>
      <c r="L40" s="44">
        <f t="shared" ca="1" si="10"/>
        <v>3</v>
      </c>
      <c r="M40" s="23">
        <f t="shared" ca="1" si="11"/>
        <v>3</v>
      </c>
      <c r="N40" s="23">
        <f t="shared" ca="1" si="11"/>
        <v>1</v>
      </c>
      <c r="O40" s="17">
        <f t="shared" ca="1" si="11"/>
        <v>2</v>
      </c>
    </row>
    <row r="41" spans="1:15" x14ac:dyDescent="0.25">
      <c r="A41" s="27">
        <v>44081</v>
      </c>
      <c r="B41" s="52">
        <f t="shared" ca="1" si="9"/>
        <v>3</v>
      </c>
      <c r="C41" s="23">
        <v>40</v>
      </c>
      <c r="D41" s="23">
        <f t="shared" ca="1" si="3"/>
        <v>4</v>
      </c>
      <c r="E41" s="25">
        <f t="shared" ca="1" si="4"/>
        <v>1500</v>
      </c>
      <c r="F41" s="25">
        <f t="shared" ca="1" si="5"/>
        <v>355</v>
      </c>
      <c r="G41" s="25">
        <f t="shared" ca="1" si="6"/>
        <v>1145</v>
      </c>
      <c r="H41" s="44">
        <f t="shared" ca="1" si="10"/>
        <v>1</v>
      </c>
      <c r="I41" s="44">
        <f t="shared" ca="1" si="10"/>
        <v>0</v>
      </c>
      <c r="J41" s="44">
        <f t="shared" ca="1" si="10"/>
        <v>0</v>
      </c>
      <c r="K41" s="44">
        <f t="shared" ca="1" si="10"/>
        <v>0</v>
      </c>
      <c r="L41" s="44">
        <f t="shared" ca="1" si="10"/>
        <v>3</v>
      </c>
      <c r="M41" s="23">
        <f t="shared" ca="1" si="11"/>
        <v>2</v>
      </c>
      <c r="N41" s="23">
        <f t="shared" ca="1" si="11"/>
        <v>5</v>
      </c>
      <c r="O41" s="17">
        <f t="shared" ca="1" si="11"/>
        <v>2</v>
      </c>
    </row>
    <row r="42" spans="1:15" x14ac:dyDescent="0.25">
      <c r="A42" s="27">
        <v>44081</v>
      </c>
      <c r="B42" s="52">
        <f t="shared" ca="1" si="9"/>
        <v>2</v>
      </c>
      <c r="C42" s="23">
        <v>41</v>
      </c>
      <c r="D42" s="23">
        <f t="shared" ca="1" si="3"/>
        <v>8</v>
      </c>
      <c r="E42" s="25">
        <f t="shared" ca="1" si="4"/>
        <v>1400</v>
      </c>
      <c r="F42" s="25">
        <f t="shared" ca="1" si="5"/>
        <v>351</v>
      </c>
      <c r="G42" s="25">
        <f t="shared" ca="1" si="6"/>
        <v>1049</v>
      </c>
      <c r="H42" s="44">
        <f t="shared" ca="1" si="10"/>
        <v>2</v>
      </c>
      <c r="I42" s="44">
        <f t="shared" ca="1" si="10"/>
        <v>1</v>
      </c>
      <c r="J42" s="44">
        <f t="shared" ca="1" si="10"/>
        <v>1</v>
      </c>
      <c r="K42" s="44">
        <f t="shared" ca="1" si="10"/>
        <v>3</v>
      </c>
      <c r="L42" s="44">
        <f t="shared" ca="1" si="10"/>
        <v>1</v>
      </c>
      <c r="M42" s="23">
        <f t="shared" ca="1" si="11"/>
        <v>4</v>
      </c>
      <c r="N42" s="23">
        <f t="shared" ca="1" si="11"/>
        <v>4</v>
      </c>
      <c r="O42" s="17">
        <f t="shared" ca="1" si="11"/>
        <v>1</v>
      </c>
    </row>
    <row r="43" spans="1:15" x14ac:dyDescent="0.25">
      <c r="A43" s="27">
        <v>44082</v>
      </c>
      <c r="B43" s="52">
        <f t="shared" ca="1" si="9"/>
        <v>1</v>
      </c>
      <c r="C43" s="23">
        <v>42</v>
      </c>
      <c r="D43" s="23">
        <f t="shared" ca="1" si="3"/>
        <v>5</v>
      </c>
      <c r="E43" s="25">
        <f t="shared" ca="1" si="4"/>
        <v>630</v>
      </c>
      <c r="F43" s="25">
        <f t="shared" ca="1" si="5"/>
        <v>153</v>
      </c>
      <c r="G43" s="25">
        <f t="shared" ca="1" si="6"/>
        <v>477</v>
      </c>
      <c r="H43" s="44">
        <f t="shared" ca="1" si="10"/>
        <v>2</v>
      </c>
      <c r="I43" s="44">
        <f t="shared" ca="1" si="10"/>
        <v>3</v>
      </c>
      <c r="J43" s="44">
        <f t="shared" ca="1" si="10"/>
        <v>0</v>
      </c>
      <c r="K43" s="44">
        <f t="shared" ca="1" si="10"/>
        <v>0</v>
      </c>
      <c r="L43" s="44">
        <f t="shared" ca="1" si="10"/>
        <v>0</v>
      </c>
      <c r="M43" s="23">
        <f t="shared" ca="1" si="11"/>
        <v>4</v>
      </c>
      <c r="N43" s="23">
        <f t="shared" ca="1" si="11"/>
        <v>5</v>
      </c>
      <c r="O43" s="17">
        <f t="shared" ca="1" si="11"/>
        <v>5</v>
      </c>
    </row>
    <row r="44" spans="1:15" x14ac:dyDescent="0.25">
      <c r="A44" s="27">
        <v>44082</v>
      </c>
      <c r="B44" s="52">
        <f t="shared" ca="1" si="9"/>
        <v>1</v>
      </c>
      <c r="C44" s="23">
        <v>43</v>
      </c>
      <c r="D44" s="23">
        <f t="shared" ca="1" si="3"/>
        <v>11</v>
      </c>
      <c r="E44" s="25">
        <f t="shared" ca="1" si="4"/>
        <v>2710</v>
      </c>
      <c r="F44" s="25">
        <f t="shared" ca="1" si="5"/>
        <v>556</v>
      </c>
      <c r="G44" s="25">
        <f t="shared" ca="1" si="6"/>
        <v>2154</v>
      </c>
      <c r="H44" s="44">
        <f t="shared" ca="1" si="10"/>
        <v>0</v>
      </c>
      <c r="I44" s="44">
        <f t="shared" ca="1" si="10"/>
        <v>2</v>
      </c>
      <c r="J44" s="44">
        <f t="shared" ca="1" si="10"/>
        <v>3</v>
      </c>
      <c r="K44" s="44">
        <f t="shared" ca="1" si="10"/>
        <v>3</v>
      </c>
      <c r="L44" s="44">
        <f t="shared" ca="1" si="10"/>
        <v>3</v>
      </c>
      <c r="M44" s="23">
        <f t="shared" ca="1" si="11"/>
        <v>2</v>
      </c>
      <c r="N44" s="23">
        <f t="shared" ca="1" si="11"/>
        <v>3</v>
      </c>
      <c r="O44" s="17">
        <f t="shared" ca="1" si="11"/>
        <v>1</v>
      </c>
    </row>
    <row r="45" spans="1:15" x14ac:dyDescent="0.25">
      <c r="A45" s="27">
        <v>44082</v>
      </c>
      <c r="B45" s="52">
        <f t="shared" ca="1" si="9"/>
        <v>1</v>
      </c>
      <c r="C45" s="23">
        <v>44</v>
      </c>
      <c r="D45" s="23">
        <f t="shared" ca="1" si="3"/>
        <v>10</v>
      </c>
      <c r="E45" s="25">
        <f t="shared" ca="1" si="4"/>
        <v>2590</v>
      </c>
      <c r="F45" s="25">
        <f t="shared" ca="1" si="5"/>
        <v>616</v>
      </c>
      <c r="G45" s="25">
        <f t="shared" ca="1" si="6"/>
        <v>1974</v>
      </c>
      <c r="H45" s="44">
        <f t="shared" ca="1" si="10"/>
        <v>3</v>
      </c>
      <c r="I45" s="44">
        <f t="shared" ca="1" si="10"/>
        <v>1</v>
      </c>
      <c r="J45" s="44">
        <f t="shared" ca="1" si="10"/>
        <v>2</v>
      </c>
      <c r="K45" s="44">
        <f t="shared" ca="1" si="10"/>
        <v>1</v>
      </c>
      <c r="L45" s="44">
        <f t="shared" ca="1" si="10"/>
        <v>3</v>
      </c>
      <c r="M45" s="23">
        <f t="shared" ca="1" si="11"/>
        <v>3</v>
      </c>
      <c r="N45" s="23">
        <f t="shared" ca="1" si="11"/>
        <v>1</v>
      </c>
      <c r="O45" s="17">
        <f t="shared" ca="1" si="11"/>
        <v>5</v>
      </c>
    </row>
    <row r="46" spans="1:15" x14ac:dyDescent="0.25">
      <c r="A46" s="27">
        <v>44082</v>
      </c>
      <c r="B46" s="52">
        <f t="shared" ca="1" si="9"/>
        <v>2</v>
      </c>
      <c r="C46" s="23">
        <v>45</v>
      </c>
      <c r="D46" s="23">
        <f t="shared" ca="1" si="3"/>
        <v>10</v>
      </c>
      <c r="E46" s="25">
        <f t="shared" ca="1" si="4"/>
        <v>2290</v>
      </c>
      <c r="F46" s="25">
        <f t="shared" ca="1" si="5"/>
        <v>477</v>
      </c>
      <c r="G46" s="25">
        <f t="shared" ca="1" si="6"/>
        <v>1813</v>
      </c>
      <c r="H46" s="44">
        <f t="shared" ca="1" si="10"/>
        <v>1</v>
      </c>
      <c r="I46" s="44">
        <f t="shared" ca="1" si="10"/>
        <v>3</v>
      </c>
      <c r="J46" s="44">
        <f t="shared" ca="1" si="10"/>
        <v>1</v>
      </c>
      <c r="K46" s="44">
        <f t="shared" ca="1" si="10"/>
        <v>2</v>
      </c>
      <c r="L46" s="44">
        <f t="shared" ca="1" si="10"/>
        <v>3</v>
      </c>
      <c r="M46" s="23">
        <f t="shared" ca="1" si="11"/>
        <v>1</v>
      </c>
      <c r="N46" s="23">
        <f t="shared" ca="1" si="11"/>
        <v>1</v>
      </c>
      <c r="O46" s="17">
        <f t="shared" ca="1" si="11"/>
        <v>1</v>
      </c>
    </row>
    <row r="47" spans="1:15" x14ac:dyDescent="0.25">
      <c r="A47" s="27">
        <v>44082</v>
      </c>
      <c r="B47" s="52">
        <f t="shared" ca="1" si="9"/>
        <v>2</v>
      </c>
      <c r="C47" s="23">
        <v>46</v>
      </c>
      <c r="D47" s="23">
        <f t="shared" ca="1" si="3"/>
        <v>6</v>
      </c>
      <c r="E47" s="25">
        <f t="shared" ca="1" si="4"/>
        <v>780</v>
      </c>
      <c r="F47" s="25">
        <f t="shared" ca="1" si="5"/>
        <v>190</v>
      </c>
      <c r="G47" s="25">
        <f t="shared" ca="1" si="6"/>
        <v>590</v>
      </c>
      <c r="H47" s="44">
        <f t="shared" ca="1" si="10"/>
        <v>3</v>
      </c>
      <c r="I47" s="44">
        <f t="shared" ca="1" si="10"/>
        <v>3</v>
      </c>
      <c r="J47" s="44">
        <f t="shared" ca="1" si="10"/>
        <v>0</v>
      </c>
      <c r="K47" s="44">
        <f t="shared" ca="1" si="10"/>
        <v>0</v>
      </c>
      <c r="L47" s="44">
        <f t="shared" ca="1" si="10"/>
        <v>0</v>
      </c>
      <c r="M47" s="23">
        <f t="shared" ca="1" si="11"/>
        <v>3</v>
      </c>
      <c r="N47" s="23">
        <f t="shared" ca="1" si="11"/>
        <v>4</v>
      </c>
      <c r="O47" s="17">
        <f t="shared" ca="1" si="11"/>
        <v>4</v>
      </c>
    </row>
    <row r="48" spans="1:15" x14ac:dyDescent="0.25">
      <c r="A48" s="27">
        <v>44083</v>
      </c>
      <c r="B48" s="52">
        <f t="shared" ca="1" si="9"/>
        <v>2</v>
      </c>
      <c r="C48" s="23">
        <v>47</v>
      </c>
      <c r="D48" s="23">
        <f t="shared" ca="1" si="3"/>
        <v>4</v>
      </c>
      <c r="E48" s="25">
        <f t="shared" ca="1" si="4"/>
        <v>1500</v>
      </c>
      <c r="F48" s="25">
        <f t="shared" ca="1" si="5"/>
        <v>362</v>
      </c>
      <c r="G48" s="25">
        <f t="shared" ca="1" si="6"/>
        <v>1138</v>
      </c>
      <c r="H48" s="44">
        <f t="shared" ca="1" si="10"/>
        <v>1</v>
      </c>
      <c r="I48" s="44">
        <f t="shared" ca="1" si="10"/>
        <v>0</v>
      </c>
      <c r="J48" s="44">
        <f t="shared" ca="1" si="10"/>
        <v>0</v>
      </c>
      <c r="K48" s="44">
        <f t="shared" ca="1" si="10"/>
        <v>0</v>
      </c>
      <c r="L48" s="44">
        <f t="shared" ca="1" si="10"/>
        <v>3</v>
      </c>
      <c r="M48" s="23">
        <f t="shared" ca="1" si="11"/>
        <v>3</v>
      </c>
      <c r="N48" s="23">
        <f t="shared" ca="1" si="11"/>
        <v>5</v>
      </c>
      <c r="O48" s="17">
        <f t="shared" ca="1" si="11"/>
        <v>2</v>
      </c>
    </row>
    <row r="49" spans="1:15" x14ac:dyDescent="0.25">
      <c r="A49" s="27">
        <v>44083</v>
      </c>
      <c r="B49" s="52">
        <f t="shared" ca="1" si="9"/>
        <v>2</v>
      </c>
      <c r="C49" s="23">
        <v>48</v>
      </c>
      <c r="D49" s="23">
        <f t="shared" ca="1" si="3"/>
        <v>6</v>
      </c>
      <c r="E49" s="25">
        <f t="shared" ca="1" si="4"/>
        <v>2060</v>
      </c>
      <c r="F49" s="25">
        <f t="shared" ca="1" si="5"/>
        <v>492</v>
      </c>
      <c r="G49" s="25">
        <f t="shared" ca="1" si="6"/>
        <v>1568</v>
      </c>
      <c r="H49" s="44">
        <f t="shared" ca="1" si="10"/>
        <v>0</v>
      </c>
      <c r="I49" s="44">
        <f t="shared" ca="1" si="10"/>
        <v>1</v>
      </c>
      <c r="J49" s="44">
        <f t="shared" ca="1" si="10"/>
        <v>2</v>
      </c>
      <c r="K49" s="44">
        <f t="shared" ca="1" si="10"/>
        <v>0</v>
      </c>
      <c r="L49" s="44">
        <f t="shared" ca="1" si="10"/>
        <v>3</v>
      </c>
      <c r="M49" s="23">
        <f t="shared" ca="1" si="11"/>
        <v>5</v>
      </c>
      <c r="N49" s="23">
        <f t="shared" ca="1" si="11"/>
        <v>5</v>
      </c>
      <c r="O49" s="17">
        <f t="shared" ca="1" si="11"/>
        <v>1</v>
      </c>
    </row>
    <row r="50" spans="1:15" x14ac:dyDescent="0.25">
      <c r="A50" s="27">
        <v>44083</v>
      </c>
      <c r="B50" s="52">
        <f t="shared" ca="1" si="9"/>
        <v>1</v>
      </c>
      <c r="C50" s="23">
        <v>49</v>
      </c>
      <c r="D50" s="23">
        <f t="shared" ca="1" si="3"/>
        <v>6</v>
      </c>
      <c r="E50" s="25">
        <f t="shared" ca="1" si="4"/>
        <v>690</v>
      </c>
      <c r="F50" s="25">
        <f t="shared" ca="1" si="5"/>
        <v>206</v>
      </c>
      <c r="G50" s="25">
        <f t="shared" ca="1" si="6"/>
        <v>484</v>
      </c>
      <c r="H50" s="44">
        <f t="shared" ca="1" si="10"/>
        <v>3</v>
      </c>
      <c r="I50" s="44">
        <f t="shared" ca="1" si="10"/>
        <v>0</v>
      </c>
      <c r="J50" s="44">
        <f t="shared" ca="1" si="10"/>
        <v>0</v>
      </c>
      <c r="K50" s="44">
        <f t="shared" ca="1" si="10"/>
        <v>3</v>
      </c>
      <c r="L50" s="44">
        <f t="shared" ca="1" si="10"/>
        <v>0</v>
      </c>
      <c r="M50" s="23">
        <f t="shared" ca="1" si="11"/>
        <v>4</v>
      </c>
      <c r="N50" s="23">
        <f t="shared" ca="1" si="11"/>
        <v>1</v>
      </c>
      <c r="O50" s="17">
        <f t="shared" ca="1" si="11"/>
        <v>1</v>
      </c>
    </row>
    <row r="51" spans="1:15" x14ac:dyDescent="0.25">
      <c r="A51" s="27">
        <v>44083</v>
      </c>
      <c r="B51" s="52">
        <f t="shared" ca="1" si="9"/>
        <v>2</v>
      </c>
      <c r="C51" s="23">
        <v>50</v>
      </c>
      <c r="D51" s="23">
        <f t="shared" ca="1" si="3"/>
        <v>8</v>
      </c>
      <c r="E51" s="25">
        <f t="shared" ca="1" si="4"/>
        <v>1990</v>
      </c>
      <c r="F51" s="25">
        <f t="shared" ca="1" si="5"/>
        <v>490</v>
      </c>
      <c r="G51" s="25">
        <f t="shared" ca="1" si="6"/>
        <v>1500</v>
      </c>
      <c r="H51" s="44">
        <f t="shared" ca="1" si="10"/>
        <v>3</v>
      </c>
      <c r="I51" s="44">
        <f t="shared" ca="1" si="10"/>
        <v>1</v>
      </c>
      <c r="J51" s="44">
        <f t="shared" ca="1" si="10"/>
        <v>0</v>
      </c>
      <c r="K51" s="44">
        <f t="shared" ca="1" si="10"/>
        <v>1</v>
      </c>
      <c r="L51" s="44">
        <f t="shared" ca="1" si="10"/>
        <v>3</v>
      </c>
      <c r="M51" s="23">
        <f t="shared" ca="1" si="11"/>
        <v>2</v>
      </c>
      <c r="N51" s="23">
        <f t="shared" ca="1" si="11"/>
        <v>1</v>
      </c>
      <c r="O51" s="17">
        <f t="shared" ca="1" si="11"/>
        <v>1</v>
      </c>
    </row>
    <row r="52" spans="1:15" x14ac:dyDescent="0.25">
      <c r="A52" s="27">
        <v>44083</v>
      </c>
      <c r="B52" s="52">
        <f t="shared" ca="1" si="9"/>
        <v>3</v>
      </c>
      <c r="C52" s="23">
        <v>51</v>
      </c>
      <c r="D52" s="23">
        <f t="shared" ca="1" si="3"/>
        <v>6</v>
      </c>
      <c r="E52" s="25">
        <f t="shared" ca="1" si="4"/>
        <v>1320</v>
      </c>
      <c r="F52" s="25">
        <f t="shared" ca="1" si="5"/>
        <v>278</v>
      </c>
      <c r="G52" s="25">
        <f t="shared" ca="1" si="6"/>
        <v>1042</v>
      </c>
      <c r="H52" s="44">
        <f t="shared" ca="1" si="10"/>
        <v>0</v>
      </c>
      <c r="I52" s="44">
        <f t="shared" ca="1" si="10"/>
        <v>1</v>
      </c>
      <c r="J52" s="44">
        <f t="shared" ca="1" si="10"/>
        <v>2</v>
      </c>
      <c r="K52" s="44">
        <f t="shared" ca="1" si="10"/>
        <v>2</v>
      </c>
      <c r="L52" s="44">
        <f t="shared" ca="1" si="10"/>
        <v>1</v>
      </c>
      <c r="M52" s="23">
        <f t="shared" ca="1" si="11"/>
        <v>2</v>
      </c>
      <c r="N52" s="23">
        <f t="shared" ca="1" si="11"/>
        <v>1</v>
      </c>
      <c r="O52" s="17">
        <f t="shared" ca="1" si="11"/>
        <v>2</v>
      </c>
    </row>
    <row r="53" spans="1:15" x14ac:dyDescent="0.25">
      <c r="A53" s="27">
        <v>44083</v>
      </c>
      <c r="B53" s="52">
        <f t="shared" ca="1" si="9"/>
        <v>1</v>
      </c>
      <c r="C53" s="23">
        <v>52</v>
      </c>
      <c r="D53" s="23">
        <f t="shared" ca="1" si="3"/>
        <v>4</v>
      </c>
      <c r="E53" s="25">
        <f t="shared" ca="1" si="4"/>
        <v>1160</v>
      </c>
      <c r="F53" s="25">
        <f t="shared" ca="1" si="5"/>
        <v>307</v>
      </c>
      <c r="G53" s="25">
        <f t="shared" ca="1" si="6"/>
        <v>853</v>
      </c>
      <c r="H53" s="44">
        <f t="shared" ca="1" si="10"/>
        <v>1</v>
      </c>
      <c r="I53" s="44">
        <f t="shared" ca="1" si="10"/>
        <v>1</v>
      </c>
      <c r="J53" s="44">
        <f t="shared" ca="1" si="10"/>
        <v>0</v>
      </c>
      <c r="K53" s="44">
        <f t="shared" ca="1" si="10"/>
        <v>0</v>
      </c>
      <c r="L53" s="44">
        <f t="shared" ca="1" si="10"/>
        <v>2</v>
      </c>
      <c r="M53" s="23">
        <f t="shared" ca="1" si="11"/>
        <v>3</v>
      </c>
      <c r="N53" s="23">
        <f t="shared" ca="1" si="11"/>
        <v>4</v>
      </c>
      <c r="O53" s="17">
        <f t="shared" ca="1" si="11"/>
        <v>2</v>
      </c>
    </row>
    <row r="54" spans="1:15" x14ac:dyDescent="0.25">
      <c r="A54" s="27">
        <v>44084</v>
      </c>
      <c r="B54" s="52">
        <f t="shared" ca="1" si="9"/>
        <v>3</v>
      </c>
      <c r="C54" s="23">
        <v>53</v>
      </c>
      <c r="D54" s="23">
        <f t="shared" ca="1" si="3"/>
        <v>6</v>
      </c>
      <c r="E54" s="25">
        <f t="shared" ca="1" si="4"/>
        <v>1230</v>
      </c>
      <c r="F54" s="25">
        <f t="shared" ca="1" si="5"/>
        <v>293</v>
      </c>
      <c r="G54" s="25">
        <f t="shared" ca="1" si="6"/>
        <v>937</v>
      </c>
      <c r="H54" s="44">
        <f t="shared" ca="1" si="10"/>
        <v>0</v>
      </c>
      <c r="I54" s="44">
        <f t="shared" ca="1" si="10"/>
        <v>3</v>
      </c>
      <c r="J54" s="44">
        <f t="shared" ca="1" si="10"/>
        <v>3</v>
      </c>
      <c r="K54" s="44">
        <f t="shared" ca="1" si="10"/>
        <v>0</v>
      </c>
      <c r="L54" s="44">
        <f t="shared" ca="1" si="10"/>
        <v>0</v>
      </c>
      <c r="M54" s="23">
        <f t="shared" ca="1" si="11"/>
        <v>3</v>
      </c>
      <c r="N54" s="23">
        <f t="shared" ca="1" si="11"/>
        <v>4</v>
      </c>
      <c r="O54" s="17">
        <f t="shared" ca="1" si="11"/>
        <v>4</v>
      </c>
    </row>
    <row r="55" spans="1:15" x14ac:dyDescent="0.25">
      <c r="A55" s="27">
        <v>44084</v>
      </c>
      <c r="B55" s="52">
        <f t="shared" ca="1" si="9"/>
        <v>3</v>
      </c>
      <c r="C55" s="23">
        <v>54</v>
      </c>
      <c r="D55" s="23">
        <f t="shared" ca="1" si="3"/>
        <v>7</v>
      </c>
      <c r="E55" s="25">
        <f t="shared" ca="1" si="4"/>
        <v>1430</v>
      </c>
      <c r="F55" s="25">
        <f t="shared" ca="1" si="5"/>
        <v>351</v>
      </c>
      <c r="G55" s="25">
        <f t="shared" ca="1" si="6"/>
        <v>1079</v>
      </c>
      <c r="H55" s="44">
        <f t="shared" ca="1" si="10"/>
        <v>0</v>
      </c>
      <c r="I55" s="44">
        <f t="shared" ca="1" si="10"/>
        <v>2</v>
      </c>
      <c r="J55" s="44">
        <f t="shared" ca="1" si="10"/>
        <v>2</v>
      </c>
      <c r="K55" s="44">
        <f t="shared" ca="1" si="10"/>
        <v>2</v>
      </c>
      <c r="L55" s="44">
        <f t="shared" ca="1" si="10"/>
        <v>1</v>
      </c>
      <c r="M55" s="23">
        <f t="shared" ca="1" si="11"/>
        <v>3</v>
      </c>
      <c r="N55" s="23">
        <f t="shared" ca="1" si="11"/>
        <v>4</v>
      </c>
      <c r="O55" s="17">
        <f t="shared" ca="1" si="11"/>
        <v>1</v>
      </c>
    </row>
    <row r="56" spans="1:15" x14ac:dyDescent="0.25">
      <c r="A56" s="27">
        <v>44084</v>
      </c>
      <c r="B56" s="52">
        <f t="shared" ca="1" si="9"/>
        <v>2</v>
      </c>
      <c r="C56" s="23">
        <v>55</v>
      </c>
      <c r="D56" s="23">
        <f t="shared" ca="1" si="3"/>
        <v>5</v>
      </c>
      <c r="E56" s="25">
        <f t="shared" ca="1" si="4"/>
        <v>1350</v>
      </c>
      <c r="F56" s="25">
        <f t="shared" ca="1" si="5"/>
        <v>319</v>
      </c>
      <c r="G56" s="25">
        <f t="shared" ca="1" si="6"/>
        <v>1031</v>
      </c>
      <c r="H56" s="44">
        <f t="shared" ca="1" si="10"/>
        <v>3</v>
      </c>
      <c r="I56" s="44">
        <f t="shared" ca="1" si="10"/>
        <v>0</v>
      </c>
      <c r="J56" s="44">
        <f t="shared" ca="1" si="10"/>
        <v>0</v>
      </c>
      <c r="K56" s="44">
        <f t="shared" ca="1" si="10"/>
        <v>0</v>
      </c>
      <c r="L56" s="44">
        <f t="shared" ca="1" si="10"/>
        <v>2</v>
      </c>
      <c r="M56" s="23">
        <f t="shared" ca="1" si="11"/>
        <v>1</v>
      </c>
      <c r="N56" s="23">
        <f t="shared" ca="1" si="11"/>
        <v>5</v>
      </c>
      <c r="O56" s="17">
        <f t="shared" ca="1" si="11"/>
        <v>4</v>
      </c>
    </row>
    <row r="57" spans="1:15" x14ac:dyDescent="0.25">
      <c r="A57" s="27">
        <v>44084</v>
      </c>
      <c r="B57" s="52">
        <f t="shared" ca="1" si="9"/>
        <v>1</v>
      </c>
      <c r="C57" s="23">
        <v>56</v>
      </c>
      <c r="D57" s="23">
        <f t="shared" ca="1" si="3"/>
        <v>8</v>
      </c>
      <c r="E57" s="25">
        <f t="shared" ca="1" si="4"/>
        <v>2330</v>
      </c>
      <c r="F57" s="25">
        <f t="shared" ca="1" si="5"/>
        <v>562</v>
      </c>
      <c r="G57" s="25">
        <f t="shared" ca="1" si="6"/>
        <v>1768</v>
      </c>
      <c r="H57" s="44">
        <f t="shared" ca="1" si="10"/>
        <v>2</v>
      </c>
      <c r="I57" s="44">
        <f t="shared" ca="1" si="10"/>
        <v>0</v>
      </c>
      <c r="J57" s="44">
        <f t="shared" ca="1" si="10"/>
        <v>2</v>
      </c>
      <c r="K57" s="44">
        <f t="shared" ca="1" si="10"/>
        <v>1</v>
      </c>
      <c r="L57" s="44">
        <f t="shared" ca="1" si="10"/>
        <v>3</v>
      </c>
      <c r="M57" s="23">
        <f t="shared" ca="1" si="11"/>
        <v>5</v>
      </c>
      <c r="N57" s="23">
        <f t="shared" ca="1" si="11"/>
        <v>5</v>
      </c>
      <c r="O57" s="17">
        <f t="shared" ca="1" si="11"/>
        <v>5</v>
      </c>
    </row>
    <row r="58" spans="1:15" x14ac:dyDescent="0.25">
      <c r="A58" s="27">
        <v>44084</v>
      </c>
      <c r="B58" s="52">
        <f t="shared" ca="1" si="9"/>
        <v>2</v>
      </c>
      <c r="C58" s="23">
        <v>57</v>
      </c>
      <c r="D58" s="23">
        <f t="shared" ca="1" si="3"/>
        <v>8</v>
      </c>
      <c r="E58" s="25">
        <f t="shared" ca="1" si="4"/>
        <v>1530</v>
      </c>
      <c r="F58" s="25">
        <f t="shared" ca="1" si="5"/>
        <v>329</v>
      </c>
      <c r="G58" s="25">
        <f t="shared" ca="1" si="6"/>
        <v>1201</v>
      </c>
      <c r="H58" s="44">
        <f t="shared" ca="1" si="10"/>
        <v>3</v>
      </c>
      <c r="I58" s="44">
        <f t="shared" ca="1" si="10"/>
        <v>3</v>
      </c>
      <c r="J58" s="44">
        <f t="shared" ca="1" si="10"/>
        <v>1</v>
      </c>
      <c r="K58" s="44">
        <f t="shared" ca="1" si="10"/>
        <v>0</v>
      </c>
      <c r="L58" s="44">
        <f t="shared" ca="1" si="10"/>
        <v>1</v>
      </c>
      <c r="M58" s="23">
        <f t="shared" ca="1" si="11"/>
        <v>1</v>
      </c>
      <c r="N58" s="23">
        <f t="shared" ca="1" si="11"/>
        <v>3</v>
      </c>
      <c r="O58" s="17">
        <f t="shared" ca="1" si="11"/>
        <v>2</v>
      </c>
    </row>
    <row r="59" spans="1:15" x14ac:dyDescent="0.25">
      <c r="A59" s="27">
        <v>44084</v>
      </c>
      <c r="B59" s="52">
        <f t="shared" ca="1" si="9"/>
        <v>3</v>
      </c>
      <c r="C59" s="23">
        <v>58</v>
      </c>
      <c r="D59" s="23">
        <f t="shared" ca="1" si="3"/>
        <v>3</v>
      </c>
      <c r="E59" s="25">
        <f t="shared" ca="1" si="4"/>
        <v>1050</v>
      </c>
      <c r="F59" s="25">
        <f t="shared" ca="1" si="5"/>
        <v>273</v>
      </c>
      <c r="G59" s="25">
        <f t="shared" ca="1" si="6"/>
        <v>777</v>
      </c>
      <c r="H59" s="44">
        <f t="shared" ca="1" si="10"/>
        <v>1</v>
      </c>
      <c r="I59" s="44">
        <f t="shared" ca="1" si="10"/>
        <v>0</v>
      </c>
      <c r="J59" s="44">
        <f t="shared" ca="1" si="10"/>
        <v>0</v>
      </c>
      <c r="K59" s="44">
        <f t="shared" ca="1" si="10"/>
        <v>0</v>
      </c>
      <c r="L59" s="44">
        <f t="shared" ca="1" si="10"/>
        <v>2</v>
      </c>
      <c r="M59" s="23">
        <f t="shared" ca="1" si="11"/>
        <v>5</v>
      </c>
      <c r="N59" s="23">
        <f t="shared" ca="1" si="11"/>
        <v>5</v>
      </c>
      <c r="O59" s="17">
        <f t="shared" ca="1" si="11"/>
        <v>2</v>
      </c>
    </row>
    <row r="60" spans="1:15" ht="15.75" thickBot="1" x14ac:dyDescent="0.3">
      <c r="A60" s="28">
        <v>44084</v>
      </c>
      <c r="B60" s="53">
        <f t="shared" ca="1" si="9"/>
        <v>3</v>
      </c>
      <c r="C60" s="24">
        <v>59</v>
      </c>
      <c r="D60" s="24">
        <f t="shared" ca="1" si="3"/>
        <v>11</v>
      </c>
      <c r="E60" s="26">
        <f t="shared" ca="1" si="4"/>
        <v>1960</v>
      </c>
      <c r="F60" s="26">
        <f t="shared" ca="1" si="5"/>
        <v>453</v>
      </c>
      <c r="G60" s="26">
        <f t="shared" ca="1" si="6"/>
        <v>1507</v>
      </c>
      <c r="H60" s="45">
        <f t="shared" ca="1" si="10"/>
        <v>3</v>
      </c>
      <c r="I60" s="45">
        <f t="shared" ca="1" si="10"/>
        <v>2</v>
      </c>
      <c r="J60" s="45">
        <f t="shared" ca="1" si="10"/>
        <v>2</v>
      </c>
      <c r="K60" s="45">
        <f t="shared" ca="1" si="10"/>
        <v>3</v>
      </c>
      <c r="L60" s="45">
        <f t="shared" ca="1" si="10"/>
        <v>1</v>
      </c>
      <c r="M60" s="24">
        <f t="shared" ca="1" si="11"/>
        <v>3</v>
      </c>
      <c r="N60" s="24">
        <f t="shared" ca="1" si="11"/>
        <v>3</v>
      </c>
      <c r="O60" s="18">
        <f t="shared" ca="1" si="11"/>
        <v>3</v>
      </c>
    </row>
  </sheetData>
  <mergeCells count="1">
    <mergeCell ref="T1:U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20E07-F88A-4BE8-8F1C-C63290103D8C}">
  <dimension ref="A1:V33"/>
  <sheetViews>
    <sheetView workbookViewId="0">
      <selection activeCell="J29" sqref="J29"/>
    </sheetView>
  </sheetViews>
  <sheetFormatPr defaultRowHeight="15" x14ac:dyDescent="0.25"/>
  <cols>
    <col min="1" max="1" width="12" style="4" customWidth="1"/>
    <col min="2" max="2" width="14.5703125" style="38" customWidth="1"/>
    <col min="3" max="3" width="13.42578125" style="5" customWidth="1"/>
    <col min="4" max="4" width="11.7109375" style="5" customWidth="1"/>
    <col min="5" max="6" width="9.140625" style="5"/>
    <col min="7" max="7" width="12.5703125" style="5" customWidth="1"/>
    <col min="8" max="8" width="11.28515625" style="5" customWidth="1"/>
    <col min="9" max="9" width="12.140625" style="5" customWidth="1"/>
    <col min="10" max="10" width="9.140625" style="5"/>
    <col min="11" max="11" width="11.28515625" style="5" customWidth="1"/>
    <col min="12" max="12" width="14" style="5" customWidth="1"/>
    <col min="13" max="13" width="11.7109375" style="5" bestFit="1" customWidth="1"/>
    <col min="14" max="14" width="10.42578125" style="5" customWidth="1"/>
    <col min="15" max="15" width="11.140625" style="5" customWidth="1"/>
    <col min="16" max="18" width="9.140625" style="5"/>
    <col min="19" max="19" width="11.7109375" style="5" bestFit="1" customWidth="1"/>
    <col min="20" max="20" width="10.28515625" style="5" bestFit="1" customWidth="1"/>
    <col min="21" max="21" width="11.28515625" style="5" bestFit="1" customWidth="1"/>
    <col min="22" max="16384" width="9.140625" style="5"/>
  </cols>
  <sheetData>
    <row r="1" spans="1:22" ht="15.75" thickBot="1" x14ac:dyDescent="0.3">
      <c r="A1" s="140" t="s">
        <v>13</v>
      </c>
      <c r="B1" s="141"/>
      <c r="C1" s="141"/>
      <c r="D1" s="142"/>
      <c r="G1" s="149" t="s">
        <v>14</v>
      </c>
      <c r="H1" s="150"/>
      <c r="I1" s="150"/>
      <c r="J1" s="151"/>
      <c r="M1" s="152" t="s">
        <v>15</v>
      </c>
      <c r="N1" s="153"/>
      <c r="O1" s="153"/>
      <c r="P1" s="154"/>
      <c r="S1" s="152" t="s">
        <v>16</v>
      </c>
      <c r="T1" s="153"/>
      <c r="U1" s="153"/>
      <c r="V1" s="154"/>
    </row>
    <row r="2" spans="1:22" s="1" customFormat="1" ht="34.5" customHeight="1" thickBot="1" x14ac:dyDescent="0.3">
      <c r="A2" s="12" t="s">
        <v>0</v>
      </c>
      <c r="B2" s="84" t="s">
        <v>40</v>
      </c>
      <c r="C2" s="10" t="s">
        <v>11</v>
      </c>
      <c r="D2" s="39" t="s">
        <v>34</v>
      </c>
      <c r="G2" s="12" t="s">
        <v>0</v>
      </c>
      <c r="H2" s="84" t="s">
        <v>40</v>
      </c>
      <c r="I2" s="10" t="s">
        <v>11</v>
      </c>
      <c r="J2" s="39" t="s">
        <v>34</v>
      </c>
      <c r="M2" s="12" t="s">
        <v>0</v>
      </c>
      <c r="N2" s="84" t="s">
        <v>40</v>
      </c>
      <c r="O2" s="10" t="s">
        <v>11</v>
      </c>
      <c r="P2" s="39" t="s">
        <v>34</v>
      </c>
      <c r="S2" s="12" t="s">
        <v>0</v>
      </c>
      <c r="T2" s="84" t="s">
        <v>40</v>
      </c>
      <c r="U2" s="10" t="s">
        <v>11</v>
      </c>
      <c r="V2" s="39" t="s">
        <v>34</v>
      </c>
    </row>
    <row r="3" spans="1:22" x14ac:dyDescent="0.25">
      <c r="A3" s="30">
        <v>44075</v>
      </c>
      <c r="B3" s="31">
        <f ca="1">SUM(H3,N3,T3)</f>
        <v>13500</v>
      </c>
      <c r="C3" s="31">
        <f ca="1">SUM(I3,O3,U3)</f>
        <v>3125</v>
      </c>
      <c r="D3" s="33">
        <f ca="1">B3-C3</f>
        <v>10375</v>
      </c>
      <c r="G3" s="30">
        <v>44075</v>
      </c>
      <c r="H3" s="31">
        <f ca="1">SUMIFS(Данные!$E$2:$E$60,Данные!$A$2:$A$60,Сводка!$G3,Данные!$B$2:$B$60,1)</f>
        <v>2740</v>
      </c>
      <c r="I3" s="31">
        <f ca="1">SUMIFS(Данные!$F$2:$F$60,Данные!$A$2:$A$60,Сводка!$G3,Данные!$B$2:$B$60,1)</f>
        <v>611</v>
      </c>
      <c r="J3" s="33">
        <f ca="1">H3-I3</f>
        <v>2129</v>
      </c>
      <c r="M3" s="30">
        <v>44075</v>
      </c>
      <c r="N3" s="31">
        <f ca="1">SUMIFS(Данные!$E$2:$E$60,Данные!$A$2:$A$60,Сводка!$M3,Данные!$B$2:$B$60,2)</f>
        <v>2630</v>
      </c>
      <c r="O3" s="31">
        <f ca="1">SUMIFS(Данные!$F$2:$F$60,Данные!$A$2:$A$60,Сводка!$M3,Данные!$B$2:$B$60,2)</f>
        <v>582</v>
      </c>
      <c r="P3" s="33">
        <f ca="1">N3-O3</f>
        <v>2048</v>
      </c>
      <c r="S3" s="30">
        <v>44075</v>
      </c>
      <c r="T3" s="31">
        <f ca="1">SUMIFS(Данные!$E$2:$E$60,Данные!$A$2:$A$60,Сводка!$S3,Данные!$B$2:$B$60,3)</f>
        <v>8130</v>
      </c>
      <c r="U3" s="31">
        <f ca="1">SUMIFS(Данные!$F$2:$F$60,Данные!$A$2:$A$60,Сводка!$S3,Данные!$B$2:$B$60,3)</f>
        <v>1932</v>
      </c>
      <c r="V3" s="33">
        <f ca="1">T3-U3</f>
        <v>6198</v>
      </c>
    </row>
    <row r="4" spans="1:22" x14ac:dyDescent="0.25">
      <c r="A4" s="30">
        <v>44076</v>
      </c>
      <c r="B4" s="31">
        <f t="shared" ref="B4:C12" ca="1" si="0">SUM(H4,N4,T4)</f>
        <v>8620</v>
      </c>
      <c r="C4" s="31">
        <f t="shared" ca="1" si="0"/>
        <v>1975</v>
      </c>
      <c r="D4" s="33">
        <f t="shared" ref="D4:D12" ca="1" si="1">B4-C4</f>
        <v>6645</v>
      </c>
      <c r="G4" s="30">
        <v>44076</v>
      </c>
      <c r="H4" s="31">
        <f ca="1">SUMIFS(Данные!$E$2:$E$60,Данные!$A$2:$A$60,Сводка!$G4,Данные!$B$2:$B$60,1)</f>
        <v>2140</v>
      </c>
      <c r="I4" s="31">
        <f ca="1">SUMIFS(Данные!$F$2:$F$60,Данные!$A$2:$A$60,Сводка!$G4,Данные!$B$2:$B$60,1)</f>
        <v>477</v>
      </c>
      <c r="J4" s="33">
        <f t="shared" ref="J4:J12" ca="1" si="2">H4-I4</f>
        <v>1663</v>
      </c>
      <c r="M4" s="30">
        <v>44076</v>
      </c>
      <c r="N4" s="31">
        <f ca="1">SUMIFS(Данные!$E$2:$E$60,Данные!$A$2:$A$60,Сводка!$M4,Данные!$B$2:$B$60,2)</f>
        <v>2220</v>
      </c>
      <c r="O4" s="31">
        <f ca="1">SUMIFS(Данные!$F$2:$F$60,Данные!$A$2:$A$60,Сводка!$M4,Данные!$B$2:$B$60,2)</f>
        <v>518</v>
      </c>
      <c r="P4" s="33">
        <f t="shared" ref="P4:P12" ca="1" si="3">N4-O4</f>
        <v>1702</v>
      </c>
      <c r="S4" s="30">
        <v>44076</v>
      </c>
      <c r="T4" s="31">
        <f ca="1">SUMIFS(Данные!$E$2:$E$60,Данные!$A$2:$A$60,Сводка!$S4,Данные!$B$2:$B$60,3)</f>
        <v>4260</v>
      </c>
      <c r="U4" s="31">
        <f ca="1">SUMIFS(Данные!$F$2:$F$60,Данные!$A$2:$A$60,Сводка!$S4,Данные!$B$2:$B$60,3)</f>
        <v>980</v>
      </c>
      <c r="V4" s="33">
        <f t="shared" ref="V4:V12" ca="1" si="4">T4-U4</f>
        <v>3280</v>
      </c>
    </row>
    <row r="5" spans="1:22" x14ac:dyDescent="0.25">
      <c r="A5" s="30">
        <v>44077</v>
      </c>
      <c r="B5" s="31">
        <f t="shared" ca="1" si="0"/>
        <v>15040</v>
      </c>
      <c r="C5" s="31">
        <f t="shared" ca="1" si="0"/>
        <v>3341</v>
      </c>
      <c r="D5" s="33">
        <f t="shared" ca="1" si="1"/>
        <v>11699</v>
      </c>
      <c r="G5" s="30">
        <v>44077</v>
      </c>
      <c r="H5" s="31">
        <f ca="1">SUMIFS(Данные!$E$2:$E$60,Данные!$A$2:$A$60,Сводка!$G5,Данные!$B$2:$B$60,1)</f>
        <v>6680</v>
      </c>
      <c r="I5" s="31">
        <f ca="1">SUMIFS(Данные!$F$2:$F$60,Данные!$A$2:$A$60,Сводка!$G5,Данные!$B$2:$B$60,1)</f>
        <v>1481</v>
      </c>
      <c r="J5" s="33">
        <f t="shared" ca="1" si="2"/>
        <v>5199</v>
      </c>
      <c r="M5" s="30">
        <v>44077</v>
      </c>
      <c r="N5" s="31">
        <f ca="1">SUMIFS(Данные!$E$2:$E$60,Данные!$A$2:$A$60,Сводка!$M5,Данные!$B$2:$B$60,2)</f>
        <v>2700</v>
      </c>
      <c r="O5" s="31">
        <f ca="1">SUMIFS(Данные!$F$2:$F$60,Данные!$A$2:$A$60,Сводка!$M5,Данные!$B$2:$B$60,2)</f>
        <v>649</v>
      </c>
      <c r="P5" s="33">
        <f t="shared" ca="1" si="3"/>
        <v>2051</v>
      </c>
      <c r="S5" s="30">
        <v>44077</v>
      </c>
      <c r="T5" s="31">
        <f ca="1">SUMIFS(Данные!$E$2:$E$60,Данные!$A$2:$A$60,Сводка!$S5,Данные!$B$2:$B$60,3)</f>
        <v>5660</v>
      </c>
      <c r="U5" s="31">
        <f ca="1">SUMIFS(Данные!$F$2:$F$60,Данные!$A$2:$A$60,Сводка!$S5,Данные!$B$2:$B$60,3)</f>
        <v>1211</v>
      </c>
      <c r="V5" s="33">
        <f t="shared" ca="1" si="4"/>
        <v>4449</v>
      </c>
    </row>
    <row r="6" spans="1:22" x14ac:dyDescent="0.25">
      <c r="A6" s="30">
        <v>44078</v>
      </c>
      <c r="B6" s="31">
        <f t="shared" ca="1" si="0"/>
        <v>11490</v>
      </c>
      <c r="C6" s="31">
        <f t="shared" ca="1" si="0"/>
        <v>2648</v>
      </c>
      <c r="D6" s="33">
        <f t="shared" ca="1" si="1"/>
        <v>8842</v>
      </c>
      <c r="G6" s="30">
        <v>44078</v>
      </c>
      <c r="H6" s="31">
        <f ca="1">SUMIFS(Данные!$E$2:$E$60,Данные!$A$2:$A$60,Сводка!$G6,Данные!$B$2:$B$60,1)</f>
        <v>2100</v>
      </c>
      <c r="I6" s="31">
        <f ca="1">SUMIFS(Данные!$F$2:$F$60,Данные!$A$2:$A$60,Сводка!$G6,Данные!$B$2:$B$60,1)</f>
        <v>502</v>
      </c>
      <c r="J6" s="33">
        <f t="shared" ca="1" si="2"/>
        <v>1598</v>
      </c>
      <c r="M6" s="30">
        <v>44078</v>
      </c>
      <c r="N6" s="31">
        <f ca="1">SUMIFS(Данные!$E$2:$E$60,Данные!$A$2:$A$60,Сводка!$M6,Данные!$B$2:$B$60,2)</f>
        <v>6650</v>
      </c>
      <c r="O6" s="31">
        <f ca="1">SUMIFS(Данные!$F$2:$F$60,Данные!$A$2:$A$60,Сводка!$M6,Данные!$B$2:$B$60,2)</f>
        <v>1518</v>
      </c>
      <c r="P6" s="33">
        <f t="shared" ca="1" si="3"/>
        <v>5132</v>
      </c>
      <c r="S6" s="30">
        <v>44078</v>
      </c>
      <c r="T6" s="31">
        <f ca="1">SUMIFS(Данные!$E$2:$E$60,Данные!$A$2:$A$60,Сводка!$S6,Данные!$B$2:$B$60,3)</f>
        <v>2740</v>
      </c>
      <c r="U6" s="31">
        <f ca="1">SUMIFS(Данные!$F$2:$F$60,Данные!$A$2:$A$60,Сводка!$S6,Данные!$B$2:$B$60,3)</f>
        <v>628</v>
      </c>
      <c r="V6" s="33">
        <f t="shared" ca="1" si="4"/>
        <v>2112</v>
      </c>
    </row>
    <row r="7" spans="1:22" x14ac:dyDescent="0.25">
      <c r="A7" s="30">
        <v>44079</v>
      </c>
      <c r="B7" s="31">
        <f t="shared" ca="1" si="0"/>
        <v>11240</v>
      </c>
      <c r="C7" s="31">
        <f t="shared" ca="1" si="0"/>
        <v>2700</v>
      </c>
      <c r="D7" s="33">
        <f t="shared" ca="1" si="1"/>
        <v>8540</v>
      </c>
      <c r="G7" s="30">
        <v>44079</v>
      </c>
      <c r="H7" s="31">
        <f ca="1">SUMIFS(Данные!$E$2:$E$60,Данные!$A$2:$A$60,Сводка!$G7,Данные!$B$2:$B$60,1)</f>
        <v>2140</v>
      </c>
      <c r="I7" s="31">
        <f ca="1">SUMIFS(Данные!$F$2:$F$60,Данные!$A$2:$A$60,Сводка!$G7,Данные!$B$2:$B$60,1)</f>
        <v>460</v>
      </c>
      <c r="J7" s="33">
        <f t="shared" ca="1" si="2"/>
        <v>1680</v>
      </c>
      <c r="M7" s="30">
        <v>44079</v>
      </c>
      <c r="N7" s="31">
        <f ca="1">SUMIFS(Данные!$E$2:$E$60,Данные!$A$2:$A$60,Сводка!$M7,Данные!$B$2:$B$60,2)</f>
        <v>1740</v>
      </c>
      <c r="O7" s="31">
        <f ca="1">SUMIFS(Данные!$F$2:$F$60,Данные!$A$2:$A$60,Сводка!$M7,Данные!$B$2:$B$60,2)</f>
        <v>474</v>
      </c>
      <c r="P7" s="33">
        <f t="shared" ca="1" si="3"/>
        <v>1266</v>
      </c>
      <c r="S7" s="30">
        <v>44079</v>
      </c>
      <c r="T7" s="31">
        <f ca="1">SUMIFS(Данные!$E$2:$E$60,Данные!$A$2:$A$60,Сводка!$S7,Данные!$B$2:$B$60,3)</f>
        <v>7360</v>
      </c>
      <c r="U7" s="31">
        <f ca="1">SUMIFS(Данные!$F$2:$F$60,Данные!$A$2:$A$60,Сводка!$S7,Данные!$B$2:$B$60,3)</f>
        <v>1766</v>
      </c>
      <c r="V7" s="33">
        <f t="shared" ca="1" si="4"/>
        <v>5594</v>
      </c>
    </row>
    <row r="8" spans="1:22" x14ac:dyDescent="0.25">
      <c r="A8" s="30">
        <v>44080</v>
      </c>
      <c r="B8" s="31">
        <f t="shared" ca="1" si="0"/>
        <v>6130</v>
      </c>
      <c r="C8" s="31">
        <f t="shared" ca="1" si="0"/>
        <v>1434</v>
      </c>
      <c r="D8" s="33">
        <f t="shared" ca="1" si="1"/>
        <v>4696</v>
      </c>
      <c r="G8" s="30">
        <v>44080</v>
      </c>
      <c r="H8" s="31">
        <f ca="1">SUMIFS(Данные!$E$2:$E$60,Данные!$A$2:$A$60,Сводка!$G8,Данные!$B$2:$B$60,1)</f>
        <v>4750</v>
      </c>
      <c r="I8" s="31">
        <f ca="1">SUMIFS(Данные!$F$2:$F$60,Данные!$A$2:$A$60,Сводка!$G8,Данные!$B$2:$B$60,1)</f>
        <v>1139</v>
      </c>
      <c r="J8" s="33">
        <f t="shared" ca="1" si="2"/>
        <v>3611</v>
      </c>
      <c r="M8" s="30">
        <v>44080</v>
      </c>
      <c r="N8" s="31">
        <f ca="1">SUMIFS(Данные!$E$2:$E$60,Данные!$A$2:$A$60,Сводка!$M8,Данные!$B$2:$B$60,2)</f>
        <v>0</v>
      </c>
      <c r="O8" s="31">
        <f ca="1">SUMIFS(Данные!$F$2:$F$60,Данные!$A$2:$A$60,Сводка!$M8,Данные!$B$2:$B$60,2)</f>
        <v>0</v>
      </c>
      <c r="P8" s="33">
        <f t="shared" ca="1" si="3"/>
        <v>0</v>
      </c>
      <c r="S8" s="30">
        <v>44080</v>
      </c>
      <c r="T8" s="31">
        <f ca="1">SUMIFS(Данные!$E$2:$E$60,Данные!$A$2:$A$60,Сводка!$S8,Данные!$B$2:$B$60,3)</f>
        <v>1380</v>
      </c>
      <c r="U8" s="31">
        <f ca="1">SUMIFS(Данные!$F$2:$F$60,Данные!$A$2:$A$60,Сводка!$S8,Данные!$B$2:$B$60,3)</f>
        <v>295</v>
      </c>
      <c r="V8" s="33">
        <f t="shared" ca="1" si="4"/>
        <v>1085</v>
      </c>
    </row>
    <row r="9" spans="1:22" x14ac:dyDescent="0.25">
      <c r="A9" s="30">
        <v>44081</v>
      </c>
      <c r="B9" s="31">
        <f t="shared" ca="1" si="0"/>
        <v>7100</v>
      </c>
      <c r="C9" s="31">
        <f t="shared" ca="1" si="0"/>
        <v>1629</v>
      </c>
      <c r="D9" s="33">
        <f t="shared" ca="1" si="1"/>
        <v>5471</v>
      </c>
      <c r="G9" s="30">
        <v>44081</v>
      </c>
      <c r="H9" s="31">
        <f ca="1">SUMIFS(Данные!$E$2:$E$60,Данные!$A$2:$A$60,Сводка!$G9,Данные!$B$2:$B$60,1)</f>
        <v>1690</v>
      </c>
      <c r="I9" s="31">
        <f ca="1">SUMIFS(Данные!$F$2:$F$60,Данные!$A$2:$A$60,Сводка!$G9,Данные!$B$2:$B$60,1)</f>
        <v>390</v>
      </c>
      <c r="J9" s="33">
        <f t="shared" ca="1" si="2"/>
        <v>1300</v>
      </c>
      <c r="M9" s="30">
        <v>44081</v>
      </c>
      <c r="N9" s="31">
        <f ca="1">SUMIFS(Данные!$E$2:$E$60,Данные!$A$2:$A$60,Сводка!$M9,Данные!$B$2:$B$60,2)</f>
        <v>1400</v>
      </c>
      <c r="O9" s="31">
        <f ca="1">SUMIFS(Данные!$F$2:$F$60,Данные!$A$2:$A$60,Сводка!$M9,Данные!$B$2:$B$60,2)</f>
        <v>351</v>
      </c>
      <c r="P9" s="33">
        <f t="shared" ca="1" si="3"/>
        <v>1049</v>
      </c>
      <c r="S9" s="30">
        <v>44081</v>
      </c>
      <c r="T9" s="31">
        <f ca="1">SUMIFS(Данные!$E$2:$E$60,Данные!$A$2:$A$60,Сводка!$S9,Данные!$B$2:$B$60,3)</f>
        <v>4010</v>
      </c>
      <c r="U9" s="31">
        <f ca="1">SUMIFS(Данные!$F$2:$F$60,Данные!$A$2:$A$60,Сводка!$S9,Данные!$B$2:$B$60,3)</f>
        <v>888</v>
      </c>
      <c r="V9" s="33">
        <f t="shared" ca="1" si="4"/>
        <v>3122</v>
      </c>
    </row>
    <row r="10" spans="1:22" x14ac:dyDescent="0.25">
      <c r="A10" s="30">
        <v>44082</v>
      </c>
      <c r="B10" s="31">
        <f t="shared" ca="1" si="0"/>
        <v>9000</v>
      </c>
      <c r="C10" s="31">
        <f t="shared" ca="1" si="0"/>
        <v>1992</v>
      </c>
      <c r="D10" s="33">
        <f t="shared" ca="1" si="1"/>
        <v>7008</v>
      </c>
      <c r="G10" s="30">
        <v>44082</v>
      </c>
      <c r="H10" s="31">
        <f ca="1">SUMIFS(Данные!$E$2:$E$60,Данные!$A$2:$A$60,Сводка!$G10,Данные!$B$2:$B$60,1)</f>
        <v>5930</v>
      </c>
      <c r="I10" s="31">
        <f ca="1">SUMIFS(Данные!$F$2:$F$60,Данные!$A$2:$A$60,Сводка!$G10,Данные!$B$2:$B$60,1)</f>
        <v>1325</v>
      </c>
      <c r="J10" s="33">
        <f t="shared" ca="1" si="2"/>
        <v>4605</v>
      </c>
      <c r="M10" s="30">
        <v>44082</v>
      </c>
      <c r="N10" s="31">
        <f ca="1">SUMIFS(Данные!$E$2:$E$60,Данные!$A$2:$A$60,Сводка!$M10,Данные!$B$2:$B$60,2)</f>
        <v>3070</v>
      </c>
      <c r="O10" s="31">
        <f ca="1">SUMIFS(Данные!$F$2:$F$60,Данные!$A$2:$A$60,Сводка!$M10,Данные!$B$2:$B$60,2)</f>
        <v>667</v>
      </c>
      <c r="P10" s="33">
        <f t="shared" ca="1" si="3"/>
        <v>2403</v>
      </c>
      <c r="S10" s="30">
        <v>44082</v>
      </c>
      <c r="T10" s="31">
        <f ca="1">SUMIFS(Данные!$E$2:$E$60,Данные!$A$2:$A$60,Сводка!$S10,Данные!$B$2:$B$60,3)</f>
        <v>0</v>
      </c>
      <c r="U10" s="31">
        <f ca="1">SUMIFS(Данные!$F$2:$F$60,Данные!$A$2:$A$60,Сводка!$S10,Данные!$B$2:$B$60,3)</f>
        <v>0</v>
      </c>
      <c r="V10" s="33">
        <f t="shared" ca="1" si="4"/>
        <v>0</v>
      </c>
    </row>
    <row r="11" spans="1:22" x14ac:dyDescent="0.25">
      <c r="A11" s="30">
        <v>44083</v>
      </c>
      <c r="B11" s="31">
        <f t="shared" ca="1" si="0"/>
        <v>8720</v>
      </c>
      <c r="C11" s="31">
        <f t="shared" ca="1" si="0"/>
        <v>2135</v>
      </c>
      <c r="D11" s="33">
        <f t="shared" ca="1" si="1"/>
        <v>6585</v>
      </c>
      <c r="G11" s="30">
        <v>44083</v>
      </c>
      <c r="H11" s="31">
        <f ca="1">SUMIFS(Данные!$E$2:$E$60,Данные!$A$2:$A$60,Сводка!$G11,Данные!$B$2:$B$60,1)</f>
        <v>1850</v>
      </c>
      <c r="I11" s="31">
        <f ca="1">SUMIFS(Данные!$F$2:$F$60,Данные!$A$2:$A$60,Сводка!$G11,Данные!$B$2:$B$60,1)</f>
        <v>513</v>
      </c>
      <c r="J11" s="33">
        <f t="shared" ca="1" si="2"/>
        <v>1337</v>
      </c>
      <c r="M11" s="30">
        <v>44083</v>
      </c>
      <c r="N11" s="31">
        <f ca="1">SUMIFS(Данные!$E$2:$E$60,Данные!$A$2:$A$60,Сводка!$M11,Данные!$B$2:$B$60,2)</f>
        <v>5550</v>
      </c>
      <c r="O11" s="31">
        <f ca="1">SUMIFS(Данные!$F$2:$F$60,Данные!$A$2:$A$60,Сводка!$M11,Данные!$B$2:$B$60,2)</f>
        <v>1344</v>
      </c>
      <c r="P11" s="33">
        <f t="shared" ca="1" si="3"/>
        <v>4206</v>
      </c>
      <c r="S11" s="30">
        <v>44083</v>
      </c>
      <c r="T11" s="31">
        <f ca="1">SUMIFS(Данные!$E$2:$E$60,Данные!$A$2:$A$60,Сводка!$S11,Данные!$B$2:$B$60,3)</f>
        <v>1320</v>
      </c>
      <c r="U11" s="31">
        <f ca="1">SUMIFS(Данные!$F$2:$F$60,Данные!$A$2:$A$60,Сводка!$S11,Данные!$B$2:$B$60,3)</f>
        <v>278</v>
      </c>
      <c r="V11" s="33">
        <f t="shared" ca="1" si="4"/>
        <v>1042</v>
      </c>
    </row>
    <row r="12" spans="1:22" ht="15.75" thickBot="1" x14ac:dyDescent="0.3">
      <c r="A12" s="34">
        <v>44084</v>
      </c>
      <c r="B12" s="31">
        <f t="shared" ca="1" si="0"/>
        <v>10880</v>
      </c>
      <c r="C12" s="31">
        <f t="shared" ca="1" si="0"/>
        <v>2580</v>
      </c>
      <c r="D12" s="33">
        <f t="shared" ca="1" si="1"/>
        <v>8300</v>
      </c>
      <c r="G12" s="34">
        <v>44084</v>
      </c>
      <c r="H12" s="31">
        <f ca="1">SUMIFS(Данные!$E$2:$E$60,Данные!$A$2:$A$60,Сводка!$G12,Данные!$B$2:$B$60,1)</f>
        <v>2330</v>
      </c>
      <c r="I12" s="31">
        <f ca="1">SUMIFS(Данные!$F$2:$F$60,Данные!$A$2:$A$60,Сводка!$G12,Данные!$B$2:$B$60,1)</f>
        <v>562</v>
      </c>
      <c r="J12" s="33">
        <f t="shared" ca="1" si="2"/>
        <v>1768</v>
      </c>
      <c r="M12" s="34">
        <v>44084</v>
      </c>
      <c r="N12" s="31">
        <f ca="1">SUMIFS(Данные!$E$2:$E$60,Данные!$A$2:$A$60,Сводка!$M12,Данные!$B$2:$B$60,2)</f>
        <v>2880</v>
      </c>
      <c r="O12" s="31">
        <f ca="1">SUMIFS(Данные!$F$2:$F$60,Данные!$A$2:$A$60,Сводка!$M12,Данные!$B$2:$B$60,2)</f>
        <v>648</v>
      </c>
      <c r="P12" s="33">
        <f t="shared" ca="1" si="3"/>
        <v>2232</v>
      </c>
      <c r="S12" s="34">
        <v>44084</v>
      </c>
      <c r="T12" s="31">
        <f ca="1">SUMIFS(Данные!$E$2:$E$60,Данные!$A$2:$A$60,Сводка!$S12,Данные!$B$2:$B$60,3)</f>
        <v>5670</v>
      </c>
      <c r="U12" s="31">
        <f ca="1">SUMIFS(Данные!$F$2:$F$60,Данные!$A$2:$A$60,Сводка!$S12,Данные!$B$2:$B$60,3)</f>
        <v>1370</v>
      </c>
      <c r="V12" s="33">
        <f t="shared" ca="1" si="4"/>
        <v>4300</v>
      </c>
    </row>
    <row r="13" spans="1:22" ht="15.75" thickBot="1" x14ac:dyDescent="0.3">
      <c r="A13" s="8" t="s">
        <v>12</v>
      </c>
      <c r="B13" s="35">
        <f ca="1">SUM(B3:B12)</f>
        <v>101720</v>
      </c>
      <c r="C13" s="36">
        <f ca="1">SUM(C3:C12)</f>
        <v>23559</v>
      </c>
      <c r="D13" s="37">
        <f ca="1">SUM(D3:D12)</f>
        <v>78161</v>
      </c>
      <c r="G13" s="8" t="s">
        <v>12</v>
      </c>
      <c r="H13" s="36">
        <f ca="1">SUM(H3:H12)</f>
        <v>32350</v>
      </c>
      <c r="I13" s="36">
        <f ca="1">SUM(I3:I12)</f>
        <v>7460</v>
      </c>
      <c r="J13" s="37">
        <f ca="1">SUM(J3:J12)</f>
        <v>24890</v>
      </c>
      <c r="M13" s="8" t="s">
        <v>12</v>
      </c>
      <c r="N13" s="36">
        <f ca="1">SUM(N3:N12)</f>
        <v>28840</v>
      </c>
      <c r="O13" s="36">
        <f ca="1">SUM(O3:O12)</f>
        <v>6751</v>
      </c>
      <c r="P13" s="37">
        <f ca="1">SUM(P3:P12)</f>
        <v>22089</v>
      </c>
      <c r="S13" s="8" t="s">
        <v>12</v>
      </c>
      <c r="T13" s="36">
        <f ca="1">SUM(T3:T12)</f>
        <v>40530</v>
      </c>
      <c r="U13" s="36">
        <f ca="1">SUM(U3:U12)</f>
        <v>9348</v>
      </c>
      <c r="V13" s="37">
        <f ca="1">SUM(V3:V12)</f>
        <v>31182</v>
      </c>
    </row>
    <row r="14" spans="1:22" x14ac:dyDescent="0.25">
      <c r="A14" s="43"/>
      <c r="B14" s="31"/>
      <c r="C14" s="31"/>
      <c r="D14" s="31"/>
      <c r="G14" s="43"/>
      <c r="H14" s="31"/>
      <c r="I14" s="31"/>
      <c r="J14" s="31"/>
      <c r="M14" s="43"/>
      <c r="N14" s="31"/>
      <c r="O14" s="31"/>
      <c r="P14" s="31"/>
      <c r="S14" s="43"/>
      <c r="T14" s="31"/>
      <c r="U14" s="31"/>
      <c r="V14" s="31"/>
    </row>
    <row r="16" spans="1:22" ht="15.75" thickBot="1" x14ac:dyDescent="0.3"/>
    <row r="17" spans="1:13" ht="45.75" thickBot="1" x14ac:dyDescent="0.3">
      <c r="A17" s="13" t="s">
        <v>4</v>
      </c>
      <c r="B17" s="16" t="s">
        <v>10</v>
      </c>
      <c r="E17" s="14" t="s">
        <v>17</v>
      </c>
      <c r="F17" s="10" t="s">
        <v>7</v>
      </c>
      <c r="G17" s="10" t="s">
        <v>8</v>
      </c>
      <c r="H17" s="16" t="s">
        <v>9</v>
      </c>
      <c r="K17" s="62" t="s">
        <v>20</v>
      </c>
      <c r="L17" s="9" t="s">
        <v>33</v>
      </c>
      <c r="M17" s="58" t="s">
        <v>34</v>
      </c>
    </row>
    <row r="18" spans="1:13" x14ac:dyDescent="0.25">
      <c r="A18" s="19">
        <v>1</v>
      </c>
      <c r="B18" s="33">
        <f ca="1">J13</f>
        <v>24890</v>
      </c>
      <c r="E18" s="41" t="s">
        <v>14</v>
      </c>
      <c r="F18" s="56">
        <f ca="1">ROUND(AVERAGEIF(Данные!$B$2:$B$60,1,Данные!M$2:M$60),2)</f>
        <v>3.18</v>
      </c>
      <c r="G18" s="57">
        <f ca="1">ROUND(AVERAGEIF(Данные!$B$2:$B$60,1,Данные!N$2:N$60),2)</f>
        <v>3.29</v>
      </c>
      <c r="H18" s="58">
        <f ca="1">ROUND(AVERAGEIF(Данные!$B$2:$B$60,1,Данные!O$2:O$60),2)</f>
        <v>3</v>
      </c>
      <c r="K18" s="61">
        <v>1</v>
      </c>
      <c r="L18" s="32">
        <f ca="1">SUM(Данные!K2:K60)</f>
        <v>78</v>
      </c>
      <c r="M18" s="41">
        <f ca="1">$L18*Данные!$V9</f>
        <v>11700</v>
      </c>
    </row>
    <row r="19" spans="1:13" x14ac:dyDescent="0.25">
      <c r="A19" s="19">
        <v>2</v>
      </c>
      <c r="B19" s="33">
        <f ca="1">P13</f>
        <v>22089</v>
      </c>
      <c r="E19" s="19" t="s">
        <v>15</v>
      </c>
      <c r="F19" s="59">
        <f ca="1">ROUND(AVERAGEIF(Данные!$B$2:$B$60,2,Данные!M$2:M$60),2)</f>
        <v>3.05</v>
      </c>
      <c r="G19" s="32">
        <f ca="1">ROUND(AVERAGEIF(Данные!$B$2:$B$60,2,Данные!N$2:N$60),2)</f>
        <v>3.21</v>
      </c>
      <c r="H19" s="20">
        <f ca="1">ROUND(AVERAGEIF(Данные!$B$2:$B$60,2,Данные!O$2:O$60),2)</f>
        <v>2.95</v>
      </c>
      <c r="K19" s="61">
        <v>2</v>
      </c>
      <c r="L19" s="32">
        <f ca="1">SUM(Данные!L2:L60)</f>
        <v>103</v>
      </c>
      <c r="M19" s="19">
        <f ca="1">$L19*Данные!$V10</f>
        <v>11330</v>
      </c>
    </row>
    <row r="20" spans="1:13" ht="15.75" thickBot="1" x14ac:dyDescent="0.3">
      <c r="A20" s="19">
        <v>3</v>
      </c>
      <c r="B20" s="33">
        <f ca="1">V13</f>
        <v>31182</v>
      </c>
      <c r="E20" s="19" t="s">
        <v>16</v>
      </c>
      <c r="F20" s="7">
        <f ca="1">ROUND(AVERAGEIF(Данные!$B$2:$B$60,3,Данные!M$2:M$60),2)</f>
        <v>3.26</v>
      </c>
      <c r="G20" s="60">
        <f ca="1">ROUND(AVERAGEIF(Данные!$B$2:$B$60,3,Данные!N$2:N$60),2)</f>
        <v>3.09</v>
      </c>
      <c r="H20" s="22">
        <f ca="1">ROUND(AVERAGEIF(Данные!$B$2:$B$60,3,Данные!O$2:O$60),2)</f>
        <v>3.04</v>
      </c>
      <c r="K20" s="61">
        <v>3</v>
      </c>
      <c r="L20" s="32">
        <f ca="1">SUM(Данные!M2:M60)</f>
        <v>187</v>
      </c>
      <c r="M20" s="19">
        <f ca="1">$L20*Данные!$V11</f>
        <v>56100</v>
      </c>
    </row>
    <row r="21" spans="1:13" ht="15.75" thickBot="1" x14ac:dyDescent="0.3">
      <c r="A21" s="14" t="s">
        <v>12</v>
      </c>
      <c r="B21" s="37">
        <f ca="1">SUM(B18:B20)</f>
        <v>78161</v>
      </c>
      <c r="E21" s="14" t="s">
        <v>18</v>
      </c>
      <c r="F21" s="11">
        <f ca="1">ROUND(AVERAGE(F18:F20),2)</f>
        <v>3.16</v>
      </c>
      <c r="G21" s="42">
        <f ca="1">ROUND(AVERAGE(G18:G20),2)</f>
        <v>3.2</v>
      </c>
      <c r="H21" s="39">
        <f ca="1">ROUND(AVERAGE(H18:H20),2)</f>
        <v>3</v>
      </c>
      <c r="K21" s="61">
        <v>4</v>
      </c>
      <c r="L21" s="32">
        <f ca="1">SUM(Данные!N2:N60)</f>
        <v>188</v>
      </c>
      <c r="M21" s="19">
        <f ca="1">$L21*Данные!$V12</f>
        <v>15040</v>
      </c>
    </row>
    <row r="22" spans="1:13" ht="15.75" thickBot="1" x14ac:dyDescent="0.3">
      <c r="K22" s="65">
        <v>5</v>
      </c>
      <c r="L22" s="60">
        <f ca="1">SUM(Данные!O2:O60)</f>
        <v>177</v>
      </c>
      <c r="M22" s="21">
        <f ca="1">$L22*Данные!$V13</f>
        <v>79650</v>
      </c>
    </row>
    <row r="26" spans="1:13" x14ac:dyDescent="0.25">
      <c r="A26" s="43"/>
      <c r="B26" s="32"/>
      <c r="C26" s="32"/>
      <c r="D26" s="32"/>
    </row>
    <row r="27" spans="1:13" x14ac:dyDescent="0.25">
      <c r="A27" s="43"/>
      <c r="B27" s="32"/>
      <c r="C27" s="32"/>
      <c r="D27" s="25"/>
    </row>
    <row r="28" spans="1:13" x14ac:dyDescent="0.25">
      <c r="A28" s="43"/>
      <c r="B28" s="32"/>
      <c r="C28" s="32"/>
      <c r="D28" s="25"/>
    </row>
    <row r="29" spans="1:13" x14ac:dyDescent="0.25">
      <c r="A29" s="43"/>
      <c r="B29" s="32"/>
      <c r="C29" s="32"/>
      <c r="D29" s="25"/>
    </row>
    <row r="30" spans="1:13" x14ac:dyDescent="0.25">
      <c r="A30" s="43"/>
      <c r="B30" s="32"/>
      <c r="C30" s="32"/>
      <c r="D30" s="25"/>
    </row>
    <row r="31" spans="1:13" x14ac:dyDescent="0.25">
      <c r="A31" s="43"/>
      <c r="B31" s="32"/>
      <c r="C31" s="32"/>
      <c r="D31" s="25"/>
    </row>
    <row r="32" spans="1:13" x14ac:dyDescent="0.25">
      <c r="A32" s="43"/>
      <c r="B32" s="31"/>
      <c r="C32" s="32"/>
      <c r="D32" s="32"/>
    </row>
    <row r="33" spans="1:4" x14ac:dyDescent="0.25">
      <c r="A33" s="43"/>
      <c r="B33" s="31"/>
      <c r="C33" s="32"/>
      <c r="D33" s="32"/>
    </row>
  </sheetData>
  <mergeCells count="4">
    <mergeCell ref="A1:D1"/>
    <mergeCell ref="G1:J1"/>
    <mergeCell ref="M1:P1"/>
    <mergeCell ref="S1:V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Общ_отчет</vt:lpstr>
      <vt:lpstr>Фин_отчет</vt:lpstr>
      <vt:lpstr>Заказы</vt:lpstr>
      <vt:lpstr>Заказы_отмен</vt:lpstr>
      <vt:lpstr>Общ_промежут</vt:lpstr>
      <vt:lpstr>Фин_промежут</vt:lpstr>
      <vt:lpstr>Расчеты</vt:lpstr>
      <vt:lpstr>Данные</vt:lpstr>
      <vt:lpstr>Сводка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Takhtareva</dc:creator>
  <cp:lastModifiedBy>Alena Takhtareva</cp:lastModifiedBy>
  <dcterms:created xsi:type="dcterms:W3CDTF">2020-10-27T11:47:13Z</dcterms:created>
  <dcterms:modified xsi:type="dcterms:W3CDTF">2020-10-29T10:18:27Z</dcterms:modified>
</cp:coreProperties>
</file>