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405895C1-3AF5-419C-B9CF-996C6A964C02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Contracts &amp; Margin" sheetId="3" r:id="rId1"/>
    <sheet name="Trading" sheetId="5" r:id="rId2"/>
    <sheet name="Tickers" sheetId="2" r:id="rId3"/>
    <sheet name="Payoff" sheetId="7" r:id="rId4"/>
    <sheet name="USD 3M SOFR Futures" sheetId="4" r:id="rId5"/>
    <sheet name="Compound Interest" sheetId="1" r:id="rId6"/>
  </sheets>
  <definedNames>
    <definedName name="Contract_Size">Payoff!$C$5</definedName>
    <definedName name="Futures_Price">Payoff!$C$6</definedName>
    <definedName name="FuturesTable">'Contracts &amp; Margin'!$H$9:$Q$16</definedName>
    <definedName name="FuturesTickers">'Contracts &amp; Margin'!$H$9:$H$16</definedName>
    <definedName name="InitialMargin">Trading!$C$6</definedName>
    <definedName name="Notional">Payoff!$C$5</definedName>
    <definedName name="Tick_Size">Payoff!$C$8</definedName>
    <definedName name="Tick_Value">Payoff!$C$9</definedName>
    <definedName name="Ticker">'Contracts &amp; Margin'!$C$2</definedName>
    <definedName name="TickValue">'Contracts &amp; Margin'!$C$5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B17" i="7"/>
  <c r="C17" i="7" s="1"/>
  <c r="E17" i="7" l="1"/>
  <c r="B16" i="7"/>
  <c r="E16" i="7" s="1"/>
  <c r="D17" i="7"/>
  <c r="B18" i="7"/>
  <c r="E18" i="7" l="1"/>
  <c r="C18" i="7"/>
  <c r="B19" i="7"/>
  <c r="E19" i="7" s="1"/>
  <c r="D18" i="7"/>
  <c r="B15" i="7"/>
  <c r="E15" i="7" s="1"/>
  <c r="D16" i="7"/>
  <c r="C16" i="7"/>
  <c r="D15" i="7" l="1"/>
  <c r="C15" i="7"/>
  <c r="B14" i="7"/>
  <c r="E14" i="7" s="1"/>
  <c r="C19" i="7"/>
  <c r="D19" i="7"/>
  <c r="B20" i="7"/>
  <c r="E20" i="7" s="1"/>
  <c r="D20" i="7" l="1"/>
  <c r="C20" i="7"/>
  <c r="B21" i="7"/>
  <c r="E21" i="7" s="1"/>
  <c r="C14" i="7"/>
  <c r="D14" i="7"/>
  <c r="B13" i="7"/>
  <c r="E13" i="7" s="1"/>
  <c r="C13" i="7" l="1"/>
  <c r="D13" i="7"/>
  <c r="B12" i="7"/>
  <c r="D21" i="7"/>
  <c r="C21" i="7"/>
  <c r="B22" i="7"/>
  <c r="E22" i="7" s="1"/>
  <c r="E23" i="5"/>
  <c r="D23" i="5"/>
  <c r="I18" i="5"/>
  <c r="I15" i="5"/>
  <c r="I14" i="5"/>
  <c r="J16" i="5" s="1"/>
  <c r="I12" i="5"/>
  <c r="J13" i="5" s="1"/>
  <c r="I10" i="5"/>
  <c r="J11" i="5" s="1"/>
  <c r="J9" i="5"/>
  <c r="L9" i="5" s="1"/>
  <c r="C5" i="5"/>
  <c r="C6" i="5"/>
  <c r="C4" i="5"/>
  <c r="C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5" i="3"/>
  <c r="C4" i="3"/>
  <c r="C3" i="3"/>
  <c r="C26" i="3"/>
  <c r="D15" i="2"/>
  <c r="D16" i="2"/>
  <c r="D17" i="2"/>
  <c r="D18" i="2"/>
  <c r="E12" i="7" l="1"/>
  <c r="C12" i="7"/>
  <c r="D22" i="7"/>
  <c r="C22" i="7"/>
  <c r="D12" i="7"/>
  <c r="F10" i="5"/>
  <c r="F11" i="5" s="1"/>
  <c r="F12" i="5" s="1"/>
  <c r="F13" i="5" s="1"/>
  <c r="F14" i="5" s="1"/>
  <c r="F15" i="5" s="1"/>
  <c r="F16" i="5" s="1"/>
  <c r="F17" i="5" s="1"/>
  <c r="F18" i="5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I23" i="5"/>
  <c r="J23" i="5"/>
  <c r="C25" i="3"/>
  <c r="C27" i="3" s="1"/>
  <c r="E17" i="3"/>
  <c r="E18" i="3"/>
  <c r="C17" i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21" i="3" l="1"/>
  <c r="E19" i="3"/>
  <c r="D17" i="1"/>
  <c r="D23" i="1" s="1"/>
  <c r="E5" i="1"/>
  <c r="E17" i="1" s="1"/>
  <c r="E23" i="1" s="1"/>
  <c r="E20" i="3" l="1"/>
  <c r="E22" i="3"/>
  <c r="E11" i="3"/>
  <c r="E12" i="3" l="1"/>
  <c r="E13" i="3" l="1"/>
  <c r="E14" i="3" l="1"/>
  <c r="E15" i="3" l="1"/>
  <c r="E16" i="3" l="1"/>
  <c r="E10" i="3" l="1"/>
  <c r="E9" i="3"/>
  <c r="E26" i="3" s="1"/>
</calcChain>
</file>

<file path=xl/sharedStrings.xml><?xml version="1.0" encoding="utf-8"?>
<sst xmlns="http://schemas.openxmlformats.org/spreadsheetml/2006/main" count="226" uniqueCount="152">
  <si>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</si>
  <si>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</si>
  <si>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</si>
  <si>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</si>
  <si>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</si>
  <si>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</si>
  <si>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</si>
  <si>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</si>
  <si>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</si>
  <si>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</si>
  <si>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</si>
  <si>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</si>
  <si>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</si>
  <si>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</si>
  <si>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</si>
  <si>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</si>
  <si>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</si>
  <si>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</si>
  <si>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</si>
  <si>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</si>
  <si>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</si>
  <si>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</si>
  <si>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</si>
  <si>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</si>
  <si>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</si>
  <si>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</si>
  <si>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</si>
  <si>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</si>
  <si>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</si>
  <si>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</si>
  <si>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Description</t>
  </si>
  <si>
    <t>Expiry</t>
  </si>
  <si>
    <t>H3</t>
  </si>
  <si>
    <t>M3</t>
  </si>
  <si>
    <t>U3</t>
  </si>
  <si>
    <t>Z3</t>
  </si>
  <si>
    <t>Date</t>
  </si>
  <si>
    <t>Margin</t>
  </si>
  <si>
    <t>-</t>
  </si>
  <si>
    <t>Price (bps)</t>
  </si>
  <si>
    <t>TickValue</t>
  </si>
  <si>
    <t>ContractSize</t>
  </si>
  <si>
    <t>+/-</t>
  </si>
  <si>
    <t>SR1</t>
  </si>
  <si>
    <t>SR3</t>
  </si>
  <si>
    <t>Tick Value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</si>
  <si>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</si>
  <si>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</si>
  <si>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</si>
  <si>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</si>
  <si>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</si>
  <si>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</si>
  <si>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</si>
  <si>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</si>
  <si>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</si>
  <si>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</si>
  <si>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</si>
  <si>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</si>
  <si>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</si>
  <si>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</si>
  <si>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</si>
  <si>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</si>
  <si>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</si>
  <si>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rgb="FF0000FF"/>
        <rFont val="Calibri"/>
        <family val="2"/>
        <scheme val="minor"/>
      </rPr>
      <t>https://www.cmegroup.com/markets/interest-rates/stirs/three-month-sofr.quotes.html</t>
    </r>
  </si>
  <si>
    <t>Simple</t>
  </si>
  <si>
    <t>SOFR Settlement Calculation</t>
  </si>
  <si>
    <t>https://www.cmegroup.com/education/files/sofr-futures-settlement-calculation-methodologies.pdf</t>
  </si>
  <si>
    <t>Term Rate</t>
  </si>
  <si>
    <r>
      <t>Tick Value</t>
    </r>
    <r>
      <rPr>
        <vertAlign val="superscript"/>
        <sz val="12"/>
        <color theme="0"/>
        <rFont val="Calibri"/>
        <family val="2"/>
        <scheme val="minor"/>
      </rPr>
      <t>1</t>
    </r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</si>
  <si>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</si>
  <si>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</si>
  <si>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</si>
  <si>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</si>
  <si>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</si>
  <si>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</si>
  <si>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</si>
  <si>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</si>
  <si>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</si>
  <si>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</si>
  <si>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</si>
  <si>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https://www.barchart.com/futures/quotes/SQ*0/futures-prices</t>
  </si>
  <si>
    <t>Excellent Futures Training Guide</t>
  </si>
  <si>
    <t>Futures Charting</t>
  </si>
  <si>
    <t>Futures Contract Specifications</t>
  </si>
  <si>
    <t>https://www.barchart.com/futures/contract-specifications/financials</t>
  </si>
  <si>
    <t>Useful Links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</si>
  <si>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x 1 bps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</si>
  <si>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 e.g. 3M = (90/360) = 0.25</t>
    </r>
  </si>
  <si>
    <t>e.g. Tick Value(ED) = USD 1,000,000 * 0.25 * 0.01% = USD 25.00</t>
  </si>
  <si>
    <t>Position</t>
  </si>
  <si>
    <t>Cash Flow</t>
  </si>
  <si>
    <t>Initial Margin</t>
  </si>
  <si>
    <t>Profit / Loss</t>
  </si>
  <si>
    <t>Margin Account</t>
  </si>
  <si>
    <t>Initial Margin: 10 x 2,500
= (25,000) Pay</t>
  </si>
  <si>
    <t>0 Futures</t>
  </si>
  <si>
    <t>Margin Account Balance</t>
  </si>
  <si>
    <t>Net Position</t>
  </si>
  <si>
    <t>Net P&amp;L</t>
  </si>
  <si>
    <t>Net Cash Flows</t>
  </si>
  <si>
    <t>Margin Balance</t>
  </si>
  <si>
    <t>Futures Profit / Loss Formula</t>
  </si>
  <si>
    <t>Buy 10 Futures @ 9910</t>
  </si>
  <si>
    <t>Settlement Price @ 9942</t>
  </si>
  <si>
    <t>Settlement Price @ 9932</t>
  </si>
  <si>
    <t>Sell 6 Futures @ 9927</t>
  </si>
  <si>
    <t>Settlement Price @ 9925</t>
  </si>
  <si>
    <t>Sell 4 Futures @ 9938</t>
  </si>
  <si>
    <t>P&amp;L, Cash Flow and Margin Calculations</t>
  </si>
  <si>
    <t>per bps</t>
  </si>
  <si>
    <t>Open Position
Pay Initial Margin</t>
  </si>
  <si>
    <t>Profit
Receive Margin</t>
  </si>
  <si>
    <t>Loss
Margin Call</t>
  </si>
  <si>
    <t>Partial Close Position
Receive Initial Margin</t>
  </si>
  <si>
    <t>Fully Close Position
Receive Margin Balance</t>
  </si>
  <si>
    <t>Cash Flow Description</t>
  </si>
  <si>
    <t>per contract</t>
  </si>
  <si>
    <t>Futures Daily Variation Margin</t>
  </si>
  <si>
    <t>( 9942 - 9910 ) x 25 x 10
= 8,000 Profit</t>
  </si>
  <si>
    <t>( 9932 - 9942 ) x 25 x 10
= (2,500) Loss</t>
  </si>
  <si>
    <t>( 9927 - 9932 ) x 25 x 6
= (750) Loss</t>
  </si>
  <si>
    <t>( 9925 - 9932 ) x 25 x 4
= (700) Loss</t>
  </si>
  <si>
    <t>( 9938 - 9925 ) x 25 x 4
= 1,300 Profit</t>
  </si>
  <si>
    <t>Variation Margin:
8,000 Receive</t>
  </si>
  <si>
    <t>Variation Margin:
(2,500) Pay</t>
  </si>
  <si>
    <t>Variation Margin:
= -750 - 700
= (1,450) Pay</t>
  </si>
  <si>
    <t>Initial Margin: 6 x 2,500
= 15,000 Receive</t>
  </si>
  <si>
    <t>Closing of Position
Return of Margin Balance
11,300 Receive</t>
  </si>
  <si>
    <t>Day One</t>
  </si>
  <si>
    <t>Day Two</t>
  </si>
  <si>
    <t>Day Three</t>
  </si>
  <si>
    <t>Day Four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</si>
  <si>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The tick value per basis point (bps), also known as the basis point value (BPV)</t>
    </r>
  </si>
  <si>
    <t>rate, r</t>
  </si>
  <si>
    <t>Payoff Diagrams</t>
  </si>
  <si>
    <t>Long Future</t>
  </si>
  <si>
    <t>Short Future</t>
  </si>
  <si>
    <t>Futures Price</t>
  </si>
  <si>
    <t>Interest Rate</t>
  </si>
  <si>
    <t>Tick Size</t>
  </si>
  <si>
    <t>Futures Contract</t>
  </si>
  <si>
    <t>USD SOFR 3M (SR3)</t>
  </si>
  <si>
    <t>USD Eurodollar and RFR Futures Specifications</t>
  </si>
  <si>
    <t>USD SOFR Term Rates - Geometric Compounding &amp; Arithmetic Averaging</t>
  </si>
  <si>
    <t>RFR USD 3M SOFR Futures MAR-2023</t>
  </si>
  <si>
    <t>RFR USD 3M SOFR Futures JUN-2023</t>
  </si>
  <si>
    <t>RFR USD 3M SOFR Futures SEP-2023</t>
  </si>
  <si>
    <t>RFR USD 3M SOFR Futures DEC-2023</t>
  </si>
  <si>
    <t>Eurodollar USD 3M LIBOR Futures MAR-2023</t>
  </si>
  <si>
    <t>Eurodollar USD 3M LIBOR Futures JUN-2023</t>
  </si>
  <si>
    <t>Eurodollar USD 3M LIBOR Futures SEP-2023</t>
  </si>
  <si>
    <t>Eurodollar USD 3M LIBOR Futures DEC-2023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</si>
</sst>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0"/>
    <numFmt numFmtId="166" formatCode="ddd\,\ d\-mmm\-yy"/>
    <numFmt numFmtId="167" formatCode="_+#,##0\ &quot;CR&quot;;_-#,##0\ &quot;DR&quot;;\ 0"/>
    <numFmt numFmtId="168" formatCode="_+##,##0;_-\(#,##0\);0"/>
    <numFmt numFmtId="169" formatCode="_+#,##0;_-\(#,##0\)"/>
    <numFmt numFmtId="170" formatCode="0.000%"/>
  </numFmts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7" fillId="0" borderId="0" xfId="1"/>
    <xf numFmtId="0" fontId="7" fillId="0" borderId="0" xfId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10" fillId="5" borderId="0" xfId="0" quotePrefix="1" applyFont="1" applyFill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9" fillId="0" borderId="10" xfId="0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3" fontId="9" fillId="0" borderId="19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9" fillId="0" borderId="26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" fontId="9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/>
    </xf>
    <xf numFmtId="4" fontId="9" fillId="0" borderId="0" xfId="0" applyNumberFormat="1" applyFont="1" applyAlignment="1">
      <alignment horizontal="left" vertical="center"/>
    </xf>
    <xf numFmtId="0" fontId="10" fillId="5" borderId="22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/>
    </xf>
    <xf numFmtId="0" fontId="9" fillId="6" borderId="6" xfId="0" applyFont="1" applyFill="1" applyBorder="1"/>
    <xf numFmtId="3" fontId="9" fillId="6" borderId="5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0" fontId="18" fillId="0" borderId="0" xfId="0" applyFont="1" applyFill="1" applyAlignment="1">
      <alignment horizontal="center" vertical="center"/>
    </xf>
    <xf numFmtId="3" fontId="18" fillId="0" borderId="0" xfId="0" applyNumberFormat="1" applyFont="1" applyFill="1" applyAlignment="1">
      <alignment horizontal="center" vertical="center"/>
    </xf>
    <xf numFmtId="4" fontId="18" fillId="0" borderId="0" xfId="0" applyNumberFormat="1" applyFont="1" applyFill="1" applyAlignment="1">
      <alignment horizontal="center" vertical="center"/>
    </xf>
    <xf numFmtId="4" fontId="9" fillId="6" borderId="7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3" fontId="9" fillId="6" borderId="0" xfId="0" applyNumberFormat="1" applyFont="1" applyFill="1" applyBorder="1" applyAlignment="1">
      <alignment horizontal="left" vertical="center"/>
    </xf>
    <xf numFmtId="4" fontId="9" fillId="6" borderId="8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6" fontId="9" fillId="0" borderId="13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7" fontId="9" fillId="0" borderId="14" xfId="0" applyNumberFormat="1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166" fontId="9" fillId="0" borderId="15" xfId="0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67" fontId="9" fillId="0" borderId="17" xfId="0" applyNumberFormat="1" applyFont="1" applyFill="1" applyBorder="1" applyAlignment="1">
      <alignment horizontal="center" vertical="center" wrapText="1"/>
    </xf>
    <xf numFmtId="0" fontId="9" fillId="0" borderId="16" xfId="0" quotePrefix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8" fontId="9" fillId="0" borderId="16" xfId="0" applyNumberFormat="1" applyFont="1" applyFill="1" applyBorder="1" applyAlignment="1">
      <alignment horizontal="center" vertical="center"/>
    </xf>
    <xf numFmtId="169" fontId="9" fillId="0" borderId="11" xfId="0" applyNumberFormat="1" applyFont="1" applyFill="1" applyBorder="1" applyAlignment="1">
      <alignment horizontal="center" vertical="center"/>
    </xf>
    <xf numFmtId="169" fontId="9" fillId="0" borderId="11" xfId="0" applyNumberFormat="1" applyFont="1" applyFill="1" applyBorder="1" applyAlignment="1">
      <alignment horizontal="center" vertical="center" wrapText="1"/>
    </xf>
    <xf numFmtId="169" fontId="9" fillId="0" borderId="12" xfId="0" applyNumberFormat="1" applyFont="1" applyFill="1" applyBorder="1" applyAlignment="1">
      <alignment horizontal="center"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9" fillId="0" borderId="14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/>
    </xf>
    <xf numFmtId="169" fontId="9" fillId="0" borderId="16" xfId="0" applyNumberFormat="1" applyFont="1" applyFill="1" applyBorder="1" applyAlignment="1">
      <alignment horizontal="center" vertical="center" wrapText="1"/>
    </xf>
    <xf numFmtId="169" fontId="9" fillId="0" borderId="17" xfId="0" applyNumberFormat="1" applyFont="1" applyFill="1" applyBorder="1" applyAlignment="1">
      <alignment horizontal="center" vertical="center"/>
    </xf>
    <xf numFmtId="169" fontId="9" fillId="0" borderId="0" xfId="0" applyNumberFormat="1" applyFont="1" applyFill="1" applyBorder="1" applyAlignment="1">
      <alignment horizontal="center" vertical="center" wrapText="1"/>
    </xf>
    <xf numFmtId="169" fontId="10" fillId="5" borderId="22" xfId="0" applyNumberFormat="1" applyFont="1" applyFill="1" applyBorder="1" applyAlignment="1">
      <alignment horizontal="center" vertical="center"/>
    </xf>
    <xf numFmtId="169" fontId="10" fillId="5" borderId="23" xfId="0" applyNumberFormat="1" applyFont="1" applyFill="1" applyBorder="1" applyAlignment="1">
      <alignment horizontal="center" vertical="center"/>
    </xf>
    <xf numFmtId="166" fontId="9" fillId="0" borderId="10" xfId="0" applyNumberFormat="1" applyFont="1" applyFill="1" applyBorder="1" applyAlignment="1">
      <alignment horizontal="center" vertical="center" wrapText="1"/>
    </xf>
    <xf numFmtId="170" fontId="9" fillId="0" borderId="0" xfId="0" applyNumberFormat="1" applyFont="1"/>
    <xf numFmtId="0" fontId="9" fillId="0" borderId="11" xfId="0" applyFont="1" applyFill="1" applyBorder="1" applyAlignment="1">
      <alignment horizontal="center" vertical="center" wrapText="1"/>
    </xf>
    <xf numFmtId="0" fontId="9" fillId="0" borderId="11" xfId="0" quotePrefix="1" applyFont="1" applyFill="1" applyBorder="1" applyAlignment="1">
      <alignment horizontal="center" vertical="center" wrapText="1"/>
    </xf>
    <xf numFmtId="167" fontId="9" fillId="0" borderId="12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/>
    <xf numFmtId="0" fontId="9" fillId="0" borderId="16" xfId="0" applyFont="1" applyFill="1" applyBorder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3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Long Future</a:t>
            </a:r>
            <a:br>
              <a:rPr lang="en-GB" baseline="0"/>
            </a:br>
            <a:r>
              <a:rPr lang="en-GB" sz="1200" baseline="0"/>
              <a:t>Deposit / Receive Fixed</a:t>
            </a:r>
            <a:endParaRPr lang="en-GB" sz="1200"/>
          </a:p>
        </c:rich>
      </c:tx>
      <c:layout>
        <c:manualLayout>
          <c:xMode val="edge"/>
          <c:yMode val="edge"/>
          <c:x val="0.37057633420822395"/>
          <c:y val="7.4346405228758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Payoff!$D$11</c:f>
              <c:strCache>
                <c:ptCount val="1"/>
                <c:pt idx="0">
                  <c:v>Long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Payoff!$D$12:$D$22</c:f>
              <c:numCache>
                <c:formatCode>#,##0.00</c:formatCode>
                <c:ptCount val="11"/>
                <c:pt idx="0">
                  <c:v>125.00000000006395</c:v>
                </c:pt>
                <c:pt idx="1">
                  <c:v>100.00000000005116</c:v>
                </c:pt>
                <c:pt idx="2">
                  <c:v>75.000000000038369</c:v>
                </c:pt>
                <c:pt idx="3">
                  <c:v>50.00000000002558</c:v>
                </c:pt>
                <c:pt idx="4">
                  <c:v>25.00000000001279</c:v>
                </c:pt>
                <c:pt idx="5">
                  <c:v>0</c:v>
                </c:pt>
                <c:pt idx="6">
                  <c:v>-25.00000000001279</c:v>
                </c:pt>
                <c:pt idx="7">
                  <c:v>-50.00000000002558</c:v>
                </c:pt>
                <c:pt idx="8">
                  <c:v>-75.000000000038369</c:v>
                </c:pt>
                <c:pt idx="9">
                  <c:v>-100.00000000005116</c:v>
                </c:pt>
                <c:pt idx="10">
                  <c:v>-125.00000000006395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594-A906-8C27EE5C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Short Future</a:t>
            </a:r>
            <a:endParaRPr lang="en-GB" sz="1600" baseline="0"/>
          </a:p>
          <a:p>
            <a:pPr>
              <a:defRPr/>
            </a:pPr>
            <a:r>
              <a:rPr lang="en-GB" sz="1200" baseline="0"/>
              <a:t>Loan / Pay Fixed</a:t>
            </a:r>
            <a:endParaRPr lang="en-GB" sz="1200"/>
          </a:p>
        </c:rich>
      </c:tx>
      <c:layout>
        <c:manualLayout>
          <c:xMode val="edge"/>
          <c:yMode val="edge"/>
          <c:x val="0.39964566929133855"/>
          <c:y val="8.49673202614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Payoff!$E$11</c:f>
              <c:strCache>
                <c:ptCount val="1"/>
                <c:pt idx="0">
                  <c:v>Short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Payoff!$E$12:$E$22</c:f>
              <c:numCache>
                <c:formatCode>#,##0</c:formatCode>
                <c:ptCount val="11"/>
                <c:pt idx="0">
                  <c:v>-125.00000000006395</c:v>
                </c:pt>
                <c:pt idx="1">
                  <c:v>-100.00000000005116</c:v>
                </c:pt>
                <c:pt idx="2">
                  <c:v>-75.000000000038369</c:v>
                </c:pt>
                <c:pt idx="3">
                  <c:v>-50.00000000002558</c:v>
                </c:pt>
                <c:pt idx="4">
                  <c:v>-25.00000000001279</c:v>
                </c:pt>
                <c:pt idx="5">
                  <c:v>0</c:v>
                </c:pt>
                <c:pt idx="6">
                  <c:v>25.00000000001279</c:v>
                </c:pt>
                <c:pt idx="7">
                  <c:v>50.00000000002558</c:v>
                </c:pt>
                <c:pt idx="8">
                  <c:v>75.000000000038369</c:v>
                </c:pt>
                <c:pt idx="9">
                  <c:v>100.00000000005116</c:v>
                </c:pt>
                <c:pt idx="10">
                  <c:v>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B4B-BE28-5737B3E7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 Rate (%)</a:t>
                </a:r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42916</xdr:colOff>
      <xdr:row>1</xdr:row>
      <xdr:rowOff>195103</xdr:rowOff>
    </xdr:from>
    <xdr:ext cx="4248817" cy="246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086076" y="39322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𝐶𝑢𝑟𝑟𝑒𝑛𝑡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𝑃𝑟𝑒𝑣𝑖𝑜𝑢𝑠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𝑇𝑖𝑐𝑘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𝑄𝑢𝑎𝑛𝑡𝑖𝑡𝑦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086076" y="39322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𝑃&amp;𝐿=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(𝐶𝑢𝑟𝑟𝑒𝑛𝑡 𝑃𝑟𝑖𝑐𝑒 −𝑃𝑟𝑒𝑣𝑖𝑜𝑢𝑠 𝑃𝑟𝑖𝑐𝑒)  𝑥 𝑇𝑖𝑐𝑘 𝑉𝑎𝑙𝑢𝑒 𝑥 𝑄𝑢𝑎𝑛𝑡𝑖𝑡𝑦</a:t>
              </a:r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25008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13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BE63-248C-4ABA-A612-6F4678FF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358140</xdr:colOff>
      <xdr:row>1</xdr:row>
      <xdr:rowOff>7620</xdr:rowOff>
    </xdr:from>
    <xdr:to>
      <xdr:col>20</xdr:col>
      <xdr:colOff>579120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72D50-4C74-4F4A-90EE-35677E6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77263</xdr:colOff>
      <xdr:row>29</xdr:row>
      <xdr:rowOff>91892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66CE9-D4D2-345A-74C9-023A741DA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2269263" cy="5212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egroup.com/education/files/sofr-futures-settlement-calculation-methodolog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education/files/sofr-futures-settlement-calculation-methodologies.pdf" TargetMode="External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8"/>
  <sheetViews>
    <sheetView showGridLines="0" tabSelected="1" workbookViewId="0"/>
  </sheetViews>
  <sheetFormatPr defaultRowHeight="15.6" x14ac:dyDescent="0.3"/>
  <cols>
    <col min="1" max="1" width="8.88671875" style="14"/>
    <col min="2" max="2" width="16.33203125" style="14" bestFit="1" customWidth="1"/>
    <col min="3" max="3" width="12.6640625" style="14" bestFit="1" customWidth="1"/>
    <col min="4" max="4" width="12" style="14" bestFit="1" customWidth="1"/>
    <col min="5" max="12" width="8.88671875" style="14"/>
    <col min="13" max="13" width="13.21875" style="14" bestFit="1" customWidth="1"/>
    <col min="14" max="14" width="15" style="14" bestFit="1" customWidth="1"/>
    <col min="15" max="15" width="15" style="14" customWidth="1"/>
    <col min="16" max="18" width="12.77734375" style="14" customWidth="1"/>
    <col min="19" max="20" width="8.88671875" style="14"/>
    <col min="21" max="21" width="15" style="14" bestFit="1" customWidth="1"/>
    <col min="22" max="16384" width="8.88671875" style="14"/>
  </cols>
  <sheetData>
    <row r="2" spans="2:20" x14ac:dyDescent="0.3">
      <c r="B2" s="12" t="s">
        <v>77</v>
      </c>
      <c r="C2" s="68" t="s">
        <v>44</v>
      </c>
      <c r="D2" s="13"/>
      <c r="I2" s="40" t="s">
        <v>72</v>
      </c>
    </row>
    <row r="3" spans="2:20" ht="17.399999999999999" x14ac:dyDescent="0.3">
      <c r="B3" s="14" t="s">
        <v>30</v>
      </c>
      <c r="C3" s="12" t="str">
        <f>VLOOKUP(Ticker,FuturesTable,2,0)</f>
        <v>USD 3M SOFR Futures</v>
      </c>
      <c r="I3" s="14" t="s">
        <v>86</v>
      </c>
    </row>
    <row r="4" spans="2:20" x14ac:dyDescent="0.3">
      <c r="B4" s="12" t="s">
        <v>41</v>
      </c>
      <c r="C4" s="15">
        <f>VLOOKUP(Ticker,FuturesTable,6,0)</f>
        <v>1000000</v>
      </c>
      <c r="D4" s="13"/>
      <c r="I4" s="38" t="s">
        <v>88</v>
      </c>
    </row>
    <row r="5" spans="2:20" ht="17.399999999999999" x14ac:dyDescent="0.3">
      <c r="B5" s="12" t="s">
        <v>40</v>
      </c>
      <c r="C5" s="16">
        <f>VLOOKUP(Ticker,FuturesTable,8,0)</f>
        <v>25</v>
      </c>
      <c r="D5" s="13"/>
      <c r="I5" s="14" t="s">
        <v>87</v>
      </c>
    </row>
    <row r="6" spans="2:20" x14ac:dyDescent="0.3">
      <c r="B6" s="12"/>
      <c r="C6" s="13"/>
      <c r="D6" s="13"/>
    </row>
    <row r="7" spans="2:20" ht="16.2" thickBot="1" x14ac:dyDescent="0.35">
      <c r="B7" s="12" t="s">
        <v>117</v>
      </c>
      <c r="C7" s="13"/>
      <c r="D7" s="13"/>
      <c r="I7" s="14" t="s">
        <v>83</v>
      </c>
    </row>
    <row r="8" spans="2:20" ht="18" thickBot="1" x14ac:dyDescent="0.35">
      <c r="B8" s="17" t="s">
        <v>36</v>
      </c>
      <c r="C8" s="18" t="s">
        <v>39</v>
      </c>
      <c r="D8" s="21" t="s">
        <v>42</v>
      </c>
      <c r="E8" s="18" t="s">
        <v>37</v>
      </c>
      <c r="H8" s="33" t="s">
        <v>29</v>
      </c>
      <c r="I8" s="114" t="s">
        <v>30</v>
      </c>
      <c r="J8" s="115"/>
      <c r="K8" s="115"/>
      <c r="L8" s="34" t="s">
        <v>56</v>
      </c>
      <c r="M8" s="34" t="s">
        <v>46</v>
      </c>
      <c r="N8" s="34" t="s">
        <v>73</v>
      </c>
      <c r="O8" s="35" t="s">
        <v>68</v>
      </c>
      <c r="P8" s="35" t="s">
        <v>91</v>
      </c>
      <c r="Q8" s="35" t="s">
        <v>67</v>
      </c>
      <c r="T8" s="15"/>
    </row>
    <row r="9" spans="2:20" x14ac:dyDescent="0.3">
      <c r="B9" s="19">
        <v>44732</v>
      </c>
      <c r="C9" s="15">
        <v>9900</v>
      </c>
      <c r="D9" s="15">
        <f t="shared" ref="D9:D22" si="0">C9-C10</f>
        <v>1</v>
      </c>
      <c r="E9" s="20">
        <f t="shared" ref="E9:E16" si="1">TickValue*D9</f>
        <v>25</v>
      </c>
      <c r="H9" s="25" t="s">
        <v>26</v>
      </c>
      <c r="I9" s="116" t="s">
        <v>47</v>
      </c>
      <c r="J9" s="117"/>
      <c r="K9" s="117"/>
      <c r="L9" s="30" t="s">
        <v>57</v>
      </c>
      <c r="M9" s="32">
        <v>1000000</v>
      </c>
      <c r="N9" s="30" t="s">
        <v>74</v>
      </c>
      <c r="O9" s="26">
        <v>25</v>
      </c>
      <c r="P9" s="26">
        <v>2500</v>
      </c>
      <c r="Q9" s="30" t="s">
        <v>64</v>
      </c>
      <c r="T9" s="15"/>
    </row>
    <row r="10" spans="2:20" x14ac:dyDescent="0.3">
      <c r="B10" s="19">
        <v>44729</v>
      </c>
      <c r="C10" s="15">
        <v>9899</v>
      </c>
      <c r="D10" s="15">
        <f t="shared" si="0"/>
        <v>2</v>
      </c>
      <c r="E10" s="15">
        <f t="shared" si="1"/>
        <v>50</v>
      </c>
      <c r="H10" s="27" t="s">
        <v>43</v>
      </c>
      <c r="I10" s="106" t="s">
        <v>48</v>
      </c>
      <c r="J10" s="107"/>
      <c r="K10" s="107"/>
      <c r="L10" s="31" t="s">
        <v>57</v>
      </c>
      <c r="M10" s="41">
        <v>5000000</v>
      </c>
      <c r="N10" s="36" t="s">
        <v>75</v>
      </c>
      <c r="O10" s="28">
        <v>41.67</v>
      </c>
      <c r="P10" s="28">
        <v>2500</v>
      </c>
      <c r="Q10" s="31" t="s">
        <v>15</v>
      </c>
      <c r="T10" s="15"/>
    </row>
    <row r="11" spans="2:20" x14ac:dyDescent="0.3">
      <c r="B11" s="19">
        <v>44728</v>
      </c>
      <c r="C11" s="15">
        <v>9897</v>
      </c>
      <c r="D11" s="15">
        <f t="shared" si="0"/>
        <v>-1</v>
      </c>
      <c r="E11" s="15">
        <f t="shared" si="1"/>
        <v>-25</v>
      </c>
      <c r="H11" s="43" t="s">
        <v>44</v>
      </c>
      <c r="I11" s="110" t="s">
        <v>49</v>
      </c>
      <c r="J11" s="111"/>
      <c r="K11" s="111"/>
      <c r="L11" s="44" t="s">
        <v>57</v>
      </c>
      <c r="M11" s="45">
        <v>1000000</v>
      </c>
      <c r="N11" s="46" t="s">
        <v>74</v>
      </c>
      <c r="O11" s="47">
        <v>25</v>
      </c>
      <c r="P11" s="47">
        <v>2500</v>
      </c>
      <c r="Q11" s="44" t="s">
        <v>16</v>
      </c>
      <c r="T11" s="15"/>
    </row>
    <row r="12" spans="2:20" x14ac:dyDescent="0.3">
      <c r="B12" s="19">
        <v>44727</v>
      </c>
      <c r="C12" s="15">
        <v>9898</v>
      </c>
      <c r="D12" s="15">
        <f t="shared" si="0"/>
        <v>0</v>
      </c>
      <c r="E12" s="15">
        <f t="shared" si="1"/>
        <v>0</v>
      </c>
      <c r="H12" s="27" t="s">
        <v>62</v>
      </c>
      <c r="I12" s="106" t="s">
        <v>50</v>
      </c>
      <c r="J12" s="107"/>
      <c r="K12" s="107"/>
      <c r="L12" s="36" t="s">
        <v>58</v>
      </c>
      <c r="M12" s="41">
        <v>1000000</v>
      </c>
      <c r="N12" s="36" t="s">
        <v>74</v>
      </c>
      <c r="O12" s="28">
        <v>12.5</v>
      </c>
      <c r="P12" s="28">
        <v>2500</v>
      </c>
      <c r="Q12" s="36" t="s">
        <v>64</v>
      </c>
      <c r="T12" s="15"/>
    </row>
    <row r="13" spans="2:20" x14ac:dyDescent="0.3">
      <c r="B13" s="19">
        <v>44726</v>
      </c>
      <c r="C13" s="15">
        <v>9898</v>
      </c>
      <c r="D13" s="15">
        <f t="shared" si="0"/>
        <v>-5</v>
      </c>
      <c r="E13" s="15">
        <f t="shared" si="1"/>
        <v>-125</v>
      </c>
      <c r="H13" s="27" t="s">
        <v>55</v>
      </c>
      <c r="I13" s="106" t="s">
        <v>51</v>
      </c>
      <c r="J13" s="107"/>
      <c r="K13" s="107"/>
      <c r="L13" s="31" t="s">
        <v>58</v>
      </c>
      <c r="M13" s="41">
        <v>1000000</v>
      </c>
      <c r="N13" s="36" t="s">
        <v>74</v>
      </c>
      <c r="O13" s="28">
        <v>25</v>
      </c>
      <c r="P13" s="28">
        <v>2500</v>
      </c>
      <c r="Q13" s="31" t="s">
        <v>16</v>
      </c>
      <c r="T13" s="15"/>
    </row>
    <row r="14" spans="2:20" x14ac:dyDescent="0.3">
      <c r="B14" s="19">
        <v>44725</v>
      </c>
      <c r="C14" s="15">
        <v>9903</v>
      </c>
      <c r="D14" s="15">
        <f t="shared" si="0"/>
        <v>-2</v>
      </c>
      <c r="E14" s="15">
        <f t="shared" si="1"/>
        <v>-50</v>
      </c>
      <c r="H14" s="48" t="s">
        <v>70</v>
      </c>
      <c r="I14" s="108" t="s">
        <v>52</v>
      </c>
      <c r="J14" s="109"/>
      <c r="K14" s="109"/>
      <c r="L14" s="49" t="s">
        <v>59</v>
      </c>
      <c r="M14" s="50">
        <v>1000000</v>
      </c>
      <c r="N14" s="49" t="s">
        <v>74</v>
      </c>
      <c r="O14" s="51">
        <v>25</v>
      </c>
      <c r="P14" s="51">
        <v>2500</v>
      </c>
      <c r="Q14" s="49" t="s">
        <v>64</v>
      </c>
      <c r="T14" s="15"/>
    </row>
    <row r="15" spans="2:20" x14ac:dyDescent="0.3">
      <c r="B15" s="19">
        <v>44722</v>
      </c>
      <c r="C15" s="15">
        <v>9905</v>
      </c>
      <c r="D15" s="15">
        <f t="shared" si="0"/>
        <v>-1</v>
      </c>
      <c r="E15" s="15">
        <f t="shared" si="1"/>
        <v>-25</v>
      </c>
      <c r="H15" s="43" t="s">
        <v>61</v>
      </c>
      <c r="I15" s="110" t="s">
        <v>53</v>
      </c>
      <c r="J15" s="111"/>
      <c r="K15" s="111"/>
      <c r="L15" s="44" t="s">
        <v>59</v>
      </c>
      <c r="M15" s="45">
        <v>1000000</v>
      </c>
      <c r="N15" s="46" t="s">
        <v>75</v>
      </c>
      <c r="O15" s="47">
        <v>25</v>
      </c>
      <c r="P15" s="47">
        <v>2500</v>
      </c>
      <c r="Q15" s="44" t="s">
        <v>15</v>
      </c>
      <c r="T15" s="15"/>
    </row>
    <row r="16" spans="2:20" ht="16.2" thickBot="1" x14ac:dyDescent="0.35">
      <c r="B16" s="19">
        <v>44721</v>
      </c>
      <c r="C16" s="15">
        <v>9906</v>
      </c>
      <c r="D16" s="15">
        <f t="shared" si="0"/>
        <v>3</v>
      </c>
      <c r="E16" s="15">
        <f t="shared" si="1"/>
        <v>75</v>
      </c>
      <c r="H16" s="29" t="s">
        <v>71</v>
      </c>
      <c r="I16" s="112" t="s">
        <v>54</v>
      </c>
      <c r="J16" s="113"/>
      <c r="K16" s="113"/>
      <c r="L16" s="37" t="s">
        <v>60</v>
      </c>
      <c r="M16" s="42">
        <v>100000000</v>
      </c>
      <c r="N16" s="37" t="s">
        <v>74</v>
      </c>
      <c r="O16" s="37">
        <v>2500</v>
      </c>
      <c r="P16" s="37">
        <v>250000</v>
      </c>
      <c r="Q16" s="37" t="s">
        <v>64</v>
      </c>
    </row>
    <row r="17" spans="2:16" ht="17.399999999999999" x14ac:dyDescent="0.3">
      <c r="B17" s="19">
        <v>44720</v>
      </c>
      <c r="C17" s="15">
        <v>9903</v>
      </c>
      <c r="D17" s="15">
        <f t="shared" si="0"/>
        <v>3</v>
      </c>
      <c r="E17" s="15">
        <f t="shared" ref="E17:E22" si="2">TickValue*D17</f>
        <v>75</v>
      </c>
      <c r="H17" s="12" t="s">
        <v>132</v>
      </c>
      <c r="M17" s="13"/>
      <c r="N17" s="13"/>
      <c r="O17" s="13"/>
      <c r="P17" s="13"/>
    </row>
    <row r="18" spans="2:16" x14ac:dyDescent="0.3">
      <c r="B18" s="19">
        <v>44719</v>
      </c>
      <c r="C18" s="15">
        <v>9900</v>
      </c>
      <c r="D18" s="20">
        <f t="shared" si="0"/>
        <v>2</v>
      </c>
      <c r="E18" s="20">
        <f t="shared" si="2"/>
        <v>50</v>
      </c>
      <c r="H18" s="13"/>
      <c r="M18" s="13"/>
      <c r="N18" s="13"/>
      <c r="O18" s="13"/>
      <c r="P18" s="13"/>
    </row>
    <row r="19" spans="2:16" x14ac:dyDescent="0.3">
      <c r="B19" s="19">
        <v>44718</v>
      </c>
      <c r="C19" s="15">
        <v>9898</v>
      </c>
      <c r="D19" s="22">
        <f t="shared" si="0"/>
        <v>1</v>
      </c>
      <c r="E19" s="22">
        <f t="shared" si="2"/>
        <v>25</v>
      </c>
      <c r="H19" s="40" t="s">
        <v>85</v>
      </c>
      <c r="M19" s="13"/>
      <c r="N19" s="13"/>
      <c r="O19" s="13"/>
      <c r="P19" s="13"/>
    </row>
    <row r="20" spans="2:16" x14ac:dyDescent="0.3">
      <c r="B20" s="19">
        <v>44715</v>
      </c>
      <c r="C20" s="15">
        <v>9897</v>
      </c>
      <c r="D20" s="22">
        <f t="shared" si="0"/>
        <v>-5</v>
      </c>
      <c r="E20" s="22">
        <f t="shared" si="2"/>
        <v>-125</v>
      </c>
      <c r="H20" s="14" t="s">
        <v>81</v>
      </c>
      <c r="L20" s="39" t="s">
        <v>69</v>
      </c>
      <c r="M20" s="13"/>
      <c r="N20" s="13"/>
      <c r="O20" s="13"/>
      <c r="P20" s="13"/>
    </row>
    <row r="21" spans="2:16" x14ac:dyDescent="0.3">
      <c r="B21" s="19">
        <v>44714</v>
      </c>
      <c r="C21" s="15">
        <v>9902</v>
      </c>
      <c r="D21" s="22">
        <f t="shared" si="0"/>
        <v>2</v>
      </c>
      <c r="E21" s="22">
        <f t="shared" si="2"/>
        <v>50</v>
      </c>
      <c r="H21" s="14" t="s">
        <v>83</v>
      </c>
      <c r="L21" s="39" t="s">
        <v>84</v>
      </c>
      <c r="M21" s="13"/>
      <c r="N21" s="13"/>
      <c r="O21" s="13"/>
      <c r="P21" s="13"/>
    </row>
    <row r="22" spans="2:16" x14ac:dyDescent="0.3">
      <c r="B22" s="19">
        <v>44713</v>
      </c>
      <c r="C22" s="15">
        <v>9900</v>
      </c>
      <c r="D22" s="22">
        <f t="shared" si="0"/>
        <v>8</v>
      </c>
      <c r="E22" s="22">
        <f t="shared" si="2"/>
        <v>200</v>
      </c>
      <c r="H22" s="14" t="s">
        <v>65</v>
      </c>
      <c r="L22" s="10" t="s">
        <v>66</v>
      </c>
    </row>
    <row r="23" spans="2:16" x14ac:dyDescent="0.3">
      <c r="B23" s="19">
        <v>44712</v>
      </c>
      <c r="C23" s="15">
        <v>9892</v>
      </c>
      <c r="D23" s="53" t="s">
        <v>38</v>
      </c>
      <c r="E23" s="53" t="s">
        <v>38</v>
      </c>
      <c r="H23" s="14" t="s">
        <v>82</v>
      </c>
      <c r="L23" s="39" t="s">
        <v>80</v>
      </c>
    </row>
    <row r="24" spans="2:16" x14ac:dyDescent="0.3">
      <c r="B24" s="19"/>
      <c r="C24" s="15"/>
      <c r="D24" s="22"/>
    </row>
    <row r="25" spans="2:16" x14ac:dyDescent="0.3">
      <c r="B25" s="19" t="s">
        <v>79</v>
      </c>
      <c r="C25" s="15">
        <f>C9</f>
        <v>9900</v>
      </c>
      <c r="D25" s="22"/>
      <c r="E25" s="13" t="s">
        <v>76</v>
      </c>
    </row>
    <row r="26" spans="2:16" x14ac:dyDescent="0.3">
      <c r="B26" s="14" t="s">
        <v>78</v>
      </c>
      <c r="C26" s="15">
        <f>C23</f>
        <v>9892</v>
      </c>
      <c r="E26" s="22">
        <f>SUM(E9:E23)</f>
        <v>200</v>
      </c>
    </row>
    <row r="27" spans="2:16" ht="16.2" thickBot="1" x14ac:dyDescent="0.35">
      <c r="B27" s="14" t="s">
        <v>76</v>
      </c>
      <c r="C27" s="52">
        <f>TickValue*(C25-C26)</f>
        <v>200</v>
      </c>
    </row>
    <row r="28" spans="2:16" ht="16.2" thickTop="1" x14ac:dyDescent="0.3"/>
  </sheetData>
  <mergeCells count="9">
    <mergeCell ref="I13:K13"/>
    <mergeCell ref="I14:K14"/>
    <mergeCell ref="I15:K15"/>
    <mergeCell ref="I16:K16"/>
    <mergeCell ref="I8:K8"/>
    <mergeCell ref="I9:K9"/>
    <mergeCell ref="I10:K10"/>
    <mergeCell ref="I11:K11"/>
    <mergeCell ref="I12:K12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hyperlinks>
    <hyperlink ref="L22" r:id="rId1" xr:uid="{A75CBE5C-02F7-4E36-AEF5-7EFF0161B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8EE0-2C06-42A1-88EA-2E999F52B5E1}">
  <dimension ref="A1:M23"/>
  <sheetViews>
    <sheetView showGridLines="0" zoomScaleNormal="100" workbookViewId="0"/>
  </sheetViews>
  <sheetFormatPr defaultRowHeight="15.6" x14ac:dyDescent="0.3"/>
  <cols>
    <col min="1" max="1" width="8.88671875" style="14"/>
    <col min="2" max="2" width="15.77734375" style="14" customWidth="1"/>
    <col min="3" max="3" width="24.109375" style="14" customWidth="1"/>
    <col min="4" max="4" width="27.109375" style="14" bestFit="1" customWidth="1"/>
    <col min="5" max="5" width="25" style="14" bestFit="1" customWidth="1"/>
    <col min="6" max="6" width="23.77734375" style="14" bestFit="1" customWidth="1"/>
    <col min="7" max="7" width="18.77734375" style="14" customWidth="1"/>
    <col min="8" max="8" width="14.33203125" style="14" customWidth="1"/>
    <col min="9" max="10" width="18.77734375" style="14" customWidth="1"/>
    <col min="11" max="11" width="25.5546875" style="14" customWidth="1"/>
    <col min="12" max="12" width="15.77734375" style="14" bestFit="1" customWidth="1"/>
    <col min="13" max="16384" width="8.88671875" style="14"/>
  </cols>
  <sheetData>
    <row r="1" spans="1:13" x14ac:dyDescent="0.3">
      <c r="I1" s="118" t="s">
        <v>101</v>
      </c>
      <c r="J1" s="119"/>
      <c r="K1" s="120"/>
    </row>
    <row r="2" spans="1:13" x14ac:dyDescent="0.3">
      <c r="B2" s="12" t="s">
        <v>77</v>
      </c>
      <c r="C2" s="68" t="s">
        <v>44</v>
      </c>
      <c r="I2" s="57"/>
      <c r="J2" s="65"/>
      <c r="K2" s="58"/>
    </row>
    <row r="3" spans="1:13" x14ac:dyDescent="0.3">
      <c r="B3" s="14" t="s">
        <v>30</v>
      </c>
      <c r="C3" s="61" t="str">
        <f>VLOOKUP($C$2,FuturesTable,2,0)</f>
        <v>USD 3M SOFR Futures</v>
      </c>
      <c r="D3" s="23"/>
      <c r="I3" s="59"/>
      <c r="J3" s="66"/>
      <c r="K3" s="58"/>
    </row>
    <row r="4" spans="1:13" x14ac:dyDescent="0.3">
      <c r="B4" s="12" t="s">
        <v>46</v>
      </c>
      <c r="C4" s="62">
        <f>VLOOKUP($C$2,FuturesTable,6,0)</f>
        <v>1000000</v>
      </c>
      <c r="D4" s="15"/>
      <c r="I4" s="64"/>
      <c r="J4" s="67"/>
      <c r="K4" s="60"/>
    </row>
    <row r="5" spans="1:13" x14ac:dyDescent="0.3">
      <c r="A5" s="16"/>
      <c r="B5" s="12" t="s">
        <v>45</v>
      </c>
      <c r="C5" s="63">
        <f>VLOOKUP($C$2,FuturesTable,8,0)</f>
        <v>25</v>
      </c>
      <c r="D5" s="54" t="s">
        <v>109</v>
      </c>
    </row>
    <row r="6" spans="1:13" x14ac:dyDescent="0.3">
      <c r="B6" s="14" t="s">
        <v>91</v>
      </c>
      <c r="C6" s="62">
        <f>VLOOKUP($C$2,FuturesTable,9,0)</f>
        <v>2500</v>
      </c>
      <c r="D6" s="54" t="s">
        <v>116</v>
      </c>
      <c r="H6" s="14" t="s">
        <v>108</v>
      </c>
    </row>
    <row r="7" spans="1:13" ht="16.2" thickBot="1" x14ac:dyDescent="0.35"/>
    <row r="8" spans="1:13" ht="16.2" thickBot="1" x14ac:dyDescent="0.35">
      <c r="B8" s="33" t="s">
        <v>36</v>
      </c>
      <c r="C8" s="55" t="s">
        <v>89</v>
      </c>
      <c r="D8" s="34" t="s">
        <v>92</v>
      </c>
      <c r="E8" s="56" t="s">
        <v>90</v>
      </c>
      <c r="F8" s="35" t="s">
        <v>96</v>
      </c>
      <c r="H8" s="33" t="s">
        <v>36</v>
      </c>
      <c r="I8" s="33" t="s">
        <v>92</v>
      </c>
      <c r="J8" s="34" t="s">
        <v>90</v>
      </c>
      <c r="K8" s="34" t="s">
        <v>115</v>
      </c>
      <c r="L8" s="35" t="s">
        <v>93</v>
      </c>
    </row>
    <row r="9" spans="1:13" ht="31.2" x14ac:dyDescent="0.3">
      <c r="B9" s="69" t="s">
        <v>128</v>
      </c>
      <c r="C9" s="70" t="s">
        <v>102</v>
      </c>
      <c r="D9" s="70"/>
      <c r="E9" s="70" t="s">
        <v>94</v>
      </c>
      <c r="F9" s="71">
        <v>25000</v>
      </c>
      <c r="H9" s="91" t="s">
        <v>128</v>
      </c>
      <c r="I9" s="80"/>
      <c r="J9" s="80">
        <f>-10*2500</f>
        <v>-25000</v>
      </c>
      <c r="K9" s="81" t="s">
        <v>110</v>
      </c>
      <c r="L9" s="82">
        <f>-J9</f>
        <v>25000</v>
      </c>
    </row>
    <row r="10" spans="1:13" ht="31.2" x14ac:dyDescent="0.3">
      <c r="B10" s="69"/>
      <c r="C10" s="70" t="s">
        <v>103</v>
      </c>
      <c r="D10" s="72" t="s">
        <v>118</v>
      </c>
      <c r="E10" s="70"/>
      <c r="F10" s="71">
        <f>F9+I10</f>
        <v>33000</v>
      </c>
      <c r="H10" s="69"/>
      <c r="I10" s="83">
        <f>(9942-9910)*25*10</f>
        <v>8000</v>
      </c>
      <c r="J10" s="83"/>
      <c r="K10" s="83"/>
      <c r="L10" s="84">
        <f t="shared" ref="L10:L19" si="0">L9+I10-J10</f>
        <v>33000</v>
      </c>
    </row>
    <row r="11" spans="1:13" ht="31.8" thickBot="1" x14ac:dyDescent="0.35">
      <c r="B11" s="73"/>
      <c r="C11" s="74"/>
      <c r="D11" s="74"/>
      <c r="E11" s="74" t="s">
        <v>123</v>
      </c>
      <c r="F11" s="75">
        <f>F10-J11</f>
        <v>25000</v>
      </c>
      <c r="H11" s="73"/>
      <c r="I11" s="85"/>
      <c r="J11" s="85">
        <f>I10</f>
        <v>8000</v>
      </c>
      <c r="K11" s="86" t="s">
        <v>111</v>
      </c>
      <c r="L11" s="87">
        <f t="shared" si="0"/>
        <v>25000</v>
      </c>
    </row>
    <row r="12" spans="1:13" ht="31.2" x14ac:dyDescent="0.3">
      <c r="B12" s="69" t="s">
        <v>129</v>
      </c>
      <c r="C12" s="70" t="s">
        <v>104</v>
      </c>
      <c r="D12" s="72" t="s">
        <v>119</v>
      </c>
      <c r="E12" s="70"/>
      <c r="F12" s="71">
        <f>F11+I12</f>
        <v>22500</v>
      </c>
      <c r="H12" s="69" t="s">
        <v>129</v>
      </c>
      <c r="I12" s="80">
        <f>(9932-9942)*25*10</f>
        <v>-2500</v>
      </c>
      <c r="J12" s="80"/>
      <c r="K12" s="80"/>
      <c r="L12" s="82">
        <f t="shared" si="0"/>
        <v>22500</v>
      </c>
    </row>
    <row r="13" spans="1:13" ht="31.8" thickBot="1" x14ac:dyDescent="0.35">
      <c r="B13" s="73"/>
      <c r="C13" s="74"/>
      <c r="D13" s="76"/>
      <c r="E13" s="74" t="s">
        <v>124</v>
      </c>
      <c r="F13" s="75">
        <f>F12-J13</f>
        <v>25000</v>
      </c>
      <c r="H13" s="73"/>
      <c r="I13" s="85"/>
      <c r="J13" s="85">
        <f>I12</f>
        <v>-2500</v>
      </c>
      <c r="K13" s="86" t="s">
        <v>112</v>
      </c>
      <c r="L13" s="87">
        <f t="shared" si="0"/>
        <v>25000</v>
      </c>
    </row>
    <row r="14" spans="1:13" ht="31.2" x14ac:dyDescent="0.3">
      <c r="B14" s="69" t="s">
        <v>130</v>
      </c>
      <c r="C14" s="70" t="s">
        <v>105</v>
      </c>
      <c r="D14" s="72" t="s">
        <v>120</v>
      </c>
      <c r="E14" s="70"/>
      <c r="F14" s="71">
        <f>F13+I14</f>
        <v>24250</v>
      </c>
      <c r="H14" s="69" t="s">
        <v>130</v>
      </c>
      <c r="I14" s="80">
        <f>(9927-9932)*25*6</f>
        <v>-750</v>
      </c>
      <c r="J14" s="80"/>
      <c r="K14" s="80"/>
      <c r="L14" s="82">
        <f t="shared" si="0"/>
        <v>24250</v>
      </c>
    </row>
    <row r="15" spans="1:13" ht="31.2" x14ac:dyDescent="0.3">
      <c r="B15" s="69"/>
      <c r="C15" s="70" t="s">
        <v>106</v>
      </c>
      <c r="D15" s="72" t="s">
        <v>121</v>
      </c>
      <c r="E15" s="70"/>
      <c r="F15" s="71">
        <f>F14+I15</f>
        <v>23550</v>
      </c>
      <c r="H15" s="69"/>
      <c r="I15" s="83">
        <f>(9925-9932)*25*4</f>
        <v>-700</v>
      </c>
      <c r="J15" s="83"/>
      <c r="K15" s="83"/>
      <c r="L15" s="84">
        <f t="shared" si="0"/>
        <v>23550</v>
      </c>
      <c r="M15" s="92"/>
    </row>
    <row r="16" spans="1:13" ht="46.8" x14ac:dyDescent="0.3">
      <c r="B16" s="69"/>
      <c r="C16" s="70"/>
      <c r="D16" s="72"/>
      <c r="E16" s="70" t="s">
        <v>125</v>
      </c>
      <c r="F16" s="71">
        <f>F15-J16</f>
        <v>25000</v>
      </c>
      <c r="H16" s="69"/>
      <c r="I16" s="83"/>
      <c r="J16" s="83">
        <f>I14+I15</f>
        <v>-1450</v>
      </c>
      <c r="K16" s="88" t="s">
        <v>112</v>
      </c>
      <c r="L16" s="84">
        <f t="shared" si="0"/>
        <v>25000</v>
      </c>
    </row>
    <row r="17" spans="2:12" ht="31.8" thickBot="1" x14ac:dyDescent="0.35">
      <c r="B17" s="73"/>
      <c r="C17" s="74"/>
      <c r="D17" s="76"/>
      <c r="E17" s="74" t="s">
        <v>126</v>
      </c>
      <c r="F17" s="75">
        <f>F16-J17</f>
        <v>10000</v>
      </c>
      <c r="H17" s="73"/>
      <c r="I17" s="85"/>
      <c r="J17" s="85">
        <v>15000</v>
      </c>
      <c r="K17" s="86" t="s">
        <v>113</v>
      </c>
      <c r="L17" s="87">
        <f t="shared" si="0"/>
        <v>10000</v>
      </c>
    </row>
    <row r="18" spans="2:12" ht="31.2" x14ac:dyDescent="0.3">
      <c r="B18" s="91" t="s">
        <v>131</v>
      </c>
      <c r="C18" s="93" t="s">
        <v>107</v>
      </c>
      <c r="D18" s="94" t="s">
        <v>122</v>
      </c>
      <c r="E18" s="93"/>
      <c r="F18" s="95">
        <f>F17+I18</f>
        <v>11300</v>
      </c>
      <c r="H18" s="91" t="s">
        <v>131</v>
      </c>
      <c r="I18" s="80">
        <f>(9938-9925)*25*4</f>
        <v>1300</v>
      </c>
      <c r="J18" s="80"/>
      <c r="K18" s="80"/>
      <c r="L18" s="82">
        <f t="shared" si="0"/>
        <v>11300</v>
      </c>
    </row>
    <row r="19" spans="2:12" ht="47.4" thickBot="1" x14ac:dyDescent="0.35">
      <c r="B19" s="96"/>
      <c r="C19" s="97"/>
      <c r="D19" s="76"/>
      <c r="E19" s="74" t="s">
        <v>127</v>
      </c>
      <c r="F19" s="75">
        <v>0</v>
      </c>
      <c r="H19" s="96"/>
      <c r="I19" s="85"/>
      <c r="J19" s="85">
        <v>11300</v>
      </c>
      <c r="K19" s="86" t="s">
        <v>114</v>
      </c>
      <c r="L19" s="87">
        <f t="shared" si="0"/>
        <v>0</v>
      </c>
    </row>
    <row r="21" spans="2:12" ht="16.2" thickBot="1" x14ac:dyDescent="0.35"/>
    <row r="22" spans="2:12" ht="16.2" thickBot="1" x14ac:dyDescent="0.35">
      <c r="B22" s="33"/>
      <c r="C22" s="34" t="s">
        <v>97</v>
      </c>
      <c r="D22" s="34" t="s">
        <v>98</v>
      </c>
      <c r="E22" s="34" t="s">
        <v>99</v>
      </c>
      <c r="F22" s="35" t="s">
        <v>96</v>
      </c>
      <c r="H22" s="33"/>
      <c r="I22" s="89" t="s">
        <v>98</v>
      </c>
      <c r="J22" s="89" t="s">
        <v>99</v>
      </c>
      <c r="K22" s="89"/>
      <c r="L22" s="90" t="s">
        <v>100</v>
      </c>
    </row>
    <row r="23" spans="2:12" ht="16.2" thickBot="1" x14ac:dyDescent="0.35">
      <c r="B23" s="77"/>
      <c r="C23" s="78" t="s">
        <v>95</v>
      </c>
      <c r="D23" s="79">
        <f>8000-2500-750-700+1300</f>
        <v>5350</v>
      </c>
      <c r="E23" s="79">
        <f>-25000+8000-2500-1450+15000+11300</f>
        <v>5350</v>
      </c>
      <c r="F23" s="75">
        <v>0</v>
      </c>
      <c r="H23" s="77"/>
      <c r="I23" s="85">
        <f>SUM(I9:I19)</f>
        <v>5350</v>
      </c>
      <c r="J23" s="85">
        <f>SUM(J9:J19)</f>
        <v>5350</v>
      </c>
      <c r="K23" s="85"/>
      <c r="L23" s="87">
        <v>0</v>
      </c>
    </row>
  </sheetData>
  <mergeCells count="1">
    <mergeCell ref="I1:K1"/>
  </mergeCells>
  <dataValidations count="1">
    <dataValidation type="list" allowBlank="1" showInputMessage="1" showErrorMessage="1" sqref="C2 G2:H2" xr:uid="{93E04E14-0128-4890-B428-E87354E1F1FA}">
      <formula1>FuturesTickers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zoomScaleNormal="100" workbookViewId="0"/>
  </sheetViews>
  <sheetFormatPr defaultRowHeight="14.4" x14ac:dyDescent="0.3"/>
  <cols>
    <col min="5" max="7" width="12.33203125" customWidth="1"/>
  </cols>
  <sheetData>
    <row r="2" spans="2:10" ht="15" customHeight="1" x14ac:dyDescent="0.3">
      <c r="B2" s="124" t="s">
        <v>23</v>
      </c>
      <c r="C2" s="125"/>
      <c r="D2" s="125"/>
      <c r="E2" s="131" t="s">
        <v>24</v>
      </c>
      <c r="F2" s="132"/>
      <c r="G2" s="133"/>
      <c r="H2" s="141" t="s">
        <v>25</v>
      </c>
      <c r="I2" s="142"/>
      <c r="J2" s="143"/>
    </row>
    <row r="3" spans="2:10" x14ac:dyDescent="0.3">
      <c r="B3" s="126"/>
      <c r="C3" s="127"/>
      <c r="D3" s="127"/>
      <c r="E3" s="134"/>
      <c r="F3" s="135"/>
      <c r="G3" s="136"/>
      <c r="H3" s="144"/>
      <c r="I3" s="144"/>
      <c r="J3" s="145"/>
    </row>
    <row r="4" spans="2:10" ht="15" customHeight="1" x14ac:dyDescent="0.3">
      <c r="B4" s="128" t="s">
        <v>26</v>
      </c>
      <c r="C4" s="127"/>
      <c r="D4" s="127"/>
      <c r="E4" s="137" t="s">
        <v>27</v>
      </c>
      <c r="F4" s="135"/>
      <c r="G4" s="136"/>
      <c r="H4" s="146">
        <v>23</v>
      </c>
      <c r="I4" s="144"/>
      <c r="J4" s="145"/>
    </row>
    <row r="5" spans="2:10" x14ac:dyDescent="0.3">
      <c r="B5" s="129"/>
      <c r="C5" s="130"/>
      <c r="D5" s="130"/>
      <c r="E5" s="138"/>
      <c r="F5" s="139"/>
      <c r="G5" s="140"/>
      <c r="H5" s="147"/>
      <c r="I5" s="147"/>
      <c r="J5" s="148"/>
    </row>
    <row r="8" spans="2:10" x14ac:dyDescent="0.3">
      <c r="B8" s="124" t="s">
        <v>23</v>
      </c>
      <c r="C8" s="125"/>
      <c r="D8" s="125"/>
      <c r="E8" s="131" t="s">
        <v>24</v>
      </c>
      <c r="F8" s="132"/>
      <c r="G8" s="133"/>
      <c r="H8" s="141" t="s">
        <v>25</v>
      </c>
      <c r="I8" s="142"/>
      <c r="J8" s="143"/>
    </row>
    <row r="9" spans="2:10" x14ac:dyDescent="0.3">
      <c r="B9" s="126"/>
      <c r="C9" s="127"/>
      <c r="D9" s="127"/>
      <c r="E9" s="134"/>
      <c r="F9" s="135"/>
      <c r="G9" s="136"/>
      <c r="H9" s="144"/>
      <c r="I9" s="144"/>
      <c r="J9" s="145"/>
    </row>
    <row r="10" spans="2:10" x14ac:dyDescent="0.3">
      <c r="B10" s="128" t="s">
        <v>26</v>
      </c>
      <c r="C10" s="127"/>
      <c r="D10" s="127"/>
      <c r="E10" s="137" t="s">
        <v>27</v>
      </c>
      <c r="F10" s="135"/>
      <c r="G10" s="136"/>
      <c r="H10" s="146">
        <v>3</v>
      </c>
      <c r="I10" s="144"/>
      <c r="J10" s="145"/>
    </row>
    <row r="11" spans="2:10" x14ac:dyDescent="0.3">
      <c r="B11" s="129"/>
      <c r="C11" s="130"/>
      <c r="D11" s="130"/>
      <c r="E11" s="138"/>
      <c r="F11" s="139"/>
      <c r="G11" s="140"/>
      <c r="H11" s="147"/>
      <c r="I11" s="147"/>
      <c r="J11" s="148"/>
    </row>
    <row r="14" spans="2:10" x14ac:dyDescent="0.3">
      <c r="B14" s="104" t="s">
        <v>28</v>
      </c>
      <c r="C14" s="104" t="s">
        <v>31</v>
      </c>
      <c r="D14" s="104" t="s">
        <v>29</v>
      </c>
      <c r="E14" s="121" t="s">
        <v>30</v>
      </c>
      <c r="F14" s="122"/>
      <c r="G14" s="122"/>
    </row>
    <row r="15" spans="2:10" x14ac:dyDescent="0.3">
      <c r="B15" s="105" t="s">
        <v>26</v>
      </c>
      <c r="C15" s="105" t="s">
        <v>32</v>
      </c>
      <c r="D15" s="105" t="str">
        <f t="shared" ref="D15:D18" si="0">B15&amp;C15</f>
        <v>EDH3</v>
      </c>
      <c r="E15" s="123" t="s">
        <v>148</v>
      </c>
      <c r="F15" s="123"/>
      <c r="G15" s="123"/>
    </row>
    <row r="16" spans="2:10" x14ac:dyDescent="0.3">
      <c r="B16" s="105" t="s">
        <v>26</v>
      </c>
      <c r="C16" s="105" t="s">
        <v>33</v>
      </c>
      <c r="D16" s="105" t="str">
        <f t="shared" si="0"/>
        <v>EDM3</v>
      </c>
      <c r="E16" s="123" t="s">
        <v>149</v>
      </c>
      <c r="F16" s="123"/>
      <c r="G16" s="123"/>
    </row>
    <row r="17" spans="2:7" x14ac:dyDescent="0.3">
      <c r="B17" s="105" t="s">
        <v>26</v>
      </c>
      <c r="C17" s="105" t="s">
        <v>34</v>
      </c>
      <c r="D17" s="105" t="str">
        <f t="shared" si="0"/>
        <v>EDU3</v>
      </c>
      <c r="E17" s="123" t="s">
        <v>150</v>
      </c>
      <c r="F17" s="123"/>
      <c r="G17" s="123"/>
    </row>
    <row r="18" spans="2:7" x14ac:dyDescent="0.3">
      <c r="B18" s="105" t="s">
        <v>26</v>
      </c>
      <c r="C18" s="105" t="s">
        <v>35</v>
      </c>
      <c r="D18" s="105" t="str">
        <f t="shared" si="0"/>
        <v>EDZ3</v>
      </c>
      <c r="E18" s="123" t="s">
        <v>151</v>
      </c>
      <c r="F18" s="123"/>
      <c r="G18" s="123"/>
    </row>
    <row r="21" spans="2:7" x14ac:dyDescent="0.3">
      <c r="B21" s="104" t="s">
        <v>28</v>
      </c>
      <c r="C21" s="104" t="s">
        <v>31</v>
      </c>
      <c r="D21" s="104" t="s">
        <v>29</v>
      </c>
      <c r="E21" s="121" t="s">
        <v>30</v>
      </c>
      <c r="F21" s="122"/>
      <c r="G21" s="122"/>
    </row>
    <row r="22" spans="2:7" x14ac:dyDescent="0.3">
      <c r="B22" s="105" t="s">
        <v>44</v>
      </c>
      <c r="C22" s="105" t="s">
        <v>32</v>
      </c>
      <c r="D22" s="105" t="str">
        <f t="shared" ref="D22:D25" si="1">B22&amp;C22</f>
        <v>SR3H3</v>
      </c>
      <c r="E22" s="123" t="s">
        <v>144</v>
      </c>
      <c r="F22" s="123"/>
      <c r="G22" s="123"/>
    </row>
    <row r="23" spans="2:7" x14ac:dyDescent="0.3">
      <c r="B23" s="105" t="s">
        <v>44</v>
      </c>
      <c r="C23" s="105" t="s">
        <v>33</v>
      </c>
      <c r="D23" s="105" t="str">
        <f t="shared" si="1"/>
        <v>SR3M3</v>
      </c>
      <c r="E23" s="123" t="s">
        <v>145</v>
      </c>
      <c r="F23" s="123"/>
      <c r="G23" s="123"/>
    </row>
    <row r="24" spans="2:7" x14ac:dyDescent="0.3">
      <c r="B24" s="105" t="s">
        <v>44</v>
      </c>
      <c r="C24" s="105" t="s">
        <v>34</v>
      </c>
      <c r="D24" s="105" t="str">
        <f t="shared" si="1"/>
        <v>SR3U3</v>
      </c>
      <c r="E24" s="123" t="s">
        <v>146</v>
      </c>
      <c r="F24" s="123"/>
      <c r="G24" s="123"/>
    </row>
    <row r="25" spans="2:7" x14ac:dyDescent="0.3">
      <c r="B25" s="105" t="s">
        <v>44</v>
      </c>
      <c r="C25" s="105" t="s">
        <v>35</v>
      </c>
      <c r="D25" s="105" t="str">
        <f t="shared" si="1"/>
        <v>SR3Z3</v>
      </c>
      <c r="E25" s="123" t="s">
        <v>147</v>
      </c>
      <c r="F25" s="123"/>
      <c r="G25" s="123"/>
    </row>
  </sheetData>
  <mergeCells count="22">
    <mergeCell ref="E14:G14"/>
    <mergeCell ref="E15:G15"/>
    <mergeCell ref="E16:G16"/>
    <mergeCell ref="E17:G17"/>
    <mergeCell ref="E18:G18"/>
    <mergeCell ref="B8:D9"/>
    <mergeCell ref="E8:G9"/>
    <mergeCell ref="H8:J9"/>
    <mergeCell ref="B10:D11"/>
    <mergeCell ref="E10:G11"/>
    <mergeCell ref="H10:J11"/>
    <mergeCell ref="B2:D3"/>
    <mergeCell ref="B4:D5"/>
    <mergeCell ref="E2:G3"/>
    <mergeCell ref="E4:G5"/>
    <mergeCell ref="H2:J3"/>
    <mergeCell ref="H4:J5"/>
    <mergeCell ref="E21:G21"/>
    <mergeCell ref="E22:G22"/>
    <mergeCell ref="E23:G23"/>
    <mergeCell ref="E24:G24"/>
    <mergeCell ref="E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C4B-E0C6-4C42-B716-DBBB47A3AF27}">
  <dimension ref="B2:F22"/>
  <sheetViews>
    <sheetView showGridLines="0" workbookViewId="0"/>
  </sheetViews>
  <sheetFormatPr defaultRowHeight="14.4" x14ac:dyDescent="0.3"/>
  <cols>
    <col min="2" max="2" width="15.88671875" bestFit="1" customWidth="1"/>
    <col min="3" max="3" width="16.33203125" customWidth="1"/>
    <col min="4" max="4" width="14.88671875" customWidth="1"/>
    <col min="5" max="5" width="12.44140625" bestFit="1" customWidth="1"/>
    <col min="6" max="6" width="7.77734375" customWidth="1"/>
  </cols>
  <sheetData>
    <row r="2" spans="2:6" x14ac:dyDescent="0.3">
      <c r="B2" s="98" t="s">
        <v>134</v>
      </c>
      <c r="C2" s="98"/>
    </row>
    <row r="4" spans="2:6" x14ac:dyDescent="0.3">
      <c r="B4" t="s">
        <v>140</v>
      </c>
      <c r="C4" s="8" t="s">
        <v>141</v>
      </c>
    </row>
    <row r="5" spans="2:6" x14ac:dyDescent="0.3">
      <c r="B5" t="s">
        <v>46</v>
      </c>
      <c r="C5" s="99">
        <v>1000000</v>
      </c>
    </row>
    <row r="6" spans="2:6" x14ac:dyDescent="0.3">
      <c r="B6" t="s">
        <v>137</v>
      </c>
      <c r="C6" s="101">
        <v>98.5</v>
      </c>
    </row>
    <row r="7" spans="2:6" x14ac:dyDescent="0.3">
      <c r="B7" t="s">
        <v>73</v>
      </c>
      <c r="C7" s="4">
        <v>0.25</v>
      </c>
    </row>
    <row r="8" spans="2:6" x14ac:dyDescent="0.3">
      <c r="B8" s="103" t="s">
        <v>139</v>
      </c>
      <c r="C8" s="102">
        <v>1E-4</v>
      </c>
    </row>
    <row r="9" spans="2:6" x14ac:dyDescent="0.3">
      <c r="B9" t="s">
        <v>45</v>
      </c>
      <c r="C9" s="4">
        <v>25</v>
      </c>
    </row>
    <row r="11" spans="2:6" x14ac:dyDescent="0.3">
      <c r="B11" s="1" t="s">
        <v>137</v>
      </c>
      <c r="C11" s="1" t="s">
        <v>138</v>
      </c>
      <c r="D11" s="1" t="s">
        <v>135</v>
      </c>
      <c r="E11" s="1" t="s">
        <v>136</v>
      </c>
      <c r="F11" s="1"/>
    </row>
    <row r="12" spans="2:6" x14ac:dyDescent="0.3">
      <c r="B12" s="4">
        <f>B13+Tick_Size*100</f>
        <v>98.550000000000026</v>
      </c>
      <c r="C12" s="4">
        <f>100-B12</f>
        <v>1.4499999999999744</v>
      </c>
      <c r="D12" s="4">
        <f t="shared" ref="D12:D22" si="0">(B12-Futures_Price)*Tick_Value*100</f>
        <v>125.00000000006395</v>
      </c>
      <c r="E12" s="99">
        <f t="shared" ref="E12:E22" si="1">-(B12-Futures_Price)*Tick_Value*100</f>
        <v>-125.00000000006395</v>
      </c>
      <c r="F12" s="99"/>
    </row>
    <row r="13" spans="2:6" x14ac:dyDescent="0.3">
      <c r="B13" s="4">
        <f>B14+Tick_Size*100</f>
        <v>98.54000000000002</v>
      </c>
      <c r="C13" s="4">
        <f t="shared" ref="C13:C22" si="2">100-B13</f>
        <v>1.4599999999999795</v>
      </c>
      <c r="D13" s="4">
        <f t="shared" si="0"/>
        <v>100.00000000005116</v>
      </c>
      <c r="E13" s="99">
        <f t="shared" si="1"/>
        <v>-100.00000000005116</v>
      </c>
      <c r="F13" s="99"/>
    </row>
    <row r="14" spans="2:6" x14ac:dyDescent="0.3">
      <c r="B14" s="4">
        <f>B15+Tick_Size*100</f>
        <v>98.530000000000015</v>
      </c>
      <c r="C14" s="4">
        <f t="shared" si="2"/>
        <v>1.4699999999999847</v>
      </c>
      <c r="D14" s="4">
        <f t="shared" si="0"/>
        <v>75.000000000038369</v>
      </c>
      <c r="E14" s="99">
        <f t="shared" si="1"/>
        <v>-75.000000000038369</v>
      </c>
      <c r="F14" s="99"/>
    </row>
    <row r="15" spans="2:6" x14ac:dyDescent="0.3">
      <c r="B15" s="4">
        <f>B16+Tick_Size*100</f>
        <v>98.52000000000001</v>
      </c>
      <c r="C15" s="4">
        <f t="shared" si="2"/>
        <v>1.4799999999999898</v>
      </c>
      <c r="D15" s="4">
        <f t="shared" si="0"/>
        <v>50.00000000002558</v>
      </c>
      <c r="E15" s="99">
        <f t="shared" si="1"/>
        <v>-50.00000000002558</v>
      </c>
      <c r="F15" s="99"/>
    </row>
    <row r="16" spans="2:6" x14ac:dyDescent="0.3">
      <c r="B16" s="4">
        <f>B17+Tick_Size*100</f>
        <v>98.51</v>
      </c>
      <c r="C16" s="4">
        <f t="shared" si="2"/>
        <v>1.4899999999999949</v>
      </c>
      <c r="D16" s="4">
        <f t="shared" si="0"/>
        <v>25.00000000001279</v>
      </c>
      <c r="E16" s="99">
        <f t="shared" si="1"/>
        <v>-25.00000000001279</v>
      </c>
      <c r="F16" s="99"/>
    </row>
    <row r="17" spans="2:6" x14ac:dyDescent="0.3">
      <c r="B17" s="101">
        <f>Futures_Price</f>
        <v>98.5</v>
      </c>
      <c r="C17" s="101">
        <f t="shared" si="2"/>
        <v>1.5</v>
      </c>
      <c r="D17" s="101">
        <f t="shared" si="0"/>
        <v>0</v>
      </c>
      <c r="E17" s="100">
        <f t="shared" si="1"/>
        <v>0</v>
      </c>
      <c r="F17" s="99"/>
    </row>
    <row r="18" spans="2:6" x14ac:dyDescent="0.3">
      <c r="B18" s="4">
        <f>B17-Tick_Size*100</f>
        <v>98.49</v>
      </c>
      <c r="C18" s="4">
        <f>100-B18</f>
        <v>1.5100000000000051</v>
      </c>
      <c r="D18" s="4">
        <f t="shared" si="0"/>
        <v>-25.00000000001279</v>
      </c>
      <c r="E18" s="99">
        <f t="shared" si="1"/>
        <v>25.00000000001279</v>
      </c>
      <c r="F18" s="99"/>
    </row>
    <row r="19" spans="2:6" x14ac:dyDescent="0.3">
      <c r="B19" s="4">
        <f>B18-Tick_Size*100</f>
        <v>98.47999999999999</v>
      </c>
      <c r="C19" s="4">
        <f t="shared" si="2"/>
        <v>1.5200000000000102</v>
      </c>
      <c r="D19" s="4">
        <f t="shared" si="0"/>
        <v>-50.00000000002558</v>
      </c>
      <c r="E19" s="99">
        <f t="shared" si="1"/>
        <v>50.00000000002558</v>
      </c>
      <c r="F19" s="99"/>
    </row>
    <row r="20" spans="2:6" x14ac:dyDescent="0.3">
      <c r="B20" s="4">
        <f>B19-Tick_Size*100</f>
        <v>98.469999999999985</v>
      </c>
      <c r="C20" s="4">
        <f t="shared" si="2"/>
        <v>1.5300000000000153</v>
      </c>
      <c r="D20" s="4">
        <f t="shared" si="0"/>
        <v>-75.000000000038369</v>
      </c>
      <c r="E20" s="99">
        <f t="shared" si="1"/>
        <v>75.000000000038369</v>
      </c>
      <c r="F20" s="99"/>
    </row>
    <row r="21" spans="2:6" x14ac:dyDescent="0.3">
      <c r="B21" s="4">
        <f>B20-Tick_Size*100</f>
        <v>98.45999999999998</v>
      </c>
      <c r="C21" s="4">
        <f t="shared" si="2"/>
        <v>1.5400000000000205</v>
      </c>
      <c r="D21" s="4">
        <f t="shared" si="0"/>
        <v>-100.00000000005116</v>
      </c>
      <c r="E21" s="99">
        <f t="shared" si="1"/>
        <v>100.00000000005116</v>
      </c>
      <c r="F21" s="99"/>
    </row>
    <row r="22" spans="2:6" x14ac:dyDescent="0.3">
      <c r="B22" s="4">
        <f>B21-Tick_Size*100</f>
        <v>98.449999999999974</v>
      </c>
      <c r="C22" s="4">
        <f t="shared" si="2"/>
        <v>1.5500000000000256</v>
      </c>
      <c r="D22" s="4">
        <f t="shared" si="0"/>
        <v>-125.00000000006395</v>
      </c>
      <c r="E22" s="99">
        <f t="shared" si="1"/>
        <v>125.00000000006395</v>
      </c>
      <c r="F22" s="9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32:B33"/>
  <sheetViews>
    <sheetView showGridLines="0" workbookViewId="0"/>
  </sheetViews>
  <sheetFormatPr defaultRowHeight="14.4" x14ac:dyDescent="0.3"/>
  <sheetData>
    <row r="32" spans="2:2" x14ac:dyDescent="0.3">
      <c r="B32" t="s">
        <v>63</v>
      </c>
    </row>
    <row r="33" spans="2:2" x14ac:dyDescent="0.3">
      <c r="B33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 x14ac:dyDescent="0.3"/>
  <cols>
    <col min="2" max="5" width="13.6640625" customWidth="1"/>
  </cols>
  <sheetData>
    <row r="2" spans="2:7" x14ac:dyDescent="0.3">
      <c r="C2" s="1" t="s">
        <v>133</v>
      </c>
      <c r="D2" s="2">
        <v>5</v>
      </c>
    </row>
    <row r="3" spans="2:7" x14ac:dyDescent="0.3">
      <c r="G3" s="98"/>
    </row>
    <row r="4" spans="2:7" ht="16.2" thickBot="1" x14ac:dyDescent="0.35">
      <c r="B4" s="3" t="s">
        <v>0</v>
      </c>
      <c r="C4" s="3" t="s">
        <v>1</v>
      </c>
      <c r="D4" s="3" t="s">
        <v>2</v>
      </c>
      <c r="E4" s="3" t="s">
        <v>3</v>
      </c>
      <c r="G4" s="98" t="s">
        <v>143</v>
      </c>
    </row>
    <row r="5" spans="2:7" ht="15" thickTop="1" x14ac:dyDescent="0.3">
      <c r="B5" s="1" t="s">
        <v>4</v>
      </c>
      <c r="C5" s="1">
        <v>1</v>
      </c>
      <c r="D5" s="4">
        <f ca="1">2*RAND()*$D$2</f>
        <v>3.8106559132000672E-3</v>
      </c>
      <c r="E5" s="5">
        <f t="shared" ref="E5:E14" ca="1" si="0">(1+C5/360*D5/100)</f>
        <v>1.0000001058515531</v>
      </c>
      <c r="G5" s="10" t="s">
        <v>66</v>
      </c>
    </row>
    <row r="6" spans="2:7" x14ac:dyDescent="0.3">
      <c r="B6" s="1" t="s">
        <v>5</v>
      </c>
      <c r="C6" s="1">
        <v>1</v>
      </c>
      <c r="D6" s="4">
        <f t="shared" ref="D6:D14" ca="1" si="1">2*RAND()*$D$2</f>
        <v>8.1891728623348676</v>
      </c>
      <c r="E6" s="5">
        <f t="shared" ca="1" si="0"/>
        <v>1.0002274770239536</v>
      </c>
      <c r="G6" s="9"/>
    </row>
    <row r="7" spans="2:7" x14ac:dyDescent="0.3">
      <c r="B7" s="1" t="s">
        <v>6</v>
      </c>
      <c r="C7" s="1">
        <v>1</v>
      </c>
      <c r="D7" s="4">
        <f t="shared" ca="1" si="1"/>
        <v>0.21205582677847001</v>
      </c>
      <c r="E7" s="5">
        <f t="shared" ca="1" si="0"/>
        <v>1.0000058904396327</v>
      </c>
    </row>
    <row r="8" spans="2:7" x14ac:dyDescent="0.3">
      <c r="B8" s="1" t="s">
        <v>7</v>
      </c>
      <c r="C8" s="1">
        <v>1</v>
      </c>
      <c r="D8" s="4">
        <f t="shared" ca="1" si="1"/>
        <v>8.5230093476630699</v>
      </c>
      <c r="E8" s="5">
        <f t="shared" ca="1" si="0"/>
        <v>1.0002367502596574</v>
      </c>
    </row>
    <row r="9" spans="2:7" x14ac:dyDescent="0.3">
      <c r="B9" s="1" t="s">
        <v>8</v>
      </c>
      <c r="C9" s="1">
        <v>3</v>
      </c>
      <c r="D9" s="4">
        <f t="shared" ca="1" si="1"/>
        <v>3.7498199908231489</v>
      </c>
      <c r="E9" s="5">
        <f t="shared" ca="1" si="0"/>
        <v>1.0003124849992353</v>
      </c>
    </row>
    <row r="10" spans="2:7" x14ac:dyDescent="0.3">
      <c r="B10" s="1" t="s">
        <v>4</v>
      </c>
      <c r="C10" s="1">
        <v>1</v>
      </c>
      <c r="D10" s="4">
        <f t="shared" ca="1" si="1"/>
        <v>5.3634112522896107</v>
      </c>
      <c r="E10" s="5">
        <f t="shared" ca="1" si="0"/>
        <v>1.000148983645897</v>
      </c>
    </row>
    <row r="11" spans="2:7" x14ac:dyDescent="0.3">
      <c r="B11" s="1" t="s">
        <v>5</v>
      </c>
      <c r="C11" s="1">
        <v>1</v>
      </c>
      <c r="D11" s="4">
        <f t="shared" ca="1" si="1"/>
        <v>5.6450292088425797</v>
      </c>
      <c r="E11" s="5">
        <f t="shared" ca="1" si="0"/>
        <v>1.0001568063669124</v>
      </c>
    </row>
    <row r="12" spans="2:7" x14ac:dyDescent="0.3">
      <c r="B12" s="1" t="s">
        <v>6</v>
      </c>
      <c r="C12" s="1">
        <v>1</v>
      </c>
      <c r="D12" s="4">
        <f t="shared" ca="1" si="1"/>
        <v>6.8825565779408215</v>
      </c>
      <c r="E12" s="5">
        <f t="shared" ca="1" si="0"/>
        <v>1.000191182127165</v>
      </c>
    </row>
    <row r="13" spans="2:7" x14ac:dyDescent="0.3">
      <c r="B13" s="1" t="s">
        <v>7</v>
      </c>
      <c r="C13" s="1">
        <v>1</v>
      </c>
      <c r="D13" s="4">
        <f t="shared" ca="1" si="1"/>
        <v>7.4327579789014608</v>
      </c>
      <c r="E13" s="5">
        <f t="shared" ca="1" si="0"/>
        <v>1.0002064654994138</v>
      </c>
      <c r="G13" s="98" t="s">
        <v>142</v>
      </c>
    </row>
    <row r="14" spans="2:7" x14ac:dyDescent="0.3">
      <c r="B14" s="1" t="s">
        <v>8</v>
      </c>
      <c r="C14" s="1">
        <v>3</v>
      </c>
      <c r="D14" s="4">
        <f t="shared" ca="1" si="1"/>
        <v>1.6506765863540662</v>
      </c>
      <c r="E14" s="5">
        <f t="shared" ca="1" si="0"/>
        <v>1.0001375563821961</v>
      </c>
      <c r="G14" s="11" t="s">
        <v>21</v>
      </c>
    </row>
    <row r="15" spans="2:7" x14ac:dyDescent="0.3">
      <c r="G15" s="10" t="s">
        <v>22</v>
      </c>
    </row>
    <row r="16" spans="2:7" ht="15.6" x14ac:dyDescent="0.3">
      <c r="C16" s="1" t="s">
        <v>9</v>
      </c>
      <c r="D16" s="1" t="s">
        <v>10</v>
      </c>
      <c r="E16" s="1" t="s">
        <v>3</v>
      </c>
    </row>
    <row r="17" spans="3:5" ht="15" thickBot="1" x14ac:dyDescent="0.35">
      <c r="C17" s="3">
        <f>SUM(C5:C15)</f>
        <v>14</v>
      </c>
      <c r="D17" s="6">
        <f ca="1">SUMPRODUCT(D5:D14,C5:C14)/C17</f>
        <v>4.1752352458711233</v>
      </c>
      <c r="E17" s="6">
        <f ca="1">(PRODUCT(E5:E15)-1)*(360/C17)*100</f>
        <v>4.1781756225674247</v>
      </c>
    </row>
    <row r="18" spans="3:5" ht="15" thickTop="1" x14ac:dyDescent="0.3"/>
    <row r="19" spans="3:5" x14ac:dyDescent="0.3">
      <c r="C19" s="8" t="s">
        <v>11</v>
      </c>
      <c r="D19" s="1" t="s">
        <v>12</v>
      </c>
      <c r="E19" s="1" t="s">
        <v>13</v>
      </c>
    </row>
    <row r="20" spans="3:5" x14ac:dyDescent="0.3">
      <c r="C20" s="8" t="s">
        <v>14</v>
      </c>
      <c r="D20" s="7" t="s">
        <v>15</v>
      </c>
      <c r="E20" s="7" t="s">
        <v>16</v>
      </c>
    </row>
    <row r="22" spans="3:5" ht="15.6" x14ac:dyDescent="0.3">
      <c r="C22" s="1" t="s">
        <v>17</v>
      </c>
      <c r="D22" s="1" t="s">
        <v>18</v>
      </c>
      <c r="E22" s="1" t="s">
        <v>19</v>
      </c>
    </row>
    <row r="23" spans="3:5" ht="15" thickBot="1" x14ac:dyDescent="0.35">
      <c r="C23" s="1" t="s">
        <v>20</v>
      </c>
      <c r="D23" s="6">
        <f ca="1">100-D17</f>
        <v>95.824764754128879</v>
      </c>
      <c r="E23" s="6">
        <f ca="1">100-E17</f>
        <v>95.821824377432577</v>
      </c>
    </row>
    <row r="24" spans="3:5" ht="15" thickTop="1" x14ac:dyDescent="0.3"/>
  </sheetData>
  <hyperlinks>
    <hyperlink ref="G15" r:id="rId1" xr:uid="{00000000-0004-0000-0000-000000000000}"/>
    <hyperlink ref="G14" r:id="rId2" xr:uid="{00000000-0004-0000-0000-000001000000}"/>
    <hyperlink ref="G5" r:id="rId3" xr:uid="{3E84BDDD-D732-4F2E-BFD9-7434E8E1923F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Contracts &amp; Margin</vt:lpstr>
      <vt:lpstr>Trading</vt:lpstr>
      <vt:lpstr>Tickers</vt:lpstr>
      <vt:lpstr>Payoff</vt:lpstr>
      <vt:lpstr>USD 3M SOFR Futures</vt:lpstr>
      <vt:lpstr>Compound Interest</vt:lpstr>
      <vt:lpstr>Contract_Size</vt:lpstr>
      <vt:lpstr>Futures_Price</vt:lpstr>
      <vt:lpstr>FuturesTable</vt:lpstr>
      <vt:lpstr>FuturesTickers</vt:lpstr>
      <vt:lpstr>InitialMargin</vt:lpstr>
      <vt:lpstr>Notional</vt:lpstr>
      <vt:lpstr>Tick_Size</vt:lpstr>
      <vt:lpstr>Tick_Value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2022-07-01T17:32:30Z</dcterms:modified>
</cp:coreProperties>
</file>