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OOK\.SWAPS_BOOK\03 Products &amp; Pricing\09 Futures\"/>
    </mc:Choice>
  </mc:AlternateContent>
  <xr:revisionPtr revIDLastSave="0" documentId="13_ncr:1_{AAD6A25A-4F51-4DD6-B914-F50E5D2DCE97}" xr6:coauthVersionLast="47" xr6:coauthVersionMax="47" xr10:uidLastSave="{00000000-0000-0000-0000-000000000000}"/>
  <bookViews>
    <workbookView xWindow="-108" yWindow="-108" windowWidth="23256" windowHeight="12456" tabRatio="731" xr2:uid="{00000000-000D-0000-FFFF-FFFF00000000}"/>
  </bookViews>
  <sheets>
    <sheet name="Contracts &amp; Margin" sheetId="3" r:id="rId1"/>
    <sheet name="Trading" sheetId="5" r:id="rId2"/>
    <sheet name="Hedging" sheetId="8" r:id="rId3"/>
    <sheet name="Tickers" sheetId="2" r:id="rId4"/>
    <sheet name="Payoff" sheetId="7" r:id="rId5"/>
    <sheet name="USD 3M SOFR Futures Chain" sheetId="4" r:id="rId6"/>
    <sheet name="Compound Interest" sheetId="1" r:id="rId7"/>
  </sheets>
  <definedNames>
    <definedName name="Contract_Size">Payoff!$C$5</definedName>
    <definedName name="Futures_Price">Payoff!$C$6</definedName>
    <definedName name="FuturesTable">'Contracts &amp; Margin'!$H$9:$Q$16</definedName>
    <definedName name="FuturesTickers">'Contracts &amp; Margin'!$H$9:$H$16</definedName>
    <definedName name="InitialMargin">Trading!$C$6</definedName>
    <definedName name="Notional">Payoff!$C$5</definedName>
    <definedName name="Tick_Size">Payoff!$C$8</definedName>
    <definedName name="Tick_Value">Payoff!$C$9</definedName>
    <definedName name="Ticker">'Contracts &amp; Margin'!$C$2</definedName>
    <definedName name="TickValue">'Contracts &amp; Margin'!$C$5</definedName>
  </definedNames>
  <calcPr calcId="191029" calcCompleted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8" l="1"/>
  <c r="H8" i="8"/>
  <c r="J8" i="8"/>
  <c r="H9" i="8"/>
  <c r="C15" i="8"/>
  <c r="E10" i="8"/>
  <c r="E9" i="8"/>
  <c r="E8" i="8"/>
  <c r="C14" i="8"/>
  <c r="C13" i="8"/>
  <c r="D25" i="2"/>
  <c r="D24" i="2"/>
  <c r="D23" i="2"/>
  <c r="D22" i="2"/>
  <c r="B17" i="7"/>
  <c r="C17" i="7"/>
  <c r="H13" i="8"/>
  <c r="E17" i="7"/>
  <c r="B16" i="7"/>
  <c r="E16" i="7"/>
  <c r="D17" i="7"/>
  <c r="B18" i="7"/>
  <c r="E18" i="7"/>
  <c r="C18" i="7"/>
  <c r="B19" i="7"/>
  <c r="E19" i="7"/>
  <c r="D18" i="7"/>
  <c r="B15" i="7"/>
  <c r="E15" i="7"/>
  <c r="D16" i="7"/>
  <c r="C16" i="7"/>
  <c r="D15" i="7"/>
  <c r="C15" i="7"/>
  <c r="B14" i="7"/>
  <c r="E14" i="7"/>
  <c r="C19" i="7"/>
  <c r="D19" i="7"/>
  <c r="B20" i="7"/>
  <c r="E20" i="7"/>
  <c r="D20" i="7"/>
  <c r="C20" i="7"/>
  <c r="B21" i="7"/>
  <c r="E21" i="7"/>
  <c r="C14" i="7"/>
  <c r="D14" i="7"/>
  <c r="B13" i="7"/>
  <c r="E13" i="7"/>
  <c r="C13" i="7"/>
  <c r="D13" i="7"/>
  <c r="B12" i="7"/>
  <c r="D21" i="7"/>
  <c r="C21" i="7"/>
  <c r="B22" i="7"/>
  <c r="E22" i="7"/>
  <c r="E23" i="5"/>
  <c r="D23" i="5"/>
  <c r="I18" i="5"/>
  <c r="I15" i="5"/>
  <c r="I14" i="5"/>
  <c r="J16" i="5"/>
  <c r="I12" i="5"/>
  <c r="J13" i="5"/>
  <c r="I10" i="5"/>
  <c r="J11" i="5"/>
  <c r="J9" i="5"/>
  <c r="L9" i="5"/>
  <c r="C5" i="5"/>
  <c r="C6" i="5"/>
  <c r="C4" i="5"/>
  <c r="C3" i="5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C5" i="3"/>
  <c r="C4" i="3"/>
  <c r="C3" i="3"/>
  <c r="C26" i="3"/>
  <c r="D15" i="2"/>
  <c r="D16" i="2"/>
  <c r="D17" i="2"/>
  <c r="D18" i="2"/>
  <c r="E12" i="7"/>
  <c r="C12" i="7"/>
  <c r="D22" i="7"/>
  <c r="C22" i="7"/>
  <c r="D12" i="7"/>
  <c r="F10" i="5"/>
  <c r="F11" i="5"/>
  <c r="F12" i="5"/>
  <c r="F13" i="5"/>
  <c r="F14" i="5"/>
  <c r="F15" i="5"/>
  <c r="F16" i="5"/>
  <c r="F17" i="5"/>
  <c r="F18" i="5"/>
  <c r="L10" i="5"/>
  <c r="L11" i="5"/>
  <c r="L12" i="5"/>
  <c r="L13" i="5"/>
  <c r="L14" i="5"/>
  <c r="L15" i="5"/>
  <c r="L16" i="5"/>
  <c r="L17" i="5"/>
  <c r="L18" i="5"/>
  <c r="L19" i="5"/>
  <c r="I23" i="5"/>
  <c r="J23" i="5"/>
  <c r="C25" i="3"/>
  <c r="C27" i="3"/>
  <c r="E17" i="3"/>
  <c r="E18" i="3"/>
  <c r="C17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21" i="3"/>
  <c r="E19" i="3"/>
  <c r="D17" i="1"/>
  <c r="D23" i="1"/>
  <c r="E5" i="1"/>
  <c r="E17" i="1"/>
  <c r="E23" i="1"/>
  <c r="E20" i="3"/>
  <c r="E22" i="3"/>
  <c r="E11" i="3"/>
  <c r="E12" i="3"/>
  <c r="E13" i="3"/>
  <c r="E14" i="3"/>
  <c r="E15" i="3"/>
  <c r="E16" i="3"/>
  <c r="E10" i="3"/>
  <c r="E9" i="3"/>
  <c r="E26" i="3"/>
</calcChain>
</file>

<file path=xl/sharedStrings.xml><?xml version="1.0" encoding="utf-8"?>
<sst xmlns="http://schemas.openxmlformats.org/spreadsheetml/2006/main" count="484" uniqueCount="292">
  <si>
    <t>Weekday</t>
  </si>
  <si>
    <t>d</t>
  </si>
  <si>
    <t>r %</t>
  </si>
  <si>
    <r>
      <t>R</t>
    </r>
    <r>
      <rPr>
        <vertAlign val="subscript"/>
        <sz val="11"/>
        <color theme="1"/>
        <rFont val="Calibri"/>
        <family val="2"/>
        <scheme val="minor"/>
      </rPr>
      <t>G</t>
    </r>
  </si>
  <si>
    <t>Mon</t>
  </si>
  <si>
    <t>Tues</t>
  </si>
  <si>
    <t>Wed</t>
  </si>
  <si>
    <t>Thurs</t>
  </si>
  <si>
    <t>Fri</t>
  </si>
  <si>
    <t>nDays</t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</si>
  <si>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</si>
  <si>
    <t>Frequency</t>
  </si>
  <si>
    <t>Monthly</t>
  </si>
  <si>
    <t>Quarterly</t>
  </si>
  <si>
    <t>Compounding</t>
  </si>
  <si>
    <t>Arithmetic</t>
  </si>
  <si>
    <t>Geometric</t>
  </si>
  <si>
    <t>Future</t>
  </si>
  <si>
    <r>
      <t>F</t>
    </r>
    <r>
      <rPr>
        <vertAlign val="subscript"/>
        <sz val="11"/>
        <color theme="1"/>
        <rFont val="Calibri"/>
        <family val="2"/>
        <scheme val="minor"/>
      </rPr>
      <t>A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</si>
  <si>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</si>
  <si>
    <t>Quote</t>
  </si>
  <si>
    <t>https://www.cmegroup.com/markets/interest-rates/stirs/eurodollar.contractSpecs.html</t>
  </si>
  <si>
    <t>https://www.cmegroup.com/education/files/sofr-futures-contract-specifications.pdf</t>
  </si>
  <si>
    <t>Product Code</t>
  </si>
  <si>
    <t>Month Code</t>
  </si>
  <si>
    <t>Year Code</t>
  </si>
  <si>
    <t>ED</t>
  </si>
  <si>
    <t>Z</t>
  </si>
  <si>
    <t>Product</t>
  </si>
  <si>
    <t>Ticker</t>
  </si>
  <si>
    <t>Description</t>
  </si>
  <si>
    <t>Expiry</t>
  </si>
  <si>
    <t>H3</t>
  </si>
  <si>
    <t>M3</t>
  </si>
  <si>
    <t>U3</t>
  </si>
  <si>
    <t>Z3</t>
  </si>
  <si>
    <t>Date</t>
  </si>
  <si>
    <t>Margin</t>
  </si>
  <si>
    <t>-</t>
  </si>
  <si>
    <t>Price (bps)</t>
  </si>
  <si>
    <t>TickValue</t>
  </si>
  <si>
    <t>ContractSize</t>
  </si>
  <si>
    <t>+/-</t>
  </si>
  <si>
    <t>SR1</t>
  </si>
  <si>
    <t>SR3</t>
  </si>
  <si>
    <t>Tick Value</t>
  </si>
  <si>
    <t>Contract Size</t>
  </si>
  <si>
    <t>USD 3M LIBOR Futures</t>
  </si>
  <si>
    <t>USD 1M SOFR Futures</t>
  </si>
  <si>
    <t>USD 3M SOFR Futures</t>
  </si>
  <si>
    <t>GBP 3M LIBOR Futures</t>
  </si>
  <si>
    <t>GBP 3M SONIA Futures</t>
  </si>
  <si>
    <t>EUR 3M LIBOR Futures</t>
  </si>
  <si>
    <t>EUR 1M ESTR Futures</t>
  </si>
  <si>
    <t>JPY 3M TIBOR Futures</t>
  </si>
  <si>
    <t>SO3</t>
  </si>
  <si>
    <t>CCY</t>
  </si>
  <si>
    <t>USD</t>
  </si>
  <si>
    <t>GBP</t>
  </si>
  <si>
    <t>EUR</t>
  </si>
  <si>
    <t>JPY</t>
  </si>
  <si>
    <t>EON</t>
  </si>
  <si>
    <t>L</t>
  </si>
  <si>
    <t>Simple</t>
  </si>
  <si>
    <t>SOFR Settlement Calculation</t>
  </si>
  <si>
    <t>https://www.cmegroup.com/education/files/sofr-futures-settlement-calculation-methodologies.pdf</t>
  </si>
  <si>
    <t>Term Rate</t>
  </si>
  <si>
    <r>
      <t>Tick Value</t>
    </r>
    <r>
      <rPr>
        <vertAlign val="superscript"/>
        <sz val="12"/>
        <color theme="0"/>
        <rFont val="Calibri"/>
        <family val="2"/>
        <scheme val="minor"/>
      </rPr>
      <t>1</t>
    </r>
  </si>
  <si>
    <t>http://www.yieldcurve.com/Mktresearch/LearningCurve/InterestRateFutures.pdf</t>
  </si>
  <si>
    <t>ER</t>
  </si>
  <si>
    <t>IT</t>
  </si>
  <si>
    <t>Tick Value Calculation</t>
  </si>
  <si>
    <t>Contract Period</t>
  </si>
  <si>
    <t>3M</t>
  </si>
  <si>
    <t>1M</t>
  </si>
  <si>
    <t>Net Margin</t>
  </si>
  <si>
    <t>Futures Ticker</t>
  </si>
  <si>
    <t>Start Price</t>
  </si>
  <si>
    <t>Current Price</t>
  </si>
  <si>
    <t>https://www.barchart.com/futures/quotes/SQ*0/futures-prices</t>
  </si>
  <si>
    <t>Excellent Futures Training Guide</t>
  </si>
  <si>
    <t>Futures Charting</t>
  </si>
  <si>
    <t>Futures Contract Specifications</t>
  </si>
  <si>
    <t>https://www.barchart.com/futures/contract-specifications/financials</t>
  </si>
  <si>
    <t>Useful Links</t>
  </si>
  <si>
    <r>
      <t>Tick Value = Contract Size x Contract Period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x 1 bps</t>
    </r>
  </si>
  <si>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Contract period in years is computed using 30/360 daycount basis to give a regular constant contract periods e.g. 3M = (90/360) = 0.25</t>
    </r>
  </si>
  <si>
    <t>e.g. Tick Value(ED) = USD 1,000,000 * 0.25 * 0.01% = USD 25.00</t>
  </si>
  <si>
    <t>Position</t>
  </si>
  <si>
    <t>Cash Flow</t>
  </si>
  <si>
    <t>Initial Margin</t>
  </si>
  <si>
    <t>Profit / Loss</t>
  </si>
  <si>
    <t>Margin Account</t>
  </si>
  <si>
    <t>Initial Margin: 10 x 2,500
= (25,000) Pay</t>
  </si>
  <si>
    <t>0 Futures</t>
  </si>
  <si>
    <t>Margin Account Balance</t>
  </si>
  <si>
    <t>Net Position</t>
  </si>
  <si>
    <t>Net P&amp;L</t>
  </si>
  <si>
    <t>Net Cash Flows</t>
  </si>
  <si>
    <t>Margin Balance</t>
  </si>
  <si>
    <t>Futures Profit / Loss Formula</t>
  </si>
  <si>
    <t>P&amp;L, Cash Flow and Margin Calculations</t>
  </si>
  <si>
    <t>per bps</t>
  </si>
  <si>
    <t>Open Position
Pay Initial Margin</t>
  </si>
  <si>
    <t>Profit
Receive Margin</t>
  </si>
  <si>
    <t>Loss
Margin Call</t>
  </si>
  <si>
    <t>Partial Close Position
Receive Initial Margin</t>
  </si>
  <si>
    <t>Fully Close Position
Receive Margin Balance</t>
  </si>
  <si>
    <t>Cash Flow Description</t>
  </si>
  <si>
    <t>per contract</t>
  </si>
  <si>
    <t>Futures Daily Variation Margin</t>
  </si>
  <si>
    <t>( 9942 - 9910 ) x 25 x 10
= 8,000 Profit</t>
  </si>
  <si>
    <t>( 9932 - 9942 ) x 25 x 10
= (2,500) Loss</t>
  </si>
  <si>
    <t>( 9927 - 9932 ) x 25 x 6
= (750) Loss</t>
  </si>
  <si>
    <t>( 9925 - 9932 ) x 25 x 4
= (700) Loss</t>
  </si>
  <si>
    <t>( 9938 - 9925 ) x 25 x 4
= 1,300 Profit</t>
  </si>
  <si>
    <t>Variation Margin:
8,000 Receive</t>
  </si>
  <si>
    <t>Variation Margin:
(2,500) Pay</t>
  </si>
  <si>
    <t>Variation Margin:
= -750 - 700
= (1,450) Pay</t>
  </si>
  <si>
    <t>Initial Margin: 6 x 2,500
= 15,000 Receive</t>
  </si>
  <si>
    <t>Closing of Position
Return of Margin Balance
11,300 Receive</t>
  </si>
  <si>
    <t>Day One</t>
  </si>
  <si>
    <t>Day Two</t>
  </si>
  <si>
    <t>Day Three</t>
  </si>
  <si>
    <t>Day Four</t>
  </si>
  <si>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The tick value per basis point (bps), also known as the basis point value (BPV)</t>
    </r>
  </si>
  <si>
    <t>rate, r</t>
  </si>
  <si>
    <t>Payoff Diagrams</t>
  </si>
  <si>
    <t>Long Future</t>
  </si>
  <si>
    <t>Short Future</t>
  </si>
  <si>
    <t>Futures Price</t>
  </si>
  <si>
    <t>Interest Rate</t>
  </si>
  <si>
    <t>Tick Size</t>
  </si>
  <si>
    <t>Futures Contract</t>
  </si>
  <si>
    <t>USD SOFR 3M (SR3)</t>
  </si>
  <si>
    <t>USD Eurodollar and RFR Futures Specifications</t>
  </si>
  <si>
    <t>USD SOFR Term Rates - Geometric Compounding &amp; Arithmetic Averaging</t>
  </si>
  <si>
    <t>RFR USD 3M SOFR Futures MAR-2023</t>
  </si>
  <si>
    <t>RFR USD 3M SOFR Futures JUN-2023</t>
  </si>
  <si>
    <t>RFR USD 3M SOFR Futures SEP-2023</t>
  </si>
  <si>
    <t>RFR USD 3M SOFR Futures DEC-2023</t>
  </si>
  <si>
    <t>Eurodollar USD 3M LIBOR Futures MAR-2023</t>
  </si>
  <si>
    <t>Eurodollar USD 3M LIBOR Futures JUN-2023</t>
  </si>
  <si>
    <t>Eurodollar USD 3M LIBOR Futures SEP-2023</t>
  </si>
  <si>
    <t>Eurodollar USD 3M LIBOR Futures DEC-2023</t>
  </si>
  <si>
    <t>MONTH</t>
  </si>
  <si>
    <t>CHANGE</t>
  </si>
  <si>
    <t>OPEN</t>
  </si>
  <si>
    <t>HIGH</t>
  </si>
  <si>
    <t>LOW</t>
  </si>
  <si>
    <t>VOLUME</t>
  </si>
  <si>
    <t>SR3M2</t>
  </si>
  <si>
    <t>-0.005 (-0.01%)</t>
  </si>
  <si>
    <t>SR3U2</t>
  </si>
  <si>
    <t>+0.015 (+0.02%)</t>
  </si>
  <si>
    <t>SR3Z2</t>
  </si>
  <si>
    <t>+0.04 (+0.04%)</t>
  </si>
  <si>
    <t>SR3H3</t>
  </si>
  <si>
    <t>+0.105 (+0.11%)</t>
  </si>
  <si>
    <t>SR3M3</t>
  </si>
  <si>
    <t>+0.145 (+0.15%)</t>
  </si>
  <si>
    <t>SR3U3</t>
  </si>
  <si>
    <t>+0.18 (+0.19%)</t>
  </si>
  <si>
    <t>SR3Z3</t>
  </si>
  <si>
    <t>+0.20 (+0.21%)</t>
  </si>
  <si>
    <t>SR3H4</t>
  </si>
  <si>
    <t>+0.21 (+0.22%)</t>
  </si>
  <si>
    <t>SR3M4</t>
  </si>
  <si>
    <t>+0.225 (+0.23%)</t>
  </si>
  <si>
    <t>SR3U4</t>
  </si>
  <si>
    <t>SR3Z4</t>
  </si>
  <si>
    <t>+0.195 (+0.20%)</t>
  </si>
  <si>
    <t>SR3H5</t>
  </si>
  <si>
    <t>+0.175 (+0.18%)</t>
  </si>
  <si>
    <t>SR3M5</t>
  </si>
  <si>
    <t>+0.155 (+0.16%)</t>
  </si>
  <si>
    <t>SR3U5</t>
  </si>
  <si>
    <t>+0.14 (+0.14%)</t>
  </si>
  <si>
    <t>SR3Z5</t>
  </si>
  <si>
    <t>+0.12 (+0.12%)</t>
  </si>
  <si>
    <t>SR3H6</t>
  </si>
  <si>
    <t>+0.10 (+0.10%)</t>
  </si>
  <si>
    <t>SR3M6</t>
  </si>
  <si>
    <t>+0.085 (+0.09%)</t>
  </si>
  <si>
    <t>SR3U6</t>
  </si>
  <si>
    <t>+0.08 (+0.08%)</t>
  </si>
  <si>
    <t>SR3Z6</t>
  </si>
  <si>
    <t>+0.07 (+0.07%)</t>
  </si>
  <si>
    <t>SR3H7</t>
  </si>
  <si>
    <t>+0.06 (+0.06%)</t>
  </si>
  <si>
    <t>SR3M7</t>
  </si>
  <si>
    <t>+0.05 (+0.05%)</t>
  </si>
  <si>
    <t>SR3U7</t>
  </si>
  <si>
    <t>SR3Z7</t>
  </si>
  <si>
    <t>SR3H8</t>
  </si>
  <si>
    <t>SR3M8</t>
  </si>
  <si>
    <t>SR3U8</t>
  </si>
  <si>
    <t>SR3Z8</t>
  </si>
  <si>
    <t>SR3H9</t>
  </si>
  <si>
    <t>SR3M9</t>
  </si>
  <si>
    <t>SR3U9</t>
  </si>
  <si>
    <t>SR3Z9</t>
  </si>
  <si>
    <t>SR3H0</t>
  </si>
  <si>
    <t>SR3M0</t>
  </si>
  <si>
    <t>SR3U0</t>
  </si>
  <si>
    <t>SR3Z0</t>
  </si>
  <si>
    <t>SR3H1</t>
  </si>
  <si>
    <t>SR3M1</t>
  </si>
  <si>
    <t>SR3U1</t>
  </si>
  <si>
    <t>SR3Z1</t>
  </si>
  <si>
    <t>https://www.cmegroup.com/markets/interest-rates/stirs/three-month-sofr.quotes.html</t>
  </si>
  <si>
    <t>CME Futures Quotes</t>
  </si>
  <si>
    <t>LAST PRICE</t>
  </si>
  <si>
    <t>TICKER</t>
  </si>
  <si>
    <t>PRIOR PRICE</t>
  </si>
  <si>
    <t>JUN-22</t>
  </si>
  <si>
    <t>SEP-22</t>
  </si>
  <si>
    <t>DEC-22</t>
  </si>
  <si>
    <t>MAR-23</t>
  </si>
  <si>
    <t>JUN-23</t>
  </si>
  <si>
    <t>SEP-23</t>
  </si>
  <si>
    <t>DEC-23</t>
  </si>
  <si>
    <t>MAR-24</t>
  </si>
  <si>
    <t>JUN-24</t>
  </si>
  <si>
    <t>SEP-24</t>
  </si>
  <si>
    <t>DEC-24</t>
  </si>
  <si>
    <t>MAR-25</t>
  </si>
  <si>
    <t>JUN-25</t>
  </si>
  <si>
    <t>SEP-25</t>
  </si>
  <si>
    <t>DEC-25</t>
  </si>
  <si>
    <t>MAR-26</t>
  </si>
  <si>
    <t>JUN-26</t>
  </si>
  <si>
    <t>SEP-26</t>
  </si>
  <si>
    <t>DEC-26</t>
  </si>
  <si>
    <t>MAR-27</t>
  </si>
  <si>
    <t>JUN-27</t>
  </si>
  <si>
    <t>SEP-27</t>
  </si>
  <si>
    <t>DEC-27</t>
  </si>
  <si>
    <t>MAR-28</t>
  </si>
  <si>
    <t>JUN-28</t>
  </si>
  <si>
    <t>SEP-28</t>
  </si>
  <si>
    <t>DEC-28</t>
  </si>
  <si>
    <t>MAR-29</t>
  </si>
  <si>
    <t>JUN-29</t>
  </si>
  <si>
    <t>SEP-29</t>
  </si>
  <si>
    <t>DEC-29</t>
  </si>
  <si>
    <t>MAR-30</t>
  </si>
  <si>
    <t>JUN-30</t>
  </si>
  <si>
    <t>SEP-30</t>
  </si>
  <si>
    <t>DEC-30</t>
  </si>
  <si>
    <t>MAR-31</t>
  </si>
  <si>
    <t>JUN-31</t>
  </si>
  <si>
    <t>SEP-31</t>
  </si>
  <si>
    <t>DEC-31</t>
  </si>
  <si>
    <t>COLOUR</t>
  </si>
  <si>
    <t>WHITE</t>
  </si>
  <si>
    <t>RED</t>
  </si>
  <si>
    <t>GREEN</t>
  </si>
  <si>
    <t>BLUE</t>
  </si>
  <si>
    <t>GOLD</t>
  </si>
  <si>
    <t>PURPLE</t>
  </si>
  <si>
    <t>ORANGE</t>
  </si>
  <si>
    <t>PINK</t>
  </si>
  <si>
    <t>SILVER</t>
  </si>
  <si>
    <t>COPPER</t>
  </si>
  <si>
    <t>Futures Chain: Three-Month SOFR Futures</t>
  </si>
  <si>
    <t>Hedge</t>
  </si>
  <si>
    <t>Rate</t>
  </si>
  <si>
    <t>Days</t>
  </si>
  <si>
    <t>Year Fraction</t>
  </si>
  <si>
    <t>Loan 6m</t>
  </si>
  <si>
    <t>Funding 3m</t>
  </si>
  <si>
    <t>Breakeven</t>
  </si>
  <si>
    <t>Futures Hedge</t>
  </si>
  <si>
    <t>Carry</t>
  </si>
  <si>
    <t>Price</t>
  </si>
  <si>
    <t>Sell Future (Entry)</t>
  </si>
  <si>
    <t>Buy Future (Close)</t>
  </si>
  <si>
    <t>Quantity</t>
  </si>
  <si>
    <t>Amount</t>
  </si>
  <si>
    <t>Position P&amp;L</t>
  </si>
  <si>
    <t>Hedge P&amp;L</t>
  </si>
  <si>
    <t>Rollover Funding</t>
  </si>
  <si>
    <t>Entry</t>
  </si>
  <si>
    <t>Close</t>
  </si>
  <si>
    <t>Loan Position</t>
  </si>
  <si>
    <t>Buy 10 Futures
@ 9910</t>
  </si>
  <si>
    <t>Settlement Price
@ 9942</t>
  </si>
  <si>
    <t>Settlement Price
@ 9932</t>
  </si>
  <si>
    <t>Sell 6 Futures
@ 9927</t>
  </si>
  <si>
    <t>Settlement Price
@ 9925</t>
  </si>
  <si>
    <t>Sell 4 Futures
@ 9938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</si>
</sst>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00"/>
    <numFmt numFmtId="165" formatCode="#,##0.0000"/>
    <numFmt numFmtId="166" formatCode="ddd\,\ d\-mmm\-yy"/>
    <numFmt numFmtId="167" formatCode="_+#,##0\ &quot;CR&quot;;_-#,##0\ &quot;DR&quot;;\ 0"/>
    <numFmt numFmtId="168" formatCode="_+##,##0;_-\(#,##0\);0"/>
    <numFmt numFmtId="169" formatCode="_+#,##0;_-\(#,##0\)"/>
    <numFmt numFmtId="170" formatCode="0.000%"/>
  </numFmts>
  <fonts count="37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 Narrow"/>
      <family val="2"/>
    </font>
    <font>
      <b/>
      <sz val="14"/>
      <name val="Arial Narrow"/>
      <family val="2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rgb="FF0000FF"/>
      <name val="Calibri"/>
      <family val="2"/>
      <scheme val="minor"/>
    </font>
    <font>
      <u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rgb="FFC2CACE"/>
      <name val="Averta-Regular"/>
    </font>
    <font>
      <sz val="10"/>
      <color rgb="FF25323C"/>
      <name val="Roboto-Mono-Regular"/>
    </font>
    <font>
      <sz val="10"/>
      <color rgb="FF0000FF"/>
      <name val="Roboto-Mono-Regular"/>
    </font>
    <font>
      <sz val="10"/>
      <color rgb="FFFF0000"/>
      <name val="Roboto-Mono-Regular"/>
    </font>
    <font>
      <sz val="11"/>
      <name val="Calibri"/>
      <family val="2"/>
      <scheme val="minor"/>
    </font>
    <font>
      <sz val="10"/>
      <name val="Roboto-Mono-Regular"/>
    </font>
    <font>
      <sz val="10"/>
      <color rgb="FF006600"/>
      <name val="Roboto-Mono-Regular"/>
    </font>
    <font>
      <sz val="10"/>
      <color rgb="FF7030A0"/>
      <name val="Roboto-Mono-Regular"/>
    </font>
    <font>
      <sz val="10"/>
      <color rgb="FFCCCC00"/>
      <name val="Roboto-Mono-Regular"/>
    </font>
    <font>
      <sz val="10"/>
      <color rgb="FFFF00FF"/>
      <name val="Roboto-Mono-Regular"/>
    </font>
    <font>
      <sz val="10"/>
      <color theme="0" tint="-0.34998626667073579"/>
      <name val="Roboto-Mono-Regular"/>
    </font>
    <font>
      <sz val="10"/>
      <color rgb="FFFF9933"/>
      <name val="Roboto-Mono-Regular"/>
    </font>
    <font>
      <sz val="10"/>
      <color theme="9" tint="-0.499984740745262"/>
      <name val="Roboto-Mono-Regular"/>
    </font>
    <font>
      <sz val="22"/>
      <color rgb="FF25323C"/>
      <name val="Roboto-Mono-Regular"/>
    </font>
    <font>
      <i/>
      <sz val="11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12B4A"/>
        <bgColor indexed="64"/>
      </patternFill>
    </fill>
    <fill>
      <patternFill patternType="solid">
        <fgColor rgb="FFF1F5F7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3743705557422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67">
    <xf numFmtId="0" fontId="0" fillId="0" borderId="0" xfId="0"/>
    <xf numFmtId="0" fontId="0" fillId="0" borderId="0" xfId="0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4" fontId="0" fillId="0" borderId="0" xfId="0" applyNumberFormat="1"/>
    <xf numFmtId="0" fontId="7" fillId="0" borderId="0" xfId="1"/>
    <xf numFmtId="0" fontId="7" fillId="0" borderId="0" xfId="1" applyBorder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3" fontId="9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left" vertical="center"/>
    </xf>
    <xf numFmtId="3" fontId="9" fillId="0" borderId="0" xfId="0" quotePrefix="1" applyNumberFormat="1" applyFont="1" applyAlignment="1">
      <alignment horizontal="center" vertical="center"/>
    </xf>
    <xf numFmtId="0" fontId="10" fillId="5" borderId="0" xfId="0" quotePrefix="1" applyFont="1" applyFill="1" applyAlignment="1">
      <alignment horizontal="center" vertical="center"/>
    </xf>
    <xf numFmtId="3" fontId="9" fillId="0" borderId="0" xfId="0" applyNumberFormat="1" applyFont="1" applyAlignment="1">
      <alignment horizont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9" fillId="0" borderId="10" xfId="0" applyFont="1" applyBorder="1" applyAlignment="1">
      <alignment horizontal="center" vertical="center"/>
    </xf>
    <xf numFmtId="4" fontId="9" fillId="0" borderId="12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4" fontId="9" fillId="0" borderId="14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3" fontId="9" fillId="0" borderId="12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3" fontId="9" fillId="0" borderId="18" xfId="0" applyNumberFormat="1" applyFont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3" fontId="9" fillId="0" borderId="14" xfId="0" applyNumberFormat="1" applyFont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3" fontId="9" fillId="0" borderId="19" xfId="0" applyNumberFormat="1" applyFont="1" applyBorder="1" applyAlignment="1">
      <alignment horizontal="center" vertical="center"/>
    </xf>
    <xf numFmtId="3" fontId="9" fillId="0" borderId="20" xfId="0" applyNumberFormat="1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3" fontId="9" fillId="0" borderId="26" xfId="0" applyNumberFormat="1" applyFont="1" applyBorder="1" applyAlignment="1">
      <alignment horizontal="center" vertical="center"/>
    </xf>
    <xf numFmtId="3" fontId="9" fillId="0" borderId="25" xfId="0" applyNumberFormat="1" applyFont="1" applyBorder="1" applyAlignment="1">
      <alignment horizontal="center" vertical="center"/>
    </xf>
    <xf numFmtId="4" fontId="9" fillId="0" borderId="25" xfId="0" applyNumberFormat="1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3" fontId="9" fillId="0" borderId="28" xfId="0" applyNumberFormat="1" applyFont="1" applyBorder="1" applyAlignment="1">
      <alignment horizontal="center" vertical="center"/>
    </xf>
    <xf numFmtId="3" fontId="9" fillId="0" borderId="29" xfId="0" applyNumberFormat="1" applyFont="1" applyBorder="1" applyAlignment="1">
      <alignment horizontal="center" vertical="center"/>
    </xf>
    <xf numFmtId="4" fontId="9" fillId="0" borderId="28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9" fillId="0" borderId="0" xfId="0" quotePrefix="1" applyNumberFormat="1" applyFont="1" applyAlignment="1">
      <alignment horizontal="center"/>
    </xf>
    <xf numFmtId="4" fontId="9" fillId="0" borderId="0" xfId="0" applyNumberFormat="1" applyFont="1" applyAlignment="1">
      <alignment horizontal="left" vertical="center"/>
    </xf>
    <xf numFmtId="0" fontId="10" fillId="5" borderId="22" xfId="0" applyFont="1" applyFill="1" applyBorder="1" applyAlignment="1">
      <alignment horizontal="center"/>
    </xf>
    <xf numFmtId="0" fontId="10" fillId="5" borderId="22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vertical="center"/>
    </xf>
    <xf numFmtId="0" fontId="9" fillId="6" borderId="6" xfId="0" applyFont="1" applyFill="1" applyBorder="1"/>
    <xf numFmtId="3" fontId="9" fillId="6" borderId="5" xfId="0" applyNumberFormat="1" applyFont="1" applyFill="1" applyBorder="1" applyAlignment="1">
      <alignment horizontal="left" vertical="center"/>
    </xf>
    <xf numFmtId="0" fontId="9" fillId="6" borderId="9" xfId="0" applyFont="1" applyFill="1" applyBorder="1"/>
    <xf numFmtId="3" fontId="18" fillId="0" borderId="0" xfId="0" applyNumberFormat="1" applyFont="1" applyFill="1" applyAlignment="1">
      <alignment horizontal="center" vertical="center"/>
    </xf>
    <xf numFmtId="4" fontId="18" fillId="0" borderId="0" xfId="0" applyNumberFormat="1" applyFont="1" applyFill="1" applyAlignment="1">
      <alignment horizontal="center" vertical="center"/>
    </xf>
    <xf numFmtId="4" fontId="9" fillId="6" borderId="7" xfId="0" applyNumberFormat="1" applyFont="1" applyFill="1" applyBorder="1" applyAlignment="1">
      <alignment horizontal="center" vertical="center"/>
    </xf>
    <xf numFmtId="0" fontId="9" fillId="6" borderId="0" xfId="0" applyFont="1" applyFill="1" applyBorder="1" applyAlignment="1">
      <alignment vertical="center"/>
    </xf>
    <xf numFmtId="3" fontId="9" fillId="6" borderId="0" xfId="0" applyNumberFormat="1" applyFont="1" applyFill="1" applyBorder="1" applyAlignment="1">
      <alignment horizontal="left" vertical="center"/>
    </xf>
    <xf numFmtId="4" fontId="9" fillId="6" borderId="8" xfId="0" applyNumberFormat="1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quotePrefix="1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167" fontId="9" fillId="0" borderId="17" xfId="0" applyNumberFormat="1" applyFont="1" applyFill="1" applyBorder="1" applyAlignment="1">
      <alignment horizontal="center" vertical="center" wrapText="1"/>
    </xf>
    <xf numFmtId="0" fontId="9" fillId="0" borderId="16" xfId="0" quotePrefix="1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168" fontId="9" fillId="0" borderId="16" xfId="0" applyNumberFormat="1" applyFont="1" applyFill="1" applyBorder="1" applyAlignment="1">
      <alignment horizontal="center" vertical="center"/>
    </xf>
    <xf numFmtId="169" fontId="9" fillId="0" borderId="16" xfId="0" applyNumberFormat="1" applyFont="1" applyFill="1" applyBorder="1" applyAlignment="1">
      <alignment horizontal="center" vertical="center"/>
    </xf>
    <xf numFmtId="169" fontId="9" fillId="0" borderId="17" xfId="0" applyNumberFormat="1" applyFont="1" applyFill="1" applyBorder="1" applyAlignment="1">
      <alignment horizontal="center" vertical="center"/>
    </xf>
    <xf numFmtId="169" fontId="10" fillId="5" borderId="22" xfId="0" applyNumberFormat="1" applyFont="1" applyFill="1" applyBorder="1" applyAlignment="1">
      <alignment horizontal="center" vertical="center"/>
    </xf>
    <xf numFmtId="169" fontId="10" fillId="5" borderId="23" xfId="0" applyNumberFormat="1" applyFont="1" applyFill="1" applyBorder="1" applyAlignment="1">
      <alignment horizontal="center" vertical="center"/>
    </xf>
    <xf numFmtId="170" fontId="9" fillId="0" borderId="0" xfId="0" applyNumberFormat="1" applyFont="1"/>
    <xf numFmtId="0" fontId="4" fillId="0" borderId="0" xfId="0" applyFont="1"/>
    <xf numFmtId="3" fontId="0" fillId="0" borderId="0" xfId="0" applyNumberFormat="1" applyAlignment="1">
      <alignment horizontal="center" vertical="center"/>
    </xf>
    <xf numFmtId="3" fontId="0" fillId="8" borderId="0" xfId="0" applyNumberForma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3" fontId="0" fillId="0" borderId="0" xfId="0" applyNumberFormat="1"/>
    <xf numFmtId="0" fontId="3" fillId="5" borderId="30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36" xfId="0" applyBorder="1"/>
    <xf numFmtId="0" fontId="20" fillId="9" borderId="0" xfId="0" applyFont="1" applyFill="1" applyBorder="1" applyAlignment="1">
      <alignment horizontal="left" vertical="center"/>
    </xf>
    <xf numFmtId="0" fontId="32" fillId="9" borderId="0" xfId="0" applyFont="1" applyFill="1" applyBorder="1" applyAlignment="1">
      <alignment horizontal="left" vertical="center"/>
    </xf>
    <xf numFmtId="0" fontId="11" fillId="0" borderId="0" xfId="0" applyFont="1" applyAlignment="1">
      <alignment vertical="top"/>
    </xf>
    <xf numFmtId="170" fontId="0" fillId="0" borderId="0" xfId="0" applyNumberFormat="1" applyAlignment="1">
      <alignment horizontal="center" vertical="center"/>
    </xf>
    <xf numFmtId="0" fontId="8" fillId="5" borderId="30" xfId="0" applyFont="1" applyFill="1" applyBorder="1"/>
    <xf numFmtId="0" fontId="8" fillId="5" borderId="30" xfId="0" applyFont="1" applyFill="1" applyBorder="1" applyAlignment="1">
      <alignment horizontal="center" vertical="center"/>
    </xf>
    <xf numFmtId="10" fontId="0" fillId="0" borderId="30" xfId="0" applyNumberFormat="1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70" fontId="0" fillId="8" borderId="30" xfId="0" applyNumberFormat="1" applyFill="1" applyBorder="1" applyAlignment="1">
      <alignment horizontal="center" vertical="center"/>
    </xf>
    <xf numFmtId="4" fontId="0" fillId="0" borderId="30" xfId="0" applyNumberFormat="1" applyBorder="1" applyAlignment="1">
      <alignment horizontal="center" vertical="center"/>
    </xf>
    <xf numFmtId="170" fontId="0" fillId="0" borderId="30" xfId="0" applyNumberFormat="1" applyBorder="1" applyAlignment="1">
      <alignment horizontal="center" vertical="center"/>
    </xf>
    <xf numFmtId="0" fontId="0" fillId="6" borderId="30" xfId="0" applyFill="1" applyBorder="1"/>
    <xf numFmtId="4" fontId="0" fillId="6" borderId="30" xfId="0" applyNumberFormat="1" applyFont="1" applyFill="1" applyBorder="1"/>
    <xf numFmtId="4" fontId="0" fillId="6" borderId="30" xfId="0" applyNumberFormat="1" applyFill="1" applyBorder="1"/>
    <xf numFmtId="0" fontId="8" fillId="5" borderId="30" xfId="0" applyFont="1" applyFill="1" applyBorder="1" applyAlignment="1">
      <alignment horizontal="left" vertical="center"/>
    </xf>
    <xf numFmtId="4" fontId="0" fillId="8" borderId="30" xfId="0" applyNumberFormat="1" applyFill="1" applyBorder="1" applyAlignment="1">
      <alignment horizontal="center" vertical="center"/>
    </xf>
    <xf numFmtId="10" fontId="0" fillId="8" borderId="30" xfId="0" applyNumberFormat="1" applyFill="1" applyBorder="1" applyAlignment="1">
      <alignment horizontal="center" vertical="center"/>
    </xf>
    <xf numFmtId="0" fontId="33" fillId="0" borderId="0" xfId="0" applyFont="1" applyFill="1"/>
    <xf numFmtId="3" fontId="4" fillId="0" borderId="30" xfId="0" applyNumberFormat="1" applyFont="1" applyBorder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0" fontId="9" fillId="6" borderId="0" xfId="0" applyFont="1" applyFill="1" applyBorder="1"/>
    <xf numFmtId="0" fontId="9" fillId="6" borderId="8" xfId="0" applyFont="1" applyFill="1" applyBorder="1"/>
    <xf numFmtId="0" fontId="34" fillId="6" borderId="0" xfId="0" applyFont="1" applyFill="1" applyBorder="1" applyAlignment="1">
      <alignment horizontal="center" vertical="center" wrapText="1"/>
    </xf>
    <xf numFmtId="0" fontId="34" fillId="6" borderId="0" xfId="0" quotePrefix="1" applyFont="1" applyFill="1" applyBorder="1" applyAlignment="1">
      <alignment horizontal="center" vertical="center" wrapText="1"/>
    </xf>
    <xf numFmtId="0" fontId="34" fillId="6" borderId="16" xfId="0" applyFont="1" applyFill="1" applyBorder="1" applyAlignment="1">
      <alignment horizontal="center" vertical="center" wrapText="1"/>
    </xf>
    <xf numFmtId="0" fontId="34" fillId="6" borderId="16" xfId="0" quotePrefix="1" applyFont="1" applyFill="1" applyBorder="1" applyAlignment="1">
      <alignment horizontal="center" vertical="center" wrapText="1"/>
    </xf>
    <xf numFmtId="0" fontId="34" fillId="6" borderId="11" xfId="0" applyFont="1" applyFill="1" applyBorder="1" applyAlignment="1">
      <alignment horizontal="center" vertical="center" wrapText="1"/>
    </xf>
    <xf numFmtId="0" fontId="34" fillId="6" borderId="11" xfId="0" quotePrefix="1" applyFont="1" applyFill="1" applyBorder="1" applyAlignment="1">
      <alignment horizontal="center" vertical="center" wrapText="1"/>
    </xf>
    <xf numFmtId="0" fontId="34" fillId="6" borderId="16" xfId="0" applyFont="1" applyFill="1" applyBorder="1"/>
    <xf numFmtId="166" fontId="35" fillId="6" borderId="19" xfId="0" applyNumberFormat="1" applyFont="1" applyFill="1" applyBorder="1" applyAlignment="1">
      <alignment horizontal="center" vertical="center" wrapText="1"/>
    </xf>
    <xf numFmtId="167" fontId="35" fillId="6" borderId="19" xfId="0" applyNumberFormat="1" applyFont="1" applyFill="1" applyBorder="1" applyAlignment="1">
      <alignment horizontal="center" vertical="center" wrapText="1"/>
    </xf>
    <xf numFmtId="166" fontId="35" fillId="6" borderId="20" xfId="0" applyNumberFormat="1" applyFont="1" applyFill="1" applyBorder="1" applyAlignment="1">
      <alignment horizontal="center" vertical="center" wrapText="1"/>
    </xf>
    <xf numFmtId="167" fontId="35" fillId="6" borderId="20" xfId="0" applyNumberFormat="1" applyFont="1" applyFill="1" applyBorder="1" applyAlignment="1">
      <alignment horizontal="center" vertical="center" wrapText="1"/>
    </xf>
    <xf numFmtId="166" fontId="35" fillId="6" borderId="18" xfId="0" applyNumberFormat="1" applyFont="1" applyFill="1" applyBorder="1" applyAlignment="1">
      <alignment horizontal="center" vertical="center" wrapText="1"/>
    </xf>
    <xf numFmtId="167" fontId="35" fillId="6" borderId="18" xfId="0" applyNumberFormat="1" applyFont="1" applyFill="1" applyBorder="1" applyAlignment="1">
      <alignment horizontal="center" vertical="center" wrapText="1"/>
    </xf>
    <xf numFmtId="0" fontId="35" fillId="6" borderId="20" xfId="0" applyFont="1" applyFill="1" applyBorder="1"/>
    <xf numFmtId="169" fontId="34" fillId="6" borderId="11" xfId="0" applyNumberFormat="1" applyFont="1" applyFill="1" applyBorder="1" applyAlignment="1">
      <alignment horizontal="center" vertical="center"/>
    </xf>
    <xf numFmtId="169" fontId="34" fillId="6" borderId="16" xfId="0" applyNumberFormat="1" applyFont="1" applyFill="1" applyBorder="1" applyAlignment="1">
      <alignment horizontal="center" vertical="center"/>
    </xf>
    <xf numFmtId="169" fontId="34" fillId="6" borderId="16" xfId="0" applyNumberFormat="1" applyFont="1" applyFill="1" applyBorder="1" applyAlignment="1">
      <alignment horizontal="center" vertical="center" wrapText="1"/>
    </xf>
    <xf numFmtId="169" fontId="18" fillId="0" borderId="11" xfId="0" applyNumberFormat="1" applyFont="1" applyFill="1" applyBorder="1" applyAlignment="1">
      <alignment horizontal="center" vertical="center"/>
    </xf>
    <xf numFmtId="169" fontId="18" fillId="0" borderId="11" xfId="0" applyNumberFormat="1" applyFont="1" applyFill="1" applyBorder="1" applyAlignment="1">
      <alignment horizontal="center" vertical="center" wrapText="1"/>
    </xf>
    <xf numFmtId="169" fontId="18" fillId="0" borderId="0" xfId="0" applyNumberFormat="1" applyFont="1" applyFill="1" applyBorder="1" applyAlignment="1">
      <alignment horizontal="center" vertical="center"/>
    </xf>
    <xf numFmtId="169" fontId="18" fillId="0" borderId="16" xfId="0" applyNumberFormat="1" applyFont="1" applyFill="1" applyBorder="1" applyAlignment="1">
      <alignment horizontal="center" vertical="center"/>
    </xf>
    <xf numFmtId="169" fontId="18" fillId="0" borderId="16" xfId="0" applyNumberFormat="1" applyFont="1" applyFill="1" applyBorder="1" applyAlignment="1">
      <alignment horizontal="center" vertical="center" wrapText="1"/>
    </xf>
    <xf numFmtId="169" fontId="18" fillId="0" borderId="0" xfId="0" applyNumberFormat="1" applyFont="1" applyFill="1" applyBorder="1" applyAlignment="1">
      <alignment horizontal="center" vertical="center" wrapText="1"/>
    </xf>
    <xf numFmtId="166" fontId="14" fillId="0" borderId="18" xfId="0" applyNumberFormat="1" applyFont="1" applyFill="1" applyBorder="1" applyAlignment="1">
      <alignment horizontal="center" vertical="center" wrapText="1"/>
    </xf>
    <xf numFmtId="166" fontId="14" fillId="0" borderId="19" xfId="0" applyNumberFormat="1" applyFont="1" applyFill="1" applyBorder="1" applyAlignment="1">
      <alignment horizontal="center" vertical="center" wrapText="1"/>
    </xf>
    <xf numFmtId="166" fontId="14" fillId="0" borderId="20" xfId="0" applyNumberFormat="1" applyFont="1" applyFill="1" applyBorder="1" applyAlignment="1">
      <alignment horizontal="center" vertical="center" wrapText="1"/>
    </xf>
    <xf numFmtId="166" fontId="36" fillId="0" borderId="18" xfId="0" applyNumberFormat="1" applyFont="1" applyFill="1" applyBorder="1" applyAlignment="1">
      <alignment horizontal="center" vertical="center" wrapText="1"/>
    </xf>
    <xf numFmtId="166" fontId="36" fillId="0" borderId="19" xfId="0" applyNumberFormat="1" applyFont="1" applyFill="1" applyBorder="1" applyAlignment="1">
      <alignment horizontal="center" vertical="center" wrapText="1"/>
    </xf>
    <xf numFmtId="166" fontId="36" fillId="0" borderId="20" xfId="0" applyNumberFormat="1" applyFont="1" applyFill="1" applyBorder="1" applyAlignment="1">
      <alignment horizontal="center" vertical="center" wrapText="1"/>
    </xf>
    <xf numFmtId="167" fontId="14" fillId="0" borderId="18" xfId="0" applyNumberFormat="1" applyFont="1" applyFill="1" applyBorder="1" applyAlignment="1">
      <alignment horizontal="center" vertical="center" wrapText="1"/>
    </xf>
    <xf numFmtId="167" fontId="14" fillId="0" borderId="19" xfId="0" applyNumberFormat="1" applyFont="1" applyFill="1" applyBorder="1" applyAlignment="1">
      <alignment horizontal="center" vertical="center" wrapText="1"/>
    </xf>
    <xf numFmtId="167" fontId="14" fillId="0" borderId="20" xfId="0" applyNumberFormat="1" applyFont="1" applyFill="1" applyBorder="1" applyAlignment="1">
      <alignment horizontal="center" vertical="center" wrapText="1"/>
    </xf>
    <xf numFmtId="169" fontId="36" fillId="0" borderId="18" xfId="0" applyNumberFormat="1" applyFont="1" applyFill="1" applyBorder="1" applyAlignment="1">
      <alignment horizontal="center" vertical="center"/>
    </xf>
    <xf numFmtId="169" fontId="36" fillId="0" borderId="19" xfId="0" applyNumberFormat="1" applyFont="1" applyFill="1" applyBorder="1" applyAlignment="1">
      <alignment horizontal="center" vertical="center"/>
    </xf>
    <xf numFmtId="169" fontId="36" fillId="0" borderId="20" xfId="0" applyNumberFormat="1" applyFont="1" applyFill="1" applyBorder="1" applyAlignment="1">
      <alignment horizontal="center" vertical="center"/>
    </xf>
    <xf numFmtId="169" fontId="35" fillId="6" borderId="18" xfId="0" applyNumberFormat="1" applyFont="1" applyFill="1" applyBorder="1" applyAlignment="1">
      <alignment horizontal="center" vertical="center"/>
    </xf>
    <xf numFmtId="169" fontId="35" fillId="6" borderId="20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0" fillId="0" borderId="0" xfId="0" applyAlignment="1"/>
    <xf numFmtId="0" fontId="3" fillId="5" borderId="30" xfId="0" applyFont="1" applyFill="1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0" fillId="9" borderId="0" xfId="0" applyFont="1" applyFill="1" applyBorder="1" applyAlignment="1">
      <alignment horizontal="center" vertical="center" wrapText="1"/>
    </xf>
    <xf numFmtId="3" fontId="20" fillId="9" borderId="0" xfId="0" applyNumberFormat="1" applyFont="1" applyFill="1" applyBorder="1" applyAlignment="1">
      <alignment horizontal="center" vertical="center" wrapText="1"/>
    </xf>
    <xf numFmtId="0" fontId="20" fillId="11" borderId="0" xfId="0" applyFont="1" applyFill="1" applyBorder="1" applyAlignment="1">
      <alignment horizontal="center" vertical="center" wrapText="1"/>
    </xf>
    <xf numFmtId="0" fontId="19" fillId="10" borderId="35" xfId="0" applyFont="1" applyFill="1" applyBorder="1" applyAlignment="1">
      <alignment horizontal="center" vertical="center" wrapText="1"/>
    </xf>
    <xf numFmtId="0" fontId="19" fillId="10" borderId="33" xfId="0" applyFont="1" applyFill="1" applyBorder="1" applyAlignment="1">
      <alignment horizontal="center" vertical="center" wrapText="1"/>
    </xf>
    <xf numFmtId="0" fontId="24" fillId="9" borderId="0" xfId="0" applyFont="1" applyFill="1" applyBorder="1" applyAlignment="1">
      <alignment horizontal="center" vertical="center" wrapText="1"/>
    </xf>
    <xf numFmtId="0" fontId="24" fillId="11" borderId="0" xfId="0" applyFont="1" applyFill="1" applyBorder="1" applyAlignment="1">
      <alignment horizontal="center" vertical="center" wrapText="1"/>
    </xf>
    <xf numFmtId="3" fontId="20" fillId="11" borderId="0" xfId="0" applyNumberFormat="1" applyFont="1" applyFill="1" applyBorder="1" applyAlignment="1">
      <alignment horizontal="center" vertical="center" wrapText="1"/>
    </xf>
    <xf numFmtId="0" fontId="22" fillId="9" borderId="0" xfId="0" applyFont="1" applyFill="1" applyBorder="1" applyAlignment="1">
      <alignment horizontal="center" vertical="center" wrapText="1"/>
    </xf>
    <xf numFmtId="3" fontId="22" fillId="9" borderId="0" xfId="0" applyNumberFormat="1" applyFont="1" applyFill="1" applyBorder="1" applyAlignment="1">
      <alignment horizontal="center" vertical="center" wrapText="1"/>
    </xf>
    <xf numFmtId="0" fontId="22" fillId="11" borderId="0" xfId="0" applyFont="1" applyFill="1" applyBorder="1" applyAlignment="1">
      <alignment horizontal="center" vertical="center" wrapText="1"/>
    </xf>
    <xf numFmtId="3" fontId="22" fillId="11" borderId="0" xfId="0" applyNumberFormat="1" applyFont="1" applyFill="1" applyBorder="1" applyAlignment="1">
      <alignment horizontal="center" vertical="center" wrapText="1"/>
    </xf>
    <xf numFmtId="0" fontId="25" fillId="9" borderId="0" xfId="0" applyFont="1" applyFill="1" applyBorder="1" applyAlignment="1">
      <alignment horizontal="center" vertical="center" wrapText="1"/>
    </xf>
    <xf numFmtId="3" fontId="25" fillId="9" borderId="0" xfId="0" applyNumberFormat="1" applyFont="1" applyFill="1" applyBorder="1" applyAlignment="1">
      <alignment horizontal="center" vertical="center" wrapText="1"/>
    </xf>
    <xf numFmtId="0" fontId="25" fillId="11" borderId="0" xfId="0" applyFont="1" applyFill="1" applyBorder="1" applyAlignment="1">
      <alignment horizontal="center" vertical="center" wrapText="1"/>
    </xf>
    <xf numFmtId="3" fontId="25" fillId="11" borderId="0" xfId="0" applyNumberFormat="1" applyFont="1" applyFill="1" applyBorder="1" applyAlignment="1">
      <alignment horizontal="center" vertical="center" wrapText="1"/>
    </xf>
    <xf numFmtId="0" fontId="21" fillId="9" borderId="0" xfId="0" applyFont="1" applyFill="1" applyBorder="1" applyAlignment="1">
      <alignment horizontal="center" vertical="center" wrapText="1"/>
    </xf>
    <xf numFmtId="3" fontId="21" fillId="9" borderId="0" xfId="0" applyNumberFormat="1" applyFont="1" applyFill="1" applyBorder="1" applyAlignment="1">
      <alignment horizontal="center" vertical="center" wrapText="1"/>
    </xf>
    <xf numFmtId="0" fontId="21" fillId="11" borderId="0" xfId="0" applyFont="1" applyFill="1" applyBorder="1" applyAlignment="1">
      <alignment horizontal="center" vertical="center" wrapText="1"/>
    </xf>
    <xf numFmtId="3" fontId="21" fillId="11" borderId="0" xfId="0" applyNumberFormat="1" applyFont="1" applyFill="1" applyBorder="1" applyAlignment="1">
      <alignment horizontal="center" vertical="center" wrapText="1"/>
    </xf>
    <xf numFmtId="0" fontId="27" fillId="9" borderId="0" xfId="0" applyFont="1" applyFill="1" applyBorder="1" applyAlignment="1">
      <alignment horizontal="center" vertical="center" wrapText="1"/>
    </xf>
    <xf numFmtId="3" fontId="27" fillId="9" borderId="0" xfId="0" applyNumberFormat="1" applyFont="1" applyFill="1" applyBorder="1" applyAlignment="1">
      <alignment horizontal="center" vertical="center" wrapText="1"/>
    </xf>
    <xf numFmtId="0" fontId="27" fillId="11" borderId="0" xfId="0" applyFont="1" applyFill="1" applyBorder="1" applyAlignment="1">
      <alignment horizontal="center" vertical="center" wrapText="1"/>
    </xf>
    <xf numFmtId="3" fontId="27" fillId="11" borderId="0" xfId="0" applyNumberFormat="1" applyFont="1" applyFill="1" applyBorder="1" applyAlignment="1">
      <alignment horizontal="center" vertical="center" wrapText="1"/>
    </xf>
    <xf numFmtId="0" fontId="26" fillId="9" borderId="0" xfId="0" applyFont="1" applyFill="1" applyBorder="1" applyAlignment="1">
      <alignment horizontal="center" vertical="center" wrapText="1"/>
    </xf>
    <xf numFmtId="3" fontId="26" fillId="9" borderId="0" xfId="0" applyNumberFormat="1" applyFont="1" applyFill="1" applyBorder="1" applyAlignment="1">
      <alignment horizontal="center" vertical="center" wrapText="1"/>
    </xf>
    <xf numFmtId="0" fontId="26" fillId="11" borderId="0" xfId="0" applyFont="1" applyFill="1" applyBorder="1" applyAlignment="1">
      <alignment horizontal="center" vertical="center" wrapText="1"/>
    </xf>
    <xf numFmtId="3" fontId="26" fillId="11" borderId="0" xfId="0" applyNumberFormat="1" applyFont="1" applyFill="1" applyBorder="1" applyAlignment="1">
      <alignment horizontal="center" vertical="center" wrapText="1"/>
    </xf>
    <xf numFmtId="0" fontId="30" fillId="9" borderId="0" xfId="0" applyFont="1" applyFill="1" applyBorder="1" applyAlignment="1">
      <alignment horizontal="center" vertical="center" wrapText="1"/>
    </xf>
    <xf numFmtId="3" fontId="30" fillId="9" borderId="0" xfId="0" applyNumberFormat="1" applyFont="1" applyFill="1" applyBorder="1" applyAlignment="1">
      <alignment horizontal="center" vertical="center" wrapText="1"/>
    </xf>
    <xf numFmtId="0" fontId="30" fillId="11" borderId="0" xfId="0" applyFont="1" applyFill="1" applyBorder="1" applyAlignment="1">
      <alignment horizontal="center" vertical="center" wrapText="1"/>
    </xf>
    <xf numFmtId="3" fontId="30" fillId="11" borderId="0" xfId="0" applyNumberFormat="1" applyFont="1" applyFill="1" applyBorder="1" applyAlignment="1">
      <alignment horizontal="center" vertical="center" wrapText="1"/>
    </xf>
    <xf numFmtId="0" fontId="28" fillId="9" borderId="0" xfId="0" applyFont="1" applyFill="1" applyBorder="1" applyAlignment="1">
      <alignment horizontal="center" vertical="center" wrapText="1"/>
    </xf>
    <xf numFmtId="3" fontId="28" fillId="9" borderId="0" xfId="0" applyNumberFormat="1" applyFont="1" applyFill="1" applyBorder="1" applyAlignment="1">
      <alignment horizontal="center" vertical="center" wrapText="1"/>
    </xf>
    <xf numFmtId="0" fontId="28" fillId="11" borderId="0" xfId="0" applyFont="1" applyFill="1" applyBorder="1" applyAlignment="1">
      <alignment horizontal="center" vertical="center" wrapText="1"/>
    </xf>
    <xf numFmtId="3" fontId="28" fillId="11" borderId="0" xfId="0" applyNumberFormat="1" applyFont="1" applyFill="1" applyBorder="1" applyAlignment="1">
      <alignment horizontal="center" vertical="center" wrapText="1"/>
    </xf>
    <xf numFmtId="0" fontId="29" fillId="11" borderId="0" xfId="0" applyFont="1" applyFill="1" applyBorder="1" applyAlignment="1">
      <alignment horizontal="center" vertical="center" wrapText="1"/>
    </xf>
    <xf numFmtId="3" fontId="29" fillId="11" borderId="0" xfId="0" applyNumberFormat="1" applyFont="1" applyFill="1" applyBorder="1" applyAlignment="1">
      <alignment horizontal="center" vertical="center" wrapText="1"/>
    </xf>
    <xf numFmtId="0" fontId="29" fillId="9" borderId="0" xfId="0" applyFont="1" applyFill="1" applyBorder="1" applyAlignment="1">
      <alignment horizontal="center" vertical="center" wrapText="1"/>
    </xf>
    <xf numFmtId="3" fontId="29" fillId="9" borderId="0" xfId="0" applyNumberFormat="1" applyFont="1" applyFill="1" applyBorder="1" applyAlignment="1">
      <alignment horizontal="center" vertical="center" wrapText="1"/>
    </xf>
    <xf numFmtId="0" fontId="31" fillId="11" borderId="0" xfId="0" applyFont="1" applyFill="1" applyBorder="1" applyAlignment="1">
      <alignment horizontal="center" vertical="center" wrapText="1"/>
    </xf>
    <xf numFmtId="0" fontId="31" fillId="9" borderId="0" xfId="0" applyFont="1" applyFill="1" applyBorder="1" applyAlignment="1">
      <alignment horizontal="center" vertical="center" wrapText="1"/>
    </xf>
    <xf numFmtId="3" fontId="31" fillId="9" borderId="0" xfId="0" applyNumberFormat="1" applyFont="1" applyFill="1" applyBorder="1" applyAlignment="1">
      <alignment horizontal="center" vertical="center" wrapText="1"/>
    </xf>
    <xf numFmtId="3" fontId="31" fillId="9" borderId="33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19" fillId="10" borderId="34" xfId="0" applyFont="1" applyFill="1" applyBorder="1" applyAlignment="1">
      <alignment horizontal="center" vertical="center" wrapText="1"/>
    </xf>
    <xf numFmtId="0" fontId="19" fillId="10" borderId="32" xfId="0" applyFont="1" applyFill="1" applyBorder="1" applyAlignment="1">
      <alignment horizontal="center" vertical="center" wrapText="1"/>
    </xf>
    <xf numFmtId="0" fontId="20" fillId="9" borderId="31" xfId="0" applyFont="1" applyFill="1" applyBorder="1" applyAlignment="1">
      <alignment horizontal="center" vertical="center" wrapText="1"/>
    </xf>
    <xf numFmtId="0" fontId="20" fillId="11" borderId="31" xfId="0" applyFont="1" applyFill="1" applyBorder="1" applyAlignment="1">
      <alignment horizontal="center" vertical="center" wrapText="1"/>
    </xf>
    <xf numFmtId="3" fontId="31" fillId="11" borderId="0" xfId="0" applyNumberFormat="1" applyFont="1" applyFill="1" applyBorder="1" applyAlignment="1">
      <alignment horizontal="center" vertical="center" wrapText="1"/>
    </xf>
    <xf numFmtId="0" fontId="31" fillId="9" borderId="33" xfId="0" applyFont="1" applyFill="1" applyBorder="1" applyAlignment="1">
      <alignment horizontal="center" vertical="center" wrapText="1"/>
    </xf>
    <xf numFmtId="0" fontId="22" fillId="11" borderId="31" xfId="0" applyFont="1" applyFill="1" applyBorder="1" applyAlignment="1">
      <alignment horizontal="center" vertical="center" wrapText="1"/>
    </xf>
    <xf numFmtId="0" fontId="25" fillId="9" borderId="31" xfId="0" applyFont="1" applyFill="1" applyBorder="1" applyAlignment="1">
      <alignment horizontal="center" vertical="center" wrapText="1"/>
    </xf>
    <xf numFmtId="0" fontId="25" fillId="11" borderId="31" xfId="0" applyFont="1" applyFill="1" applyBorder="1" applyAlignment="1">
      <alignment horizontal="center" vertical="center" wrapText="1"/>
    </xf>
    <xf numFmtId="0" fontId="22" fillId="9" borderId="31" xfId="0" applyFont="1" applyFill="1" applyBorder="1" applyAlignment="1">
      <alignment horizontal="center" vertical="center" wrapText="1"/>
    </xf>
    <xf numFmtId="0" fontId="21" fillId="9" borderId="31" xfId="0" applyFont="1" applyFill="1" applyBorder="1" applyAlignment="1">
      <alignment horizontal="center" vertical="center" wrapText="1"/>
    </xf>
    <xf numFmtId="0" fontId="21" fillId="11" borderId="31" xfId="0" applyFont="1" applyFill="1" applyBorder="1" applyAlignment="1">
      <alignment horizontal="center" vertical="center" wrapText="1"/>
    </xf>
    <xf numFmtId="0" fontId="27" fillId="9" borderId="31" xfId="0" applyFont="1" applyFill="1" applyBorder="1" applyAlignment="1">
      <alignment horizontal="center" vertical="center" wrapText="1"/>
    </xf>
    <xf numFmtId="0" fontId="27" fillId="11" borderId="31" xfId="0" applyFont="1" applyFill="1" applyBorder="1" applyAlignment="1">
      <alignment horizontal="center" vertical="center" wrapText="1"/>
    </xf>
    <xf numFmtId="0" fontId="26" fillId="9" borderId="31" xfId="0" applyFont="1" applyFill="1" applyBorder="1" applyAlignment="1">
      <alignment horizontal="center" vertical="center" wrapText="1"/>
    </xf>
    <xf numFmtId="0" fontId="26" fillId="11" borderId="31" xfId="0" applyFont="1" applyFill="1" applyBorder="1" applyAlignment="1">
      <alignment horizontal="center" vertical="center" wrapText="1"/>
    </xf>
    <xf numFmtId="0" fontId="30" fillId="9" borderId="31" xfId="0" applyFont="1" applyFill="1" applyBorder="1" applyAlignment="1">
      <alignment horizontal="center" vertical="center" wrapText="1"/>
    </xf>
    <xf numFmtId="0" fontId="30" fillId="11" borderId="31" xfId="0" applyFont="1" applyFill="1" applyBorder="1" applyAlignment="1">
      <alignment horizontal="center" vertical="center" wrapText="1"/>
    </xf>
    <xf numFmtId="0" fontId="28" fillId="11" borderId="31" xfId="0" applyFont="1" applyFill="1" applyBorder="1" applyAlignment="1">
      <alignment horizontal="center" vertical="center" wrapText="1"/>
    </xf>
    <xf numFmtId="0" fontId="29" fillId="9" borderId="31" xfId="0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28" fillId="9" borderId="31" xfId="0" applyFont="1" applyFill="1" applyBorder="1" applyAlignment="1">
      <alignment horizontal="center" vertical="center" wrapText="1"/>
    </xf>
    <xf numFmtId="0" fontId="31" fillId="9" borderId="31" xfId="0" applyFont="1" applyFill="1" applyBorder="1" applyAlignment="1">
      <alignment horizontal="center" vertical="center" wrapText="1"/>
    </xf>
    <xf numFmtId="0" fontId="31" fillId="9" borderId="32" xfId="0" applyFont="1" applyFill="1" applyBorder="1" applyAlignment="1">
      <alignment horizontal="center" vertical="center" wrapText="1"/>
    </xf>
    <xf numFmtId="0" fontId="31" fillId="11" borderId="3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FFCC00"/>
      <color rgb="FF0000FF"/>
      <color rgb="FFFF9933"/>
      <color rgb="FFFF9900"/>
      <color rgb="FFCC9900"/>
      <color rgb="FFDDDDDD"/>
      <color rgb="FFFF00FF"/>
      <color rgb="FFCCCC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Long Future</a:t>
            </a:r>
            <a:br>
              <a:rPr lang="en-GB" baseline="0"/>
            </a:br>
            <a:r>
              <a:rPr lang="en-GB" sz="1200" baseline="0"/>
              <a:t>Deposit / Receive Fixed</a:t>
            </a:r>
            <a:endParaRPr lang="en-GB" sz="1200"/>
          </a:p>
        </c:rich>
      </c:tx>
      <c:layout>
        <c:manualLayout>
          <c:xMode val="edge"/>
          <c:yMode val="edge"/>
          <c:x val="0.37057633420822395"/>
          <c:y val="7.43464052287581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37292213473316"/>
          <c:y val="8.8379629629629641E-2"/>
          <c:w val="0.76098118985126861"/>
          <c:h val="0.79030074365704284"/>
        </c:manualLayout>
      </c:layout>
      <c:scatterChart>
        <c:scatterStyle val="lineMarker"/>
        <c:varyColors val="0"/>
        <c:ser>
          <c:idx val="0"/>
          <c:order val="0"/>
          <c:tx>
            <c:strRef>
              <c:f>Payoff!$D$11</c:f>
              <c:strCache>
                <c:ptCount val="1"/>
                <c:pt idx="0">
                  <c:v>Long Future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Payoff!$C$12:$C$22</c:f>
              <c:numCache>
                <c:formatCode>#,##0.00</c:formatCode>
                <c:ptCount val="11"/>
                <c:pt idx="0">
                  <c:v>1.4499999999999744</c:v>
                </c:pt>
                <c:pt idx="1">
                  <c:v>1.4599999999999795</c:v>
                </c:pt>
                <c:pt idx="2">
                  <c:v>1.4699999999999847</c:v>
                </c:pt>
                <c:pt idx="3">
                  <c:v>1.4799999999999898</c:v>
                </c:pt>
                <c:pt idx="4">
                  <c:v>1.4899999999999949</c:v>
                </c:pt>
                <c:pt idx="5">
                  <c:v>1.5</c:v>
                </c:pt>
                <c:pt idx="6">
                  <c:v>1.5100000000000051</c:v>
                </c:pt>
                <c:pt idx="7">
                  <c:v>1.5200000000000102</c:v>
                </c:pt>
                <c:pt idx="8">
                  <c:v>1.5300000000000153</c:v>
                </c:pt>
                <c:pt idx="9">
                  <c:v>1.5400000000000205</c:v>
                </c:pt>
                <c:pt idx="10">
                  <c:v>1.5500000000000256</c:v>
                </c:pt>
              </c:numCache>
            </c:numRef>
          </c:xVal>
          <c:yVal>
            <c:numRef>
              <c:f>Payoff!$D$12:$D$22</c:f>
              <c:numCache>
                <c:formatCode>#,##0.00</c:formatCode>
                <c:ptCount val="11"/>
                <c:pt idx="0">
                  <c:v>125.00000000006395</c:v>
                </c:pt>
                <c:pt idx="1">
                  <c:v>100.00000000005116</c:v>
                </c:pt>
                <c:pt idx="2">
                  <c:v>75.000000000038369</c:v>
                </c:pt>
                <c:pt idx="3">
                  <c:v>50.00000000002558</c:v>
                </c:pt>
                <c:pt idx="4">
                  <c:v>25.00000000001279</c:v>
                </c:pt>
                <c:pt idx="5">
                  <c:v>0</c:v>
                </c:pt>
                <c:pt idx="6">
                  <c:v>-25.00000000001279</c:v>
                </c:pt>
                <c:pt idx="7">
                  <c:v>-50.00000000002558</c:v>
                </c:pt>
                <c:pt idx="8">
                  <c:v>-75.000000000038369</c:v>
                </c:pt>
                <c:pt idx="9">
                  <c:v>-100.00000000005116</c:v>
                </c:pt>
                <c:pt idx="10">
                  <c:v>-125.00000000006395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9-4594-A906-8C27EE5CE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88127"/>
        <c:axId val="2050401023"/>
      </c:scatterChart>
      <c:valAx>
        <c:axId val="205038812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Interest</a:t>
                </a:r>
                <a:r>
                  <a:rPr lang="en-GB" baseline="0"/>
                  <a:t> Rate (%)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1598140857392829"/>
              <c:y val="0.82775444736074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401023"/>
        <c:crosses val="autoZero"/>
        <c:crossBetween val="midCat"/>
      </c:valAx>
      <c:valAx>
        <c:axId val="20504010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8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Short Future</a:t>
            </a:r>
            <a:endParaRPr lang="en-GB" sz="1600" baseline="0"/>
          </a:p>
          <a:p>
            <a:pPr>
              <a:defRPr/>
            </a:pPr>
            <a:r>
              <a:rPr lang="en-GB" sz="1200" baseline="0"/>
              <a:t>Loan / Pay Fixed</a:t>
            </a:r>
            <a:endParaRPr lang="en-GB" sz="1200"/>
          </a:p>
        </c:rich>
      </c:tx>
      <c:layout>
        <c:manualLayout>
          <c:xMode val="edge"/>
          <c:yMode val="edge"/>
          <c:x val="0.39964566929133855"/>
          <c:y val="8.4967320261437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59514435695539"/>
          <c:y val="8.8379629629629641E-2"/>
          <c:w val="0.75464785651793531"/>
          <c:h val="0.79030074365704284"/>
        </c:manualLayout>
      </c:layout>
      <c:scatterChart>
        <c:scatterStyle val="lineMarker"/>
        <c:varyColors val="0"/>
        <c:ser>
          <c:idx val="0"/>
          <c:order val="0"/>
          <c:tx>
            <c:strRef>
              <c:f>Payoff!$E$11</c:f>
              <c:strCache>
                <c:ptCount val="1"/>
                <c:pt idx="0">
                  <c:v>Short Future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Payoff!$C$12:$C$22</c:f>
              <c:numCache>
                <c:formatCode>#,##0.00</c:formatCode>
                <c:ptCount val="11"/>
                <c:pt idx="0">
                  <c:v>1.4499999999999744</c:v>
                </c:pt>
                <c:pt idx="1">
                  <c:v>1.4599999999999795</c:v>
                </c:pt>
                <c:pt idx="2">
                  <c:v>1.4699999999999847</c:v>
                </c:pt>
                <c:pt idx="3">
                  <c:v>1.4799999999999898</c:v>
                </c:pt>
                <c:pt idx="4">
                  <c:v>1.4899999999999949</c:v>
                </c:pt>
                <c:pt idx="5">
                  <c:v>1.5</c:v>
                </c:pt>
                <c:pt idx="6">
                  <c:v>1.5100000000000051</c:v>
                </c:pt>
                <c:pt idx="7">
                  <c:v>1.5200000000000102</c:v>
                </c:pt>
                <c:pt idx="8">
                  <c:v>1.5300000000000153</c:v>
                </c:pt>
                <c:pt idx="9">
                  <c:v>1.5400000000000205</c:v>
                </c:pt>
                <c:pt idx="10">
                  <c:v>1.5500000000000256</c:v>
                </c:pt>
              </c:numCache>
            </c:numRef>
          </c:xVal>
          <c:yVal>
            <c:numRef>
              <c:f>Payoff!$E$12:$E$22</c:f>
              <c:numCache>
                <c:formatCode>#,##0</c:formatCode>
                <c:ptCount val="11"/>
                <c:pt idx="0">
                  <c:v>-125.00000000006395</c:v>
                </c:pt>
                <c:pt idx="1">
                  <c:v>-100.00000000005116</c:v>
                </c:pt>
                <c:pt idx="2">
                  <c:v>-75.000000000038369</c:v>
                </c:pt>
                <c:pt idx="3">
                  <c:v>-50.00000000002558</c:v>
                </c:pt>
                <c:pt idx="4">
                  <c:v>-25.00000000001279</c:v>
                </c:pt>
                <c:pt idx="5">
                  <c:v>0</c:v>
                </c:pt>
                <c:pt idx="6">
                  <c:v>25.00000000001279</c:v>
                </c:pt>
                <c:pt idx="7">
                  <c:v>50.00000000002558</c:v>
                </c:pt>
                <c:pt idx="8">
                  <c:v>75.000000000038369</c:v>
                </c:pt>
                <c:pt idx="9">
                  <c:v>100.00000000005116</c:v>
                </c:pt>
                <c:pt idx="10">
                  <c:v>125.00000000006395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E-4B4B-BE28-5737B3E79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88127"/>
        <c:axId val="2050401023"/>
      </c:scatterChart>
      <c:valAx>
        <c:axId val="205038812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Interest Rate (%)</a:t>
                </a:r>
              </a:p>
            </c:rich>
          </c:tx>
          <c:layout>
            <c:manualLayout>
              <c:xMode val="edge"/>
              <c:yMode val="edge"/>
              <c:x val="0.41837029746281718"/>
              <c:y val="0.799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401023"/>
        <c:crosses val="autoZero"/>
        <c:crossBetween val="midCat"/>
      </c:valAx>
      <c:valAx>
        <c:axId val="20504010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8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980176</xdr:colOff>
      <xdr:row>1</xdr:row>
      <xdr:rowOff>172243</xdr:rowOff>
    </xdr:from>
    <xdr:ext cx="4248817" cy="2468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688E64E-D5BB-D79A-A3AC-37845753F386}"/>
                </a:ext>
              </a:extLst>
            </xdr:cNvPr>
            <xdr:cNvSpPr txBox="1"/>
          </xdr:nvSpPr>
          <xdr:spPr>
            <a:xfrm>
              <a:off x="10299436" y="370363"/>
              <a:ext cx="4248817" cy="2468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&amp;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𝐶𝑢𝑟𝑟𝑒𝑛𝑡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𝑃𝑟𝑖𝑐𝑒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𝑃𝑟𝑒𝑣𝑖𝑜𝑢𝑠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𝑃𝑟𝑖𝑐𝑒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𝑇𝑖𝑐𝑘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𝑉𝑎𝑙𝑢𝑒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𝑄𝑢𝑎𝑛𝑡𝑖𝑡𝑦</m:t>
                    </m:r>
                  </m:oMath>
                </m:oMathPara>
              </a14:m>
              <a:endParaRPr lang="en-GB" sz="1100" b="0">
                <a:ea typeface="Cambria Math" panose="02040503050406030204" pitchFamily="18" charset="0"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688E64E-D5BB-D79A-A3AC-37845753F386}"/>
                </a:ext>
              </a:extLst>
            </xdr:cNvPr>
            <xdr:cNvSpPr txBox="1"/>
          </xdr:nvSpPr>
          <xdr:spPr>
            <a:xfrm>
              <a:off x="10299436" y="370363"/>
              <a:ext cx="4248817" cy="2468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𝑃&amp;𝐿=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(𝐶𝑢𝑟𝑟𝑒𝑛𝑡 𝑃𝑟𝑖𝑐𝑒 −𝑃𝑟𝑒𝑣𝑖𝑜𝑢𝑠 𝑃𝑟𝑖𝑐𝑒)  𝑥 𝑇𝑖𝑐𝑘 𝑉𝑎𝑙𝑢𝑒 𝑥 𝑄𝑢𝑎𝑛𝑡𝑖𝑡𝑦</a:t>
              </a:r>
              <a:endParaRPr lang="en-GB" sz="1100" b="0">
                <a:ea typeface="Cambria Math" panose="02040503050406030204" pitchFamily="18" charset="0"/>
              </a:endParaRPr>
            </a:p>
            <a:p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</xdr:colOff>
      <xdr:row>11</xdr:row>
      <xdr:rowOff>171450</xdr:rowOff>
    </xdr:from>
    <xdr:to>
      <xdr:col>17</xdr:col>
      <xdr:colOff>29087</xdr:colOff>
      <xdr:row>20</xdr:row>
      <xdr:rowOff>85952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4650" y="2266950"/>
          <a:ext cx="3667637" cy="162900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21</xdr:col>
      <xdr:colOff>124693</xdr:colOff>
      <xdr:row>10</xdr:row>
      <xdr:rowOff>25008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190500"/>
          <a:ext cx="6220693" cy="17433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7620</xdr:rowOff>
    </xdr:from>
    <xdr:to>
      <xdr:col>13</xdr:col>
      <xdr:colOff>327660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ABE63-248C-4ABA-A612-6F4678FF8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358140</xdr:colOff>
      <xdr:row>1</xdr:row>
      <xdr:rowOff>7620</xdr:rowOff>
    </xdr:from>
    <xdr:to>
      <xdr:col>20</xdr:col>
      <xdr:colOff>579120</xdr:colOff>
      <xdr:row>18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772D50-4C74-4F4A-90EE-35677E6CB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32</xdr:col>
      <xdr:colOff>115367</xdr:colOff>
      <xdr:row>30</xdr:row>
      <xdr:rowOff>52666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64E22A-E89C-BDD1-DD98-709929C95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3960" y="182880"/>
          <a:ext cx="12307367" cy="4785775"/>
        </a:xfrm>
        <a:prstGeom prst="rect">
          <a:avLst/>
        </a:prstGeom>
      </xdr:spPr>
    </xdr:pic>
    <xdr:clientData/>
  </xdr:twoCellAnchor>
  <xdr:twoCellAnchor editAs="oneCell">
    <xdr:from>
      <xdr:col>12</xdr:col>
      <xdr:colOff>22860</xdr:colOff>
      <xdr:row>30</xdr:row>
      <xdr:rowOff>27209</xdr:rowOff>
    </xdr:from>
    <xdr:to>
      <xdr:col>32</xdr:col>
      <xdr:colOff>107744</xdr:colOff>
      <xdr:row>48</xdr:row>
      <xdr:rowOff>111322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BBEFB6-D7AE-D7F4-58B9-A4A5ED492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460" y="5742209"/>
          <a:ext cx="12276884" cy="3415142"/>
        </a:xfrm>
        <a:prstGeom prst="rect">
          <a:avLst/>
        </a:prstGeom>
      </xdr:spPr>
    </xdr:pic>
    <xdr:clientData/>
  </xdr:twoCellAnchor>
  <xdr:twoCellAnchor editAs="oneCell">
    <xdr:from>
      <xdr:col>12</xdr:col>
      <xdr:colOff>22860</xdr:colOff>
      <xdr:row>37</xdr:row>
      <xdr:rowOff>76200</xdr:rowOff>
    </xdr:from>
    <xdr:to>
      <xdr:col>32</xdr:col>
      <xdr:colOff>107744</xdr:colOff>
      <xdr:row>59</xdr:row>
      <xdr:rowOff>61307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961ED6-7CE9-2808-4407-484FD5FAE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46820" y="8260080"/>
          <a:ext cx="12276884" cy="4008467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</xdr:colOff>
      <xdr:row>52</xdr:row>
      <xdr:rowOff>83820</xdr:rowOff>
    </xdr:from>
    <xdr:to>
      <xdr:col>32</xdr:col>
      <xdr:colOff>107743</xdr:colOff>
      <xdr:row>74</xdr:row>
      <xdr:rowOff>91790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6297E07-FB06-B924-06C2-EF00B8C47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54440" y="12230100"/>
          <a:ext cx="12269263" cy="4031329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</xdr:colOff>
      <xdr:row>67</xdr:row>
      <xdr:rowOff>274320</xdr:rowOff>
    </xdr:from>
    <xdr:to>
      <xdr:col>32</xdr:col>
      <xdr:colOff>122986</xdr:colOff>
      <xdr:row>93</xdr:row>
      <xdr:rowOff>99464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834AFBD-B769-C0A0-0253-A4C3725A9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39200" y="16230600"/>
          <a:ext cx="12299746" cy="4671465"/>
        </a:xfrm>
        <a:prstGeom prst="rect">
          <a:avLst/>
        </a:prstGeom>
      </xdr:spPr>
    </xdr:pic>
    <xdr:clientData/>
  </xdr:twoCellAnchor>
  <xdr:twoCellAnchor editAs="oneCell">
    <xdr:from>
      <xdr:col>12</xdr:col>
      <xdr:colOff>22860</xdr:colOff>
      <xdr:row>85</xdr:row>
      <xdr:rowOff>251460</xdr:rowOff>
    </xdr:from>
    <xdr:to>
      <xdr:col>32</xdr:col>
      <xdr:colOff>115365</xdr:colOff>
      <xdr:row>111</xdr:row>
      <xdr:rowOff>129947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4069D1-7C22-391A-923C-23F79A751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46820" y="20871180"/>
          <a:ext cx="12284505" cy="4701947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</xdr:colOff>
      <xdr:row>110</xdr:row>
      <xdr:rowOff>160020</xdr:rowOff>
    </xdr:from>
    <xdr:to>
      <xdr:col>32</xdr:col>
      <xdr:colOff>130605</xdr:colOff>
      <xdr:row>122</xdr:row>
      <xdr:rowOff>68761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505EF8A-FDDD-CB7C-89B1-E3E08EAAB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54440" y="25504140"/>
          <a:ext cx="12292125" cy="210330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6</xdr:row>
      <xdr:rowOff>42862</xdr:rowOff>
    </xdr:from>
    <xdr:ext cx="2951129" cy="3054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905375" y="1243012"/>
              <a:ext cx="2951129" cy="305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𝐺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GB" sz="1100"/>
                <a:t>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nary>
                        <m:naryPr>
                          <m:chr m:val="∏"/>
                          <m:limLoc m:val="subSup"/>
                          <m:supHide m:val="on"/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9"/>
                            </m:r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/>
                        <m:e>
                          <m:d>
                            <m:dPr>
                              <m:begChr m:val="{"/>
                              <m:endChr m:val="}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1+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𝑑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360</m:t>
                                      </m:r>
                                    </m:den>
                                  </m:f>
                                </m:e>
                              </m:d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𝑟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100</m:t>
                                      </m:r>
                                    </m:den>
                                  </m:f>
                                </m:e>
                              </m:d>
                            </m:e>
                          </m:d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−1</m:t>
                          </m:r>
                        </m:e>
                      </m:nary>
                      <m:r>
                        <m:rPr>
                          <m:nor/>
                        </m:r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e>
                  </m:d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 </m:t>
                  </m:r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360</m:t>
                          </m:r>
                        </m:num>
                        <m:den>
                          <m:nary>
                            <m:naryPr>
                              <m:chr m:val="∑"/>
                              <m:limLoc m:val="subSup"/>
                              <m:supHide m:val="on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9"/>
                                </m:r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  <m:sup/>
                            <m:e>
                              <m:sSub>
                                <m:sSub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  <m:sub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</m:den>
                      </m:f>
                    </m:e>
                  </m:d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∗100</m:t>
                  </m:r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905375" y="1243012"/>
              <a:ext cx="2951129" cy="305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𝑅</a:t>
              </a:r>
              <a:r>
                <a:rPr lang="en-GB" sz="1100" b="0" i="0">
                  <a:latin typeface="Cambria Math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𝐺=</a:t>
              </a:r>
              <a:r>
                <a:rPr lang="en-GB" sz="1100"/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[∏2_𝑖▒〖{1+(𝑑_𝑖/360)∗(𝑟_𝑖/100)}−1〗 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]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360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/(∑2_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∗100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38100</xdr:colOff>
      <xdr:row>9</xdr:row>
      <xdr:rowOff>71437</xdr:rowOff>
    </xdr:from>
    <xdr:ext cx="2096343" cy="2533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914900" y="1843087"/>
              <a:ext cx="2096343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GB" sz="1100"/>
                <a:t>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d>
                        <m:dPr>
                          <m:begChr m:val="["/>
                          <m:endChr m:val="]"/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nary>
                            <m:naryPr>
                              <m:chr m:val="∑"/>
                              <m:limLoc m:val="subSup"/>
                              <m:supHide m:val="on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9"/>
                                </m:r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  <m:sup/>
                            <m:e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𝑑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360</m:t>
                                      </m:r>
                                    </m:den>
                                  </m:f>
                                </m:e>
                              </m:d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𝑟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100</m:t>
                                      </m:r>
                                    </m:den>
                                  </m:f>
                                </m:e>
                              </m:d>
                            </m:e>
                          </m:nary>
                        </m:e>
                      </m:d>
                    </m:num>
                    <m:den>
                      <m:nary>
                        <m:naryPr>
                          <m:chr m:val="∑"/>
                          <m:limLoc m:val="subSup"/>
                          <m:supHide m:val="on"/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9"/>
                            </m:r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/>
                        <m:e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nary>
                    </m:den>
                  </m:f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∗100</m:t>
                  </m:r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914900" y="1843087"/>
              <a:ext cx="2096343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𝑅</a:t>
              </a:r>
              <a:r>
                <a:rPr lang="en-GB" sz="1100" b="0" i="0">
                  <a:latin typeface="Cambria Math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𝐴=</a:t>
              </a:r>
              <a:r>
                <a:rPr lang="en-GB" sz="1100"/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[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∑2_𝑖▒〖(𝑑_𝑖/360)∗(𝑟_𝑖/100) 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]∕〖∑2_𝑖▒𝑑_𝑖 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∗100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megroup.com/education/files/sofr-futures-settlement-calculation-methodologi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megroup.com/education/files/sofr-futures-settlement-calculation-methodologies.pdf" TargetMode="External"/><Relationship Id="rId2" Type="http://schemas.openxmlformats.org/officeDocument/2006/relationships/hyperlink" Target="https://www.cmegroup.com/markets/interest-rates/stirs/eurodollar.contractSpecs.html" TargetMode="External"/><Relationship Id="rId1" Type="http://schemas.openxmlformats.org/officeDocument/2006/relationships/hyperlink" Target="https://www.cmegroup.com/education/files/sofr-futures-contract-specifications.pdf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E4AC-8323-409E-8AF9-D65640EDC1C6}">
  <dimension ref="B2:T28"/>
  <sheetViews>
    <sheetView showGridLines="0" tabSelected="1" workbookViewId="0"/>
  </sheetViews>
  <sheetFormatPr defaultRowHeight="15.6"/>
  <cols>
    <col min="1" max="1" width="8.88671875" style="14"/>
    <col min="2" max="2" width="16.33203125" style="14" bestFit="1" customWidth="1"/>
    <col min="3" max="3" width="12.6640625" style="14" bestFit="1" customWidth="1"/>
    <col min="4" max="4" width="12" style="14" bestFit="1" customWidth="1"/>
    <col min="5" max="12" width="8.88671875" style="14"/>
    <col min="13" max="13" width="13.21875" style="14" bestFit="1" customWidth="1"/>
    <col min="14" max="14" width="15" style="14" bestFit="1" customWidth="1"/>
    <col min="15" max="15" width="15" style="14" customWidth="1"/>
    <col min="16" max="18" width="12.77734375" style="14" customWidth="1"/>
    <col min="19" max="20" width="8.88671875" style="14"/>
    <col min="21" max="21" width="15" style="14" bestFit="1" customWidth="1"/>
    <col min="22" max="16384" width="8.88671875" style="14"/>
  </cols>
  <sheetData>
    <row r="2" spans="2:20">
      <c r="B2" s="12" t="s">
        <v>76</v>
      </c>
      <c r="C2" s="67" t="s">
        <v>44</v>
      </c>
      <c r="D2" s="13"/>
      <c r="I2" s="40" t="s">
        <v>71</v>
      </c>
    </row>
    <row r="3" spans="2:20" ht="17.399999999999999">
      <c r="B3" s="14" t="s">
        <v>30</v>
      </c>
      <c r="C3" s="12" t="str">
        <f>VLOOKUP(Ticker,FuturesTable,2,0)</f>
        <v>USD 3M SOFR Futures</v>
      </c>
      <c r="I3" s="14" t="s">
        <v>85</v>
      </c>
    </row>
    <row r="4" spans="2:20">
      <c r="B4" s="12" t="s">
        <v>41</v>
      </c>
      <c r="C4" s="15">
        <f>VLOOKUP(Ticker,FuturesTable,6,0)</f>
        <v>1000000</v>
      </c>
      <c r="D4" s="13"/>
      <c r="I4" s="38" t="s">
        <v>87</v>
      </c>
    </row>
    <row r="5" spans="2:20" ht="17.399999999999999">
      <c r="B5" s="12" t="s">
        <v>40</v>
      </c>
      <c r="C5" s="16">
        <f>VLOOKUP(Ticker,FuturesTable,8,0)</f>
        <v>25</v>
      </c>
      <c r="D5" s="13"/>
      <c r="I5" s="14" t="s">
        <v>86</v>
      </c>
    </row>
    <row r="6" spans="2:20">
      <c r="B6" s="12"/>
      <c r="C6" s="13"/>
      <c r="D6" s="13"/>
    </row>
    <row r="7" spans="2:20" ht="16.2" thickBot="1">
      <c r="B7" s="12" t="s">
        <v>110</v>
      </c>
      <c r="C7" s="13"/>
      <c r="D7" s="13"/>
      <c r="I7" s="14" t="s">
        <v>82</v>
      </c>
    </row>
    <row r="8" spans="2:20" ht="18" thickBot="1">
      <c r="B8" s="17" t="s">
        <v>36</v>
      </c>
      <c r="C8" s="18" t="s">
        <v>39</v>
      </c>
      <c r="D8" s="21" t="s">
        <v>42</v>
      </c>
      <c r="E8" s="18" t="s">
        <v>37</v>
      </c>
      <c r="H8" s="33" t="s">
        <v>29</v>
      </c>
      <c r="I8" s="161" t="s">
        <v>30</v>
      </c>
      <c r="J8" s="162"/>
      <c r="K8" s="162"/>
      <c r="L8" s="34" t="s">
        <v>56</v>
      </c>
      <c r="M8" s="34" t="s">
        <v>46</v>
      </c>
      <c r="N8" s="34" t="s">
        <v>72</v>
      </c>
      <c r="O8" s="35" t="s">
        <v>67</v>
      </c>
      <c r="P8" s="35" t="s">
        <v>90</v>
      </c>
      <c r="Q8" s="35" t="s">
        <v>66</v>
      </c>
      <c r="T8" s="15"/>
    </row>
    <row r="9" spans="2:20">
      <c r="B9" s="19">
        <v>44732</v>
      </c>
      <c r="C9" s="15">
        <v>9900</v>
      </c>
      <c r="D9" s="15">
        <f t="shared" ref="D9:D22" si="0">C9-C10</f>
        <v>1</v>
      </c>
      <c r="E9" s="20">
        <f t="shared" ref="E9:E16" si="1">TickValue*D9</f>
        <v>25</v>
      </c>
      <c r="H9" s="25" t="s">
        <v>26</v>
      </c>
      <c r="I9" s="163" t="s">
        <v>47</v>
      </c>
      <c r="J9" s="164"/>
      <c r="K9" s="164"/>
      <c r="L9" s="30" t="s">
        <v>57</v>
      </c>
      <c r="M9" s="32">
        <v>1000000</v>
      </c>
      <c r="N9" s="30" t="s">
        <v>73</v>
      </c>
      <c r="O9" s="26">
        <v>25</v>
      </c>
      <c r="P9" s="26">
        <v>2500</v>
      </c>
      <c r="Q9" s="30" t="s">
        <v>63</v>
      </c>
      <c r="T9" s="15"/>
    </row>
    <row r="10" spans="2:20">
      <c r="B10" s="19">
        <v>44729</v>
      </c>
      <c r="C10" s="15">
        <v>9899</v>
      </c>
      <c r="D10" s="15">
        <f t="shared" si="0"/>
        <v>2</v>
      </c>
      <c r="E10" s="15">
        <f t="shared" si="1"/>
        <v>50</v>
      </c>
      <c r="H10" s="27" t="s">
        <v>43</v>
      </c>
      <c r="I10" s="153" t="s">
        <v>48</v>
      </c>
      <c r="J10" s="154"/>
      <c r="K10" s="154"/>
      <c r="L10" s="31" t="s">
        <v>57</v>
      </c>
      <c r="M10" s="41">
        <v>5000000</v>
      </c>
      <c r="N10" s="36" t="s">
        <v>74</v>
      </c>
      <c r="O10" s="28">
        <v>41.67</v>
      </c>
      <c r="P10" s="28">
        <v>2500</v>
      </c>
      <c r="Q10" s="31" t="s">
        <v>15</v>
      </c>
      <c r="T10" s="15"/>
    </row>
    <row r="11" spans="2:20">
      <c r="B11" s="19">
        <v>44728</v>
      </c>
      <c r="C11" s="15">
        <v>9897</v>
      </c>
      <c r="D11" s="15">
        <f t="shared" si="0"/>
        <v>-1</v>
      </c>
      <c r="E11" s="15">
        <f t="shared" si="1"/>
        <v>-25</v>
      </c>
      <c r="H11" s="43" t="s">
        <v>44</v>
      </c>
      <c r="I11" s="157" t="s">
        <v>49</v>
      </c>
      <c r="J11" s="158"/>
      <c r="K11" s="158"/>
      <c r="L11" s="44" t="s">
        <v>57</v>
      </c>
      <c r="M11" s="45">
        <v>1000000</v>
      </c>
      <c r="N11" s="46" t="s">
        <v>73</v>
      </c>
      <c r="O11" s="47">
        <v>25</v>
      </c>
      <c r="P11" s="47">
        <v>2500</v>
      </c>
      <c r="Q11" s="44" t="s">
        <v>16</v>
      </c>
      <c r="T11" s="15"/>
    </row>
    <row r="12" spans="2:20">
      <c r="B12" s="19">
        <v>44727</v>
      </c>
      <c r="C12" s="15">
        <v>9898</v>
      </c>
      <c r="D12" s="15">
        <f t="shared" si="0"/>
        <v>0</v>
      </c>
      <c r="E12" s="15">
        <f t="shared" si="1"/>
        <v>0</v>
      </c>
      <c r="H12" s="27" t="s">
        <v>62</v>
      </c>
      <c r="I12" s="153" t="s">
        <v>50</v>
      </c>
      <c r="J12" s="154"/>
      <c r="K12" s="154"/>
      <c r="L12" s="36" t="s">
        <v>58</v>
      </c>
      <c r="M12" s="41">
        <v>1000000</v>
      </c>
      <c r="N12" s="36" t="s">
        <v>73</v>
      </c>
      <c r="O12" s="28">
        <v>12.5</v>
      </c>
      <c r="P12" s="28">
        <v>2500</v>
      </c>
      <c r="Q12" s="36" t="s">
        <v>63</v>
      </c>
      <c r="T12" s="15"/>
    </row>
    <row r="13" spans="2:20">
      <c r="B13" s="19">
        <v>44726</v>
      </c>
      <c r="C13" s="15">
        <v>9898</v>
      </c>
      <c r="D13" s="15">
        <f t="shared" si="0"/>
        <v>-5</v>
      </c>
      <c r="E13" s="15">
        <f t="shared" si="1"/>
        <v>-125</v>
      </c>
      <c r="H13" s="27" t="s">
        <v>55</v>
      </c>
      <c r="I13" s="153" t="s">
        <v>51</v>
      </c>
      <c r="J13" s="154"/>
      <c r="K13" s="154"/>
      <c r="L13" s="31" t="s">
        <v>58</v>
      </c>
      <c r="M13" s="41">
        <v>1000000</v>
      </c>
      <c r="N13" s="36" t="s">
        <v>73</v>
      </c>
      <c r="O13" s="28">
        <v>25</v>
      </c>
      <c r="P13" s="28">
        <v>2500</v>
      </c>
      <c r="Q13" s="31" t="s">
        <v>16</v>
      </c>
      <c r="T13" s="15"/>
    </row>
    <row r="14" spans="2:20">
      <c r="B14" s="19">
        <v>44725</v>
      </c>
      <c r="C14" s="15">
        <v>9903</v>
      </c>
      <c r="D14" s="15">
        <f t="shared" si="0"/>
        <v>-2</v>
      </c>
      <c r="E14" s="15">
        <f t="shared" si="1"/>
        <v>-50</v>
      </c>
      <c r="H14" s="48" t="s">
        <v>69</v>
      </c>
      <c r="I14" s="155" t="s">
        <v>52</v>
      </c>
      <c r="J14" s="156"/>
      <c r="K14" s="156"/>
      <c r="L14" s="49" t="s">
        <v>59</v>
      </c>
      <c r="M14" s="50">
        <v>1000000</v>
      </c>
      <c r="N14" s="49" t="s">
        <v>73</v>
      </c>
      <c r="O14" s="51">
        <v>25</v>
      </c>
      <c r="P14" s="51">
        <v>2500</v>
      </c>
      <c r="Q14" s="49" t="s">
        <v>63</v>
      </c>
      <c r="T14" s="15"/>
    </row>
    <row r="15" spans="2:20">
      <c r="B15" s="19">
        <v>44722</v>
      </c>
      <c r="C15" s="15">
        <v>9905</v>
      </c>
      <c r="D15" s="15">
        <f t="shared" si="0"/>
        <v>-1</v>
      </c>
      <c r="E15" s="15">
        <f t="shared" si="1"/>
        <v>-25</v>
      </c>
      <c r="H15" s="43" t="s">
        <v>61</v>
      </c>
      <c r="I15" s="157" t="s">
        <v>53</v>
      </c>
      <c r="J15" s="158"/>
      <c r="K15" s="158"/>
      <c r="L15" s="44" t="s">
        <v>59</v>
      </c>
      <c r="M15" s="45">
        <v>1000000</v>
      </c>
      <c r="N15" s="46" t="s">
        <v>74</v>
      </c>
      <c r="O15" s="47">
        <v>25</v>
      </c>
      <c r="P15" s="47">
        <v>2500</v>
      </c>
      <c r="Q15" s="44" t="s">
        <v>15</v>
      </c>
      <c r="T15" s="15"/>
    </row>
    <row r="16" spans="2:20" ht="16.2" thickBot="1">
      <c r="B16" s="19">
        <v>44721</v>
      </c>
      <c r="C16" s="15">
        <v>9906</v>
      </c>
      <c r="D16" s="15">
        <f t="shared" si="0"/>
        <v>3</v>
      </c>
      <c r="E16" s="15">
        <f t="shared" si="1"/>
        <v>75</v>
      </c>
      <c r="H16" s="29" t="s">
        <v>70</v>
      </c>
      <c r="I16" s="159" t="s">
        <v>54</v>
      </c>
      <c r="J16" s="160"/>
      <c r="K16" s="160"/>
      <c r="L16" s="37" t="s">
        <v>60</v>
      </c>
      <c r="M16" s="42">
        <v>100000000</v>
      </c>
      <c r="N16" s="37" t="s">
        <v>73</v>
      </c>
      <c r="O16" s="37">
        <v>2500</v>
      </c>
      <c r="P16" s="37">
        <v>250000</v>
      </c>
      <c r="Q16" s="37" t="s">
        <v>63</v>
      </c>
    </row>
    <row r="17" spans="2:16" ht="17.399999999999999">
      <c r="B17" s="19">
        <v>44720</v>
      </c>
      <c r="C17" s="15">
        <v>9903</v>
      </c>
      <c r="D17" s="15">
        <f t="shared" si="0"/>
        <v>3</v>
      </c>
      <c r="E17" s="15">
        <f t="shared" ref="E17:E22" si="2">TickValue*D17</f>
        <v>75</v>
      </c>
      <c r="H17" s="12" t="s">
        <v>125</v>
      </c>
      <c r="M17" s="13"/>
      <c r="N17" s="13"/>
      <c r="O17" s="13"/>
      <c r="P17" s="13"/>
    </row>
    <row r="18" spans="2:16">
      <c r="B18" s="19">
        <v>44719</v>
      </c>
      <c r="C18" s="15">
        <v>9900</v>
      </c>
      <c r="D18" s="20">
        <f t="shared" si="0"/>
        <v>2</v>
      </c>
      <c r="E18" s="20">
        <f t="shared" si="2"/>
        <v>50</v>
      </c>
      <c r="H18" s="13"/>
      <c r="M18" s="13"/>
      <c r="N18" s="13"/>
      <c r="O18" s="13"/>
      <c r="P18" s="13"/>
    </row>
    <row r="19" spans="2:16">
      <c r="B19" s="19">
        <v>44718</v>
      </c>
      <c r="C19" s="15">
        <v>9898</v>
      </c>
      <c r="D19" s="22">
        <f t="shared" si="0"/>
        <v>1</v>
      </c>
      <c r="E19" s="22">
        <f t="shared" si="2"/>
        <v>25</v>
      </c>
      <c r="H19" s="40" t="s">
        <v>84</v>
      </c>
      <c r="M19" s="13"/>
      <c r="N19" s="13"/>
      <c r="O19" s="13"/>
      <c r="P19" s="13"/>
    </row>
    <row r="20" spans="2:16">
      <c r="B20" s="19">
        <v>44715</v>
      </c>
      <c r="C20" s="15">
        <v>9897</v>
      </c>
      <c r="D20" s="22">
        <f t="shared" si="0"/>
        <v>-5</v>
      </c>
      <c r="E20" s="22">
        <f t="shared" si="2"/>
        <v>-125</v>
      </c>
      <c r="H20" s="14" t="s">
        <v>80</v>
      </c>
      <c r="L20" s="39" t="s">
        <v>68</v>
      </c>
      <c r="M20" s="13"/>
      <c r="N20" s="13"/>
      <c r="O20" s="13"/>
      <c r="P20" s="13"/>
    </row>
    <row r="21" spans="2:16">
      <c r="B21" s="19">
        <v>44714</v>
      </c>
      <c r="C21" s="15">
        <v>9902</v>
      </c>
      <c r="D21" s="22">
        <f t="shared" si="0"/>
        <v>2</v>
      </c>
      <c r="E21" s="22">
        <f t="shared" si="2"/>
        <v>50</v>
      </c>
      <c r="H21" s="14" t="s">
        <v>82</v>
      </c>
      <c r="L21" s="39" t="s">
        <v>83</v>
      </c>
      <c r="M21" s="13"/>
      <c r="N21" s="13"/>
      <c r="O21" s="13"/>
      <c r="P21" s="13"/>
    </row>
    <row r="22" spans="2:16">
      <c r="B22" s="19">
        <v>44713</v>
      </c>
      <c r="C22" s="15">
        <v>9900</v>
      </c>
      <c r="D22" s="22">
        <f t="shared" si="0"/>
        <v>8</v>
      </c>
      <c r="E22" s="22">
        <f t="shared" si="2"/>
        <v>200</v>
      </c>
      <c r="H22" s="14" t="s">
        <v>64</v>
      </c>
      <c r="L22" s="10" t="s">
        <v>65</v>
      </c>
    </row>
    <row r="23" spans="2:16">
      <c r="B23" s="19">
        <v>44712</v>
      </c>
      <c r="C23" s="15">
        <v>9892</v>
      </c>
      <c r="D23" s="53" t="s">
        <v>38</v>
      </c>
      <c r="E23" s="53" t="s">
        <v>38</v>
      </c>
      <c r="H23" s="14" t="s">
        <v>81</v>
      </c>
      <c r="L23" s="39" t="s">
        <v>79</v>
      </c>
    </row>
    <row r="24" spans="2:16">
      <c r="B24" s="19"/>
      <c r="C24" s="15"/>
      <c r="D24" s="22"/>
    </row>
    <row r="25" spans="2:16">
      <c r="B25" s="19" t="s">
        <v>78</v>
      </c>
      <c r="C25" s="15">
        <f>C9</f>
        <v>9900</v>
      </c>
      <c r="D25" s="22"/>
      <c r="E25" s="13" t="s">
        <v>75</v>
      </c>
    </row>
    <row r="26" spans="2:16">
      <c r="B26" s="14" t="s">
        <v>77</v>
      </c>
      <c r="C26" s="15">
        <f>C23</f>
        <v>9892</v>
      </c>
      <c r="E26" s="22">
        <f>SUM(E9:E23)</f>
        <v>200</v>
      </c>
    </row>
    <row r="27" spans="2:16" ht="16.2" thickBot="1">
      <c r="B27" s="14" t="s">
        <v>75</v>
      </c>
      <c r="C27" s="52">
        <f>TickValue*(C25-C26)</f>
        <v>200</v>
      </c>
    </row>
    <row r="28" spans="2:16" ht="16.2" thickTop="1"/>
  </sheetData>
  <mergeCells count="9">
    <mergeCell ref="I13:K13"/>
    <mergeCell ref="I14:K14"/>
    <mergeCell ref="I15:K15"/>
    <mergeCell ref="I16:K16"/>
    <mergeCell ref="I8:K8"/>
    <mergeCell ref="I9:K9"/>
    <mergeCell ref="I10:K10"/>
    <mergeCell ref="I11:K11"/>
    <mergeCell ref="I12:K12"/>
  </mergeCells>
  <dataValidations count="1">
    <dataValidation type="list" allowBlank="1" showInputMessage="1" showErrorMessage="1" sqref="C2" xr:uid="{B30E80EA-93C9-4138-A8B9-1072B03E19AE}">
      <formula1>FuturesTickers</formula1>
    </dataValidation>
  </dataValidations>
  <hyperlinks>
    <hyperlink ref="L22" r:id="rId1" xr:uid="{A75CBE5C-02F7-4E36-AEF5-7EFF0161B65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28EE0-2C06-42A1-88EA-2E999F52B5E1}">
  <dimension ref="A1:M23"/>
  <sheetViews>
    <sheetView showGridLines="0" zoomScaleNormal="100" workbookViewId="0"/>
  </sheetViews>
  <sheetFormatPr defaultRowHeight="15.6"/>
  <cols>
    <col min="1" max="1" width="8.88671875" style="14"/>
    <col min="2" max="2" width="14.21875" style="14" customWidth="1"/>
    <col min="3" max="3" width="24" style="14" customWidth="1"/>
    <col min="4" max="4" width="27.109375" style="14" bestFit="1" customWidth="1"/>
    <col min="5" max="5" width="25" style="14" bestFit="1" customWidth="1"/>
    <col min="6" max="6" width="23.77734375" style="14" bestFit="1" customWidth="1"/>
    <col min="7" max="7" width="18.77734375" style="14" customWidth="1"/>
    <col min="8" max="8" width="12.33203125" style="14" customWidth="1"/>
    <col min="9" max="9" width="12.5546875" style="14" customWidth="1"/>
    <col min="10" max="10" width="14" style="14" customWidth="1"/>
    <col min="11" max="11" width="22.33203125" style="14" customWidth="1"/>
    <col min="12" max="12" width="16.6640625" style="14" customWidth="1"/>
    <col min="13" max="16384" width="8.88671875" style="14"/>
  </cols>
  <sheetData>
    <row r="1" spans="1:13">
      <c r="H1" s="165" t="s">
        <v>100</v>
      </c>
      <c r="I1" s="166"/>
      <c r="J1" s="167"/>
      <c r="K1" s="168"/>
      <c r="L1" s="168"/>
    </row>
    <row r="2" spans="1:13">
      <c r="B2" s="12" t="s">
        <v>76</v>
      </c>
      <c r="C2" s="67" t="s">
        <v>44</v>
      </c>
      <c r="H2" s="57"/>
      <c r="I2" s="64"/>
      <c r="J2" s="112"/>
      <c r="K2" s="64"/>
      <c r="L2" s="58"/>
    </row>
    <row r="3" spans="1:13">
      <c r="B3" s="14" t="s">
        <v>30</v>
      </c>
      <c r="C3" s="111" t="str">
        <f>VLOOKUP($C$2,FuturesTable,2,0)</f>
        <v>USD 3M SOFR Futures</v>
      </c>
      <c r="D3" s="23"/>
      <c r="H3" s="59"/>
      <c r="I3" s="65"/>
      <c r="J3" s="112"/>
      <c r="K3" s="65"/>
      <c r="L3" s="58"/>
    </row>
    <row r="4" spans="1:13">
      <c r="B4" s="12" t="s">
        <v>46</v>
      </c>
      <c r="C4" s="61">
        <f>VLOOKUP($C$2,FuturesTable,6,0)</f>
        <v>1000000</v>
      </c>
      <c r="D4" s="15"/>
      <c r="H4" s="63"/>
      <c r="I4" s="66"/>
      <c r="J4" s="113"/>
      <c r="K4" s="66"/>
      <c r="L4" s="60"/>
    </row>
    <row r="5" spans="1:13">
      <c r="A5" s="16"/>
      <c r="B5" s="12" t="s">
        <v>45</v>
      </c>
      <c r="C5" s="62">
        <f>VLOOKUP($C$2,FuturesTable,8,0)</f>
        <v>25</v>
      </c>
      <c r="D5" s="54" t="s">
        <v>102</v>
      </c>
    </row>
    <row r="6" spans="1:13">
      <c r="B6" s="14" t="s">
        <v>90</v>
      </c>
      <c r="C6" s="61">
        <f>VLOOKUP($C$2,FuturesTable,9,0)</f>
        <v>2500</v>
      </c>
      <c r="D6" s="54" t="s">
        <v>109</v>
      </c>
      <c r="H6" s="14" t="s">
        <v>101</v>
      </c>
    </row>
    <row r="7" spans="1:13" ht="16.2" thickBot="1"/>
    <row r="8" spans="1:13" ht="16.2" thickBot="1">
      <c r="B8" s="33" t="s">
        <v>36</v>
      </c>
      <c r="C8" s="55" t="s">
        <v>88</v>
      </c>
      <c r="D8" s="34" t="s">
        <v>91</v>
      </c>
      <c r="E8" s="56" t="s">
        <v>89</v>
      </c>
      <c r="F8" s="35" t="s">
        <v>95</v>
      </c>
      <c r="H8" s="33" t="s">
        <v>36</v>
      </c>
      <c r="I8" s="33" t="s">
        <v>91</v>
      </c>
      <c r="J8" s="34" t="s">
        <v>89</v>
      </c>
      <c r="K8" s="34" t="s">
        <v>108</v>
      </c>
      <c r="L8" s="35" t="s">
        <v>92</v>
      </c>
    </row>
    <row r="9" spans="1:13" ht="31.2">
      <c r="B9" s="137" t="s">
        <v>121</v>
      </c>
      <c r="C9" s="68" t="s">
        <v>286</v>
      </c>
      <c r="D9" s="68"/>
      <c r="E9" s="68" t="s">
        <v>93</v>
      </c>
      <c r="F9" s="143">
        <v>25000</v>
      </c>
      <c r="H9" s="140" t="s">
        <v>121</v>
      </c>
      <c r="I9" s="131"/>
      <c r="J9" s="131">
        <f>-10*2500</f>
        <v>-25000</v>
      </c>
      <c r="K9" s="132" t="s">
        <v>103</v>
      </c>
      <c r="L9" s="146">
        <f>-J9</f>
        <v>25000</v>
      </c>
    </row>
    <row r="10" spans="1:13" ht="31.2">
      <c r="B10" s="138"/>
      <c r="C10" s="68" t="s">
        <v>287</v>
      </c>
      <c r="D10" s="69" t="s">
        <v>111</v>
      </c>
      <c r="E10" s="68"/>
      <c r="F10" s="144">
        <f>F9+I10</f>
        <v>33000</v>
      </c>
      <c r="H10" s="141"/>
      <c r="I10" s="133">
        <f>(9942-9910)*25*10</f>
        <v>8000</v>
      </c>
      <c r="J10" s="133"/>
      <c r="K10" s="133"/>
      <c r="L10" s="147">
        <f t="shared" ref="L10:L19" si="0">L9+I10-J10</f>
        <v>33000</v>
      </c>
    </row>
    <row r="11" spans="1:13" ht="31.8" thickBot="1">
      <c r="B11" s="139"/>
      <c r="C11" s="70"/>
      <c r="D11" s="70"/>
      <c r="E11" s="70" t="s">
        <v>116</v>
      </c>
      <c r="F11" s="145">
        <f>F10-J11</f>
        <v>25000</v>
      </c>
      <c r="H11" s="142"/>
      <c r="I11" s="134"/>
      <c r="J11" s="134">
        <f>I10</f>
        <v>8000</v>
      </c>
      <c r="K11" s="135" t="s">
        <v>104</v>
      </c>
      <c r="L11" s="148">
        <f t="shared" si="0"/>
        <v>25000</v>
      </c>
    </row>
    <row r="12" spans="1:13" ht="31.2">
      <c r="B12" s="121" t="s">
        <v>122</v>
      </c>
      <c r="C12" s="114" t="s">
        <v>288</v>
      </c>
      <c r="D12" s="115" t="s">
        <v>112</v>
      </c>
      <c r="E12" s="114"/>
      <c r="F12" s="122">
        <f>F11+I12</f>
        <v>22500</v>
      </c>
      <c r="H12" s="121" t="s">
        <v>122</v>
      </c>
      <c r="I12" s="128">
        <f>(9932-9942)*25*10</f>
        <v>-2500</v>
      </c>
      <c r="J12" s="128"/>
      <c r="K12" s="128"/>
      <c r="L12" s="149">
        <f t="shared" si="0"/>
        <v>22500</v>
      </c>
    </row>
    <row r="13" spans="1:13" ht="31.8" thickBot="1">
      <c r="B13" s="123"/>
      <c r="C13" s="116"/>
      <c r="D13" s="117"/>
      <c r="E13" s="116" t="s">
        <v>117</v>
      </c>
      <c r="F13" s="124">
        <f>F12-J13</f>
        <v>25000</v>
      </c>
      <c r="H13" s="123"/>
      <c r="I13" s="129"/>
      <c r="J13" s="129">
        <f>I12</f>
        <v>-2500</v>
      </c>
      <c r="K13" s="130" t="s">
        <v>105</v>
      </c>
      <c r="L13" s="150">
        <f t="shared" si="0"/>
        <v>25000</v>
      </c>
    </row>
    <row r="14" spans="1:13" ht="31.2">
      <c r="B14" s="138" t="s">
        <v>123</v>
      </c>
      <c r="C14" s="68" t="s">
        <v>289</v>
      </c>
      <c r="D14" s="69" t="s">
        <v>113</v>
      </c>
      <c r="E14" s="68"/>
      <c r="F14" s="144">
        <f>F13+I14</f>
        <v>24250</v>
      </c>
      <c r="H14" s="141" t="s">
        <v>123</v>
      </c>
      <c r="I14" s="131">
        <f>(9927-9932)*25*6</f>
        <v>-750</v>
      </c>
      <c r="J14" s="131"/>
      <c r="K14" s="131"/>
      <c r="L14" s="146">
        <f t="shared" si="0"/>
        <v>24250</v>
      </c>
    </row>
    <row r="15" spans="1:13" ht="31.2">
      <c r="B15" s="138"/>
      <c r="C15" s="68" t="s">
        <v>290</v>
      </c>
      <c r="D15" s="69" t="s">
        <v>114</v>
      </c>
      <c r="E15" s="68"/>
      <c r="F15" s="144">
        <f>F14+I15</f>
        <v>23550</v>
      </c>
      <c r="H15" s="141"/>
      <c r="I15" s="133">
        <f>(9925-9932)*25*4</f>
        <v>-700</v>
      </c>
      <c r="J15" s="133"/>
      <c r="K15" s="133"/>
      <c r="L15" s="147">
        <f t="shared" si="0"/>
        <v>23550</v>
      </c>
      <c r="M15" s="80"/>
    </row>
    <row r="16" spans="1:13" ht="46.8">
      <c r="B16" s="138"/>
      <c r="C16" s="68"/>
      <c r="D16" s="69"/>
      <c r="E16" s="68" t="s">
        <v>118</v>
      </c>
      <c r="F16" s="144">
        <f>F15-J16</f>
        <v>25000</v>
      </c>
      <c r="H16" s="141"/>
      <c r="I16" s="133"/>
      <c r="J16" s="133">
        <f>I14+I15</f>
        <v>-1450</v>
      </c>
      <c r="K16" s="136" t="s">
        <v>105</v>
      </c>
      <c r="L16" s="147">
        <f t="shared" si="0"/>
        <v>25000</v>
      </c>
    </row>
    <row r="17" spans="2:12" ht="31.8" thickBot="1">
      <c r="B17" s="139"/>
      <c r="C17" s="70"/>
      <c r="D17" s="72"/>
      <c r="E17" s="70" t="s">
        <v>119</v>
      </c>
      <c r="F17" s="145">
        <f>F16-J17</f>
        <v>10000</v>
      </c>
      <c r="H17" s="142"/>
      <c r="I17" s="134"/>
      <c r="J17" s="134">
        <v>15000</v>
      </c>
      <c r="K17" s="135" t="s">
        <v>106</v>
      </c>
      <c r="L17" s="148">
        <f t="shared" si="0"/>
        <v>10000</v>
      </c>
    </row>
    <row r="18" spans="2:12" ht="31.2">
      <c r="B18" s="125" t="s">
        <v>124</v>
      </c>
      <c r="C18" s="118" t="s">
        <v>291</v>
      </c>
      <c r="D18" s="119" t="s">
        <v>115</v>
      </c>
      <c r="E18" s="118"/>
      <c r="F18" s="126">
        <f>F17+I18</f>
        <v>11300</v>
      </c>
      <c r="H18" s="125" t="s">
        <v>124</v>
      </c>
      <c r="I18" s="128">
        <f>(9938-9925)*25*4</f>
        <v>1300</v>
      </c>
      <c r="J18" s="128"/>
      <c r="K18" s="128"/>
      <c r="L18" s="149">
        <f t="shared" si="0"/>
        <v>11300</v>
      </c>
    </row>
    <row r="19" spans="2:12" ht="47.4" thickBot="1">
      <c r="B19" s="127"/>
      <c r="C19" s="120"/>
      <c r="D19" s="117"/>
      <c r="E19" s="116" t="s">
        <v>120</v>
      </c>
      <c r="F19" s="124">
        <v>0</v>
      </c>
      <c r="H19" s="127"/>
      <c r="I19" s="129"/>
      <c r="J19" s="129">
        <v>11300</v>
      </c>
      <c r="K19" s="130" t="s">
        <v>107</v>
      </c>
      <c r="L19" s="150">
        <f t="shared" si="0"/>
        <v>0</v>
      </c>
    </row>
    <row r="21" spans="2:12" ht="16.2" thickBot="1"/>
    <row r="22" spans="2:12" ht="16.2" thickBot="1">
      <c r="B22" s="33"/>
      <c r="C22" s="34" t="s">
        <v>96</v>
      </c>
      <c r="D22" s="34" t="s">
        <v>97</v>
      </c>
      <c r="E22" s="34" t="s">
        <v>98</v>
      </c>
      <c r="F22" s="35" t="s">
        <v>95</v>
      </c>
      <c r="H22" s="33"/>
      <c r="I22" s="78" t="s">
        <v>97</v>
      </c>
      <c r="J22" s="78" t="s">
        <v>98</v>
      </c>
      <c r="K22" s="78"/>
      <c r="L22" s="79" t="s">
        <v>99</v>
      </c>
    </row>
    <row r="23" spans="2:12" ht="16.2" thickBot="1">
      <c r="B23" s="73"/>
      <c r="C23" s="74" t="s">
        <v>94</v>
      </c>
      <c r="D23" s="75">
        <f>8000-2500-750-700+1300</f>
        <v>5350</v>
      </c>
      <c r="E23" s="75">
        <f>-25000+8000-2500-1450+15000+11300</f>
        <v>5350</v>
      </c>
      <c r="F23" s="71">
        <v>0</v>
      </c>
      <c r="H23" s="73"/>
      <c r="I23" s="76">
        <f>SUM(I9:I19)</f>
        <v>5350</v>
      </c>
      <c r="J23" s="76">
        <f>SUM(J9:J19)</f>
        <v>5350</v>
      </c>
      <c r="K23" s="76"/>
      <c r="L23" s="77">
        <v>0</v>
      </c>
    </row>
  </sheetData>
  <mergeCells count="1">
    <mergeCell ref="H1:L1"/>
  </mergeCells>
  <dataValidations count="1">
    <dataValidation type="list" allowBlank="1" showInputMessage="1" showErrorMessage="1" sqref="C2 G2" xr:uid="{93E04E14-0128-4890-B428-E87354E1F1FA}">
      <formula1>FuturesTickers</formula1>
    </dataValidation>
  </dataValidations>
  <pageMargins left="0.7" right="0.7" top="0.75" bottom="0.75" header="0.3" footer="0.3"/>
  <ignoredErrors>
    <ignoredError sqref="F11 F1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0FDA-295D-453D-830E-FDFD564068EC}">
  <dimension ref="B2:K22"/>
  <sheetViews>
    <sheetView showGridLines="0" workbookViewId="0"/>
  </sheetViews>
  <sheetFormatPr defaultRowHeight="14.4"/>
  <cols>
    <col min="2" max="2" width="15.77734375" customWidth="1"/>
    <col min="3" max="6" width="12.77734375" customWidth="1"/>
    <col min="7" max="7" width="15.77734375" customWidth="1"/>
    <col min="8" max="10" width="12.77734375" customWidth="1"/>
  </cols>
  <sheetData>
    <row r="2" spans="2:11">
      <c r="B2" s="81" t="s">
        <v>285</v>
      </c>
      <c r="G2" s="81" t="s">
        <v>273</v>
      </c>
    </row>
    <row r="3" spans="2:11">
      <c r="B3" s="103" t="s">
        <v>279</v>
      </c>
      <c r="C3" s="98">
        <v>20000000</v>
      </c>
      <c r="G3" s="103" t="s">
        <v>46</v>
      </c>
      <c r="H3" s="98">
        <v>1000000</v>
      </c>
    </row>
    <row r="4" spans="2:11">
      <c r="G4" s="103" t="s">
        <v>45</v>
      </c>
      <c r="H4" s="101">
        <v>25</v>
      </c>
    </row>
    <row r="7" spans="2:11">
      <c r="B7" s="95" t="s">
        <v>88</v>
      </c>
      <c r="C7" s="96" t="s">
        <v>267</v>
      </c>
      <c r="D7" s="96" t="s">
        <v>268</v>
      </c>
      <c r="E7" s="96" t="s">
        <v>269</v>
      </c>
      <c r="G7" s="95" t="s">
        <v>266</v>
      </c>
      <c r="H7" s="96" t="s">
        <v>39</v>
      </c>
      <c r="I7" s="96" t="s">
        <v>275</v>
      </c>
      <c r="J7" s="96" t="s">
        <v>267</v>
      </c>
    </row>
    <row r="8" spans="2:11">
      <c r="B8" s="105" t="s">
        <v>270</v>
      </c>
      <c r="C8" s="108">
        <v>1.7500000000000002E-2</v>
      </c>
      <c r="D8" s="98">
        <v>181</v>
      </c>
      <c r="E8" s="99">
        <f>D8/360</f>
        <v>0.50277777777777777</v>
      </c>
      <c r="G8" s="105" t="s">
        <v>276</v>
      </c>
      <c r="H8" s="98">
        <f>I8*100</f>
        <v>9705</v>
      </c>
      <c r="I8" s="107">
        <v>97.05</v>
      </c>
      <c r="J8" s="97">
        <f>(100-I8)/100</f>
        <v>2.950000000000003E-2</v>
      </c>
      <c r="K8" t="s">
        <v>283</v>
      </c>
    </row>
    <row r="9" spans="2:11">
      <c r="B9" s="105" t="s">
        <v>271</v>
      </c>
      <c r="C9" s="108">
        <v>1.4999999999999999E-2</v>
      </c>
      <c r="D9" s="98">
        <v>91</v>
      </c>
      <c r="E9" s="99">
        <f>D9/360</f>
        <v>0.25277777777777777</v>
      </c>
      <c r="G9" s="103" t="s">
        <v>277</v>
      </c>
      <c r="H9" s="98">
        <f>I9*100</f>
        <v>9750</v>
      </c>
      <c r="I9" s="107">
        <v>97.5</v>
      </c>
      <c r="J9" s="97">
        <f>(100-I9)/100</f>
        <v>2.5000000000000001E-2</v>
      </c>
      <c r="K9" t="s">
        <v>284</v>
      </c>
    </row>
    <row r="10" spans="2:11">
      <c r="B10" s="105" t="s">
        <v>282</v>
      </c>
      <c r="C10" s="100">
        <v>2.5000000000000001E-2</v>
      </c>
      <c r="D10" s="98">
        <v>90</v>
      </c>
      <c r="E10" s="99">
        <f>D10/360</f>
        <v>0.25</v>
      </c>
    </row>
    <row r="11" spans="2:11">
      <c r="B11" s="9"/>
      <c r="C11" s="94">
        <v>2.5000000000000001E-2</v>
      </c>
      <c r="D11" s="82"/>
      <c r="E11" s="4"/>
    </row>
    <row r="12" spans="2:11">
      <c r="F12" s="4"/>
      <c r="G12" s="109" t="s">
        <v>129</v>
      </c>
    </row>
    <row r="13" spans="2:11">
      <c r="B13" s="106" t="s">
        <v>280</v>
      </c>
      <c r="C13" s="110">
        <f>(C14-C10)*E10*C3</f>
        <v>-25239.370165899727</v>
      </c>
      <c r="D13" s="152"/>
      <c r="E13" s="151"/>
      <c r="F13" s="4"/>
      <c r="G13" s="95" t="s">
        <v>281</v>
      </c>
      <c r="H13" s="110">
        <f>IF($G$12="Short Future",-1,1)*(H8-H9)*H4*H14</f>
        <v>22500</v>
      </c>
      <c r="I13" s="82"/>
    </row>
    <row r="14" spans="2:11">
      <c r="B14" s="105" t="s">
        <v>272</v>
      </c>
      <c r="C14" s="102">
        <f>((1+C8*E8)/(1+C9*E9)-1)/E10</f>
        <v>1.9952125966820056E-2</v>
      </c>
      <c r="D14" s="4"/>
      <c r="E14" s="151"/>
      <c r="F14" s="4"/>
      <c r="G14" s="104" t="s">
        <v>278</v>
      </c>
      <c r="H14" s="98">
        <v>20</v>
      </c>
    </row>
    <row r="15" spans="2:11">
      <c r="B15" s="105" t="s">
        <v>274</v>
      </c>
      <c r="C15" s="102">
        <f>C8-C9</f>
        <v>2.5000000000000022E-3</v>
      </c>
      <c r="D15" s="152"/>
      <c r="E15" s="151"/>
      <c r="F15" s="1"/>
    </row>
    <row r="16" spans="2:11">
      <c r="F16" s="4"/>
    </row>
    <row r="20" spans="2:4">
      <c r="B20" s="82"/>
      <c r="C20" s="82"/>
      <c r="D20" s="82"/>
    </row>
    <row r="21" spans="2:4">
      <c r="B21" s="86"/>
    </row>
    <row r="22" spans="2:4">
      <c r="D22" s="86"/>
    </row>
  </sheetData>
  <dataValidations disablePrompts="1" count="1">
    <dataValidation type="list" allowBlank="1" showInputMessage="1" showErrorMessage="1" sqref="G12" xr:uid="{02E6814C-0B71-42F0-B737-B269CCF6926A}">
      <formula1>"Long Future, Short Future"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5"/>
  <sheetViews>
    <sheetView showGridLines="0" zoomScaleNormal="100" workbookViewId="0"/>
  </sheetViews>
  <sheetFormatPr defaultRowHeight="14.4"/>
  <cols>
    <col min="5" max="7" width="12.33203125" customWidth="1"/>
  </cols>
  <sheetData>
    <row r="2" spans="2:10" ht="15" customHeight="1">
      <c r="B2" s="172" t="s">
        <v>23</v>
      </c>
      <c r="C2" s="173"/>
      <c r="D2" s="173"/>
      <c r="E2" s="176" t="s">
        <v>24</v>
      </c>
      <c r="F2" s="177"/>
      <c r="G2" s="178"/>
      <c r="H2" s="182" t="s">
        <v>25</v>
      </c>
      <c r="I2" s="183"/>
      <c r="J2" s="184"/>
    </row>
    <row r="3" spans="2:10">
      <c r="B3" s="174"/>
      <c r="C3" s="175"/>
      <c r="D3" s="175"/>
      <c r="E3" s="179"/>
      <c r="F3" s="180"/>
      <c r="G3" s="181"/>
      <c r="H3" s="185"/>
      <c r="I3" s="185"/>
      <c r="J3" s="186"/>
    </row>
    <row r="4" spans="2:10" ht="15" customHeight="1">
      <c r="B4" s="187" t="s">
        <v>26</v>
      </c>
      <c r="C4" s="175"/>
      <c r="D4" s="175"/>
      <c r="E4" s="190" t="s">
        <v>27</v>
      </c>
      <c r="F4" s="180"/>
      <c r="G4" s="181"/>
      <c r="H4" s="194">
        <v>23</v>
      </c>
      <c r="I4" s="185"/>
      <c r="J4" s="186"/>
    </row>
    <row r="5" spans="2:10">
      <c r="B5" s="188"/>
      <c r="C5" s="189"/>
      <c r="D5" s="189"/>
      <c r="E5" s="191"/>
      <c r="F5" s="192"/>
      <c r="G5" s="193"/>
      <c r="H5" s="195"/>
      <c r="I5" s="195"/>
      <c r="J5" s="196"/>
    </row>
    <row r="8" spans="2:10">
      <c r="B8" s="172" t="s">
        <v>23</v>
      </c>
      <c r="C8" s="173"/>
      <c r="D8" s="173"/>
      <c r="E8" s="176" t="s">
        <v>24</v>
      </c>
      <c r="F8" s="177"/>
      <c r="G8" s="178"/>
      <c r="H8" s="182" t="s">
        <v>25</v>
      </c>
      <c r="I8" s="183"/>
      <c r="J8" s="184"/>
    </row>
    <row r="9" spans="2:10">
      <c r="B9" s="174"/>
      <c r="C9" s="175"/>
      <c r="D9" s="175"/>
      <c r="E9" s="179"/>
      <c r="F9" s="180"/>
      <c r="G9" s="181"/>
      <c r="H9" s="185"/>
      <c r="I9" s="185"/>
      <c r="J9" s="186"/>
    </row>
    <row r="10" spans="2:10">
      <c r="B10" s="187" t="s">
        <v>26</v>
      </c>
      <c r="C10" s="175"/>
      <c r="D10" s="175"/>
      <c r="E10" s="190" t="s">
        <v>27</v>
      </c>
      <c r="F10" s="180"/>
      <c r="G10" s="181"/>
      <c r="H10" s="194">
        <v>3</v>
      </c>
      <c r="I10" s="185"/>
      <c r="J10" s="186"/>
    </row>
    <row r="11" spans="2:10">
      <c r="B11" s="188"/>
      <c r="C11" s="189"/>
      <c r="D11" s="189"/>
      <c r="E11" s="191"/>
      <c r="F11" s="192"/>
      <c r="G11" s="193"/>
      <c r="H11" s="195"/>
      <c r="I11" s="195"/>
      <c r="J11" s="196"/>
    </row>
    <row r="14" spans="2:10">
      <c r="B14" s="87" t="s">
        <v>28</v>
      </c>
      <c r="C14" s="87" t="s">
        <v>31</v>
      </c>
      <c r="D14" s="87" t="s">
        <v>29</v>
      </c>
      <c r="E14" s="169" t="s">
        <v>30</v>
      </c>
      <c r="F14" s="170"/>
      <c r="G14" s="170"/>
    </row>
    <row r="15" spans="2:10">
      <c r="B15" s="88" t="s">
        <v>26</v>
      </c>
      <c r="C15" s="88" t="s">
        <v>32</v>
      </c>
      <c r="D15" s="88" t="str">
        <f t="shared" ref="D15:D18" si="0">B15&amp;C15</f>
        <v>EDH3</v>
      </c>
      <c r="E15" s="171" t="s">
        <v>141</v>
      </c>
      <c r="F15" s="171"/>
      <c r="G15" s="171"/>
    </row>
    <row r="16" spans="2:10">
      <c r="B16" s="88" t="s">
        <v>26</v>
      </c>
      <c r="C16" s="88" t="s">
        <v>33</v>
      </c>
      <c r="D16" s="88" t="str">
        <f t="shared" si="0"/>
        <v>EDM3</v>
      </c>
      <c r="E16" s="171" t="s">
        <v>142</v>
      </c>
      <c r="F16" s="171"/>
      <c r="G16" s="171"/>
    </row>
    <row r="17" spans="2:7">
      <c r="B17" s="88" t="s">
        <v>26</v>
      </c>
      <c r="C17" s="88" t="s">
        <v>34</v>
      </c>
      <c r="D17" s="88" t="str">
        <f t="shared" si="0"/>
        <v>EDU3</v>
      </c>
      <c r="E17" s="171" t="s">
        <v>143</v>
      </c>
      <c r="F17" s="171"/>
      <c r="G17" s="171"/>
    </row>
    <row r="18" spans="2:7">
      <c r="B18" s="88" t="s">
        <v>26</v>
      </c>
      <c r="C18" s="88" t="s">
        <v>35</v>
      </c>
      <c r="D18" s="88" t="str">
        <f t="shared" si="0"/>
        <v>EDZ3</v>
      </c>
      <c r="E18" s="171" t="s">
        <v>144</v>
      </c>
      <c r="F18" s="171"/>
      <c r="G18" s="171"/>
    </row>
    <row r="21" spans="2:7">
      <c r="B21" s="87" t="s">
        <v>28</v>
      </c>
      <c r="C21" s="87" t="s">
        <v>31</v>
      </c>
      <c r="D21" s="87" t="s">
        <v>29</v>
      </c>
      <c r="E21" s="169" t="s">
        <v>30</v>
      </c>
      <c r="F21" s="170"/>
      <c r="G21" s="170"/>
    </row>
    <row r="22" spans="2:7">
      <c r="B22" s="88" t="s">
        <v>44</v>
      </c>
      <c r="C22" s="88" t="s">
        <v>32</v>
      </c>
      <c r="D22" s="88" t="str">
        <f t="shared" ref="D22:D25" si="1">B22&amp;C22</f>
        <v>SR3H3</v>
      </c>
      <c r="E22" s="171" t="s">
        <v>137</v>
      </c>
      <c r="F22" s="171"/>
      <c r="G22" s="171"/>
    </row>
    <row r="23" spans="2:7">
      <c r="B23" s="88" t="s">
        <v>44</v>
      </c>
      <c r="C23" s="88" t="s">
        <v>33</v>
      </c>
      <c r="D23" s="88" t="str">
        <f t="shared" si="1"/>
        <v>SR3M3</v>
      </c>
      <c r="E23" s="171" t="s">
        <v>138</v>
      </c>
      <c r="F23" s="171"/>
      <c r="G23" s="171"/>
    </row>
    <row r="24" spans="2:7">
      <c r="B24" s="88" t="s">
        <v>44</v>
      </c>
      <c r="C24" s="88" t="s">
        <v>34</v>
      </c>
      <c r="D24" s="88" t="str">
        <f t="shared" si="1"/>
        <v>SR3U3</v>
      </c>
      <c r="E24" s="171" t="s">
        <v>139</v>
      </c>
      <c r="F24" s="171"/>
      <c r="G24" s="171"/>
    </row>
    <row r="25" spans="2:7">
      <c r="B25" s="88" t="s">
        <v>44</v>
      </c>
      <c r="C25" s="88" t="s">
        <v>35</v>
      </c>
      <c r="D25" s="88" t="str">
        <f t="shared" si="1"/>
        <v>SR3Z3</v>
      </c>
      <c r="E25" s="171" t="s">
        <v>140</v>
      </c>
      <c r="F25" s="171"/>
      <c r="G25" s="171"/>
    </row>
  </sheetData>
  <mergeCells count="22">
    <mergeCell ref="E21:G21"/>
    <mergeCell ref="E22:G22"/>
    <mergeCell ref="E23:G23"/>
    <mergeCell ref="E24:G24"/>
    <mergeCell ref="E25:G25"/>
    <mergeCell ref="B2:D3"/>
    <mergeCell ref="B4:D5"/>
    <mergeCell ref="E2:G3"/>
    <mergeCell ref="E4:G5"/>
    <mergeCell ref="H2:J3"/>
    <mergeCell ref="H4:J5"/>
    <mergeCell ref="B8:D9"/>
    <mergeCell ref="E8:G9"/>
    <mergeCell ref="H8:J9"/>
    <mergeCell ref="B10:D11"/>
    <mergeCell ref="E10:G11"/>
    <mergeCell ref="H10:J11"/>
    <mergeCell ref="E14:G14"/>
    <mergeCell ref="E15:G15"/>
    <mergeCell ref="E16:G16"/>
    <mergeCell ref="E17:G17"/>
    <mergeCell ref="E18:G1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4BC4B-E0C6-4C42-B716-DBBB47A3AF27}">
  <dimension ref="B2:F22"/>
  <sheetViews>
    <sheetView showGridLines="0" workbookViewId="0"/>
  </sheetViews>
  <sheetFormatPr defaultRowHeight="14.4"/>
  <cols>
    <col min="2" max="2" width="15.88671875" bestFit="1" customWidth="1"/>
    <col min="3" max="3" width="16.33203125" customWidth="1"/>
    <col min="4" max="4" width="14.88671875" customWidth="1"/>
    <col min="5" max="5" width="12.44140625" bestFit="1" customWidth="1"/>
    <col min="6" max="6" width="7.77734375" customWidth="1"/>
  </cols>
  <sheetData>
    <row r="2" spans="2:6">
      <c r="B2" s="81" t="s">
        <v>127</v>
      </c>
      <c r="C2" s="81"/>
    </row>
    <row r="4" spans="2:6">
      <c r="B4" t="s">
        <v>133</v>
      </c>
      <c r="C4" s="8" t="s">
        <v>134</v>
      </c>
    </row>
    <row r="5" spans="2:6">
      <c r="B5" t="s">
        <v>46</v>
      </c>
      <c r="C5" s="82">
        <v>1000000</v>
      </c>
    </row>
    <row r="6" spans="2:6">
      <c r="B6" t="s">
        <v>130</v>
      </c>
      <c r="C6" s="84">
        <v>98.5</v>
      </c>
    </row>
    <row r="7" spans="2:6">
      <c r="B7" t="s">
        <v>72</v>
      </c>
      <c r="C7" s="4">
        <v>0.25</v>
      </c>
    </row>
    <row r="8" spans="2:6">
      <c r="B8" s="86" t="s">
        <v>132</v>
      </c>
      <c r="C8" s="85">
        <v>1E-4</v>
      </c>
    </row>
    <row r="9" spans="2:6">
      <c r="B9" t="s">
        <v>45</v>
      </c>
      <c r="C9" s="4">
        <v>25</v>
      </c>
    </row>
    <row r="11" spans="2:6">
      <c r="B11" s="1" t="s">
        <v>130</v>
      </c>
      <c r="C11" s="1" t="s">
        <v>131</v>
      </c>
      <c r="D11" s="1" t="s">
        <v>128</v>
      </c>
      <c r="E11" s="1" t="s">
        <v>129</v>
      </c>
      <c r="F11" s="1"/>
    </row>
    <row r="12" spans="2:6">
      <c r="B12" s="4">
        <f>B13+Tick_Size*100</f>
        <v>98.550000000000026</v>
      </c>
      <c r="C12" s="4">
        <f>100-B12</f>
        <v>1.4499999999999744</v>
      </c>
      <c r="D12" s="4">
        <f t="shared" ref="D12:D22" si="0">(B12-Futures_Price)*Tick_Value*100</f>
        <v>125.00000000006395</v>
      </c>
      <c r="E12" s="82">
        <f t="shared" ref="E12:E22" si="1">-(B12-Futures_Price)*Tick_Value*100</f>
        <v>-125.00000000006395</v>
      </c>
      <c r="F12" s="82"/>
    </row>
    <row r="13" spans="2:6">
      <c r="B13" s="4">
        <f>B14+Tick_Size*100</f>
        <v>98.54000000000002</v>
      </c>
      <c r="C13" s="4">
        <f t="shared" ref="C13:C22" si="2">100-B13</f>
        <v>1.4599999999999795</v>
      </c>
      <c r="D13" s="4">
        <f t="shared" si="0"/>
        <v>100.00000000005116</v>
      </c>
      <c r="E13" s="82">
        <f t="shared" si="1"/>
        <v>-100.00000000005116</v>
      </c>
      <c r="F13" s="82"/>
    </row>
    <row r="14" spans="2:6">
      <c r="B14" s="4">
        <f>B15+Tick_Size*100</f>
        <v>98.530000000000015</v>
      </c>
      <c r="C14" s="4">
        <f t="shared" si="2"/>
        <v>1.4699999999999847</v>
      </c>
      <c r="D14" s="4">
        <f t="shared" si="0"/>
        <v>75.000000000038369</v>
      </c>
      <c r="E14" s="82">
        <f t="shared" si="1"/>
        <v>-75.000000000038369</v>
      </c>
      <c r="F14" s="82"/>
    </row>
    <row r="15" spans="2:6">
      <c r="B15" s="4">
        <f>B16+Tick_Size*100</f>
        <v>98.52000000000001</v>
      </c>
      <c r="C15" s="4">
        <f t="shared" si="2"/>
        <v>1.4799999999999898</v>
      </c>
      <c r="D15" s="4">
        <f t="shared" si="0"/>
        <v>50.00000000002558</v>
      </c>
      <c r="E15" s="82">
        <f t="shared" si="1"/>
        <v>-50.00000000002558</v>
      </c>
      <c r="F15" s="82"/>
    </row>
    <row r="16" spans="2:6">
      <c r="B16" s="4">
        <f>B17+Tick_Size*100</f>
        <v>98.51</v>
      </c>
      <c r="C16" s="4">
        <f t="shared" si="2"/>
        <v>1.4899999999999949</v>
      </c>
      <c r="D16" s="4">
        <f t="shared" si="0"/>
        <v>25.00000000001279</v>
      </c>
      <c r="E16" s="82">
        <f t="shared" si="1"/>
        <v>-25.00000000001279</v>
      </c>
      <c r="F16" s="82"/>
    </row>
    <row r="17" spans="2:6">
      <c r="B17" s="84">
        <f>Futures_Price</f>
        <v>98.5</v>
      </c>
      <c r="C17" s="84">
        <f t="shared" si="2"/>
        <v>1.5</v>
      </c>
      <c r="D17" s="84">
        <f t="shared" si="0"/>
        <v>0</v>
      </c>
      <c r="E17" s="83">
        <f t="shared" si="1"/>
        <v>0</v>
      </c>
      <c r="F17" s="82"/>
    </row>
    <row r="18" spans="2:6">
      <c r="B18" s="4">
        <f>B17-Tick_Size*100</f>
        <v>98.49</v>
      </c>
      <c r="C18" s="4">
        <f>100-B18</f>
        <v>1.5100000000000051</v>
      </c>
      <c r="D18" s="4">
        <f t="shared" si="0"/>
        <v>-25.00000000001279</v>
      </c>
      <c r="E18" s="82">
        <f t="shared" si="1"/>
        <v>25.00000000001279</v>
      </c>
      <c r="F18" s="82"/>
    </row>
    <row r="19" spans="2:6">
      <c r="B19" s="4">
        <f>B18-Tick_Size*100</f>
        <v>98.47999999999999</v>
      </c>
      <c r="C19" s="4">
        <f t="shared" si="2"/>
        <v>1.5200000000000102</v>
      </c>
      <c r="D19" s="4">
        <f t="shared" si="0"/>
        <v>-50.00000000002558</v>
      </c>
      <c r="E19" s="82">
        <f t="shared" si="1"/>
        <v>50.00000000002558</v>
      </c>
      <c r="F19" s="82"/>
    </row>
    <row r="20" spans="2:6">
      <c r="B20" s="4">
        <f>B19-Tick_Size*100</f>
        <v>98.469999999999985</v>
      </c>
      <c r="C20" s="4">
        <f t="shared" si="2"/>
        <v>1.5300000000000153</v>
      </c>
      <c r="D20" s="4">
        <f t="shared" si="0"/>
        <v>-75.000000000038369</v>
      </c>
      <c r="E20" s="82">
        <f t="shared" si="1"/>
        <v>75.000000000038369</v>
      </c>
      <c r="F20" s="82"/>
    </row>
    <row r="21" spans="2:6">
      <c r="B21" s="4">
        <f>B20-Tick_Size*100</f>
        <v>98.45999999999998</v>
      </c>
      <c r="C21" s="4">
        <f t="shared" si="2"/>
        <v>1.5400000000000205</v>
      </c>
      <c r="D21" s="4">
        <f t="shared" si="0"/>
        <v>-100.00000000005116</v>
      </c>
      <c r="E21" s="82">
        <f t="shared" si="1"/>
        <v>100.00000000005116</v>
      </c>
      <c r="F21" s="82"/>
    </row>
    <row r="22" spans="2:6">
      <c r="B22" s="4">
        <f>B21-Tick_Size*100</f>
        <v>98.449999999999974</v>
      </c>
      <c r="C22" s="4">
        <f t="shared" si="2"/>
        <v>1.5500000000000256</v>
      </c>
      <c r="D22" s="4">
        <f t="shared" si="0"/>
        <v>-125.00000000006395</v>
      </c>
      <c r="E22" s="82">
        <f t="shared" si="1"/>
        <v>125.00000000006395</v>
      </c>
      <c r="F22" s="8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D1A9-5428-4C82-A9BD-6D4983407C24}">
  <dimension ref="B2:M89"/>
  <sheetViews>
    <sheetView showGridLines="0" zoomScale="70" zoomScaleNormal="70" workbookViewId="0"/>
  </sheetViews>
  <sheetFormatPr defaultRowHeight="14.4"/>
  <cols>
    <col min="2" max="3" width="10.77734375" customWidth="1"/>
    <col min="4" max="4" width="13.33203125" style="1" customWidth="1"/>
    <col min="5" max="5" width="15.33203125" style="89" customWidth="1"/>
    <col min="6" max="6" width="13.33203125" style="1" customWidth="1"/>
    <col min="7" max="10" width="10.77734375" style="1" customWidth="1"/>
    <col min="11" max="11" width="10.77734375" hidden="1" customWidth="1"/>
  </cols>
  <sheetData>
    <row r="2" spans="2:13">
      <c r="M2" s="81" t="s">
        <v>211</v>
      </c>
    </row>
    <row r="3" spans="2:13">
      <c r="M3" s="93" t="s">
        <v>210</v>
      </c>
    </row>
    <row r="4" spans="2:13">
      <c r="M4" s="24"/>
    </row>
    <row r="6" spans="2:13" ht="27.6">
      <c r="B6" s="92" t="s">
        <v>265</v>
      </c>
    </row>
    <row r="7" spans="2:13">
      <c r="B7" s="91"/>
    </row>
    <row r="10" spans="2:13">
      <c r="B10" s="242" t="s">
        <v>213</v>
      </c>
      <c r="C10" s="200" t="s">
        <v>145</v>
      </c>
      <c r="D10" s="200" t="s">
        <v>212</v>
      </c>
      <c r="E10" s="200" t="s">
        <v>146</v>
      </c>
      <c r="F10" s="200" t="s">
        <v>214</v>
      </c>
      <c r="G10" s="200" t="s">
        <v>147</v>
      </c>
      <c r="H10" s="200" t="s">
        <v>148</v>
      </c>
      <c r="I10" s="200" t="s">
        <v>149</v>
      </c>
      <c r="J10" s="200" t="s">
        <v>150</v>
      </c>
      <c r="K10" s="200" t="s">
        <v>254</v>
      </c>
      <c r="L10" s="90"/>
    </row>
    <row r="11" spans="2:13">
      <c r="B11" s="243"/>
      <c r="C11" s="201"/>
      <c r="D11" s="201"/>
      <c r="E11" s="201"/>
      <c r="F11" s="241"/>
      <c r="G11" s="201"/>
      <c r="H11" s="201"/>
      <c r="I11" s="201"/>
      <c r="J11" s="201"/>
      <c r="K11" s="201"/>
      <c r="L11" s="90"/>
    </row>
    <row r="12" spans="2:13">
      <c r="B12" s="244" t="s">
        <v>151</v>
      </c>
      <c r="C12" s="197" t="s">
        <v>215</v>
      </c>
      <c r="D12" s="197">
        <v>98.117500000000007</v>
      </c>
      <c r="E12" s="202" t="s">
        <v>152</v>
      </c>
      <c r="F12" s="197">
        <v>98.122500000000002</v>
      </c>
      <c r="G12" s="197">
        <v>98.122500000000002</v>
      </c>
      <c r="H12" s="197">
        <v>98.147499999999994</v>
      </c>
      <c r="I12" s="197">
        <v>98.11</v>
      </c>
      <c r="J12" s="198">
        <v>45593</v>
      </c>
      <c r="K12" s="197" t="s">
        <v>255</v>
      </c>
      <c r="L12" s="90"/>
    </row>
    <row r="13" spans="2:13">
      <c r="B13" s="244"/>
      <c r="C13" s="197"/>
      <c r="D13" s="197"/>
      <c r="E13" s="202"/>
      <c r="F13" s="197"/>
      <c r="G13" s="197"/>
      <c r="H13" s="197"/>
      <c r="I13" s="197"/>
      <c r="J13" s="198"/>
      <c r="K13" s="197"/>
      <c r="L13" s="90"/>
    </row>
    <row r="14" spans="2:13">
      <c r="B14" s="245" t="s">
        <v>153</v>
      </c>
      <c r="C14" s="199" t="s">
        <v>216</v>
      </c>
      <c r="D14" s="199">
        <v>97.06</v>
      </c>
      <c r="E14" s="199" t="s">
        <v>154</v>
      </c>
      <c r="F14" s="199">
        <v>97.045000000000002</v>
      </c>
      <c r="G14" s="199">
        <v>97.034999999999997</v>
      </c>
      <c r="H14" s="199">
        <v>97.18</v>
      </c>
      <c r="I14" s="199">
        <v>97.03</v>
      </c>
      <c r="J14" s="204">
        <v>236774</v>
      </c>
      <c r="K14" s="199" t="s">
        <v>255</v>
      </c>
      <c r="L14" s="90"/>
    </row>
    <row r="15" spans="2:13">
      <c r="B15" s="245"/>
      <c r="C15" s="199"/>
      <c r="D15" s="199"/>
      <c r="E15" s="199"/>
      <c r="F15" s="199"/>
      <c r="G15" s="199"/>
      <c r="H15" s="199"/>
      <c r="I15" s="199"/>
      <c r="J15" s="204"/>
      <c r="K15" s="199"/>
      <c r="L15" s="90"/>
    </row>
    <row r="16" spans="2:13">
      <c r="B16" s="244" t="s">
        <v>155</v>
      </c>
      <c r="C16" s="197" t="s">
        <v>217</v>
      </c>
      <c r="D16" s="197">
        <v>96.71</v>
      </c>
      <c r="E16" s="202" t="s">
        <v>156</v>
      </c>
      <c r="F16" s="197">
        <v>96.67</v>
      </c>
      <c r="G16" s="197">
        <v>96.63</v>
      </c>
      <c r="H16" s="197">
        <v>96.87</v>
      </c>
      <c r="I16" s="197">
        <v>96.605000000000004</v>
      </c>
      <c r="J16" s="198">
        <v>339455</v>
      </c>
      <c r="K16" s="198" t="s">
        <v>255</v>
      </c>
      <c r="L16" s="90"/>
    </row>
    <row r="17" spans="2:12">
      <c r="B17" s="244"/>
      <c r="C17" s="197"/>
      <c r="D17" s="197"/>
      <c r="E17" s="202"/>
      <c r="F17" s="197"/>
      <c r="G17" s="197"/>
      <c r="H17" s="197"/>
      <c r="I17" s="197"/>
      <c r="J17" s="198"/>
      <c r="K17" s="198"/>
      <c r="L17" s="90"/>
    </row>
    <row r="18" spans="2:12">
      <c r="B18" s="245" t="s">
        <v>157</v>
      </c>
      <c r="C18" s="199" t="s">
        <v>218</v>
      </c>
      <c r="D18" s="199">
        <v>96.734999999999999</v>
      </c>
      <c r="E18" s="203" t="s">
        <v>158</v>
      </c>
      <c r="F18" s="199">
        <v>96.63</v>
      </c>
      <c r="G18" s="199">
        <v>96.58</v>
      </c>
      <c r="H18" s="199">
        <v>96.88</v>
      </c>
      <c r="I18" s="199">
        <v>96.54</v>
      </c>
      <c r="J18" s="204">
        <v>305759</v>
      </c>
      <c r="K18" s="204" t="s">
        <v>255</v>
      </c>
      <c r="L18" s="90"/>
    </row>
    <row r="19" spans="2:12">
      <c r="B19" s="245"/>
      <c r="C19" s="199"/>
      <c r="D19" s="199"/>
      <c r="E19" s="203"/>
      <c r="F19" s="199"/>
      <c r="G19" s="199"/>
      <c r="H19" s="199"/>
      <c r="I19" s="199"/>
      <c r="J19" s="204"/>
      <c r="K19" s="204"/>
      <c r="L19" s="90"/>
    </row>
    <row r="20" spans="2:12">
      <c r="B20" s="251" t="s">
        <v>159</v>
      </c>
      <c r="C20" s="205" t="s">
        <v>219</v>
      </c>
      <c r="D20" s="205">
        <v>96.97</v>
      </c>
      <c r="E20" s="205" t="s">
        <v>160</v>
      </c>
      <c r="F20" s="205">
        <v>96.825000000000003</v>
      </c>
      <c r="G20" s="205">
        <v>96.77</v>
      </c>
      <c r="H20" s="205">
        <v>97.1</v>
      </c>
      <c r="I20" s="205">
        <v>96.734999999999999</v>
      </c>
      <c r="J20" s="206">
        <v>255183</v>
      </c>
      <c r="K20" s="206" t="s">
        <v>256</v>
      </c>
      <c r="L20" s="90"/>
    </row>
    <row r="21" spans="2:12">
      <c r="B21" s="251"/>
      <c r="C21" s="205"/>
      <c r="D21" s="205"/>
      <c r="E21" s="205"/>
      <c r="F21" s="205"/>
      <c r="G21" s="205"/>
      <c r="H21" s="205"/>
      <c r="I21" s="205"/>
      <c r="J21" s="206"/>
      <c r="K21" s="206"/>
      <c r="L21" s="90"/>
    </row>
    <row r="22" spans="2:12">
      <c r="B22" s="248" t="s">
        <v>161</v>
      </c>
      <c r="C22" s="207" t="s">
        <v>220</v>
      </c>
      <c r="D22" s="207">
        <v>97.194999999999993</v>
      </c>
      <c r="E22" s="207" t="s">
        <v>162</v>
      </c>
      <c r="F22" s="207">
        <v>97.015000000000001</v>
      </c>
      <c r="G22" s="207">
        <v>96.965000000000003</v>
      </c>
      <c r="H22" s="207">
        <v>97.314999999999998</v>
      </c>
      <c r="I22" s="207">
        <v>96.935000000000002</v>
      </c>
      <c r="J22" s="208">
        <v>199337</v>
      </c>
      <c r="K22" s="208" t="s">
        <v>256</v>
      </c>
      <c r="L22" s="90"/>
    </row>
    <row r="23" spans="2:12">
      <c r="B23" s="248"/>
      <c r="C23" s="207"/>
      <c r="D23" s="207"/>
      <c r="E23" s="207"/>
      <c r="F23" s="207"/>
      <c r="G23" s="207"/>
      <c r="H23" s="207"/>
      <c r="I23" s="207"/>
      <c r="J23" s="208"/>
      <c r="K23" s="208"/>
      <c r="L23" s="90"/>
    </row>
    <row r="24" spans="2:12">
      <c r="B24" s="251" t="s">
        <v>163</v>
      </c>
      <c r="C24" s="205" t="s">
        <v>221</v>
      </c>
      <c r="D24" s="205">
        <v>97.364999999999995</v>
      </c>
      <c r="E24" s="205" t="s">
        <v>164</v>
      </c>
      <c r="F24" s="205">
        <v>97.165000000000006</v>
      </c>
      <c r="G24" s="205">
        <v>97.13</v>
      </c>
      <c r="H24" s="205">
        <v>97.474999999999994</v>
      </c>
      <c r="I24" s="205">
        <v>97.094999999999999</v>
      </c>
      <c r="J24" s="206">
        <v>185140</v>
      </c>
      <c r="K24" s="206" t="s">
        <v>256</v>
      </c>
      <c r="L24" s="90"/>
    </row>
    <row r="25" spans="2:12">
      <c r="B25" s="251"/>
      <c r="C25" s="205"/>
      <c r="D25" s="205"/>
      <c r="E25" s="205"/>
      <c r="F25" s="205"/>
      <c r="G25" s="205"/>
      <c r="H25" s="205"/>
      <c r="I25" s="205"/>
      <c r="J25" s="206"/>
      <c r="K25" s="206"/>
      <c r="L25" s="90"/>
    </row>
    <row r="26" spans="2:12">
      <c r="B26" s="248" t="s">
        <v>165</v>
      </c>
      <c r="C26" s="207" t="s">
        <v>222</v>
      </c>
      <c r="D26" s="207">
        <v>97.49</v>
      </c>
      <c r="E26" s="207" t="s">
        <v>166</v>
      </c>
      <c r="F26" s="207">
        <v>97.28</v>
      </c>
      <c r="G26" s="207">
        <v>97.24</v>
      </c>
      <c r="H26" s="207">
        <v>97.594999999999999</v>
      </c>
      <c r="I26" s="207">
        <v>97.22</v>
      </c>
      <c r="J26" s="208">
        <v>152166</v>
      </c>
      <c r="K26" s="208" t="s">
        <v>256</v>
      </c>
      <c r="L26" s="90"/>
    </row>
    <row r="27" spans="2:12">
      <c r="B27" s="248"/>
      <c r="C27" s="207"/>
      <c r="D27" s="207"/>
      <c r="E27" s="207"/>
      <c r="F27" s="207"/>
      <c r="G27" s="207"/>
      <c r="H27" s="207"/>
      <c r="I27" s="207"/>
      <c r="J27" s="208"/>
      <c r="K27" s="208"/>
      <c r="L27" s="90"/>
    </row>
    <row r="28" spans="2:12">
      <c r="B28" s="249" t="s">
        <v>167</v>
      </c>
      <c r="C28" s="209" t="s">
        <v>223</v>
      </c>
      <c r="D28" s="209">
        <v>97.594999999999999</v>
      </c>
      <c r="E28" s="209" t="s">
        <v>168</v>
      </c>
      <c r="F28" s="209">
        <v>97.37</v>
      </c>
      <c r="G28" s="209">
        <v>97.34</v>
      </c>
      <c r="H28" s="209">
        <v>97.68</v>
      </c>
      <c r="I28" s="209">
        <v>97.314999999999998</v>
      </c>
      <c r="J28" s="210">
        <v>112246</v>
      </c>
      <c r="K28" s="210" t="s">
        <v>257</v>
      </c>
      <c r="L28" s="90"/>
    </row>
    <row r="29" spans="2:12">
      <c r="B29" s="249"/>
      <c r="C29" s="209"/>
      <c r="D29" s="209"/>
      <c r="E29" s="209"/>
      <c r="F29" s="209"/>
      <c r="G29" s="209"/>
      <c r="H29" s="209"/>
      <c r="I29" s="209"/>
      <c r="J29" s="210"/>
      <c r="K29" s="210"/>
      <c r="L29" s="90"/>
    </row>
    <row r="30" spans="2:12">
      <c r="B30" s="250" t="s">
        <v>169</v>
      </c>
      <c r="C30" s="211" t="s">
        <v>224</v>
      </c>
      <c r="D30" s="211">
        <v>97.625</v>
      </c>
      <c r="E30" s="211" t="s">
        <v>166</v>
      </c>
      <c r="F30" s="211">
        <v>97.415000000000006</v>
      </c>
      <c r="G30" s="211">
        <v>97.375</v>
      </c>
      <c r="H30" s="211">
        <v>97.715000000000003</v>
      </c>
      <c r="I30" s="211">
        <v>97.37</v>
      </c>
      <c r="J30" s="212">
        <v>72282</v>
      </c>
      <c r="K30" s="212" t="s">
        <v>257</v>
      </c>
      <c r="L30" s="90"/>
    </row>
    <row r="31" spans="2:12">
      <c r="B31" s="250"/>
      <c r="C31" s="211"/>
      <c r="D31" s="211"/>
      <c r="E31" s="211"/>
      <c r="F31" s="211"/>
      <c r="G31" s="211"/>
      <c r="H31" s="211"/>
      <c r="I31" s="211"/>
      <c r="J31" s="212"/>
      <c r="K31" s="212"/>
      <c r="L31" s="90"/>
    </row>
    <row r="32" spans="2:12">
      <c r="B32" s="249" t="s">
        <v>170</v>
      </c>
      <c r="C32" s="209" t="s">
        <v>225</v>
      </c>
      <c r="D32" s="209">
        <v>97.62</v>
      </c>
      <c r="E32" s="209" t="s">
        <v>171</v>
      </c>
      <c r="F32" s="209">
        <v>97.424999999999997</v>
      </c>
      <c r="G32" s="209">
        <v>97.39</v>
      </c>
      <c r="H32" s="209">
        <v>97.71</v>
      </c>
      <c r="I32" s="209">
        <v>97.38</v>
      </c>
      <c r="J32" s="210">
        <v>68370</v>
      </c>
      <c r="K32" s="210" t="s">
        <v>257</v>
      </c>
      <c r="L32" s="90"/>
    </row>
    <row r="33" spans="2:12">
      <c r="B33" s="249"/>
      <c r="C33" s="209"/>
      <c r="D33" s="209"/>
      <c r="E33" s="209"/>
      <c r="F33" s="209"/>
      <c r="G33" s="209"/>
      <c r="H33" s="209"/>
      <c r="I33" s="209"/>
      <c r="J33" s="210"/>
      <c r="K33" s="210"/>
      <c r="L33" s="90"/>
    </row>
    <row r="34" spans="2:12">
      <c r="B34" s="250" t="s">
        <v>172</v>
      </c>
      <c r="C34" s="211" t="s">
        <v>226</v>
      </c>
      <c r="D34" s="211">
        <v>97.614999999999995</v>
      </c>
      <c r="E34" s="211" t="s">
        <v>173</v>
      </c>
      <c r="F34" s="211">
        <v>97.44</v>
      </c>
      <c r="G34" s="211">
        <v>97.405000000000001</v>
      </c>
      <c r="H34" s="211">
        <v>97.704999999999998</v>
      </c>
      <c r="I34" s="211">
        <v>97.394999999999996</v>
      </c>
      <c r="J34" s="212">
        <v>52353</v>
      </c>
      <c r="K34" s="212" t="s">
        <v>257</v>
      </c>
      <c r="L34" s="90"/>
    </row>
    <row r="35" spans="2:12">
      <c r="B35" s="250"/>
      <c r="C35" s="211"/>
      <c r="D35" s="211"/>
      <c r="E35" s="211"/>
      <c r="F35" s="211"/>
      <c r="G35" s="211"/>
      <c r="H35" s="211"/>
      <c r="I35" s="211"/>
      <c r="J35" s="212"/>
      <c r="K35" s="212"/>
      <c r="L35" s="90"/>
    </row>
    <row r="36" spans="2:12">
      <c r="B36" s="252" t="s">
        <v>174</v>
      </c>
      <c r="C36" s="213" t="s">
        <v>227</v>
      </c>
      <c r="D36" s="213">
        <v>97.58</v>
      </c>
      <c r="E36" s="213" t="s">
        <v>175</v>
      </c>
      <c r="F36" s="213">
        <v>97.424999999999997</v>
      </c>
      <c r="G36" s="213">
        <v>97.39</v>
      </c>
      <c r="H36" s="213">
        <v>97.674999999999997</v>
      </c>
      <c r="I36" s="213">
        <v>97.38</v>
      </c>
      <c r="J36" s="214">
        <v>49777</v>
      </c>
      <c r="K36" s="214" t="s">
        <v>258</v>
      </c>
      <c r="L36" s="90"/>
    </row>
    <row r="37" spans="2:12">
      <c r="B37" s="252"/>
      <c r="C37" s="213"/>
      <c r="D37" s="213"/>
      <c r="E37" s="213"/>
      <c r="F37" s="213"/>
      <c r="G37" s="213"/>
      <c r="H37" s="213"/>
      <c r="I37" s="213"/>
      <c r="J37" s="214"/>
      <c r="K37" s="214"/>
      <c r="L37" s="90"/>
    </row>
    <row r="38" spans="2:12">
      <c r="B38" s="253" t="s">
        <v>176</v>
      </c>
      <c r="C38" s="215" t="s">
        <v>228</v>
      </c>
      <c r="D38" s="215">
        <v>97.534999999999997</v>
      </c>
      <c r="E38" s="215" t="s">
        <v>177</v>
      </c>
      <c r="F38" s="215">
        <v>97.394999999999996</v>
      </c>
      <c r="G38" s="215">
        <v>97.355000000000004</v>
      </c>
      <c r="H38" s="215">
        <v>97.62</v>
      </c>
      <c r="I38" s="215">
        <v>97.344999999999999</v>
      </c>
      <c r="J38" s="216">
        <v>19103</v>
      </c>
      <c r="K38" s="216" t="s">
        <v>258</v>
      </c>
      <c r="L38" s="90"/>
    </row>
    <row r="39" spans="2:12">
      <c r="B39" s="253"/>
      <c r="C39" s="215"/>
      <c r="D39" s="215"/>
      <c r="E39" s="215"/>
      <c r="F39" s="215"/>
      <c r="G39" s="215"/>
      <c r="H39" s="215"/>
      <c r="I39" s="215"/>
      <c r="J39" s="216"/>
      <c r="K39" s="216"/>
      <c r="L39" s="90"/>
    </row>
    <row r="40" spans="2:12">
      <c r="B40" s="252" t="s">
        <v>178</v>
      </c>
      <c r="C40" s="213" t="s">
        <v>229</v>
      </c>
      <c r="D40" s="213">
        <v>97.47</v>
      </c>
      <c r="E40" s="213" t="s">
        <v>179</v>
      </c>
      <c r="F40" s="213">
        <v>97.35</v>
      </c>
      <c r="G40" s="213">
        <v>97.31</v>
      </c>
      <c r="H40" s="213">
        <v>97.56</v>
      </c>
      <c r="I40" s="213">
        <v>97.305000000000007</v>
      </c>
      <c r="J40" s="214">
        <v>15861</v>
      </c>
      <c r="K40" s="214" t="s">
        <v>258</v>
      </c>
      <c r="L40" s="90"/>
    </row>
    <row r="41" spans="2:12">
      <c r="B41" s="252"/>
      <c r="C41" s="213"/>
      <c r="D41" s="213"/>
      <c r="E41" s="213"/>
      <c r="F41" s="213"/>
      <c r="G41" s="213"/>
      <c r="H41" s="213"/>
      <c r="I41" s="213"/>
      <c r="J41" s="214"/>
      <c r="K41" s="214"/>
      <c r="L41" s="90"/>
    </row>
    <row r="42" spans="2:12">
      <c r="B42" s="253" t="s">
        <v>180</v>
      </c>
      <c r="C42" s="215" t="s">
        <v>230</v>
      </c>
      <c r="D42" s="215">
        <v>97.41</v>
      </c>
      <c r="E42" s="215" t="s">
        <v>181</v>
      </c>
      <c r="F42" s="215">
        <v>97.31</v>
      </c>
      <c r="G42" s="215">
        <v>97.265000000000001</v>
      </c>
      <c r="H42" s="215">
        <v>97.504999999999995</v>
      </c>
      <c r="I42" s="215">
        <v>97.26</v>
      </c>
      <c r="J42" s="216">
        <v>12703</v>
      </c>
      <c r="K42" s="216" t="s">
        <v>258</v>
      </c>
      <c r="L42" s="90"/>
    </row>
    <row r="43" spans="2:12">
      <c r="B43" s="253"/>
      <c r="C43" s="215"/>
      <c r="D43" s="215"/>
      <c r="E43" s="215"/>
      <c r="F43" s="215"/>
      <c r="G43" s="215"/>
      <c r="H43" s="215"/>
      <c r="I43" s="215"/>
      <c r="J43" s="216"/>
      <c r="K43" s="216"/>
      <c r="L43" s="90"/>
    </row>
    <row r="44" spans="2:12">
      <c r="B44" s="254" t="s">
        <v>182</v>
      </c>
      <c r="C44" s="217" t="s">
        <v>231</v>
      </c>
      <c r="D44" s="217">
        <v>97.355000000000004</v>
      </c>
      <c r="E44" s="217" t="s">
        <v>183</v>
      </c>
      <c r="F44" s="217">
        <v>97.27</v>
      </c>
      <c r="G44" s="217">
        <v>97.224999999999994</v>
      </c>
      <c r="H44" s="217">
        <v>97.454999999999998</v>
      </c>
      <c r="I44" s="217">
        <v>97.22</v>
      </c>
      <c r="J44" s="218">
        <v>10425</v>
      </c>
      <c r="K44" s="218" t="s">
        <v>259</v>
      </c>
      <c r="L44" s="90"/>
    </row>
    <row r="45" spans="2:12">
      <c r="B45" s="254"/>
      <c r="C45" s="217"/>
      <c r="D45" s="217"/>
      <c r="E45" s="217"/>
      <c r="F45" s="217"/>
      <c r="G45" s="217"/>
      <c r="H45" s="217"/>
      <c r="I45" s="217"/>
      <c r="J45" s="218"/>
      <c r="K45" s="218"/>
      <c r="L45" s="90"/>
    </row>
    <row r="46" spans="2:12">
      <c r="B46" s="255" t="s">
        <v>184</v>
      </c>
      <c r="C46" s="219" t="s">
        <v>232</v>
      </c>
      <c r="D46" s="219">
        <v>97.32</v>
      </c>
      <c r="E46" s="219" t="s">
        <v>185</v>
      </c>
      <c r="F46" s="219">
        <v>97.24</v>
      </c>
      <c r="G46" s="219">
        <v>97.19</v>
      </c>
      <c r="H46" s="219">
        <v>97.42</v>
      </c>
      <c r="I46" s="219">
        <v>97.185000000000002</v>
      </c>
      <c r="J46" s="220">
        <v>2435</v>
      </c>
      <c r="K46" s="220" t="s">
        <v>259</v>
      </c>
      <c r="L46" s="90"/>
    </row>
    <row r="47" spans="2:12">
      <c r="B47" s="255"/>
      <c r="C47" s="219"/>
      <c r="D47" s="219"/>
      <c r="E47" s="219"/>
      <c r="F47" s="219"/>
      <c r="G47" s="219"/>
      <c r="H47" s="219"/>
      <c r="I47" s="219"/>
      <c r="J47" s="220"/>
      <c r="K47" s="220"/>
      <c r="L47" s="90"/>
    </row>
    <row r="48" spans="2:12">
      <c r="B48" s="254" t="s">
        <v>186</v>
      </c>
      <c r="C48" s="217" t="s">
        <v>233</v>
      </c>
      <c r="D48" s="217">
        <v>97.27</v>
      </c>
      <c r="E48" s="217" t="s">
        <v>187</v>
      </c>
      <c r="F48" s="217">
        <v>97.2</v>
      </c>
      <c r="G48" s="217">
        <v>97.15</v>
      </c>
      <c r="H48" s="217">
        <v>97.37</v>
      </c>
      <c r="I48" s="217">
        <v>97.15</v>
      </c>
      <c r="J48" s="218">
        <v>3040</v>
      </c>
      <c r="K48" s="218" t="s">
        <v>259</v>
      </c>
      <c r="L48" s="90"/>
    </row>
    <row r="49" spans="2:12">
      <c r="B49" s="254"/>
      <c r="C49" s="217"/>
      <c r="D49" s="217"/>
      <c r="E49" s="217"/>
      <c r="F49" s="217"/>
      <c r="G49" s="217"/>
      <c r="H49" s="217"/>
      <c r="I49" s="217"/>
      <c r="J49" s="218"/>
      <c r="K49" s="218"/>
      <c r="L49" s="90"/>
    </row>
    <row r="50" spans="2:12">
      <c r="B50" s="255" t="s">
        <v>188</v>
      </c>
      <c r="C50" s="219" t="s">
        <v>234</v>
      </c>
      <c r="D50" s="219">
        <v>97.224999999999994</v>
      </c>
      <c r="E50" s="219" t="s">
        <v>189</v>
      </c>
      <c r="F50" s="219">
        <v>97.165000000000006</v>
      </c>
      <c r="G50" s="219">
        <v>97.114999999999995</v>
      </c>
      <c r="H50" s="219">
        <v>97.33</v>
      </c>
      <c r="I50" s="219">
        <v>97.11</v>
      </c>
      <c r="J50" s="220">
        <v>1867</v>
      </c>
      <c r="K50" s="220" t="s">
        <v>259</v>
      </c>
      <c r="L50" s="90"/>
    </row>
    <row r="51" spans="2:12">
      <c r="B51" s="255"/>
      <c r="C51" s="219"/>
      <c r="D51" s="219"/>
      <c r="E51" s="219"/>
      <c r="F51" s="219"/>
      <c r="G51" s="219"/>
      <c r="H51" s="219"/>
      <c r="I51" s="219"/>
      <c r="J51" s="220"/>
      <c r="K51" s="220"/>
      <c r="L51" s="90"/>
    </row>
    <row r="52" spans="2:12">
      <c r="B52" s="256" t="s">
        <v>190</v>
      </c>
      <c r="C52" s="221" t="s">
        <v>235</v>
      </c>
      <c r="D52" s="221">
        <v>97.18</v>
      </c>
      <c r="E52" s="221" t="s">
        <v>191</v>
      </c>
      <c r="F52" s="221">
        <v>97.13</v>
      </c>
      <c r="G52" s="221">
        <v>97.09</v>
      </c>
      <c r="H52" s="221">
        <v>97.29</v>
      </c>
      <c r="I52" s="221">
        <v>97.075000000000003</v>
      </c>
      <c r="J52" s="222">
        <v>1810</v>
      </c>
      <c r="K52" s="222" t="s">
        <v>260</v>
      </c>
      <c r="L52" s="90"/>
    </row>
    <row r="53" spans="2:12">
      <c r="B53" s="256"/>
      <c r="C53" s="221"/>
      <c r="D53" s="221"/>
      <c r="E53" s="221"/>
      <c r="F53" s="221"/>
      <c r="G53" s="221"/>
      <c r="H53" s="221"/>
      <c r="I53" s="221"/>
      <c r="J53" s="222"/>
      <c r="K53" s="222"/>
      <c r="L53" s="90"/>
    </row>
    <row r="54" spans="2:12">
      <c r="B54" s="257" t="s">
        <v>192</v>
      </c>
      <c r="C54" s="223" t="s">
        <v>236</v>
      </c>
      <c r="D54" s="223">
        <v>97.135000000000005</v>
      </c>
      <c r="E54" s="223" t="s">
        <v>156</v>
      </c>
      <c r="F54" s="223">
        <v>97.094999999999999</v>
      </c>
      <c r="G54" s="223">
        <v>97.05</v>
      </c>
      <c r="H54" s="223">
        <v>97.18</v>
      </c>
      <c r="I54" s="223">
        <v>97.05</v>
      </c>
      <c r="J54" s="224">
        <v>158</v>
      </c>
      <c r="K54" s="224" t="s">
        <v>260</v>
      </c>
      <c r="L54" s="90"/>
    </row>
    <row r="55" spans="2:12">
      <c r="B55" s="257"/>
      <c r="C55" s="223"/>
      <c r="D55" s="223"/>
      <c r="E55" s="223"/>
      <c r="F55" s="223"/>
      <c r="G55" s="223"/>
      <c r="H55" s="223"/>
      <c r="I55" s="223"/>
      <c r="J55" s="224"/>
      <c r="K55" s="224"/>
      <c r="L55" s="90"/>
    </row>
    <row r="56" spans="2:12">
      <c r="B56" s="256" t="s">
        <v>193</v>
      </c>
      <c r="C56" s="221" t="s">
        <v>237</v>
      </c>
      <c r="D56" s="221">
        <v>97.135000000000005</v>
      </c>
      <c r="E56" s="221" t="s">
        <v>185</v>
      </c>
      <c r="F56" s="221">
        <v>97.055000000000007</v>
      </c>
      <c r="G56" s="221">
        <v>97.19</v>
      </c>
      <c r="H56" s="221">
        <v>97.19</v>
      </c>
      <c r="I56" s="221">
        <v>97.135000000000005</v>
      </c>
      <c r="J56" s="222">
        <v>34</v>
      </c>
      <c r="K56" s="222" t="s">
        <v>260</v>
      </c>
      <c r="L56" s="90"/>
    </row>
    <row r="57" spans="2:12">
      <c r="B57" s="256"/>
      <c r="C57" s="221"/>
      <c r="D57" s="221"/>
      <c r="E57" s="221"/>
      <c r="F57" s="221"/>
      <c r="G57" s="221"/>
      <c r="H57" s="221"/>
      <c r="I57" s="221"/>
      <c r="J57" s="222"/>
      <c r="K57" s="222"/>
      <c r="L57" s="90"/>
    </row>
    <row r="58" spans="2:12">
      <c r="B58" s="257" t="s">
        <v>194</v>
      </c>
      <c r="C58" s="223" t="s">
        <v>238</v>
      </c>
      <c r="D58" s="223" t="s">
        <v>38</v>
      </c>
      <c r="E58" s="223" t="s">
        <v>38</v>
      </c>
      <c r="F58" s="223">
        <v>97.03</v>
      </c>
      <c r="G58" s="223" t="s">
        <v>38</v>
      </c>
      <c r="H58" s="223" t="s">
        <v>38</v>
      </c>
      <c r="I58" s="223" t="s">
        <v>38</v>
      </c>
      <c r="J58" s="224">
        <v>0</v>
      </c>
      <c r="K58" s="224" t="s">
        <v>260</v>
      </c>
      <c r="L58" s="90"/>
    </row>
    <row r="59" spans="2:12">
      <c r="B59" s="257"/>
      <c r="C59" s="223"/>
      <c r="D59" s="223"/>
      <c r="E59" s="223"/>
      <c r="F59" s="223"/>
      <c r="G59" s="223"/>
      <c r="H59" s="223"/>
      <c r="I59" s="223"/>
      <c r="J59" s="224"/>
      <c r="K59" s="224"/>
      <c r="L59" s="90"/>
    </row>
    <row r="60" spans="2:12">
      <c r="B60" s="258" t="s">
        <v>195</v>
      </c>
      <c r="C60" s="225" t="s">
        <v>239</v>
      </c>
      <c r="D60" s="225" t="s">
        <v>38</v>
      </c>
      <c r="E60" s="225" t="s">
        <v>38</v>
      </c>
      <c r="F60" s="225">
        <v>96.995000000000005</v>
      </c>
      <c r="G60" s="225" t="s">
        <v>38</v>
      </c>
      <c r="H60" s="225" t="s">
        <v>38</v>
      </c>
      <c r="I60" s="225" t="s">
        <v>38</v>
      </c>
      <c r="J60" s="226">
        <v>0</v>
      </c>
      <c r="K60" s="226" t="s">
        <v>261</v>
      </c>
      <c r="L60" s="90"/>
    </row>
    <row r="61" spans="2:12">
      <c r="B61" s="258"/>
      <c r="C61" s="225"/>
      <c r="D61" s="225"/>
      <c r="E61" s="225"/>
      <c r="F61" s="225"/>
      <c r="G61" s="225"/>
      <c r="H61" s="225"/>
      <c r="I61" s="225"/>
      <c r="J61" s="226"/>
      <c r="K61" s="226"/>
      <c r="L61" s="90"/>
    </row>
    <row r="62" spans="2:12">
      <c r="B62" s="259" t="s">
        <v>196</v>
      </c>
      <c r="C62" s="227" t="s">
        <v>240</v>
      </c>
      <c r="D62" s="227" t="s">
        <v>38</v>
      </c>
      <c r="E62" s="227" t="s">
        <v>38</v>
      </c>
      <c r="F62" s="227">
        <v>96.96</v>
      </c>
      <c r="G62" s="227" t="s">
        <v>38</v>
      </c>
      <c r="H62" s="227" t="s">
        <v>38</v>
      </c>
      <c r="I62" s="227" t="s">
        <v>38</v>
      </c>
      <c r="J62" s="228">
        <v>0</v>
      </c>
      <c r="K62" s="228" t="s">
        <v>261</v>
      </c>
      <c r="L62" s="90"/>
    </row>
    <row r="63" spans="2:12">
      <c r="B63" s="259"/>
      <c r="C63" s="227"/>
      <c r="D63" s="227"/>
      <c r="E63" s="227"/>
      <c r="F63" s="227"/>
      <c r="G63" s="227"/>
      <c r="H63" s="227"/>
      <c r="I63" s="227"/>
      <c r="J63" s="228"/>
      <c r="K63" s="228"/>
      <c r="L63" s="90"/>
    </row>
    <row r="64" spans="2:12">
      <c r="B64" s="258" t="s">
        <v>197</v>
      </c>
      <c r="C64" s="225" t="s">
        <v>241</v>
      </c>
      <c r="D64" s="225" t="s">
        <v>38</v>
      </c>
      <c r="E64" s="225" t="s">
        <v>38</v>
      </c>
      <c r="F64" s="225">
        <v>96.92</v>
      </c>
      <c r="G64" s="225" t="s">
        <v>38</v>
      </c>
      <c r="H64" s="225" t="s">
        <v>38</v>
      </c>
      <c r="I64" s="225" t="s">
        <v>38</v>
      </c>
      <c r="J64" s="226">
        <v>19</v>
      </c>
      <c r="K64" s="226" t="s">
        <v>261</v>
      </c>
      <c r="L64" s="90"/>
    </row>
    <row r="65" spans="2:12">
      <c r="B65" s="258"/>
      <c r="C65" s="225"/>
      <c r="D65" s="225"/>
      <c r="E65" s="225"/>
      <c r="F65" s="225"/>
      <c r="G65" s="225"/>
      <c r="H65" s="225"/>
      <c r="I65" s="225"/>
      <c r="J65" s="226"/>
      <c r="K65" s="226"/>
      <c r="L65" s="90"/>
    </row>
    <row r="66" spans="2:12">
      <c r="B66" s="259" t="s">
        <v>198</v>
      </c>
      <c r="C66" s="227" t="s">
        <v>242</v>
      </c>
      <c r="D66" s="227" t="s">
        <v>38</v>
      </c>
      <c r="E66" s="227" t="s">
        <v>38</v>
      </c>
      <c r="F66" s="227">
        <v>96.89</v>
      </c>
      <c r="G66" s="227" t="s">
        <v>38</v>
      </c>
      <c r="H66" s="227" t="s">
        <v>38</v>
      </c>
      <c r="I66" s="227" t="s">
        <v>38</v>
      </c>
      <c r="J66" s="228">
        <v>0</v>
      </c>
      <c r="K66" s="228" t="s">
        <v>261</v>
      </c>
      <c r="L66" s="90"/>
    </row>
    <row r="67" spans="2:12">
      <c r="B67" s="259"/>
      <c r="C67" s="227"/>
      <c r="D67" s="227"/>
      <c r="E67" s="227"/>
      <c r="F67" s="227"/>
      <c r="G67" s="227"/>
      <c r="H67" s="227"/>
      <c r="I67" s="227"/>
      <c r="J67" s="228"/>
      <c r="K67" s="228"/>
      <c r="L67" s="90"/>
    </row>
    <row r="68" spans="2:12">
      <c r="B68" s="263" t="s">
        <v>199</v>
      </c>
      <c r="C68" s="229" t="s">
        <v>243</v>
      </c>
      <c r="D68" s="229" t="s">
        <v>38</v>
      </c>
      <c r="E68" s="229" t="s">
        <v>38</v>
      </c>
      <c r="F68" s="229">
        <v>96.85</v>
      </c>
      <c r="G68" s="229" t="s">
        <v>38</v>
      </c>
      <c r="H68" s="229" t="s">
        <v>38</v>
      </c>
      <c r="I68" s="229" t="s">
        <v>38</v>
      </c>
      <c r="J68" s="230">
        <v>0</v>
      </c>
      <c r="K68" s="230" t="s">
        <v>262</v>
      </c>
      <c r="L68" s="90"/>
    </row>
    <row r="69" spans="2:12">
      <c r="B69" s="263"/>
      <c r="C69" s="229"/>
      <c r="D69" s="229"/>
      <c r="E69" s="229"/>
      <c r="F69" s="229"/>
      <c r="G69" s="229"/>
      <c r="H69" s="229"/>
      <c r="I69" s="229"/>
      <c r="J69" s="230"/>
      <c r="K69" s="230"/>
      <c r="L69" s="90"/>
    </row>
    <row r="70" spans="2:12">
      <c r="B70" s="260" t="s">
        <v>200</v>
      </c>
      <c r="C70" s="231" t="s">
        <v>244</v>
      </c>
      <c r="D70" s="231" t="s">
        <v>38</v>
      </c>
      <c r="E70" s="231" t="s">
        <v>38</v>
      </c>
      <c r="F70" s="231">
        <v>96.82</v>
      </c>
      <c r="G70" s="231" t="s">
        <v>38</v>
      </c>
      <c r="H70" s="231" t="s">
        <v>38</v>
      </c>
      <c r="I70" s="231" t="s">
        <v>38</v>
      </c>
      <c r="J70" s="232">
        <v>0</v>
      </c>
      <c r="K70" s="232" t="s">
        <v>262</v>
      </c>
      <c r="L70" s="90"/>
    </row>
    <row r="71" spans="2:12">
      <c r="B71" s="260"/>
      <c r="C71" s="231"/>
      <c r="D71" s="231"/>
      <c r="E71" s="231"/>
      <c r="F71" s="231"/>
      <c r="G71" s="231"/>
      <c r="H71" s="231"/>
      <c r="I71" s="231"/>
      <c r="J71" s="232"/>
      <c r="K71" s="232"/>
      <c r="L71" s="90"/>
    </row>
    <row r="72" spans="2:12">
      <c r="B72" s="263" t="s">
        <v>201</v>
      </c>
      <c r="C72" s="229" t="s">
        <v>245</v>
      </c>
      <c r="D72" s="229" t="s">
        <v>38</v>
      </c>
      <c r="E72" s="229" t="s">
        <v>38</v>
      </c>
      <c r="F72" s="229">
        <v>96.79</v>
      </c>
      <c r="G72" s="229" t="s">
        <v>38</v>
      </c>
      <c r="H72" s="229" t="s">
        <v>38</v>
      </c>
      <c r="I72" s="229" t="s">
        <v>38</v>
      </c>
      <c r="J72" s="230">
        <v>0</v>
      </c>
      <c r="K72" s="230" t="s">
        <v>262</v>
      </c>
      <c r="L72" s="90"/>
    </row>
    <row r="73" spans="2:12">
      <c r="B73" s="263"/>
      <c r="C73" s="229"/>
      <c r="D73" s="229"/>
      <c r="E73" s="229"/>
      <c r="F73" s="229"/>
      <c r="G73" s="229"/>
      <c r="H73" s="229"/>
      <c r="I73" s="229"/>
      <c r="J73" s="230"/>
      <c r="K73" s="230"/>
      <c r="L73" s="90"/>
    </row>
    <row r="74" spans="2:12">
      <c r="B74" s="260" t="s">
        <v>202</v>
      </c>
      <c r="C74" s="231" t="s">
        <v>246</v>
      </c>
      <c r="D74" s="231" t="s">
        <v>38</v>
      </c>
      <c r="E74" s="231" t="s">
        <v>38</v>
      </c>
      <c r="F74" s="231">
        <v>96.765000000000001</v>
      </c>
      <c r="G74" s="231" t="s">
        <v>38</v>
      </c>
      <c r="H74" s="231" t="s">
        <v>38</v>
      </c>
      <c r="I74" s="231" t="s">
        <v>38</v>
      </c>
      <c r="J74" s="232">
        <v>0</v>
      </c>
      <c r="K74" s="232" t="s">
        <v>262</v>
      </c>
      <c r="L74" s="90"/>
    </row>
    <row r="75" spans="2:12">
      <c r="B75" s="260"/>
      <c r="C75" s="231"/>
      <c r="D75" s="231"/>
      <c r="E75" s="231"/>
      <c r="F75" s="231"/>
      <c r="G75" s="231"/>
      <c r="H75" s="231"/>
      <c r="I75" s="231"/>
      <c r="J75" s="232"/>
      <c r="K75" s="232"/>
      <c r="L75" s="90"/>
    </row>
    <row r="76" spans="2:12">
      <c r="B76" s="261" t="s">
        <v>203</v>
      </c>
      <c r="C76" s="235" t="s">
        <v>247</v>
      </c>
      <c r="D76" s="235" t="s">
        <v>38</v>
      </c>
      <c r="E76" s="235" t="s">
        <v>38</v>
      </c>
      <c r="F76" s="235">
        <v>96.724999999999994</v>
      </c>
      <c r="G76" s="235" t="s">
        <v>38</v>
      </c>
      <c r="H76" s="235" t="s">
        <v>38</v>
      </c>
      <c r="I76" s="235" t="s">
        <v>38</v>
      </c>
      <c r="J76" s="236">
        <v>0</v>
      </c>
      <c r="K76" s="236" t="s">
        <v>263</v>
      </c>
      <c r="L76" s="90"/>
    </row>
    <row r="77" spans="2:12">
      <c r="B77" s="261"/>
      <c r="C77" s="235"/>
      <c r="D77" s="235"/>
      <c r="E77" s="235"/>
      <c r="F77" s="235"/>
      <c r="G77" s="235"/>
      <c r="H77" s="235"/>
      <c r="I77" s="235"/>
      <c r="J77" s="236"/>
      <c r="K77" s="236"/>
      <c r="L77" s="90"/>
    </row>
    <row r="78" spans="2:12">
      <c r="B78" s="262" t="s">
        <v>204</v>
      </c>
      <c r="C78" s="233" t="s">
        <v>248</v>
      </c>
      <c r="D78" s="233" t="s">
        <v>38</v>
      </c>
      <c r="E78" s="233" t="s">
        <v>38</v>
      </c>
      <c r="F78" s="233">
        <v>96.685000000000002</v>
      </c>
      <c r="G78" s="233" t="s">
        <v>38</v>
      </c>
      <c r="H78" s="233" t="s">
        <v>38</v>
      </c>
      <c r="I78" s="233" t="s">
        <v>38</v>
      </c>
      <c r="J78" s="234">
        <v>0</v>
      </c>
      <c r="K78" s="234" t="s">
        <v>263</v>
      </c>
      <c r="L78" s="90"/>
    </row>
    <row r="79" spans="2:12">
      <c r="B79" s="262"/>
      <c r="C79" s="233"/>
      <c r="D79" s="233"/>
      <c r="E79" s="233"/>
      <c r="F79" s="233"/>
      <c r="G79" s="233"/>
      <c r="H79" s="233"/>
      <c r="I79" s="233"/>
      <c r="J79" s="234"/>
      <c r="K79" s="234"/>
      <c r="L79" s="90"/>
    </row>
    <row r="80" spans="2:12">
      <c r="B80" s="261" t="s">
        <v>205</v>
      </c>
      <c r="C80" s="235" t="s">
        <v>249</v>
      </c>
      <c r="D80" s="235" t="s">
        <v>38</v>
      </c>
      <c r="E80" s="235" t="s">
        <v>38</v>
      </c>
      <c r="F80" s="235">
        <v>96.67</v>
      </c>
      <c r="G80" s="235" t="s">
        <v>38</v>
      </c>
      <c r="H80" s="235" t="s">
        <v>38</v>
      </c>
      <c r="I80" s="235" t="s">
        <v>38</v>
      </c>
      <c r="J80" s="236">
        <v>0</v>
      </c>
      <c r="K80" s="236" t="s">
        <v>263</v>
      </c>
      <c r="L80" s="90"/>
    </row>
    <row r="81" spans="2:12">
      <c r="B81" s="261"/>
      <c r="C81" s="235"/>
      <c r="D81" s="235"/>
      <c r="E81" s="235"/>
      <c r="F81" s="235"/>
      <c r="G81" s="235"/>
      <c r="H81" s="235"/>
      <c r="I81" s="235"/>
      <c r="J81" s="236"/>
      <c r="K81" s="236"/>
      <c r="L81" s="90"/>
    </row>
    <row r="82" spans="2:12">
      <c r="B82" s="262" t="s">
        <v>206</v>
      </c>
      <c r="C82" s="233" t="s">
        <v>250</v>
      </c>
      <c r="D82" s="233" t="s">
        <v>38</v>
      </c>
      <c r="E82" s="233" t="s">
        <v>38</v>
      </c>
      <c r="F82" s="233">
        <v>96.644999999999996</v>
      </c>
      <c r="G82" s="233" t="s">
        <v>38</v>
      </c>
      <c r="H82" s="233" t="s">
        <v>38</v>
      </c>
      <c r="I82" s="233" t="s">
        <v>38</v>
      </c>
      <c r="J82" s="234">
        <v>0</v>
      </c>
      <c r="K82" s="234" t="s">
        <v>263</v>
      </c>
      <c r="L82" s="90"/>
    </row>
    <row r="83" spans="2:12">
      <c r="B83" s="262"/>
      <c r="C83" s="233"/>
      <c r="D83" s="233"/>
      <c r="E83" s="233"/>
      <c r="F83" s="233"/>
      <c r="G83" s="233"/>
      <c r="H83" s="233"/>
      <c r="I83" s="233"/>
      <c r="J83" s="234"/>
      <c r="K83" s="234"/>
      <c r="L83" s="90"/>
    </row>
    <row r="84" spans="2:12">
      <c r="B84" s="264" t="s">
        <v>207</v>
      </c>
      <c r="C84" s="238" t="s">
        <v>251</v>
      </c>
      <c r="D84" s="238" t="s">
        <v>38</v>
      </c>
      <c r="E84" s="238" t="s">
        <v>38</v>
      </c>
      <c r="F84" s="238">
        <v>96.62</v>
      </c>
      <c r="G84" s="238" t="s">
        <v>38</v>
      </c>
      <c r="H84" s="238" t="s">
        <v>38</v>
      </c>
      <c r="I84" s="238" t="s">
        <v>38</v>
      </c>
      <c r="J84" s="239">
        <v>0</v>
      </c>
      <c r="K84" s="239" t="s">
        <v>264</v>
      </c>
      <c r="L84" s="90"/>
    </row>
    <row r="85" spans="2:12">
      <c r="B85" s="264"/>
      <c r="C85" s="238"/>
      <c r="D85" s="238"/>
      <c r="E85" s="238"/>
      <c r="F85" s="238"/>
      <c r="G85" s="238"/>
      <c r="H85" s="238"/>
      <c r="I85" s="238"/>
      <c r="J85" s="239"/>
      <c r="K85" s="239"/>
      <c r="L85" s="90"/>
    </row>
    <row r="86" spans="2:12">
      <c r="B86" s="266" t="s">
        <v>208</v>
      </c>
      <c r="C86" s="237" t="s">
        <v>252</v>
      </c>
      <c r="D86" s="237" t="s">
        <v>38</v>
      </c>
      <c r="E86" s="237" t="s">
        <v>38</v>
      </c>
      <c r="F86" s="237">
        <v>96.6</v>
      </c>
      <c r="G86" s="237" t="s">
        <v>38</v>
      </c>
      <c r="H86" s="237" t="s">
        <v>38</v>
      </c>
      <c r="I86" s="237" t="s">
        <v>38</v>
      </c>
      <c r="J86" s="246">
        <v>0</v>
      </c>
      <c r="K86" s="246" t="s">
        <v>264</v>
      </c>
      <c r="L86" s="90"/>
    </row>
    <row r="87" spans="2:12">
      <c r="B87" s="266"/>
      <c r="C87" s="237"/>
      <c r="D87" s="237"/>
      <c r="E87" s="237"/>
      <c r="F87" s="237"/>
      <c r="G87" s="237"/>
      <c r="H87" s="237"/>
      <c r="I87" s="237"/>
      <c r="J87" s="246"/>
      <c r="K87" s="246"/>
      <c r="L87" s="90"/>
    </row>
    <row r="88" spans="2:12">
      <c r="B88" s="264" t="s">
        <v>209</v>
      </c>
      <c r="C88" s="238" t="s">
        <v>253</v>
      </c>
      <c r="D88" s="238" t="s">
        <v>38</v>
      </c>
      <c r="E88" s="238" t="s">
        <v>38</v>
      </c>
      <c r="F88" s="238">
        <v>96.59</v>
      </c>
      <c r="G88" s="238" t="s">
        <v>38</v>
      </c>
      <c r="H88" s="238" t="s">
        <v>38</v>
      </c>
      <c r="I88" s="238" t="s">
        <v>38</v>
      </c>
      <c r="J88" s="239">
        <v>0</v>
      </c>
      <c r="K88" s="239" t="s">
        <v>264</v>
      </c>
      <c r="L88" s="90"/>
    </row>
    <row r="89" spans="2:12">
      <c r="B89" s="265"/>
      <c r="C89" s="247"/>
      <c r="D89" s="247"/>
      <c r="E89" s="247"/>
      <c r="F89" s="247"/>
      <c r="G89" s="247"/>
      <c r="H89" s="247"/>
      <c r="I89" s="247"/>
      <c r="J89" s="240"/>
      <c r="K89" s="240"/>
      <c r="L89" s="90"/>
    </row>
  </sheetData>
  <mergeCells count="400">
    <mergeCell ref="K86:K87"/>
    <mergeCell ref="K88:K89"/>
    <mergeCell ref="K74:K75"/>
    <mergeCell ref="K76:K77"/>
    <mergeCell ref="K78:K79"/>
    <mergeCell ref="K80:K81"/>
    <mergeCell ref="K82:K83"/>
    <mergeCell ref="K84:K85"/>
    <mergeCell ref="K62:K63"/>
    <mergeCell ref="K64:K65"/>
    <mergeCell ref="K66:K67"/>
    <mergeCell ref="K68:K69"/>
    <mergeCell ref="K70:K71"/>
    <mergeCell ref="K72:K73"/>
    <mergeCell ref="K50:K51"/>
    <mergeCell ref="K52:K53"/>
    <mergeCell ref="K54:K55"/>
    <mergeCell ref="K56:K57"/>
    <mergeCell ref="K58:K59"/>
    <mergeCell ref="K60:K61"/>
    <mergeCell ref="K38:K39"/>
    <mergeCell ref="K40:K41"/>
    <mergeCell ref="K42:K43"/>
    <mergeCell ref="K44:K45"/>
    <mergeCell ref="K46:K47"/>
    <mergeCell ref="K48:K49"/>
    <mergeCell ref="K26:K27"/>
    <mergeCell ref="K28:K29"/>
    <mergeCell ref="K30:K31"/>
    <mergeCell ref="K32:K33"/>
    <mergeCell ref="K34:K35"/>
    <mergeCell ref="K36:K37"/>
    <mergeCell ref="B88:B89"/>
    <mergeCell ref="C88:C89"/>
    <mergeCell ref="K10:K11"/>
    <mergeCell ref="K12:K13"/>
    <mergeCell ref="K14:K15"/>
    <mergeCell ref="K16:K17"/>
    <mergeCell ref="K18:K19"/>
    <mergeCell ref="K20:K21"/>
    <mergeCell ref="K22:K23"/>
    <mergeCell ref="K24:K25"/>
    <mergeCell ref="B80:B81"/>
    <mergeCell ref="C80:C81"/>
    <mergeCell ref="B82:B83"/>
    <mergeCell ref="C82:C83"/>
    <mergeCell ref="B84:B85"/>
    <mergeCell ref="B86:B87"/>
    <mergeCell ref="C86:C87"/>
    <mergeCell ref="B72:B73"/>
    <mergeCell ref="C72:C73"/>
    <mergeCell ref="B74:B75"/>
    <mergeCell ref="C74:C75"/>
    <mergeCell ref="B76:B77"/>
    <mergeCell ref="B78:B79"/>
    <mergeCell ref="C78:C79"/>
    <mergeCell ref="B64:B65"/>
    <mergeCell ref="C64:C65"/>
    <mergeCell ref="B66:B67"/>
    <mergeCell ref="C66:C67"/>
    <mergeCell ref="B68:B69"/>
    <mergeCell ref="B70:B71"/>
    <mergeCell ref="C70:C71"/>
    <mergeCell ref="C76:C77"/>
    <mergeCell ref="B56:B57"/>
    <mergeCell ref="C56:C57"/>
    <mergeCell ref="B58:B59"/>
    <mergeCell ref="C58:C59"/>
    <mergeCell ref="B60:B61"/>
    <mergeCell ref="B62:B63"/>
    <mergeCell ref="C62:C63"/>
    <mergeCell ref="B48:B49"/>
    <mergeCell ref="C48:C49"/>
    <mergeCell ref="B50:B51"/>
    <mergeCell ref="C50:C51"/>
    <mergeCell ref="B52:B53"/>
    <mergeCell ref="B54:B55"/>
    <mergeCell ref="C54:C55"/>
    <mergeCell ref="B40:B41"/>
    <mergeCell ref="C40:C41"/>
    <mergeCell ref="B42:B43"/>
    <mergeCell ref="C42:C43"/>
    <mergeCell ref="B44:B45"/>
    <mergeCell ref="B46:B47"/>
    <mergeCell ref="C46:C47"/>
    <mergeCell ref="B32:B33"/>
    <mergeCell ref="C32:C33"/>
    <mergeCell ref="B34:B35"/>
    <mergeCell ref="C34:C35"/>
    <mergeCell ref="B36:B37"/>
    <mergeCell ref="B38:B39"/>
    <mergeCell ref="C38:C39"/>
    <mergeCell ref="B26:B27"/>
    <mergeCell ref="C26:C27"/>
    <mergeCell ref="B28:B29"/>
    <mergeCell ref="B30:B31"/>
    <mergeCell ref="C30:C31"/>
    <mergeCell ref="C12:C13"/>
    <mergeCell ref="C18:C19"/>
    <mergeCell ref="B20:B21"/>
    <mergeCell ref="B22:B23"/>
    <mergeCell ref="C22:C23"/>
    <mergeCell ref="B24:B25"/>
    <mergeCell ref="C24:C25"/>
    <mergeCell ref="J88:J89"/>
    <mergeCell ref="F10:F11"/>
    <mergeCell ref="B10:B11"/>
    <mergeCell ref="C10:C11"/>
    <mergeCell ref="B12:B13"/>
    <mergeCell ref="B14:B15"/>
    <mergeCell ref="C14:C15"/>
    <mergeCell ref="B16:B17"/>
    <mergeCell ref="C16:C17"/>
    <mergeCell ref="B18:B19"/>
    <mergeCell ref="I86:I87"/>
    <mergeCell ref="J86:J87"/>
    <mergeCell ref="D88:D89"/>
    <mergeCell ref="E88:E89"/>
    <mergeCell ref="F88:F89"/>
    <mergeCell ref="G88:G89"/>
    <mergeCell ref="H88:H89"/>
    <mergeCell ref="I88:I89"/>
    <mergeCell ref="H84:H85"/>
    <mergeCell ref="I84:I85"/>
    <mergeCell ref="J84:J85"/>
    <mergeCell ref="D86:D87"/>
    <mergeCell ref="E86:E87"/>
    <mergeCell ref="F86:F87"/>
    <mergeCell ref="G86:G87"/>
    <mergeCell ref="H86:H87"/>
    <mergeCell ref="C84:C85"/>
    <mergeCell ref="D84:D85"/>
    <mergeCell ref="E84:E85"/>
    <mergeCell ref="F84:F85"/>
    <mergeCell ref="G84:G85"/>
    <mergeCell ref="J80:J81"/>
    <mergeCell ref="D82:D83"/>
    <mergeCell ref="E82:E83"/>
    <mergeCell ref="F82:F83"/>
    <mergeCell ref="G82:G83"/>
    <mergeCell ref="H82:H83"/>
    <mergeCell ref="I82:I83"/>
    <mergeCell ref="J82:J83"/>
    <mergeCell ref="I78:I79"/>
    <mergeCell ref="J78:J79"/>
    <mergeCell ref="D80:D81"/>
    <mergeCell ref="E80:E81"/>
    <mergeCell ref="F80:F81"/>
    <mergeCell ref="G80:G81"/>
    <mergeCell ref="H80:H81"/>
    <mergeCell ref="I80:I81"/>
    <mergeCell ref="H76:H77"/>
    <mergeCell ref="I76:I77"/>
    <mergeCell ref="J76:J77"/>
    <mergeCell ref="D78:D79"/>
    <mergeCell ref="E78:E79"/>
    <mergeCell ref="F78:F79"/>
    <mergeCell ref="G78:G79"/>
    <mergeCell ref="H78:H79"/>
    <mergeCell ref="D76:D77"/>
    <mergeCell ref="E76:E77"/>
    <mergeCell ref="F76:F77"/>
    <mergeCell ref="G76:G77"/>
    <mergeCell ref="J72:J73"/>
    <mergeCell ref="D74:D75"/>
    <mergeCell ref="E74:E75"/>
    <mergeCell ref="F74:F75"/>
    <mergeCell ref="G74:G75"/>
    <mergeCell ref="H74:H75"/>
    <mergeCell ref="I74:I75"/>
    <mergeCell ref="J74:J75"/>
    <mergeCell ref="I70:I71"/>
    <mergeCell ref="J70:J71"/>
    <mergeCell ref="D72:D73"/>
    <mergeCell ref="E72:E73"/>
    <mergeCell ref="F72:F73"/>
    <mergeCell ref="G72:G73"/>
    <mergeCell ref="H72:H73"/>
    <mergeCell ref="I72:I73"/>
    <mergeCell ref="H68:H69"/>
    <mergeCell ref="I68:I69"/>
    <mergeCell ref="J68:J69"/>
    <mergeCell ref="D70:D71"/>
    <mergeCell ref="E70:E71"/>
    <mergeCell ref="F70:F71"/>
    <mergeCell ref="G70:G71"/>
    <mergeCell ref="H70:H71"/>
    <mergeCell ref="C68:C69"/>
    <mergeCell ref="D68:D69"/>
    <mergeCell ref="E68:E69"/>
    <mergeCell ref="F68:F69"/>
    <mergeCell ref="G68:G69"/>
    <mergeCell ref="J64:J65"/>
    <mergeCell ref="D66:D67"/>
    <mergeCell ref="E66:E67"/>
    <mergeCell ref="F66:F67"/>
    <mergeCell ref="G66:G67"/>
    <mergeCell ref="H66:H67"/>
    <mergeCell ref="I66:I67"/>
    <mergeCell ref="J66:J67"/>
    <mergeCell ref="I62:I63"/>
    <mergeCell ref="J62:J63"/>
    <mergeCell ref="D64:D65"/>
    <mergeCell ref="E64:E65"/>
    <mergeCell ref="F64:F65"/>
    <mergeCell ref="G64:G65"/>
    <mergeCell ref="H64:H65"/>
    <mergeCell ref="I64:I65"/>
    <mergeCell ref="H60:H61"/>
    <mergeCell ref="I60:I61"/>
    <mergeCell ref="J60:J61"/>
    <mergeCell ref="D62:D63"/>
    <mergeCell ref="E62:E63"/>
    <mergeCell ref="F62:F63"/>
    <mergeCell ref="G62:G63"/>
    <mergeCell ref="H62:H63"/>
    <mergeCell ref="C60:C61"/>
    <mergeCell ref="D60:D61"/>
    <mergeCell ref="E60:E61"/>
    <mergeCell ref="F60:F61"/>
    <mergeCell ref="G60:G61"/>
    <mergeCell ref="J56:J57"/>
    <mergeCell ref="D58:D59"/>
    <mergeCell ref="E58:E59"/>
    <mergeCell ref="F58:F59"/>
    <mergeCell ref="G58:G59"/>
    <mergeCell ref="H58:H59"/>
    <mergeCell ref="I58:I59"/>
    <mergeCell ref="J58:J59"/>
    <mergeCell ref="I54:I55"/>
    <mergeCell ref="J54:J55"/>
    <mergeCell ref="D56:D57"/>
    <mergeCell ref="E56:E57"/>
    <mergeCell ref="F56:F57"/>
    <mergeCell ref="G56:G57"/>
    <mergeCell ref="H56:H57"/>
    <mergeCell ref="I56:I57"/>
    <mergeCell ref="H52:H53"/>
    <mergeCell ref="I52:I53"/>
    <mergeCell ref="J52:J53"/>
    <mergeCell ref="D54:D55"/>
    <mergeCell ref="E54:E55"/>
    <mergeCell ref="F54:F55"/>
    <mergeCell ref="G54:G55"/>
    <mergeCell ref="H54:H55"/>
    <mergeCell ref="C52:C53"/>
    <mergeCell ref="D52:D53"/>
    <mergeCell ref="E52:E53"/>
    <mergeCell ref="F52:F53"/>
    <mergeCell ref="G52:G53"/>
    <mergeCell ref="J48:J49"/>
    <mergeCell ref="D50:D51"/>
    <mergeCell ref="E50:E51"/>
    <mergeCell ref="F50:F51"/>
    <mergeCell ref="G50:G51"/>
    <mergeCell ref="H50:H51"/>
    <mergeCell ref="I50:I51"/>
    <mergeCell ref="J50:J51"/>
    <mergeCell ref="I46:I47"/>
    <mergeCell ref="J46:J47"/>
    <mergeCell ref="D48:D49"/>
    <mergeCell ref="E48:E49"/>
    <mergeCell ref="F48:F49"/>
    <mergeCell ref="G48:G49"/>
    <mergeCell ref="H48:H49"/>
    <mergeCell ref="I48:I49"/>
    <mergeCell ref="H44:H45"/>
    <mergeCell ref="I44:I45"/>
    <mergeCell ref="J44:J45"/>
    <mergeCell ref="D46:D47"/>
    <mergeCell ref="E46:E47"/>
    <mergeCell ref="F46:F47"/>
    <mergeCell ref="G46:G47"/>
    <mergeCell ref="H46:H47"/>
    <mergeCell ref="C44:C45"/>
    <mergeCell ref="D44:D45"/>
    <mergeCell ref="E44:E45"/>
    <mergeCell ref="F44:F45"/>
    <mergeCell ref="G44:G45"/>
    <mergeCell ref="J40:J41"/>
    <mergeCell ref="D42:D43"/>
    <mergeCell ref="E42:E43"/>
    <mergeCell ref="F42:F43"/>
    <mergeCell ref="G42:G43"/>
    <mergeCell ref="H42:H43"/>
    <mergeCell ref="I42:I43"/>
    <mergeCell ref="J42:J43"/>
    <mergeCell ref="I38:I39"/>
    <mergeCell ref="J38:J39"/>
    <mergeCell ref="D40:D41"/>
    <mergeCell ref="E40:E41"/>
    <mergeCell ref="F40:F41"/>
    <mergeCell ref="G40:G41"/>
    <mergeCell ref="H40:H41"/>
    <mergeCell ref="I40:I41"/>
    <mergeCell ref="H36:H37"/>
    <mergeCell ref="I36:I37"/>
    <mergeCell ref="J36:J37"/>
    <mergeCell ref="D38:D39"/>
    <mergeCell ref="E38:E39"/>
    <mergeCell ref="F38:F39"/>
    <mergeCell ref="G38:G39"/>
    <mergeCell ref="H38:H39"/>
    <mergeCell ref="C36:C37"/>
    <mergeCell ref="D36:D37"/>
    <mergeCell ref="E36:E37"/>
    <mergeCell ref="F36:F37"/>
    <mergeCell ref="G36:G37"/>
    <mergeCell ref="J32:J33"/>
    <mergeCell ref="D34:D35"/>
    <mergeCell ref="E34:E35"/>
    <mergeCell ref="F34:F35"/>
    <mergeCell ref="G34:G35"/>
    <mergeCell ref="H34:H35"/>
    <mergeCell ref="I34:I35"/>
    <mergeCell ref="J34:J35"/>
    <mergeCell ref="I30:I31"/>
    <mergeCell ref="J30:J31"/>
    <mergeCell ref="D32:D33"/>
    <mergeCell ref="E32:E33"/>
    <mergeCell ref="F32:F33"/>
    <mergeCell ref="G32:G33"/>
    <mergeCell ref="H32:H33"/>
    <mergeCell ref="I32:I33"/>
    <mergeCell ref="H28:H29"/>
    <mergeCell ref="I28:I29"/>
    <mergeCell ref="J28:J29"/>
    <mergeCell ref="D30:D31"/>
    <mergeCell ref="E30:E31"/>
    <mergeCell ref="F30:F31"/>
    <mergeCell ref="G30:G31"/>
    <mergeCell ref="H30:H31"/>
    <mergeCell ref="C28:C29"/>
    <mergeCell ref="D28:D29"/>
    <mergeCell ref="E28:E29"/>
    <mergeCell ref="F28:F29"/>
    <mergeCell ref="G28:G29"/>
    <mergeCell ref="J24:J25"/>
    <mergeCell ref="D26:D27"/>
    <mergeCell ref="E26:E27"/>
    <mergeCell ref="F26:F27"/>
    <mergeCell ref="G26:G27"/>
    <mergeCell ref="H26:H27"/>
    <mergeCell ref="I26:I27"/>
    <mergeCell ref="J26:J27"/>
    <mergeCell ref="I22:I23"/>
    <mergeCell ref="J22:J23"/>
    <mergeCell ref="D24:D25"/>
    <mergeCell ref="E24:E25"/>
    <mergeCell ref="F24:F25"/>
    <mergeCell ref="G24:G25"/>
    <mergeCell ref="H24:H25"/>
    <mergeCell ref="I24:I25"/>
    <mergeCell ref="H20:H21"/>
    <mergeCell ref="I20:I21"/>
    <mergeCell ref="J20:J21"/>
    <mergeCell ref="D22:D23"/>
    <mergeCell ref="E22:E23"/>
    <mergeCell ref="F22:F23"/>
    <mergeCell ref="G22:G23"/>
    <mergeCell ref="H22:H23"/>
    <mergeCell ref="C20:C21"/>
    <mergeCell ref="D20:D21"/>
    <mergeCell ref="E20:E21"/>
    <mergeCell ref="F20:F21"/>
    <mergeCell ref="G20:G21"/>
    <mergeCell ref="J16:J17"/>
    <mergeCell ref="D18:D19"/>
    <mergeCell ref="E18:E19"/>
    <mergeCell ref="F18:F19"/>
    <mergeCell ref="G18:G19"/>
    <mergeCell ref="H18:H19"/>
    <mergeCell ref="I18:I19"/>
    <mergeCell ref="J18:J19"/>
    <mergeCell ref="I14:I15"/>
    <mergeCell ref="J14:J15"/>
    <mergeCell ref="D16:D17"/>
    <mergeCell ref="E16:E17"/>
    <mergeCell ref="F16:F17"/>
    <mergeCell ref="G16:G17"/>
    <mergeCell ref="H16:H17"/>
    <mergeCell ref="I16:I17"/>
    <mergeCell ref="H12:H13"/>
    <mergeCell ref="I12:I13"/>
    <mergeCell ref="J12:J13"/>
    <mergeCell ref="D14:D15"/>
    <mergeCell ref="E14:E15"/>
    <mergeCell ref="F14:F15"/>
    <mergeCell ref="G14:G15"/>
    <mergeCell ref="H14:H15"/>
    <mergeCell ref="H10:H11"/>
    <mergeCell ref="I10:I11"/>
    <mergeCell ref="J10:J11"/>
    <mergeCell ref="D12:D13"/>
    <mergeCell ref="E12:E13"/>
    <mergeCell ref="F12:F13"/>
    <mergeCell ref="G12:G13"/>
    <mergeCell ref="D10:D11"/>
    <mergeCell ref="E10:E11"/>
    <mergeCell ref="G10:G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4"/>
  <sheetViews>
    <sheetView showGridLines="0" workbookViewId="0"/>
  </sheetViews>
  <sheetFormatPr defaultRowHeight="14.4"/>
  <cols>
    <col min="2" max="5" width="13.6640625" customWidth="1"/>
  </cols>
  <sheetData>
    <row r="2" spans="2:7">
      <c r="C2" s="1" t="s">
        <v>126</v>
      </c>
      <c r="D2" s="2">
        <v>5</v>
      </c>
    </row>
    <row r="3" spans="2:7">
      <c r="G3" s="81"/>
    </row>
    <row r="4" spans="2:7" ht="16.2" thickBot="1">
      <c r="B4" s="3" t="s">
        <v>0</v>
      </c>
      <c r="C4" s="3" t="s">
        <v>1</v>
      </c>
      <c r="D4" s="3" t="s">
        <v>2</v>
      </c>
      <c r="E4" s="3" t="s">
        <v>3</v>
      </c>
      <c r="G4" s="81" t="s">
        <v>136</v>
      </c>
    </row>
    <row r="5" spans="2:7" ht="15" thickTop="1">
      <c r="B5" s="1" t="s">
        <v>4</v>
      </c>
      <c r="C5" s="1">
        <v>1</v>
      </c>
      <c r="D5" s="4">
        <f ca="1">2*RAND()*$D$2</f>
        <v>0.28037687508373321</v>
      </c>
      <c r="E5" s="5">
        <f t="shared" ref="E5:E14" ca="1" si="0">(1+C5/360*D5/100)</f>
        <v>1.0000077882465301</v>
      </c>
      <c r="G5" s="10" t="s">
        <v>65</v>
      </c>
    </row>
    <row r="6" spans="2:7">
      <c r="B6" s="1" t="s">
        <v>5</v>
      </c>
      <c r="C6" s="1">
        <v>1</v>
      </c>
      <c r="D6" s="4">
        <f t="shared" ref="D6:D14" ca="1" si="1">2*RAND()*$D$2</f>
        <v>0.85548160031937437</v>
      </c>
      <c r="E6" s="5">
        <f t="shared" ca="1" si="0"/>
        <v>1.0000237633777866</v>
      </c>
      <c r="G6" s="9"/>
    </row>
    <row r="7" spans="2:7">
      <c r="B7" s="1" t="s">
        <v>6</v>
      </c>
      <c r="C7" s="1">
        <v>1</v>
      </c>
      <c r="D7" s="4">
        <f t="shared" ca="1" si="1"/>
        <v>3.108105649212991</v>
      </c>
      <c r="E7" s="5">
        <f t="shared" ca="1" si="0"/>
        <v>1.0000863362680337</v>
      </c>
    </row>
    <row r="8" spans="2:7">
      <c r="B8" s="1" t="s">
        <v>7</v>
      </c>
      <c r="C8" s="1">
        <v>1</v>
      </c>
      <c r="D8" s="4">
        <f t="shared" ca="1" si="1"/>
        <v>3.6018630637265647</v>
      </c>
      <c r="E8" s="5">
        <f t="shared" ca="1" si="0"/>
        <v>1.0001000517517702</v>
      </c>
    </row>
    <row r="9" spans="2:7">
      <c r="B9" s="1" t="s">
        <v>8</v>
      </c>
      <c r="C9" s="1">
        <v>3</v>
      </c>
      <c r="D9" s="4">
        <f t="shared" ca="1" si="1"/>
        <v>1.8561865538070232</v>
      </c>
      <c r="E9" s="5">
        <f t="shared" ca="1" si="0"/>
        <v>1.0001546822128173</v>
      </c>
    </row>
    <row r="10" spans="2:7">
      <c r="B10" s="1" t="s">
        <v>4</v>
      </c>
      <c r="C10" s="1">
        <v>1</v>
      </c>
      <c r="D10" s="4">
        <f t="shared" ca="1" si="1"/>
        <v>4.4713229190424002</v>
      </c>
      <c r="E10" s="5">
        <f t="shared" ca="1" si="0"/>
        <v>1.0001242034144178</v>
      </c>
    </row>
    <row r="11" spans="2:7">
      <c r="B11" s="1" t="s">
        <v>5</v>
      </c>
      <c r="C11" s="1">
        <v>1</v>
      </c>
      <c r="D11" s="4">
        <f t="shared" ca="1" si="1"/>
        <v>3.6357950307211082</v>
      </c>
      <c r="E11" s="5">
        <f t="shared" ca="1" si="0"/>
        <v>1.000100994306409</v>
      </c>
    </row>
    <row r="12" spans="2:7">
      <c r="B12" s="1" t="s">
        <v>6</v>
      </c>
      <c r="C12" s="1">
        <v>1</v>
      </c>
      <c r="D12" s="4">
        <f t="shared" ca="1" si="1"/>
        <v>5.5770878387197866</v>
      </c>
      <c r="E12" s="5">
        <f t="shared" ca="1" si="0"/>
        <v>1.000154919106631</v>
      </c>
    </row>
    <row r="13" spans="2:7">
      <c r="B13" s="1" t="s">
        <v>7</v>
      </c>
      <c r="C13" s="1">
        <v>1</v>
      </c>
      <c r="D13" s="4">
        <f t="shared" ca="1" si="1"/>
        <v>0.235671504892494</v>
      </c>
      <c r="E13" s="5">
        <f t="shared" ca="1" si="0"/>
        <v>1.0000065464306915</v>
      </c>
      <c r="G13" s="81" t="s">
        <v>135</v>
      </c>
    </row>
    <row r="14" spans="2:7">
      <c r="B14" s="1" t="s">
        <v>8</v>
      </c>
      <c r="C14" s="1">
        <v>3</v>
      </c>
      <c r="D14" s="4">
        <f t="shared" ca="1" si="1"/>
        <v>7.2176243666544089</v>
      </c>
      <c r="E14" s="5">
        <f t="shared" ca="1" si="0"/>
        <v>1.0006014686972211</v>
      </c>
      <c r="G14" s="11" t="s">
        <v>21</v>
      </c>
    </row>
    <row r="15" spans="2:7">
      <c r="G15" s="10" t="s">
        <v>22</v>
      </c>
    </row>
    <row r="16" spans="2:7" ht="15.6">
      <c r="C16" s="1" t="s">
        <v>9</v>
      </c>
      <c r="D16" s="1" t="s">
        <v>10</v>
      </c>
      <c r="E16" s="1" t="s">
        <v>3</v>
      </c>
    </row>
    <row r="17" spans="3:5" ht="15" thickBot="1">
      <c r="C17" s="3">
        <f>SUM(C5:C15)</f>
        <v>14</v>
      </c>
      <c r="D17" s="6">
        <f ca="1">SUMPRODUCT(D5:D14,C5:C14)/C17</f>
        <v>3.4990812316501967</v>
      </c>
      <c r="E17" s="6">
        <f ca="1">(PRODUCT(E5:E15)-1)*(360/C17)*100</f>
        <v>3.5008794020227212</v>
      </c>
    </row>
    <row r="18" spans="3:5" ht="15" thickTop="1"/>
    <row r="19" spans="3:5">
      <c r="C19" s="8" t="s">
        <v>11</v>
      </c>
      <c r="D19" s="1" t="s">
        <v>12</v>
      </c>
      <c r="E19" s="1" t="s">
        <v>13</v>
      </c>
    </row>
    <row r="20" spans="3:5">
      <c r="C20" s="8" t="s">
        <v>14</v>
      </c>
      <c r="D20" s="7" t="s">
        <v>15</v>
      </c>
      <c r="E20" s="7" t="s">
        <v>16</v>
      </c>
    </row>
    <row r="22" spans="3:5" ht="15.6">
      <c r="C22" s="1" t="s">
        <v>17</v>
      </c>
      <c r="D22" s="1" t="s">
        <v>18</v>
      </c>
      <c r="E22" s="1" t="s">
        <v>19</v>
      </c>
    </row>
    <row r="23" spans="3:5" ht="15" thickBot="1">
      <c r="C23" s="1" t="s">
        <v>20</v>
      </c>
      <c r="D23" s="6">
        <f ca="1">100-D17</f>
        <v>96.500918768349806</v>
      </c>
      <c r="E23" s="6">
        <f ca="1">100-E17</f>
        <v>96.499120597977281</v>
      </c>
    </row>
    <row r="24" spans="3:5" ht="15" thickTop="1"/>
  </sheetData>
  <hyperlinks>
    <hyperlink ref="G15" r:id="rId1" xr:uid="{00000000-0004-0000-0000-000000000000}"/>
    <hyperlink ref="G14" r:id="rId2" xr:uid="{00000000-0004-0000-0000-000001000000}"/>
    <hyperlink ref="G5" r:id="rId3" xr:uid="{3E84BDDD-D732-4F2E-BFD9-7434E8E1923F}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Contracts &amp; Margin</vt:lpstr>
      <vt:lpstr>Trading</vt:lpstr>
      <vt:lpstr>Hedging</vt:lpstr>
      <vt:lpstr>Tickers</vt:lpstr>
      <vt:lpstr>Payoff</vt:lpstr>
      <vt:lpstr>USD 3M SOFR Futures Chain</vt:lpstr>
      <vt:lpstr>Compound Interest</vt:lpstr>
      <vt:lpstr>Contract_Size</vt:lpstr>
      <vt:lpstr>Futures_Price</vt:lpstr>
      <vt:lpstr>FuturesTable</vt:lpstr>
      <vt:lpstr>FuturesTickers</vt:lpstr>
      <vt:lpstr>InitialMargin</vt:lpstr>
      <vt:lpstr>Notional</vt:lpstr>
      <vt:lpstr>Tick_Size</vt:lpstr>
      <vt:lpstr>Tick_Value</vt:lpstr>
      <vt:lpstr>Ticker</vt:lpstr>
      <vt:lpstr>TickValue</vt:lpstr>
    </vt:vector>
  </TitlesOfParts>
  <Company>Nicholas Burgess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dcterms:created xsi:type="dcterms:W3CDTF">2022-03-22T18:42:17Z</dcterms:created>
  <dcterms:modified xsi:type="dcterms:W3CDTF">2022-07-11T17:30:00Z</dcterms:modified>
</cp:coreProperties>
</file>