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iers\OneDrive\Desktop\XRD-origin\"/>
    </mc:Choice>
  </mc:AlternateContent>
  <xr:revisionPtr revIDLastSave="0" documentId="13_ncr:1_{73A673A6-88DA-45A8-A962-5F2FD2A61C5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R18" i="1" l="1"/>
  <c r="R17" i="1"/>
  <c r="R16" i="1"/>
  <c r="R15" i="1"/>
  <c r="R14" i="1"/>
  <c r="R9" i="1"/>
  <c r="R8" i="1"/>
  <c r="R7" i="1"/>
  <c r="R6" i="1"/>
  <c r="R5" i="1"/>
  <c r="P18" i="1"/>
  <c r="P17" i="1"/>
  <c r="P16" i="1"/>
  <c r="P15" i="1"/>
  <c r="P14" i="1"/>
  <c r="P6" i="1"/>
  <c r="P7" i="1"/>
  <c r="P8" i="1"/>
  <c r="P9" i="1"/>
  <c r="P5" i="1"/>
  <c r="O18" i="1"/>
  <c r="O17" i="1"/>
  <c r="O16" i="1"/>
  <c r="O15" i="1"/>
  <c r="O14" i="1"/>
  <c r="O6" i="1"/>
  <c r="O7" i="1"/>
  <c r="O8" i="1"/>
  <c r="O9" i="1"/>
  <c r="O5" i="1"/>
  <c r="H18" i="1"/>
  <c r="I18" i="1" s="1"/>
  <c r="B18" i="1"/>
  <c r="C18" i="1" s="1"/>
  <c r="H17" i="1"/>
  <c r="J17" i="1" s="1"/>
  <c r="B17" i="1"/>
  <c r="C17" i="1" s="1"/>
  <c r="E17" i="1" s="1"/>
  <c r="H16" i="1"/>
  <c r="J16" i="1" s="1"/>
  <c r="B16" i="1"/>
  <c r="C16" i="1" s="1"/>
  <c r="H15" i="1"/>
  <c r="J15" i="1" s="1"/>
  <c r="B15" i="1"/>
  <c r="C15" i="1" s="1"/>
  <c r="H14" i="1"/>
  <c r="I14" i="1" s="1"/>
  <c r="B14" i="1"/>
  <c r="C14" i="1" s="1"/>
  <c r="J7" i="1"/>
  <c r="M7" i="1" s="1"/>
  <c r="M6" i="1"/>
  <c r="M8" i="1"/>
  <c r="M9" i="1"/>
  <c r="M5" i="1"/>
  <c r="L5" i="1"/>
  <c r="L6" i="1"/>
  <c r="L7" i="1"/>
  <c r="L8" i="1"/>
  <c r="L9" i="1"/>
  <c r="J6" i="1"/>
  <c r="J8" i="1"/>
  <c r="J9" i="1"/>
  <c r="J5" i="1"/>
  <c r="I6" i="1"/>
  <c r="I7" i="1"/>
  <c r="I8" i="1"/>
  <c r="I9" i="1"/>
  <c r="I5" i="1"/>
  <c r="H2" i="1"/>
  <c r="H6" i="1"/>
  <c r="H7" i="1"/>
  <c r="H8" i="1"/>
  <c r="H9" i="1"/>
  <c r="H5" i="1"/>
  <c r="C7" i="1"/>
  <c r="D7" i="1" s="1"/>
  <c r="F7" i="1" s="1"/>
  <c r="C8" i="1"/>
  <c r="D8" i="1" s="1"/>
  <c r="F8" i="1" s="1"/>
  <c r="C9" i="1"/>
  <c r="D9" i="1" s="1"/>
  <c r="F9" i="1" s="1"/>
  <c r="B6" i="1"/>
  <c r="C6" i="1" s="1"/>
  <c r="B7" i="1"/>
  <c r="B8" i="1"/>
  <c r="B9" i="1"/>
  <c r="B5" i="1"/>
  <c r="C5" i="1" s="1"/>
  <c r="J18" i="1" l="1"/>
  <c r="M17" i="1"/>
  <c r="I17" i="1"/>
  <c r="L17" i="1" s="1"/>
  <c r="J14" i="1"/>
  <c r="E14" i="1"/>
  <c r="D14" i="1"/>
  <c r="F14" i="1" s="1"/>
  <c r="D15" i="1"/>
  <c r="F15" i="1" s="1"/>
  <c r="E15" i="1"/>
  <c r="M15" i="1" s="1"/>
  <c r="E18" i="1"/>
  <c r="L18" i="1" s="1"/>
  <c r="D18" i="1"/>
  <c r="F18" i="1" s="1"/>
  <c r="D16" i="1"/>
  <c r="F16" i="1" s="1"/>
  <c r="E16" i="1"/>
  <c r="M16" i="1" s="1"/>
  <c r="I15" i="1"/>
  <c r="D17" i="1"/>
  <c r="F17" i="1" s="1"/>
  <c r="I16" i="1"/>
  <c r="E6" i="1"/>
  <c r="D6" i="1"/>
  <c r="F6" i="1" s="1"/>
  <c r="D5" i="1"/>
  <c r="F5" i="1" s="1"/>
  <c r="E9" i="1"/>
  <c r="E8" i="1"/>
  <c r="E7" i="1"/>
  <c r="M14" i="1" l="1"/>
  <c r="M18" i="1"/>
  <c r="L16" i="1"/>
  <c r="L15" i="1"/>
  <c r="L14" i="1"/>
</calcChain>
</file>

<file path=xl/sharedStrings.xml><?xml version="1.0" encoding="utf-8"?>
<sst xmlns="http://schemas.openxmlformats.org/spreadsheetml/2006/main" count="54" uniqueCount="31">
  <si>
    <t>K</t>
  </si>
  <si>
    <r>
      <t>sin</t>
    </r>
    <r>
      <rPr>
        <sz val="11"/>
        <color theme="1"/>
        <rFont val="Calibri"/>
        <family val="2"/>
      </rPr>
      <t>θ</t>
    </r>
  </si>
  <si>
    <t>cosθ</t>
  </si>
  <si>
    <t>θ(rad)</t>
  </si>
  <si>
    <r>
      <t>2</t>
    </r>
    <r>
      <rPr>
        <sz val="11"/>
        <color theme="1"/>
        <rFont val="Calibri"/>
        <family val="2"/>
      </rPr>
      <t>θ(deg)</t>
    </r>
  </si>
  <si>
    <t>λ(nm)</t>
  </si>
  <si>
    <r>
      <t xml:space="preserve">d= </t>
    </r>
    <r>
      <rPr>
        <sz val="11"/>
        <color theme="1"/>
        <rFont val="Calibri"/>
        <family val="2"/>
      </rPr>
      <t>λ/2sinθ(nm)</t>
    </r>
  </si>
  <si>
    <t>θ(deg)</t>
  </si>
  <si>
    <t>area</t>
  </si>
  <si>
    <t>fityk</t>
  </si>
  <si>
    <t>origin</t>
  </si>
  <si>
    <t>integral breadth</t>
  </si>
  <si>
    <t>h2+k2+l2</t>
  </si>
  <si>
    <t>miller indices (h,k,l)</t>
  </si>
  <si>
    <t>1,1,1</t>
  </si>
  <si>
    <t>2,2,2</t>
  </si>
  <si>
    <t>2,0,0</t>
  </si>
  <si>
    <t>2,2,0</t>
  </si>
  <si>
    <t>3,1,1</t>
  </si>
  <si>
    <t>a (lattice constant)</t>
  </si>
  <si>
    <t>Net height</t>
  </si>
  <si>
    <t>a(nm) bulk value</t>
  </si>
  <si>
    <r>
      <rPr>
        <sz val="11"/>
        <color theme="1"/>
        <rFont val="Calibri"/>
        <family val="2"/>
      </rPr>
      <t xml:space="preserve">β </t>
    </r>
    <r>
      <rPr>
        <sz val="11"/>
        <color theme="1"/>
        <rFont val="Century Gothic"/>
        <family val="2"/>
        <scheme val="minor"/>
      </rPr>
      <t>instr (rad)</t>
    </r>
  </si>
  <si>
    <t>FWHM=β obs (rad)</t>
  </si>
  <si>
    <t>FWHM=β obs (deg)</t>
  </si>
  <si>
    <t>β size (linear) (rad)</t>
  </si>
  <si>
    <t>β size (quadratic) (rad)</t>
  </si>
  <si>
    <r>
      <t>D = (k</t>
    </r>
    <r>
      <rPr>
        <sz val="11"/>
        <color theme="1"/>
        <rFont val="Calibri"/>
        <family val="2"/>
      </rPr>
      <t>λ/βcosθ) linear</t>
    </r>
  </si>
  <si>
    <r>
      <t>D = (k</t>
    </r>
    <r>
      <rPr>
        <sz val="11"/>
        <color theme="1"/>
        <rFont val="Calibri"/>
        <family val="2"/>
      </rPr>
      <t>λ/βcosθ) quadratic</t>
    </r>
  </si>
  <si>
    <t>dati fit</t>
  </si>
  <si>
    <t>risultati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</si>
</sst>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4" x14ac:knownFonts="1">
    <font>
      <sz val="11"/>
      <color theme="1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sz val="11"/>
      <color theme="1"/>
      <name val="Calibri"/>
      <family val="2"/>
    </font>
    <font>
      <sz val="11"/>
      <color rgb="FFFFFF0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368621</xdr:colOff>
      <xdr:row>25</xdr:row>
      <xdr:rowOff>28987</xdr:rowOff>
    </xdr:from>
    <xdr:to>
      <xdr:col>9</xdr:col>
      <xdr:colOff>1509951</xdr:colOff>
      <xdr:row>50</xdr:row>
      <xdr:rowOff>117231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B37F2567-02F9-45FE-B004-145284E39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21" y="4473987"/>
          <a:ext cx="10744484" cy="4484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4277</xdr:colOff>
      <xdr:row>25</xdr:row>
      <xdr:rowOff>12464</xdr:rowOff>
    </xdr:from>
    <xdr:to>
      <xdr:col>15</xdr:col>
      <xdr:colOff>789847</xdr:colOff>
      <xdr:row>60</xdr:row>
      <xdr:rowOff>36647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D5DC299-EF5E-4117-BDBE-06094E23C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815" y="4457464"/>
          <a:ext cx="8014801" cy="6178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Filo">
  <a:themeElements>
    <a:clrScheme name="Filo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Filo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ilo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65" zoomScaleNormal="65" workbookViewId="0">
      <selection activeCell="A21" sqref="A21:B21"/>
    </sheetView>
  </sheetViews>
  <sheetFormatPr defaultRowHeight="13.5" x14ac:dyDescent="0.25"/>
  <cols>
    <col min="1" max="2" width="11.33203125" customWidth="1"/>
    <col min="3" max="5" width="10.33203125" customWidth="1"/>
    <col min="6" max="6" width="12.9140625" customWidth="1"/>
    <col min="7" max="7" width="19.58203125" customWidth="1"/>
    <col min="8" max="8" width="20.4140625" customWidth="1"/>
    <col min="9" max="9" width="19.33203125" customWidth="1"/>
    <col min="10" max="10" width="22.5" customWidth="1"/>
    <col min="11" max="11" width="16.1640625" customWidth="1"/>
    <col min="12" max="12" width="21.6640625" customWidth="1"/>
    <col min="13" max="13" width="23.58203125" customWidth="1"/>
    <col min="14" max="14" width="14.75" customWidth="1"/>
    <col min="15" max="15" width="18.75" customWidth="1"/>
    <col min="16" max="16" width="12.83203125" customWidth="1"/>
    <col min="17" max="17" width="19.83203125" customWidth="1"/>
    <col min="18" max="18" width="17.6640625" customWidth="1"/>
  </cols>
  <sheetData>
    <row r="1" spans="1:18" ht="14.5" x14ac:dyDescent="0.35">
      <c r="F1" s="1" t="s">
        <v>5</v>
      </c>
      <c r="G1" s="2" t="s">
        <v>0</v>
      </c>
      <c r="H1" s="2" t="s">
        <v>22</v>
      </c>
      <c r="I1" s="2"/>
      <c r="J1" s="2"/>
      <c r="K1" s="2"/>
      <c r="L1" s="2"/>
      <c r="R1" s="2" t="s">
        <v>21</v>
      </c>
    </row>
    <row r="2" spans="1:18" ht="14" thickBot="1" x14ac:dyDescent="0.3">
      <c r="F2" s="3">
        <v>0.15406</v>
      </c>
      <c r="G2" s="2">
        <v>0.89</v>
      </c>
      <c r="H2" s="2">
        <f>RADIANS(0.27)</f>
        <v>4.7123889803846897E-3</v>
      </c>
      <c r="I2" s="2"/>
      <c r="J2" s="2"/>
      <c r="K2" s="2"/>
      <c r="L2" s="2"/>
      <c r="R2" s="2">
        <v>0.40649999999999997</v>
      </c>
    </row>
    <row r="3" spans="1:18" ht="14" thickBot="1" x14ac:dyDescent="0.3">
      <c r="A3" s="13" t="s">
        <v>9</v>
      </c>
    </row>
    <row r="4" spans="1:18" ht="15" thickBot="1" x14ac:dyDescent="0.4">
      <c r="A4" s="9" t="s">
        <v>4</v>
      </c>
      <c r="B4" s="14" t="s">
        <v>7</v>
      </c>
      <c r="C4" s="14" t="s">
        <v>3</v>
      </c>
      <c r="D4" s="10" t="s">
        <v>1</v>
      </c>
      <c r="E4" s="10" t="s">
        <v>2</v>
      </c>
      <c r="F4" s="10" t="s">
        <v>6</v>
      </c>
      <c r="G4" s="9" t="s">
        <v>24</v>
      </c>
      <c r="H4" s="10" t="s">
        <v>23</v>
      </c>
      <c r="I4" s="10" t="s">
        <v>25</v>
      </c>
      <c r="J4" s="10" t="s">
        <v>26</v>
      </c>
      <c r="K4" s="9" t="s">
        <v>20</v>
      </c>
      <c r="L4" s="11" t="s">
        <v>27</v>
      </c>
      <c r="M4" s="11" t="s">
        <v>28</v>
      </c>
      <c r="N4" s="9" t="s">
        <v>8</v>
      </c>
      <c r="O4" s="10" t="s">
        <v>11</v>
      </c>
      <c r="P4" s="10" t="s">
        <v>12</v>
      </c>
      <c r="Q4" s="11" t="s">
        <v>13</v>
      </c>
      <c r="R4" s="11" t="s">
        <v>19</v>
      </c>
    </row>
    <row r="5" spans="1:18" x14ac:dyDescent="0.25">
      <c r="A5" s="18">
        <v>38.286900000000003</v>
      </c>
      <c r="B5" s="19">
        <f>A5/2</f>
        <v>19.143450000000001</v>
      </c>
      <c r="C5" s="19">
        <f>RADIANS(B5)</f>
        <v>0.33411623269090851</v>
      </c>
      <c r="D5" s="19">
        <f>SIN(C5)</f>
        <v>0.32793440263283585</v>
      </c>
      <c r="E5" s="19">
        <f>COS(C5)</f>
        <v>0.94470049622610297</v>
      </c>
      <c r="F5" s="19">
        <f>0.15406/(2*D5)</f>
        <v>0.23489453799772528</v>
      </c>
      <c r="G5" s="18">
        <v>0.80893700000000002</v>
      </c>
      <c r="H5" s="19">
        <f>RADIANS(G5)</f>
        <v>1.4118614091205369E-2</v>
      </c>
      <c r="I5" s="19">
        <f>H5-0.004712389</f>
        <v>9.4062250912053703E-3</v>
      </c>
      <c r="J5" s="19">
        <f>((H5^2)-(0.004712389)^2)^(1/2)</f>
        <v>1.3308968922086406E-2</v>
      </c>
      <c r="K5" s="18">
        <v>17590.2</v>
      </c>
      <c r="L5" s="20">
        <f>(0.89*0.15406)/(I5*E5)</f>
        <v>15.430158580983614</v>
      </c>
      <c r="M5" s="20">
        <f>(0.89*0.15406)/(J5*E5)</f>
        <v>10.905393622556664</v>
      </c>
      <c r="N5" s="18">
        <v>19185.7</v>
      </c>
      <c r="O5" s="19">
        <f>N5/K5</f>
        <v>1.0907039146797648</v>
      </c>
      <c r="P5" s="19">
        <f>(0.1652/F5^2)</f>
        <v>2.9940855583580657</v>
      </c>
      <c r="Q5" s="20" t="s">
        <v>14</v>
      </c>
      <c r="R5" s="20">
        <f>F5*(3^(1/2))</f>
        <v>0.40684927423247835</v>
      </c>
    </row>
    <row r="6" spans="1:18" x14ac:dyDescent="0.25">
      <c r="A6" s="15">
        <v>44.434199999999997</v>
      </c>
      <c r="B6" s="16">
        <f t="shared" ref="B6:B9" si="0">A6/2</f>
        <v>22.217099999999999</v>
      </c>
      <c r="C6" s="16">
        <f t="shared" ref="C6:C9" si="1">RADIANS(B6)</f>
        <v>0.38776154524483214</v>
      </c>
      <c r="D6" s="16">
        <f t="shared" ref="D6:D9" si="2">SIN(C6)</f>
        <v>0.37811709726822912</v>
      </c>
      <c r="E6" s="16">
        <f t="shared" ref="E6:E9" si="3">COS(C6)</f>
        <v>0.92575777650174162</v>
      </c>
      <c r="F6" s="16">
        <f t="shared" ref="F6:F9" si="4">0.15406/(2*D6)</f>
        <v>0.20371996018301278</v>
      </c>
      <c r="G6" s="15">
        <v>1.2095800000000001</v>
      </c>
      <c r="H6" s="16">
        <f>RADIANS(G6)</f>
        <v>2.1111153566273012E-2</v>
      </c>
      <c r="I6" s="16">
        <f t="shared" ref="I6:I9" si="5">H6-0.004712389</f>
        <v>1.6398764566273011E-2</v>
      </c>
      <c r="J6" s="16">
        <f t="shared" ref="J6:J9" si="6">((H6^2)-(0.004712389)^2)^(1/2)</f>
        <v>2.0578488642547119E-2</v>
      </c>
      <c r="K6" s="15">
        <v>4381.5</v>
      </c>
      <c r="L6" s="17">
        <f t="shared" ref="L6:L9" si="7">(0.89*0.15406)/(I6*E6)</f>
        <v>9.0317394500627017</v>
      </c>
      <c r="M6" s="17">
        <f t="shared" ref="M6:M9" si="8">(0.89*0.15406)/(J6*E6)</f>
        <v>7.1972908913861788</v>
      </c>
      <c r="N6" s="15">
        <v>6954.28</v>
      </c>
      <c r="O6" s="16">
        <f t="shared" ref="O6:O9" si="9">N6/K6</f>
        <v>1.5871916010498688</v>
      </c>
      <c r="P6" s="16">
        <f t="shared" ref="P6:P9" si="10">(0.1652/F6^2)</f>
        <v>3.9805481141422936</v>
      </c>
      <c r="Q6" s="17" t="s">
        <v>16</v>
      </c>
      <c r="R6" s="17">
        <f>F6*2</f>
        <v>0.40743992036602555</v>
      </c>
    </row>
    <row r="7" spans="1:18" x14ac:dyDescent="0.25">
      <c r="A7" s="15">
        <v>64.794600000000003</v>
      </c>
      <c r="B7" s="16">
        <f t="shared" si="0"/>
        <v>32.397300000000001</v>
      </c>
      <c r="C7" s="16">
        <f t="shared" si="1"/>
        <v>0.5654395537563589</v>
      </c>
      <c r="D7" s="16">
        <f t="shared" si="2"/>
        <v>0.53578700636794685</v>
      </c>
      <c r="E7" s="16">
        <f t="shared" si="3"/>
        <v>0.84435317480736327</v>
      </c>
      <c r="F7" s="16">
        <f t="shared" si="4"/>
        <v>0.14376981726783489</v>
      </c>
      <c r="G7" s="15">
        <v>0.92740800000000001</v>
      </c>
      <c r="H7" s="16">
        <f>RADIANS(G7)</f>
        <v>1.6186323109335571E-2</v>
      </c>
      <c r="I7" s="16">
        <f t="shared" si="5"/>
        <v>1.147393410933557E-2</v>
      </c>
      <c r="J7" s="16">
        <f t="shared" si="6"/>
        <v>1.5485168572298131E-2</v>
      </c>
      <c r="K7" s="15">
        <v>8397.9599999999991</v>
      </c>
      <c r="L7" s="17">
        <f t="shared" si="7"/>
        <v>14.152833840657841</v>
      </c>
      <c r="M7" s="17">
        <f t="shared" si="8"/>
        <v>10.486723614916572</v>
      </c>
      <c r="N7" s="15">
        <v>10647.1</v>
      </c>
      <c r="O7" s="16">
        <f t="shared" si="9"/>
        <v>1.2678198038571273</v>
      </c>
      <c r="P7" s="16">
        <f t="shared" si="10"/>
        <v>7.9923519743296003</v>
      </c>
      <c r="Q7" s="17" t="s">
        <v>17</v>
      </c>
      <c r="R7" s="17">
        <f>F7*(8^(1/2))</f>
        <v>0.40664245088014739</v>
      </c>
    </row>
    <row r="8" spans="1:18" x14ac:dyDescent="0.25">
      <c r="A8" s="15">
        <v>77.727599999999995</v>
      </c>
      <c r="B8" s="16">
        <f t="shared" si="0"/>
        <v>38.863799999999998</v>
      </c>
      <c r="C8" s="16">
        <f t="shared" si="1"/>
        <v>0.67830126983657224</v>
      </c>
      <c r="D8" s="16">
        <f t="shared" si="2"/>
        <v>0.62747123117332537</v>
      </c>
      <c r="E8" s="16">
        <f t="shared" si="3"/>
        <v>0.77863974599928509</v>
      </c>
      <c r="F8" s="16">
        <f t="shared" si="4"/>
        <v>0.12276260037605155</v>
      </c>
      <c r="G8" s="15">
        <v>1.23027</v>
      </c>
      <c r="H8" s="16">
        <f>RADIANS(G8)</f>
        <v>2.1472262188510637E-2</v>
      </c>
      <c r="I8" s="16">
        <f t="shared" si="5"/>
        <v>1.6759873188510636E-2</v>
      </c>
      <c r="J8" s="16">
        <f t="shared" si="6"/>
        <v>2.0948781191392079E-2</v>
      </c>
      <c r="K8" s="15">
        <v>2541.2600000000002</v>
      </c>
      <c r="L8" s="17">
        <f t="shared" si="7"/>
        <v>10.506851719218123</v>
      </c>
      <c r="M8" s="17">
        <f t="shared" si="8"/>
        <v>8.4059068074536984</v>
      </c>
      <c r="N8" s="15">
        <v>3924.1</v>
      </c>
      <c r="O8" s="16">
        <f t="shared" si="9"/>
        <v>1.5441552615631615</v>
      </c>
      <c r="P8" s="16">
        <f t="shared" si="10"/>
        <v>10.961699307579268</v>
      </c>
      <c r="Q8" s="17" t="s">
        <v>18</v>
      </c>
      <c r="R8" s="17">
        <f>F8*(11^(1/2))</f>
        <v>0.40715748373570571</v>
      </c>
    </row>
    <row r="9" spans="1:18" x14ac:dyDescent="0.25">
      <c r="A9" s="15">
        <v>81.930800000000005</v>
      </c>
      <c r="B9" s="16">
        <f t="shared" si="0"/>
        <v>40.965400000000002</v>
      </c>
      <c r="C9" s="16">
        <f t="shared" si="1"/>
        <v>0.71498110939648507</v>
      </c>
      <c r="D9" s="16">
        <f t="shared" si="2"/>
        <v>0.6556031524131245</v>
      </c>
      <c r="E9" s="16">
        <f t="shared" si="3"/>
        <v>0.75510562608549903</v>
      </c>
      <c r="F9" s="16">
        <f t="shared" si="4"/>
        <v>0.11749485907209305</v>
      </c>
      <c r="G9" s="15">
        <v>0.93405199999999999</v>
      </c>
      <c r="H9" s="16">
        <f>RADIANS(G9)</f>
        <v>1.6302282784838074E-2</v>
      </c>
      <c r="I9" s="16">
        <f t="shared" si="5"/>
        <v>1.1589893784838073E-2</v>
      </c>
      <c r="J9" s="16">
        <f t="shared" si="6"/>
        <v>1.5606338901533146E-2</v>
      </c>
      <c r="K9" s="15">
        <v>649.74</v>
      </c>
      <c r="L9" s="17">
        <f t="shared" si="7"/>
        <v>15.667248727289365</v>
      </c>
      <c r="M9" s="17">
        <f t="shared" si="8"/>
        <v>11.635127866669926</v>
      </c>
      <c r="N9" s="15">
        <v>787.59500000000003</v>
      </c>
      <c r="O9" s="16">
        <f t="shared" si="9"/>
        <v>1.2121694831778866</v>
      </c>
      <c r="P9" s="16">
        <f t="shared" si="10"/>
        <v>11.966642411989143</v>
      </c>
      <c r="Q9" s="17" t="s">
        <v>15</v>
      </c>
      <c r="R9" s="17">
        <f>F9*(12^(1/2))</f>
        <v>0.40701413108202034</v>
      </c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4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4" thickBot="1" x14ac:dyDescent="0.3">
      <c r="A12" s="1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thickBot="1" x14ac:dyDescent="0.4">
      <c r="A13" s="9" t="s">
        <v>4</v>
      </c>
      <c r="B13" s="14" t="s">
        <v>7</v>
      </c>
      <c r="C13" s="14" t="s">
        <v>3</v>
      </c>
      <c r="D13" s="10" t="s">
        <v>1</v>
      </c>
      <c r="E13" s="10" t="s">
        <v>2</v>
      </c>
      <c r="F13" s="10" t="s">
        <v>6</v>
      </c>
      <c r="G13" s="9" t="s">
        <v>24</v>
      </c>
      <c r="H13" s="10" t="s">
        <v>23</v>
      </c>
      <c r="I13" s="10" t="s">
        <v>25</v>
      </c>
      <c r="J13" s="10" t="s">
        <v>26</v>
      </c>
      <c r="K13" s="9" t="s">
        <v>20</v>
      </c>
      <c r="L13" s="11" t="s">
        <v>27</v>
      </c>
      <c r="M13" s="11" t="s">
        <v>28</v>
      </c>
      <c r="N13" s="9" t="s">
        <v>8</v>
      </c>
      <c r="O13" s="10" t="s">
        <v>11</v>
      </c>
      <c r="P13" s="10" t="s">
        <v>12</v>
      </c>
      <c r="Q13" s="11" t="s">
        <v>13</v>
      </c>
      <c r="R13" s="11" t="s">
        <v>19</v>
      </c>
    </row>
    <row r="14" spans="1:18" x14ac:dyDescent="0.25">
      <c r="A14" s="18">
        <v>38.283679999999997</v>
      </c>
      <c r="B14" s="19">
        <f>A14/2</f>
        <v>19.141839999999998</v>
      </c>
      <c r="C14" s="19">
        <f>RADIANS(B14)</f>
        <v>0.33408813288995132</v>
      </c>
      <c r="D14" s="19">
        <f>SIN(C14)</f>
        <v>0.32790785660746291</v>
      </c>
      <c r="E14" s="19">
        <f>COS(C14)</f>
        <v>0.94470971074457555</v>
      </c>
      <c r="F14" s="19">
        <f>0.15406/(2*D14)</f>
        <v>0.23491355406043926</v>
      </c>
      <c r="G14" s="18">
        <v>0.80101999999999995</v>
      </c>
      <c r="H14" s="19">
        <f>RADIANS(G14)</f>
        <v>1.3980436374324978E-2</v>
      </c>
      <c r="I14" s="19">
        <f>H14-0.004712389</f>
        <v>9.2680473743249787E-3</v>
      </c>
      <c r="J14" s="19">
        <f>((H14^2)-(0.004712389)^2)^(1/2)</f>
        <v>1.3162294295799192E-2</v>
      </c>
      <c r="K14" s="18">
        <v>17464</v>
      </c>
      <c r="L14" s="20">
        <f>(0.89*0.15406)/(I14*E14)</f>
        <v>15.660054732169295</v>
      </c>
      <c r="M14" s="20">
        <f>(0.89*0.15406)/(J14*E14)</f>
        <v>11.02681081888502</v>
      </c>
      <c r="N14" s="18">
        <v>19925.016869999999</v>
      </c>
      <c r="O14" s="19">
        <f>N14/K14</f>
        <v>1.1409194268208886</v>
      </c>
      <c r="P14" s="19">
        <f>(0.1652/F14^2)</f>
        <v>2.993600840355938</v>
      </c>
      <c r="Q14" s="20" t="s">
        <v>14</v>
      </c>
      <c r="R14" s="20">
        <f>F14*(3^(1/2))</f>
        <v>0.40688221101925892</v>
      </c>
    </row>
    <row r="15" spans="1:18" x14ac:dyDescent="0.25">
      <c r="A15" s="15">
        <v>44.414160000000003</v>
      </c>
      <c r="B15" s="16">
        <f t="shared" ref="B15:B18" si="11">A15/2</f>
        <v>22.207080000000001</v>
      </c>
      <c r="C15" s="16">
        <f t="shared" ref="C15:C18" si="12">RADIANS(B15)</f>
        <v>0.38758666325378238</v>
      </c>
      <c r="D15" s="16">
        <f t="shared" ref="D15:D18" si="13">SIN(C15)</f>
        <v>0.37795519312375797</v>
      </c>
      <c r="E15" s="16">
        <f t="shared" ref="E15:E18" si="14">COS(C15)</f>
        <v>0.92582388821567074</v>
      </c>
      <c r="F15" s="16">
        <f t="shared" ref="F15:F18" si="15">0.15406/(2*D15)</f>
        <v>0.20380722742120713</v>
      </c>
      <c r="G15" s="15">
        <v>1.18581</v>
      </c>
      <c r="H15" s="16">
        <f>RADIANS(G15)</f>
        <v>2.0696288803073958E-2</v>
      </c>
      <c r="I15" s="16">
        <f t="shared" ref="I15:I18" si="16">H15-0.004712389</f>
        <v>1.5983899803073957E-2</v>
      </c>
      <c r="J15" s="16">
        <f t="shared" ref="J15:J18" si="17">((H15^2)-(0.004712389)^2)^(1/2)</f>
        <v>2.0152661366006314E-2</v>
      </c>
      <c r="K15" s="15">
        <v>4110</v>
      </c>
      <c r="L15" s="17">
        <f t="shared" ref="L15:L18" si="18">(0.89*0.15406)/(I15*E15)</f>
        <v>9.2654980586240416</v>
      </c>
      <c r="M15" s="17">
        <f t="shared" ref="M15:M18" si="19">(0.89*0.15406)/(J15*E15)</f>
        <v>7.3488453909336888</v>
      </c>
      <c r="N15" s="15">
        <v>6887.37</v>
      </c>
      <c r="O15" s="16">
        <f t="shared" ref="O15:O18" si="20">N15/K15</f>
        <v>1.6757591240875913</v>
      </c>
      <c r="P15" s="16">
        <f t="shared" ref="P15:P18" si="21">(0.1652/F15^2)</f>
        <v>3.9771400203748573</v>
      </c>
      <c r="Q15" s="17" t="s">
        <v>16</v>
      </c>
      <c r="R15" s="17">
        <f>F15*2</f>
        <v>0.40761445484241426</v>
      </c>
    </row>
    <row r="16" spans="1:18" x14ac:dyDescent="0.25">
      <c r="A16" s="15">
        <v>64.792140000000003</v>
      </c>
      <c r="B16" s="16">
        <f t="shared" si="11"/>
        <v>32.396070000000002</v>
      </c>
      <c r="C16" s="16">
        <f t="shared" si="12"/>
        <v>0.56541808620655942</v>
      </c>
      <c r="D16" s="16">
        <f t="shared" si="13"/>
        <v>0.53576888005065948</v>
      </c>
      <c r="E16" s="16">
        <f t="shared" si="14"/>
        <v>0.84436467664704096</v>
      </c>
      <c r="F16" s="16">
        <f t="shared" si="15"/>
        <v>0.14377468133781202</v>
      </c>
      <c r="G16" s="15">
        <v>0.91678000000000004</v>
      </c>
      <c r="H16" s="16">
        <f>RADIANS(G16)</f>
        <v>1.6000829516433616E-2</v>
      </c>
      <c r="I16" s="16">
        <f t="shared" si="16"/>
        <v>1.1288440516433615E-2</v>
      </c>
      <c r="J16" s="16">
        <f t="shared" si="17"/>
        <v>1.5291171803581706E-2</v>
      </c>
      <c r="K16" s="15">
        <v>8379</v>
      </c>
      <c r="L16" s="17">
        <f t="shared" si="18"/>
        <v>14.385199680283161</v>
      </c>
      <c r="M16" s="17">
        <f t="shared" si="19"/>
        <v>10.619622419640852</v>
      </c>
      <c r="N16" s="15">
        <v>11269.827740000001</v>
      </c>
      <c r="O16" s="16">
        <f t="shared" si="20"/>
        <v>1.3450086812268769</v>
      </c>
      <c r="P16" s="16">
        <f t="shared" si="21"/>
        <v>7.9918112017634835</v>
      </c>
      <c r="Q16" s="17" t="s">
        <v>17</v>
      </c>
      <c r="R16" s="17">
        <f>F16*(8^(1/2))</f>
        <v>0.40665620854760737</v>
      </c>
    </row>
    <row r="17" spans="1:18" x14ac:dyDescent="0.25">
      <c r="A17" s="15">
        <v>77.749269999999996</v>
      </c>
      <c r="B17" s="16">
        <f t="shared" si="11"/>
        <v>38.874634999999998</v>
      </c>
      <c r="C17" s="16">
        <f t="shared" si="12"/>
        <v>0.67849037626102582</v>
      </c>
      <c r="D17" s="16">
        <f t="shared" si="13"/>
        <v>0.62761846573117663</v>
      </c>
      <c r="E17" s="16">
        <f t="shared" si="14"/>
        <v>0.77852107323645636</v>
      </c>
      <c r="F17" s="16">
        <f t="shared" si="15"/>
        <v>0.12273380119601789</v>
      </c>
      <c r="G17" s="15">
        <v>1.21959</v>
      </c>
      <c r="H17" s="16">
        <f>RADIANS(G17)</f>
        <v>2.1285861024397643E-2</v>
      </c>
      <c r="I17" s="16">
        <f t="shared" si="16"/>
        <v>1.6573472024397642E-2</v>
      </c>
      <c r="J17" s="16">
        <f t="shared" si="17"/>
        <v>2.0757679770693295E-2</v>
      </c>
      <c r="K17" s="15">
        <v>2749</v>
      </c>
      <c r="L17" s="17">
        <f t="shared" si="18"/>
        <v>10.626641462346234</v>
      </c>
      <c r="M17" s="17">
        <f t="shared" si="19"/>
        <v>8.4845872436164402</v>
      </c>
      <c r="N17" s="15">
        <v>5290.2677800000001</v>
      </c>
      <c r="O17" s="16">
        <f t="shared" si="20"/>
        <v>1.9244335321935249</v>
      </c>
      <c r="P17" s="16">
        <f t="shared" si="21"/>
        <v>10.966844181875544</v>
      </c>
      <c r="Q17" s="17" t="s">
        <v>18</v>
      </c>
      <c r="R17" s="17">
        <f>F17*(11^(1/2))</f>
        <v>0.40706196766126412</v>
      </c>
    </row>
    <row r="18" spans="1:18" x14ac:dyDescent="0.25">
      <c r="A18" s="15">
        <v>81.861429999999999</v>
      </c>
      <c r="B18" s="16">
        <f t="shared" si="11"/>
        <v>40.930714999999999</v>
      </c>
      <c r="C18" s="16">
        <f t="shared" si="12"/>
        <v>0.71437574194543085</v>
      </c>
      <c r="D18" s="16">
        <f t="shared" si="13"/>
        <v>0.65514591594354599</v>
      </c>
      <c r="E18" s="16">
        <f t="shared" si="14"/>
        <v>0.75550236850885666</v>
      </c>
      <c r="F18" s="16">
        <f t="shared" si="15"/>
        <v>0.11757686055183726</v>
      </c>
      <c r="G18" s="15">
        <v>1.0368599999999999</v>
      </c>
      <c r="H18" s="16">
        <f>RADIANS(G18)</f>
        <v>1.8096620882228402E-2</v>
      </c>
      <c r="I18" s="16">
        <f t="shared" si="16"/>
        <v>1.3384231882228401E-2</v>
      </c>
      <c r="J18" s="16">
        <f t="shared" si="17"/>
        <v>1.7472294562185704E-2</v>
      </c>
      <c r="K18" s="15">
        <v>607</v>
      </c>
      <c r="L18" s="17">
        <f t="shared" si="18"/>
        <v>13.559716755493724</v>
      </c>
      <c r="M18" s="17">
        <f t="shared" si="19"/>
        <v>10.38709556245958</v>
      </c>
      <c r="N18" s="15">
        <v>759.92623000000003</v>
      </c>
      <c r="O18" s="16">
        <f t="shared" si="20"/>
        <v>1.2519377759472818</v>
      </c>
      <c r="P18" s="16">
        <f t="shared" si="21"/>
        <v>11.949956472366527</v>
      </c>
      <c r="Q18" s="17" t="s">
        <v>15</v>
      </c>
      <c r="R18" s="17">
        <f>F18*(12^(1/2))</f>
        <v>0.40729819254044597</v>
      </c>
    </row>
    <row r="19" spans="1:18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8" x14ac:dyDescent="0.25">
      <c r="A20" s="5"/>
      <c r="B20" s="6"/>
      <c r="D20" s="6"/>
    </row>
    <row r="21" spans="1:18" x14ac:dyDescent="0.25">
      <c r="A21" s="21" t="s">
        <v>29</v>
      </c>
      <c r="B21" s="22" t="s">
        <v>30</v>
      </c>
      <c r="C21" s="4"/>
      <c r="D21" s="5"/>
      <c r="E21" s="4"/>
      <c r="F21" s="6"/>
      <c r="G21" s="5"/>
      <c r="H21" s="5"/>
      <c r="I21" s="5"/>
      <c r="J21" s="5"/>
      <c r="K21" s="5"/>
    </row>
    <row r="22" spans="1:18" x14ac:dyDescent="0.25">
      <c r="F22" s="5"/>
      <c r="G22" s="5"/>
      <c r="H22" s="4"/>
      <c r="I22" s="4"/>
      <c r="J22" s="4"/>
      <c r="K22" s="4"/>
      <c r="L22" s="4"/>
    </row>
    <row r="23" spans="1:18" x14ac:dyDescent="0.25">
      <c r="F23" s="6"/>
      <c r="G23" s="6"/>
      <c r="H23" s="6"/>
      <c r="I23" s="6"/>
      <c r="J23" s="7"/>
      <c r="K23" s="7"/>
      <c r="L23" s="8"/>
      <c r="M23" s="8"/>
      <c r="N23" s="8"/>
      <c r="O23" s="5"/>
    </row>
    <row r="24" spans="1:18" x14ac:dyDescent="0.25">
      <c r="F24" s="5"/>
      <c r="G24" s="5"/>
      <c r="H24" s="5"/>
      <c r="I24" s="5"/>
      <c r="J24" s="5"/>
      <c r="K2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Pierpaolo Ranieri</dc:creator>
  <cp:lastModifiedBy>Pierpaolo Ranieri</cp:lastModifiedBy>
  <dcterms:created xsi:type="dcterms:W3CDTF">2015-06-05T18:19:34Z</dcterms:created>
  <dcterms:modified xsi:type="dcterms:W3CDTF">2020-06-01T10:01:42Z</dcterms:modified>
</cp:coreProperties>
</file>