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iers\OneDrive\Desktop\part2\"/>
    </mc:Choice>
  </mc:AlternateContent>
  <xr:revisionPtr revIDLastSave="0" documentId="13_ncr:1_{DF994363-910B-41B4-B97E-9484E90B024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S27" i="1"/>
  <c r="J27" i="1"/>
  <c r="L27" i="1" s="1"/>
  <c r="C27" i="1"/>
  <c r="D27" i="1" s="1"/>
  <c r="S26" i="1"/>
  <c r="J26" i="1"/>
  <c r="K26" i="1" s="1"/>
  <c r="C26" i="1"/>
  <c r="D26" i="1" s="1"/>
  <c r="F26" i="1" s="1"/>
  <c r="S25" i="1"/>
  <c r="J25" i="1"/>
  <c r="L25" i="1" s="1"/>
  <c r="C25" i="1"/>
  <c r="D25" i="1" s="1"/>
  <c r="S24" i="1"/>
  <c r="J24" i="1"/>
  <c r="K24" i="1" s="1"/>
  <c r="C24" i="1"/>
  <c r="D24" i="1" s="1"/>
  <c r="E24" i="1" s="1"/>
  <c r="G24" i="1" s="1"/>
  <c r="S23" i="1"/>
  <c r="J23" i="1"/>
  <c r="L23" i="1" s="1"/>
  <c r="C23" i="1"/>
  <c r="D23" i="1" s="1"/>
  <c r="S19" i="1"/>
  <c r="J19" i="1"/>
  <c r="L19" i="1" s="1"/>
  <c r="C19" i="1"/>
  <c r="D19" i="1" s="1"/>
  <c r="S18" i="1"/>
  <c r="J18" i="1"/>
  <c r="K18" i="1" s="1"/>
  <c r="C18" i="1"/>
  <c r="D18" i="1" s="1"/>
  <c r="S17" i="1"/>
  <c r="J17" i="1"/>
  <c r="K17" i="1" s="1"/>
  <c r="C17" i="1"/>
  <c r="D17" i="1" s="1"/>
  <c r="F17" i="1" s="1"/>
  <c r="S16" i="1"/>
  <c r="J16" i="1"/>
  <c r="L16" i="1" s="1"/>
  <c r="C16" i="1"/>
  <c r="D16" i="1" s="1"/>
  <c r="F16" i="1" s="1"/>
  <c r="S15" i="1"/>
  <c r="J15" i="1"/>
  <c r="L15" i="1" s="1"/>
  <c r="C15" i="1"/>
  <c r="D15" i="1" s="1"/>
  <c r="F15" i="1" s="1"/>
  <c r="S11" i="1"/>
  <c r="J11" i="1"/>
  <c r="L11" i="1" s="1"/>
  <c r="C11" i="1"/>
  <c r="D11" i="1" s="1"/>
  <c r="E11" i="1" s="1"/>
  <c r="G11" i="1" s="1"/>
  <c r="S10" i="1"/>
  <c r="J10" i="1"/>
  <c r="L10" i="1" s="1"/>
  <c r="C10" i="1"/>
  <c r="D10" i="1" s="1"/>
  <c r="S9" i="1"/>
  <c r="J9" i="1"/>
  <c r="L9" i="1" s="1"/>
  <c r="C9" i="1"/>
  <c r="D9" i="1" s="1"/>
  <c r="S8" i="1"/>
  <c r="J8" i="1"/>
  <c r="L8" i="1" s="1"/>
  <c r="C8" i="1"/>
  <c r="D8" i="1" s="1"/>
  <c r="S7" i="1"/>
  <c r="J7" i="1"/>
  <c r="L7" i="1" s="1"/>
  <c r="C7" i="1"/>
  <c r="D7" i="1" s="1"/>
  <c r="M86" i="1"/>
  <c r="M85" i="1"/>
  <c r="M84" i="1"/>
  <c r="M83" i="1"/>
  <c r="M82" i="1"/>
  <c r="K25" i="1" l="1"/>
  <c r="L26" i="1"/>
  <c r="P26" i="1" s="1"/>
  <c r="L18" i="1"/>
  <c r="O17" i="1"/>
  <c r="F24" i="1"/>
  <c r="O24" i="1" s="1"/>
  <c r="L24" i="1"/>
  <c r="P16" i="1"/>
  <c r="K16" i="1"/>
  <c r="O16" i="1" s="1"/>
  <c r="K15" i="1"/>
  <c r="O15" i="1" s="1"/>
  <c r="K23" i="1"/>
  <c r="O26" i="1"/>
  <c r="F23" i="1"/>
  <c r="E23" i="1"/>
  <c r="G23" i="1" s="1"/>
  <c r="F25" i="1"/>
  <c r="E25" i="1"/>
  <c r="G25" i="1" s="1"/>
  <c r="F27" i="1"/>
  <c r="P27" i="1" s="1"/>
  <c r="E27" i="1"/>
  <c r="G27" i="1" s="1"/>
  <c r="V24" i="1"/>
  <c r="T24" i="1"/>
  <c r="E26" i="1"/>
  <c r="G26" i="1" s="1"/>
  <c r="K27" i="1"/>
  <c r="F18" i="1"/>
  <c r="O18" i="1" s="1"/>
  <c r="E18" i="1"/>
  <c r="G18" i="1" s="1"/>
  <c r="P15" i="1"/>
  <c r="F19" i="1"/>
  <c r="P19" i="1" s="1"/>
  <c r="E19" i="1"/>
  <c r="G19" i="1" s="1"/>
  <c r="E16" i="1"/>
  <c r="G16" i="1" s="1"/>
  <c r="L17" i="1"/>
  <c r="P17" i="1" s="1"/>
  <c r="E15" i="1"/>
  <c r="G15" i="1" s="1"/>
  <c r="K19" i="1"/>
  <c r="E17" i="1"/>
  <c r="G17" i="1" s="1"/>
  <c r="F7" i="1"/>
  <c r="P7" i="1" s="1"/>
  <c r="E7" i="1"/>
  <c r="G7" i="1" s="1"/>
  <c r="F10" i="1"/>
  <c r="P10" i="1" s="1"/>
  <c r="E10" i="1"/>
  <c r="G10" i="1" s="1"/>
  <c r="E8" i="1"/>
  <c r="G8" i="1" s="1"/>
  <c r="F8" i="1"/>
  <c r="P8" i="1" s="1"/>
  <c r="F9" i="1"/>
  <c r="P9" i="1" s="1"/>
  <c r="E9" i="1"/>
  <c r="G9" i="1" s="1"/>
  <c r="T11" i="1"/>
  <c r="V11" i="1"/>
  <c r="F11" i="1"/>
  <c r="P11" i="1" s="1"/>
  <c r="K9" i="1"/>
  <c r="K11" i="1"/>
  <c r="K8" i="1"/>
  <c r="K10" i="1"/>
  <c r="K7" i="1"/>
  <c r="O25" i="1" l="1"/>
  <c r="O9" i="1"/>
  <c r="O19" i="1"/>
  <c r="O10" i="1"/>
  <c r="P25" i="1"/>
  <c r="P24" i="1"/>
  <c r="O7" i="1"/>
  <c r="O27" i="1"/>
  <c r="V25" i="1"/>
  <c r="T25" i="1"/>
  <c r="T27" i="1"/>
  <c r="V27" i="1"/>
  <c r="V23" i="1"/>
  <c r="T23" i="1"/>
  <c r="V26" i="1"/>
  <c r="T26" i="1"/>
  <c r="O23" i="1"/>
  <c r="P23" i="1"/>
  <c r="T17" i="1"/>
  <c r="V17" i="1"/>
  <c r="V15" i="1"/>
  <c r="T15" i="1"/>
  <c r="P18" i="1"/>
  <c r="V18" i="1"/>
  <c r="T18" i="1"/>
  <c r="V19" i="1"/>
  <c r="T19" i="1"/>
  <c r="T16" i="1"/>
  <c r="V16" i="1"/>
  <c r="V8" i="1"/>
  <c r="T8" i="1"/>
  <c r="V10" i="1"/>
  <c r="T10" i="1"/>
  <c r="O8" i="1"/>
  <c r="V7" i="1"/>
  <c r="T7" i="1"/>
  <c r="O11" i="1"/>
  <c r="V9" i="1"/>
  <c r="T9" i="1"/>
  <c r="S76" i="1"/>
  <c r="S75" i="1"/>
  <c r="S74" i="1"/>
  <c r="S73" i="1"/>
  <c r="S72" i="1"/>
  <c r="S64" i="1"/>
  <c r="S65" i="1"/>
  <c r="S66" i="1"/>
  <c r="S67" i="1"/>
  <c r="S63" i="1"/>
  <c r="J76" i="1"/>
  <c r="K76" i="1" s="1"/>
  <c r="C76" i="1"/>
  <c r="D76" i="1" s="1"/>
  <c r="J75" i="1"/>
  <c r="L75" i="1" s="1"/>
  <c r="C75" i="1"/>
  <c r="D75" i="1" s="1"/>
  <c r="F75" i="1" s="1"/>
  <c r="J74" i="1"/>
  <c r="L74" i="1" s="1"/>
  <c r="C74" i="1"/>
  <c r="D74" i="1" s="1"/>
  <c r="J73" i="1"/>
  <c r="L73" i="1" s="1"/>
  <c r="C73" i="1"/>
  <c r="D73" i="1" s="1"/>
  <c r="J72" i="1"/>
  <c r="K72" i="1" s="1"/>
  <c r="C72" i="1"/>
  <c r="D72" i="1" s="1"/>
  <c r="J64" i="1"/>
  <c r="L64" i="1" s="1"/>
  <c r="J65" i="1"/>
  <c r="L65" i="1" s="1"/>
  <c r="J66" i="1"/>
  <c r="L66" i="1" s="1"/>
  <c r="J67" i="1"/>
  <c r="L67" i="1" s="1"/>
  <c r="J63" i="1"/>
  <c r="L63" i="1" s="1"/>
  <c r="C64" i="1"/>
  <c r="D64" i="1" s="1"/>
  <c r="C65" i="1"/>
  <c r="D65" i="1" s="1"/>
  <c r="E65" i="1" s="1"/>
  <c r="G65" i="1" s="1"/>
  <c r="V65" i="1" s="1"/>
  <c r="C66" i="1"/>
  <c r="D66" i="1" s="1"/>
  <c r="E66" i="1" s="1"/>
  <c r="G66" i="1" s="1"/>
  <c r="T66" i="1" s="1"/>
  <c r="C67" i="1"/>
  <c r="D67" i="1" s="1"/>
  <c r="E67" i="1" s="1"/>
  <c r="G67" i="1" s="1"/>
  <c r="T67" i="1" s="1"/>
  <c r="C63" i="1"/>
  <c r="D63" i="1" s="1"/>
  <c r="F63" i="1" s="1"/>
  <c r="K66" i="1" l="1"/>
  <c r="K65" i="1"/>
  <c r="P63" i="1"/>
  <c r="K67" i="1"/>
  <c r="K64" i="1"/>
  <c r="K63" i="1"/>
  <c r="O63" i="1" s="1"/>
  <c r="T65" i="1"/>
  <c r="V66" i="1"/>
  <c r="V67" i="1"/>
  <c r="L76" i="1"/>
  <c r="P75" i="1"/>
  <c r="K75" i="1"/>
  <c r="O75" i="1" s="1"/>
  <c r="L72" i="1"/>
  <c r="F72" i="1"/>
  <c r="E72" i="1"/>
  <c r="G72" i="1" s="1"/>
  <c r="E73" i="1"/>
  <c r="G73" i="1" s="1"/>
  <c r="F73" i="1"/>
  <c r="P73" i="1" s="1"/>
  <c r="F76" i="1"/>
  <c r="O76" i="1" s="1"/>
  <c r="E76" i="1"/>
  <c r="G76" i="1" s="1"/>
  <c r="E74" i="1"/>
  <c r="G74" i="1" s="1"/>
  <c r="F74" i="1"/>
  <c r="P74" i="1" s="1"/>
  <c r="K73" i="1"/>
  <c r="E75" i="1"/>
  <c r="G75" i="1" s="1"/>
  <c r="K74" i="1"/>
  <c r="F64" i="1"/>
  <c r="E64" i="1"/>
  <c r="G64" i="1" s="1"/>
  <c r="E63" i="1"/>
  <c r="G63" i="1" s="1"/>
  <c r="F67" i="1"/>
  <c r="P67" i="1" s="1"/>
  <c r="F66" i="1"/>
  <c r="O66" i="1" s="1"/>
  <c r="F65" i="1"/>
  <c r="O65" i="1" s="1"/>
  <c r="O64" i="1" l="1"/>
  <c r="P65" i="1"/>
  <c r="T76" i="1"/>
  <c r="V76" i="1"/>
  <c r="P64" i="1"/>
  <c r="P66" i="1"/>
  <c r="V74" i="1"/>
  <c r="T74" i="1"/>
  <c r="O67" i="1"/>
  <c r="T64" i="1"/>
  <c r="V64" i="1"/>
  <c r="V73" i="1"/>
  <c r="T73" i="1"/>
  <c r="T63" i="1"/>
  <c r="V63" i="1"/>
  <c r="T75" i="1"/>
  <c r="V75" i="1"/>
  <c r="V72" i="1"/>
  <c r="T72" i="1"/>
  <c r="P72" i="1"/>
  <c r="P76" i="1"/>
  <c r="O74" i="1"/>
  <c r="O73" i="1"/>
  <c r="O72" i="1"/>
</calcChain>
</file>

<file path=xl/sharedStrings.xml><?xml version="1.0" encoding="utf-8"?>
<sst xmlns="http://schemas.openxmlformats.org/spreadsheetml/2006/main" count="244" uniqueCount="75">
  <si>
    <t>K</t>
  </si>
  <si>
    <r>
      <t>sin</t>
    </r>
    <r>
      <rPr>
        <sz val="11"/>
        <color theme="1"/>
        <rFont val="Calibri"/>
        <family val="2"/>
      </rPr>
      <t>θ</t>
    </r>
  </si>
  <si>
    <t>cosθ</t>
  </si>
  <si>
    <t>θ(rad)</t>
  </si>
  <si>
    <r>
      <t>2</t>
    </r>
    <r>
      <rPr>
        <sz val="11"/>
        <color theme="1"/>
        <rFont val="Calibri"/>
        <family val="2"/>
      </rPr>
      <t>θ(deg)</t>
    </r>
  </si>
  <si>
    <t>λ(nm)</t>
  </si>
  <si>
    <r>
      <t xml:space="preserve">d= </t>
    </r>
    <r>
      <rPr>
        <sz val="11"/>
        <color theme="1"/>
        <rFont val="Calibri"/>
        <family val="2"/>
      </rPr>
      <t>λ/2sinθ(nm)</t>
    </r>
  </si>
  <si>
    <t>θ(deg)</t>
  </si>
  <si>
    <t>area</t>
  </si>
  <si>
    <t>fityk</t>
  </si>
  <si>
    <t>origin</t>
  </si>
  <si>
    <t>integral breadth</t>
  </si>
  <si>
    <t>h2+k2+l2</t>
  </si>
  <si>
    <t>miller indices (h,k,l)</t>
  </si>
  <si>
    <t>1,1,1</t>
  </si>
  <si>
    <t>2,2,2</t>
  </si>
  <si>
    <t>2,0,0</t>
  </si>
  <si>
    <t>2,2,0</t>
  </si>
  <si>
    <t>3,1,1</t>
  </si>
  <si>
    <t>a (lattice constant)</t>
  </si>
  <si>
    <t>Net height</t>
  </si>
  <si>
    <t>a(nm) bulk value</t>
  </si>
  <si>
    <r>
      <rPr>
        <sz val="11"/>
        <color theme="1"/>
        <rFont val="Calibri"/>
        <family val="2"/>
      </rPr>
      <t xml:space="preserve">β </t>
    </r>
    <r>
      <rPr>
        <sz val="11"/>
        <color theme="1"/>
        <rFont val="Century Gothic"/>
        <family val="2"/>
        <scheme val="minor"/>
      </rPr>
      <t>instr (rad)</t>
    </r>
  </si>
  <si>
    <t>FWHM=β obs (rad)</t>
  </si>
  <si>
    <t>FWHM=β obs (deg)</t>
  </si>
  <si>
    <t>β size (linear) (rad)</t>
  </si>
  <si>
    <t>β size (quadratic) (rad)</t>
  </si>
  <si>
    <r>
      <t>D = (k</t>
    </r>
    <r>
      <rPr>
        <sz val="11"/>
        <color theme="1"/>
        <rFont val="Calibri"/>
        <family val="2"/>
      </rPr>
      <t>λ/βcosθ) linear</t>
    </r>
  </si>
  <si>
    <r>
      <t>D = (k</t>
    </r>
    <r>
      <rPr>
        <sz val="11"/>
        <color theme="1"/>
        <rFont val="Calibri"/>
        <family val="2"/>
      </rPr>
      <t>λ/βcosθ) quadratic</t>
    </r>
  </si>
  <si>
    <t>dati fit</t>
  </si>
  <si>
    <t>risultati</t>
  </si>
  <si>
    <t>Gauss</t>
  </si>
  <si>
    <t>Lorentz</t>
  </si>
  <si>
    <t>std err</t>
  </si>
  <si>
    <t>pseudo-voigt</t>
  </si>
  <si>
    <t>Altri tentativi</t>
  </si>
  <si>
    <t>pseudo voigt</t>
  </si>
  <si>
    <t>y0</t>
  </si>
  <si>
    <t>xc</t>
  </si>
  <si>
    <t>w</t>
  </si>
  <si>
    <t>A</t>
  </si>
  <si>
    <t>sigma</t>
  </si>
  <si>
    <t>FWHM</t>
  </si>
  <si>
    <t>Height</t>
  </si>
  <si>
    <t>H</t>
  </si>
  <si>
    <t>mu</t>
  </si>
  <si>
    <t>Value</t>
  </si>
  <si>
    <t>Standard Error</t>
  </si>
  <si>
    <t>t-Value</t>
  </si>
  <si>
    <t>Prob&gt;|t|</t>
  </si>
  <si>
    <t>Dependency</t>
  </si>
  <si>
    <t>#</t>
  </si>
  <si>
    <t>PeakType</t>
  </si>
  <si>
    <t>Center</t>
  </si>
  <si>
    <t>Area</t>
  </si>
  <si>
    <t>parameters...</t>
  </si>
  <si>
    <t>%_7</t>
  </si>
  <si>
    <t>Lorentzian</t>
  </si>
  <si>
    <t>%_8</t>
  </si>
  <si>
    <t>%_9</t>
  </si>
  <si>
    <t>%_11</t>
  </si>
  <si>
    <t>%_13</t>
  </si>
  <si>
    <t>%_14</t>
  </si>
  <si>
    <t>PseudoVoigtA</t>
  </si>
  <si>
    <t>x</t>
  </si>
  <si>
    <t>%_15</t>
  </si>
  <si>
    <t>%_16</t>
  </si>
  <si>
    <t>%_19</t>
  </si>
  <si>
    <t>%_25</t>
  </si>
  <si>
    <t>%_26</t>
  </si>
  <si>
    <t>Voigt</t>
  </si>
  <si>
    <t>%_27</t>
  </si>
  <si>
    <t>%_28</t>
  </si>
  <si>
    <t>%_30</t>
  </si>
  <si>
    <t>%_31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</si>
</sst>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5" x14ac:knownFonts="1">
    <font>
      <sz val="11"/>
      <color theme="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sz val="11"/>
      <color theme="1"/>
      <name val="Calibri"/>
      <family val="2"/>
    </font>
    <font>
      <sz val="11"/>
      <color rgb="FFFFFF00"/>
      <name val="Century Gothic"/>
      <family val="2"/>
      <scheme val="minor"/>
    </font>
    <font>
      <sz val="8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1" fontId="0" fillId="0" borderId="0" xfId="0" applyNumberFormat="1"/>
    <xf numFmtId="0" fontId="0" fillId="2" borderId="4" xfId="0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ilo">
  <a:themeElements>
    <a:clrScheme name="Filo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Filo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Filo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"/>
  <sheetViews>
    <sheetView tabSelected="1" topLeftCell="A121" zoomScale="65" zoomScaleNormal="65" workbookViewId="0">
      <selection activeCell="L149" sqref="L149"/>
    </sheetView>
  </sheetViews>
  <sheetFormatPr defaultRowHeight="13.5" x14ac:dyDescent="0.25"/>
  <cols>
    <col min="1" max="2" width="11.33203125" customWidth="1"/>
    <col min="3" max="3" width="13.1640625" customWidth="1"/>
    <col min="4" max="6" width="10.33203125" customWidth="1"/>
    <col min="7" max="7" width="12.9140625" customWidth="1"/>
    <col min="8" max="9" width="19.58203125" customWidth="1"/>
    <col min="10" max="10" width="20.4140625" customWidth="1"/>
    <col min="11" max="11" width="19.33203125" customWidth="1"/>
    <col min="12" max="12" width="22.5" customWidth="1"/>
    <col min="13" max="14" width="16.1640625" customWidth="1"/>
    <col min="15" max="15" width="21.6640625" customWidth="1"/>
    <col min="16" max="16" width="23.58203125" customWidth="1"/>
    <col min="17" max="18" width="14.75" customWidth="1"/>
    <col min="19" max="19" width="18.75" customWidth="1"/>
    <col min="20" max="20" width="12.83203125" customWidth="1"/>
    <col min="21" max="21" width="19.83203125" customWidth="1"/>
    <col min="22" max="22" width="17.6640625" customWidth="1"/>
  </cols>
  <sheetData>
    <row r="1" spans="1:22" ht="14.5" x14ac:dyDescent="0.35">
      <c r="G1" s="1" t="s">
        <v>5</v>
      </c>
      <c r="H1" s="2" t="s">
        <v>0</v>
      </c>
      <c r="I1" s="2"/>
      <c r="J1" s="2" t="s">
        <v>22</v>
      </c>
      <c r="K1" s="2"/>
      <c r="L1" s="2"/>
      <c r="M1" s="2"/>
      <c r="N1" s="2"/>
      <c r="O1" s="2"/>
      <c r="V1" s="2" t="s">
        <v>21</v>
      </c>
    </row>
    <row r="2" spans="1:22" x14ac:dyDescent="0.25">
      <c r="G2" s="3">
        <v>0.15406</v>
      </c>
      <c r="H2" s="2">
        <v>0.89</v>
      </c>
      <c r="I2" s="2"/>
      <c r="J2" s="2">
        <f>RADIANS(0.27)</f>
        <v>4.7123889803846897E-3</v>
      </c>
      <c r="K2" s="2"/>
      <c r="L2" s="2"/>
      <c r="M2" s="2"/>
      <c r="N2" s="2"/>
      <c r="O2" s="2"/>
      <c r="V2" s="2">
        <v>0.40649999999999997</v>
      </c>
    </row>
    <row r="3" spans="1:22" x14ac:dyDescent="0.25">
      <c r="A3" s="19" t="s">
        <v>29</v>
      </c>
      <c r="B3" s="19"/>
      <c r="C3" s="20" t="s">
        <v>30</v>
      </c>
    </row>
    <row r="5" spans="1:22" ht="14" thickBot="1" x14ac:dyDescent="0.3">
      <c r="A5" s="27" t="s">
        <v>10</v>
      </c>
      <c r="B5" s="30"/>
      <c r="C5" s="28" t="s">
        <v>34</v>
      </c>
    </row>
    <row r="6" spans="1:22" ht="15" thickBot="1" x14ac:dyDescent="0.4">
      <c r="A6" s="7" t="s">
        <v>4</v>
      </c>
      <c r="B6" s="7" t="s">
        <v>33</v>
      </c>
      <c r="C6" s="12" t="s">
        <v>7</v>
      </c>
      <c r="D6" s="12" t="s">
        <v>3</v>
      </c>
      <c r="E6" s="8" t="s">
        <v>1</v>
      </c>
      <c r="F6" s="8" t="s">
        <v>2</v>
      </c>
      <c r="G6" s="8" t="s">
        <v>6</v>
      </c>
      <c r="H6" s="7" t="s">
        <v>24</v>
      </c>
      <c r="I6" s="7" t="s">
        <v>33</v>
      </c>
      <c r="J6" s="8" t="s">
        <v>23</v>
      </c>
      <c r="K6" s="8" t="s">
        <v>25</v>
      </c>
      <c r="L6" s="8" t="s">
        <v>26</v>
      </c>
      <c r="M6" s="7" t="s">
        <v>20</v>
      </c>
      <c r="N6" s="7" t="s">
        <v>33</v>
      </c>
      <c r="O6" s="9" t="s">
        <v>27</v>
      </c>
      <c r="P6" s="9" t="s">
        <v>28</v>
      </c>
      <c r="Q6" s="7" t="s">
        <v>8</v>
      </c>
      <c r="R6" s="7" t="s">
        <v>33</v>
      </c>
      <c r="S6" s="8" t="s">
        <v>11</v>
      </c>
      <c r="T6" s="8" t="s">
        <v>12</v>
      </c>
      <c r="U6" s="9" t="s">
        <v>13</v>
      </c>
      <c r="V6" s="9" t="s">
        <v>19</v>
      </c>
    </row>
    <row r="7" spans="1:22" x14ac:dyDescent="0.25">
      <c r="A7" s="33">
        <v>38.28434</v>
      </c>
      <c r="B7" s="33">
        <v>1.2899999999999999E-3</v>
      </c>
      <c r="C7" s="17">
        <f>A7/2</f>
        <v>19.14217</v>
      </c>
      <c r="D7" s="17">
        <f>RADIANS(C7)</f>
        <v>0.33409389247648297</v>
      </c>
      <c r="E7" s="17">
        <f>SIN(D7)</f>
        <v>0.32791329773935041</v>
      </c>
      <c r="F7" s="17">
        <f>COS(D7)</f>
        <v>0.94470782211523163</v>
      </c>
      <c r="G7" s="17">
        <f>0.15406/(2*E7)</f>
        <v>0.23490965609216954</v>
      </c>
      <c r="H7" s="33">
        <v>0.80274999999999996</v>
      </c>
      <c r="I7" s="33">
        <v>4.4000000000000003E-3</v>
      </c>
      <c r="J7" s="17">
        <f>RADIANS(H7)</f>
        <v>1.4010630570384481E-2</v>
      </c>
      <c r="K7" s="17">
        <f>J7-0.004712389</f>
        <v>9.2982415703844815E-3</v>
      </c>
      <c r="L7" s="17">
        <f>((J7^2)-(0.004712389)^2)^(1/2)</f>
        <v>1.3194360874724897E-2</v>
      </c>
      <c r="M7" s="16">
        <v>17741.872299999999</v>
      </c>
      <c r="N7" s="16">
        <v>20.882909999999999</v>
      </c>
      <c r="O7" s="18">
        <f>(0.89*0.15406)/(K7*F7)</f>
        <v>15.609233014551846</v>
      </c>
      <c r="P7" s="18">
        <f>(0.89*0.15406)/(L7*F7)</f>
        <v>11.000034080904278</v>
      </c>
      <c r="Q7" s="33">
        <v>20357.91301</v>
      </c>
      <c r="R7" s="33">
        <v>144.51146</v>
      </c>
      <c r="S7" s="17">
        <f>Q7/M7</f>
        <v>1.1474500924009019</v>
      </c>
      <c r="T7" s="17">
        <f>(0.1652/G7^2)</f>
        <v>2.99370018968109</v>
      </c>
      <c r="U7" s="18" t="s">
        <v>14</v>
      </c>
      <c r="V7" s="18">
        <f>G7*(3^(1/2))</f>
        <v>0.40687545954016946</v>
      </c>
    </row>
    <row r="8" spans="1:22" x14ac:dyDescent="0.25">
      <c r="A8" s="13">
        <v>44.432029999999997</v>
      </c>
      <c r="B8" s="13">
        <v>2.8999999999999998E-3</v>
      </c>
      <c r="C8" s="14">
        <f>A8/2</f>
        <v>22.216014999999999</v>
      </c>
      <c r="D8" s="14">
        <f>RADIANS(C8)</f>
        <v>0.38774260842244801</v>
      </c>
      <c r="E8" s="14">
        <f>SIN(D8)</f>
        <v>0.37809956628984881</v>
      </c>
      <c r="F8" s="14">
        <f>COS(D8)</f>
        <v>0.92576493667206272</v>
      </c>
      <c r="G8" s="14">
        <f>0.15406/(2*E8)</f>
        <v>0.20372940587017038</v>
      </c>
      <c r="H8" s="13">
        <v>1.2179</v>
      </c>
      <c r="I8" s="13">
        <v>1.056E-2</v>
      </c>
      <c r="J8" s="14">
        <f>RADIANS(H8)</f>
        <v>2.1256364960038941E-2</v>
      </c>
      <c r="K8" s="14">
        <f>J8-0.004712389</f>
        <v>1.654397596003894E-2</v>
      </c>
      <c r="L8" s="14">
        <f>((J8^2)-(0.004712389)^2)^(1/2)</f>
        <v>2.0727432094377978E-2</v>
      </c>
      <c r="M8" s="13">
        <v>4401.2407000000003</v>
      </c>
      <c r="N8" s="13">
        <v>21.907060000000001</v>
      </c>
      <c r="O8" s="15">
        <f>(0.89*0.15406)/(K8*F8)</f>
        <v>8.9523959474253889</v>
      </c>
      <c r="P8" s="15">
        <f>(0.89*0.15406)/(L8*F8)</f>
        <v>7.1455172384391945</v>
      </c>
      <c r="Q8" s="13">
        <v>7991.7031699999998</v>
      </c>
      <c r="R8" s="13">
        <v>164.99177</v>
      </c>
      <c r="S8" s="14">
        <f>Q8/M8</f>
        <v>1.8157841651332542</v>
      </c>
      <c r="T8" s="14">
        <f>(0.1652/G8^2)</f>
        <v>3.9801790153327894</v>
      </c>
      <c r="U8" s="15" t="s">
        <v>16</v>
      </c>
      <c r="V8" s="15">
        <f>G8*2</f>
        <v>0.40745881174034076</v>
      </c>
    </row>
    <row r="9" spans="1:22" x14ac:dyDescent="0.25">
      <c r="A9" s="13">
        <v>64.792159999999996</v>
      </c>
      <c r="B9" s="13">
        <v>1.2999999999999999E-3</v>
      </c>
      <c r="C9" s="14">
        <f>A9/2</f>
        <v>32.396079999999998</v>
      </c>
      <c r="D9" s="14">
        <f>RADIANS(C9)</f>
        <v>0.56541826073948454</v>
      </c>
      <c r="E9" s="14">
        <f>SIN(D9)</f>
        <v>0.53576902742008814</v>
      </c>
      <c r="F9" s="14">
        <f>COS(D9)</f>
        <v>0.84436458313771834</v>
      </c>
      <c r="G9" s="14">
        <f>0.15406/(2*E9)</f>
        <v>0.14377464179093349</v>
      </c>
      <c r="H9" s="13">
        <v>0.91710999999999998</v>
      </c>
      <c r="I9" s="13">
        <v>4.2199999999999998E-3</v>
      </c>
      <c r="J9" s="14">
        <f>RADIANS(H9)</f>
        <v>1.6006589102965197E-2</v>
      </c>
      <c r="K9" s="14">
        <f>J9-0.004712389</f>
        <v>1.1294200102965196E-2</v>
      </c>
      <c r="L9" s="14">
        <f>((J9^2)-(0.004712389)^2)^(1/2)</f>
        <v>1.5297198587448723E-2</v>
      </c>
      <c r="M9" s="13">
        <v>8538.2685199999996</v>
      </c>
      <c r="N9" s="13">
        <v>6.1859500000000001</v>
      </c>
      <c r="O9" s="15">
        <f>(0.89*0.15406)/(K9*F9)</f>
        <v>14.377865400913603</v>
      </c>
      <c r="P9" s="15">
        <f>(0.89*0.15406)/(L9*F9)</f>
        <v>10.615439680874344</v>
      </c>
      <c r="Q9" s="13">
        <v>11276.67453</v>
      </c>
      <c r="R9" s="13">
        <v>54.958530000000003</v>
      </c>
      <c r="S9" s="14">
        <f>Q9/M9</f>
        <v>1.3207214675417587</v>
      </c>
      <c r="T9" s="14">
        <f>(0.1652/G9^2)</f>
        <v>7.9918155982443411</v>
      </c>
      <c r="U9" s="15" t="s">
        <v>17</v>
      </c>
      <c r="V9" s="15">
        <f>G9*(8^(1/2))</f>
        <v>0.40665609669214348</v>
      </c>
    </row>
    <row r="10" spans="1:22" x14ac:dyDescent="0.25">
      <c r="A10" s="13">
        <v>77.737099999999998</v>
      </c>
      <c r="B10" s="13">
        <v>2.3999999999999998E-3</v>
      </c>
      <c r="C10" s="14">
        <f>A10/2</f>
        <v>38.868549999999999</v>
      </c>
      <c r="D10" s="14">
        <f>RADIANS(C10)</f>
        <v>0.67838417297604192</v>
      </c>
      <c r="E10" s="14">
        <f>SIN(D10)</f>
        <v>0.62753578069642757</v>
      </c>
      <c r="F10" s="14">
        <f>COS(D10)</f>
        <v>0.77858772398858511</v>
      </c>
      <c r="G10" s="14">
        <f>0.15406/(2*E10)</f>
        <v>0.12274997278165324</v>
      </c>
      <c r="H10" s="13">
        <v>1.2093700000000001</v>
      </c>
      <c r="I10" s="13">
        <v>9.0399999999999994E-3</v>
      </c>
      <c r="J10" s="14">
        <f>RADIANS(H10)</f>
        <v>2.1107488374843823E-2</v>
      </c>
      <c r="K10" s="14">
        <f>J10-0.004712389</f>
        <v>1.6395099374843822E-2</v>
      </c>
      <c r="L10" s="14">
        <f>((J10^2)-(0.004712389)^2)^(1/2)</f>
        <v>2.0574728562166893E-2</v>
      </c>
      <c r="M10" s="13">
        <v>2694.4878699999999</v>
      </c>
      <c r="N10" s="13">
        <v>11.026820000000001</v>
      </c>
      <c r="O10" s="15">
        <f>(0.89*0.15406)/(K10*F10)</f>
        <v>10.74133582466264</v>
      </c>
      <c r="P10" s="15">
        <f>(0.89*0.15406)/(L10*F10)</f>
        <v>8.5592997123538677</v>
      </c>
      <c r="Q10" s="13">
        <v>5145.2890200000002</v>
      </c>
      <c r="R10" s="13">
        <v>81.509140000000002</v>
      </c>
      <c r="S10" s="14">
        <f>Q10/M10</f>
        <v>1.9095610254129667</v>
      </c>
      <c r="T10" s="14">
        <f>(0.1652/G10^2)</f>
        <v>10.963954738019446</v>
      </c>
      <c r="U10" s="15" t="s">
        <v>18</v>
      </c>
      <c r="V10" s="15">
        <f>G10*(11^(1/2))</f>
        <v>0.40711560274308173</v>
      </c>
    </row>
    <row r="11" spans="1:22" x14ac:dyDescent="0.25">
      <c r="A11" s="13">
        <v>81.897710000000004</v>
      </c>
      <c r="B11" s="13">
        <v>9.0600000000000003E-3</v>
      </c>
      <c r="C11" s="14">
        <f>A11/2</f>
        <v>40.948855000000002</v>
      </c>
      <c r="D11" s="14">
        <f>RADIANS(C11)</f>
        <v>0.7146923446717427</v>
      </c>
      <c r="E11" s="14">
        <f>SIN(D11)</f>
        <v>0.65538507721413086</v>
      </c>
      <c r="F11" s="14">
        <f>COS(D11)</f>
        <v>0.75529490966444879</v>
      </c>
      <c r="G11" s="14">
        <f>0.15406/(2*E11)</f>
        <v>0.11753395473609839</v>
      </c>
      <c r="H11" s="13">
        <v>1.0919000000000001</v>
      </c>
      <c r="I11" s="13">
        <v>3.671E-2</v>
      </c>
      <c r="J11" s="14">
        <f>RADIANS(H11)</f>
        <v>1.9057250102526086E-2</v>
      </c>
      <c r="K11" s="14">
        <f>J11-0.004712389</f>
        <v>1.4344861102526085E-2</v>
      </c>
      <c r="L11" s="14">
        <f>((J11^2)-(0.004712389)^2)^(1/2)</f>
        <v>1.8465431795192593E-2</v>
      </c>
      <c r="M11" s="13">
        <v>686.14908700000001</v>
      </c>
      <c r="N11" s="13">
        <v>27.5261</v>
      </c>
      <c r="O11" s="15">
        <f>(0.89*0.15406)/(K11*F11)</f>
        <v>12.655141193879837</v>
      </c>
      <c r="P11" s="15">
        <f>(0.89*0.15406)/(L11*F11)</f>
        <v>9.8311398656989279</v>
      </c>
      <c r="Q11" s="13">
        <v>1046.32573</v>
      </c>
      <c r="R11" s="13">
        <v>153.35572999999999</v>
      </c>
      <c r="S11" s="14">
        <f>Q11/M11</f>
        <v>1.524924757350876</v>
      </c>
      <c r="T11" s="14">
        <f>(0.1652/G11^2)</f>
        <v>11.958682737324425</v>
      </c>
      <c r="U11" s="15" t="s">
        <v>15</v>
      </c>
      <c r="V11" s="15">
        <f>G11*(12^(1/2))</f>
        <v>0.40714956243484612</v>
      </c>
    </row>
    <row r="12" spans="1:22" x14ac:dyDescent="0.25">
      <c r="A12" s="2"/>
      <c r="B12" s="2"/>
    </row>
    <row r="13" spans="1:22" ht="14" thickBot="1" x14ac:dyDescent="0.3">
      <c r="A13" s="27" t="s">
        <v>10</v>
      </c>
      <c r="B13" s="30"/>
      <c r="C13" s="28" t="s">
        <v>32</v>
      </c>
    </row>
    <row r="14" spans="1:22" ht="15" thickBot="1" x14ac:dyDescent="0.4">
      <c r="A14" s="7" t="s">
        <v>4</v>
      </c>
      <c r="B14" s="7" t="s">
        <v>33</v>
      </c>
      <c r="C14" s="12" t="s">
        <v>7</v>
      </c>
      <c r="D14" s="12" t="s">
        <v>3</v>
      </c>
      <c r="E14" s="8" t="s">
        <v>1</v>
      </c>
      <c r="F14" s="8" t="s">
        <v>2</v>
      </c>
      <c r="G14" s="8" t="s">
        <v>6</v>
      </c>
      <c r="H14" s="7" t="s">
        <v>24</v>
      </c>
      <c r="I14" s="7" t="s">
        <v>33</v>
      </c>
      <c r="J14" s="8" t="s">
        <v>23</v>
      </c>
      <c r="K14" s="8" t="s">
        <v>25</v>
      </c>
      <c r="L14" s="8" t="s">
        <v>26</v>
      </c>
      <c r="M14" s="7" t="s">
        <v>20</v>
      </c>
      <c r="N14" s="7" t="s">
        <v>33</v>
      </c>
      <c r="O14" s="9" t="s">
        <v>27</v>
      </c>
      <c r="P14" s="9" t="s">
        <v>28</v>
      </c>
      <c r="Q14" s="7" t="s">
        <v>8</v>
      </c>
      <c r="R14" s="7" t="s">
        <v>33</v>
      </c>
      <c r="S14" s="8" t="s">
        <v>11</v>
      </c>
      <c r="T14" s="8" t="s">
        <v>12</v>
      </c>
      <c r="U14" s="9" t="s">
        <v>13</v>
      </c>
      <c r="V14" s="9" t="s">
        <v>19</v>
      </c>
    </row>
    <row r="15" spans="1:22" x14ac:dyDescent="0.25">
      <c r="A15" s="33">
        <v>38.284460000000003</v>
      </c>
      <c r="B15" s="34">
        <v>7.9679200000000005E-4</v>
      </c>
      <c r="C15" s="17">
        <f>A15/2</f>
        <v>19.142230000000001</v>
      </c>
      <c r="D15" s="17">
        <f>RADIANS(C15)</f>
        <v>0.3340949396740342</v>
      </c>
      <c r="E15" s="17">
        <f>SIN(D15)</f>
        <v>0.32791428703488856</v>
      </c>
      <c r="F15" s="17">
        <f>COS(D15)</f>
        <v>0.94470747872471128</v>
      </c>
      <c r="G15" s="17">
        <f>0.15406/(2*E15)</f>
        <v>0.23490894738540125</v>
      </c>
      <c r="H15" s="33">
        <v>0.72614999999999996</v>
      </c>
      <c r="I15" s="33">
        <v>1.8799999999999999E-3</v>
      </c>
      <c r="J15" s="17">
        <f>RADIANS(H15)</f>
        <v>1.2673708363356823E-2</v>
      </c>
      <c r="K15" s="17">
        <f>J15-0.004712389</f>
        <v>7.9613193633568217E-3</v>
      </c>
      <c r="L15" s="17">
        <f>((J15^2)-(0.004712389)^2)^(1/2)</f>
        <v>1.1765044563965734E-2</v>
      </c>
      <c r="M15" s="33">
        <v>18349.106930000002</v>
      </c>
      <c r="N15" s="33">
        <v>24.298970000000001</v>
      </c>
      <c r="O15" s="18">
        <f>(0.89*0.15406)/(K15*F15)</f>
        <v>18.230454706028393</v>
      </c>
      <c r="P15" s="18">
        <f>(0.89*0.15406)/(L15*F15)</f>
        <v>12.336414984643323</v>
      </c>
      <c r="Q15" s="33">
        <v>20929.50318</v>
      </c>
      <c r="R15" s="33">
        <v>52.630519999999997</v>
      </c>
      <c r="S15" s="17">
        <f>Q15/M15</f>
        <v>1.1406278932181251</v>
      </c>
      <c r="T15" s="17">
        <f>(0.1652/G15^2)</f>
        <v>2.9937182533505307</v>
      </c>
      <c r="U15" s="18" t="s">
        <v>14</v>
      </c>
      <c r="V15" s="18">
        <f>G15*(3^(1/2))</f>
        <v>0.40687423202403911</v>
      </c>
    </row>
    <row r="16" spans="1:22" x14ac:dyDescent="0.25">
      <c r="A16" s="13">
        <v>44.432729999999999</v>
      </c>
      <c r="B16" s="13">
        <v>3.3700000000000002E-3</v>
      </c>
      <c r="C16" s="14">
        <f>A16/2</f>
        <v>22.216365</v>
      </c>
      <c r="D16" s="14">
        <f>RADIANS(C16)</f>
        <v>0.38774871707483005</v>
      </c>
      <c r="E16" s="14">
        <f>SIN(D16)</f>
        <v>0.3781052214589799</v>
      </c>
      <c r="F16" s="14">
        <f>COS(D16)</f>
        <v>0.92576262697597367</v>
      </c>
      <c r="G16" s="14">
        <f>0.15406/(2*E16)</f>
        <v>0.20372635877062828</v>
      </c>
      <c r="H16" s="13">
        <v>1.20794</v>
      </c>
      <c r="I16" s="13">
        <v>1.451E-2</v>
      </c>
      <c r="J16" s="14">
        <f>RADIANS(H16)</f>
        <v>2.1082530166540304E-2</v>
      </c>
      <c r="K16" s="14">
        <f>J16-0.004712389</f>
        <v>1.6370141166540304E-2</v>
      </c>
      <c r="L16" s="14">
        <f>((J16^2)-(0.004712389)^2)^(1/2)</f>
        <v>2.0549123293604546E-2</v>
      </c>
      <c r="M16" s="13">
        <v>4793.4830400000001</v>
      </c>
      <c r="N16" s="13">
        <v>28.301449999999999</v>
      </c>
      <c r="O16" s="15">
        <f>(0.89*0.15406)/(K16*F16)</f>
        <v>9.0474841572309543</v>
      </c>
      <c r="P16" s="15">
        <f>(0.89*0.15406)/(L16*F16)</f>
        <v>7.2075382847113065</v>
      </c>
      <c r="Q16" s="13">
        <v>9095.2680999999993</v>
      </c>
      <c r="R16" s="13">
        <v>110.75546</v>
      </c>
      <c r="S16" s="14">
        <f>Q16/M16</f>
        <v>1.897423652926912</v>
      </c>
      <c r="T16" s="14">
        <f>(0.1652/G16^2)</f>
        <v>3.9802980779069843</v>
      </c>
      <c r="U16" s="15" t="s">
        <v>16</v>
      </c>
      <c r="V16" s="15">
        <f>G16*2</f>
        <v>0.40745271754125656</v>
      </c>
    </row>
    <row r="17" spans="1:22" x14ac:dyDescent="0.25">
      <c r="A17" s="13">
        <v>64.790729999999996</v>
      </c>
      <c r="B17" s="13">
        <v>1.8799999999999999E-3</v>
      </c>
      <c r="C17" s="14">
        <f>A17/2</f>
        <v>32.395364999999998</v>
      </c>
      <c r="D17" s="14">
        <f>RADIANS(C17)</f>
        <v>0.56540578163533284</v>
      </c>
      <c r="E17" s="14">
        <f>SIN(D17)</f>
        <v>0.53575849046479629</v>
      </c>
      <c r="F17" s="14">
        <f>COS(D17)</f>
        <v>0.84437126898946691</v>
      </c>
      <c r="G17" s="14">
        <f>0.15406/(2*E17)</f>
        <v>0.1437774694586226</v>
      </c>
      <c r="H17" s="13">
        <v>0.86972000000000005</v>
      </c>
      <c r="I17" s="13">
        <v>6.1700000000000001E-3</v>
      </c>
      <c r="J17" s="14">
        <f>RADIANS(H17)</f>
        <v>1.5179477570445084E-2</v>
      </c>
      <c r="K17" s="14">
        <f>J17-0.004712389</f>
        <v>1.0467088570445083E-2</v>
      </c>
      <c r="L17" s="14">
        <f>((J17^2)-(0.004712389)^2)^(1/2)</f>
        <v>1.4429481252779824E-2</v>
      </c>
      <c r="M17" s="13">
        <v>8840.6108000000004</v>
      </c>
      <c r="N17" s="13">
        <v>38.26446</v>
      </c>
      <c r="O17" s="15">
        <f>(0.89*0.15406)/(K17*F17)</f>
        <v>15.513884496078962</v>
      </c>
      <c r="P17" s="15">
        <f>(0.89*0.15406)/(L17*F17)</f>
        <v>11.253710389680846</v>
      </c>
      <c r="Q17" s="13">
        <v>12077.60167</v>
      </c>
      <c r="R17" s="13">
        <v>69.664050000000003</v>
      </c>
      <c r="S17" s="14">
        <f>Q17/M17</f>
        <v>1.3661501386306927</v>
      </c>
      <c r="T17" s="14">
        <f>(0.1652/G17^2)</f>
        <v>7.9915012516834993</v>
      </c>
      <c r="U17" s="15" t="s">
        <v>17</v>
      </c>
      <c r="V17" s="15">
        <f>G17*(8^(1/2))</f>
        <v>0.4066640945441351</v>
      </c>
    </row>
    <row r="18" spans="1:22" x14ac:dyDescent="0.25">
      <c r="A18" s="13">
        <v>77.737080000000006</v>
      </c>
      <c r="B18" s="13">
        <v>2.1700000000000001E-3</v>
      </c>
      <c r="C18" s="14">
        <f>A18/2</f>
        <v>38.868540000000003</v>
      </c>
      <c r="D18" s="14">
        <f>RADIANS(C18)</f>
        <v>0.67838399844311681</v>
      </c>
      <c r="E18" s="14">
        <f>SIN(D18)</f>
        <v>0.62753564480722512</v>
      </c>
      <c r="F18" s="14">
        <f>COS(D18)</f>
        <v>0.77858783351422867</v>
      </c>
      <c r="G18" s="14">
        <f>0.15406/(2*E18)</f>
        <v>0.12274999936244756</v>
      </c>
      <c r="H18" s="13">
        <v>1.20746</v>
      </c>
      <c r="I18" s="13">
        <v>9.58E-3</v>
      </c>
      <c r="J18" s="14">
        <f>RADIANS(H18)</f>
        <v>2.107415258613073E-2</v>
      </c>
      <c r="K18" s="14">
        <f>J18-0.004712389</f>
        <v>1.6361763586130729E-2</v>
      </c>
      <c r="L18" s="14">
        <f>((J18^2)-(0.004712389)^2)^(1/2)</f>
        <v>2.0540528161081924E-2</v>
      </c>
      <c r="M18" s="13">
        <v>2865.1602499999999</v>
      </c>
      <c r="N18" s="13">
        <v>10.98132</v>
      </c>
      <c r="O18" s="15">
        <f>(0.89*0.15406)/(K18*F18)</f>
        <v>10.763218925866951</v>
      </c>
      <c r="P18" s="15">
        <f>(0.89*0.15406)/(L18*F18)</f>
        <v>8.5735499160371642</v>
      </c>
      <c r="Q18" s="13">
        <v>5434.2800999999999</v>
      </c>
      <c r="R18" s="13">
        <v>44.28434</v>
      </c>
      <c r="S18" s="14">
        <f>Q18/M18</f>
        <v>1.8966757967551728</v>
      </c>
      <c r="T18" s="14">
        <f>(0.1652/G18^2)</f>
        <v>10.963949989659433</v>
      </c>
      <c r="U18" s="15" t="s">
        <v>18</v>
      </c>
      <c r="V18" s="15">
        <f>G18*(11^(1/2))</f>
        <v>0.4071156909016031</v>
      </c>
    </row>
    <row r="19" spans="1:22" x14ac:dyDescent="0.25">
      <c r="A19" s="13">
        <v>81.899420000000006</v>
      </c>
      <c r="B19" s="13">
        <v>7.62E-3</v>
      </c>
      <c r="C19" s="14">
        <f>A19/2</f>
        <v>40.949710000000003</v>
      </c>
      <c r="D19" s="14">
        <f>RADIANS(C19)</f>
        <v>0.71470726723684719</v>
      </c>
      <c r="E19" s="14">
        <f>SIN(D19)</f>
        <v>0.65539634807862146</v>
      </c>
      <c r="F19" s="14">
        <f>COS(D19)</f>
        <v>0.75528512955387017</v>
      </c>
      <c r="G19" s="14">
        <f>0.15406/(2*E19)</f>
        <v>0.11753193350225911</v>
      </c>
      <c r="H19" s="13">
        <v>1.16665</v>
      </c>
      <c r="I19" s="13">
        <v>4.4589999999999998E-2</v>
      </c>
      <c r="J19" s="14">
        <f>RADIANS(H19)</f>
        <v>2.0361883718391847E-2</v>
      </c>
      <c r="K19" s="14">
        <f>J19-0.004712389</f>
        <v>1.5649494718391846E-2</v>
      </c>
      <c r="L19" s="14">
        <f>((J19^2)-(0.004712389)^2)^(1/2)</f>
        <v>1.9809081212261968E-2</v>
      </c>
      <c r="M19" s="13">
        <v>807.24077999999997</v>
      </c>
      <c r="N19" s="13">
        <v>14.45589</v>
      </c>
      <c r="O19" s="15">
        <f>(0.89*0.15406)/(K19*F19)</f>
        <v>11.600284649453599</v>
      </c>
      <c r="P19" s="15">
        <f>(0.89*0.15406)/(L19*F19)</f>
        <v>9.1644125948200141</v>
      </c>
      <c r="Q19" s="13">
        <v>1479.3197700000001</v>
      </c>
      <c r="R19" s="13">
        <v>69.424970000000002</v>
      </c>
      <c r="S19" s="14">
        <f>Q19/M19</f>
        <v>1.8325632285326321</v>
      </c>
      <c r="T19" s="14">
        <f>(0.1652/G19^2)</f>
        <v>11.959094055361017</v>
      </c>
      <c r="U19" s="15" t="s">
        <v>15</v>
      </c>
      <c r="V19" s="15">
        <f>G19*(12^(1/2))</f>
        <v>0.40714256067543897</v>
      </c>
    </row>
    <row r="20" spans="1:22" x14ac:dyDescent="0.25">
      <c r="A20" s="2"/>
      <c r="B20" s="2"/>
      <c r="Q20" s="2"/>
      <c r="R20" s="2"/>
    </row>
    <row r="21" spans="1:22" ht="14" thickBot="1" x14ac:dyDescent="0.3">
      <c r="A21" s="27" t="s">
        <v>10</v>
      </c>
      <c r="B21" s="30"/>
      <c r="C21" s="28" t="s">
        <v>31</v>
      </c>
      <c r="Q21" s="2"/>
      <c r="R21" s="2"/>
    </row>
    <row r="22" spans="1:22" ht="15" thickBot="1" x14ac:dyDescent="0.4">
      <c r="A22" s="7" t="s">
        <v>4</v>
      </c>
      <c r="B22" s="7" t="s">
        <v>33</v>
      </c>
      <c r="C22" s="12" t="s">
        <v>7</v>
      </c>
      <c r="D22" s="12" t="s">
        <v>3</v>
      </c>
      <c r="E22" s="8" t="s">
        <v>1</v>
      </c>
      <c r="F22" s="8" t="s">
        <v>2</v>
      </c>
      <c r="G22" s="8" t="s">
        <v>6</v>
      </c>
      <c r="H22" s="7" t="s">
        <v>24</v>
      </c>
      <c r="I22" s="7" t="s">
        <v>33</v>
      </c>
      <c r="J22" s="8" t="s">
        <v>23</v>
      </c>
      <c r="K22" s="8" t="s">
        <v>25</v>
      </c>
      <c r="L22" s="8" t="s">
        <v>26</v>
      </c>
      <c r="M22" s="7" t="s">
        <v>20</v>
      </c>
      <c r="N22" s="7" t="s">
        <v>33</v>
      </c>
      <c r="O22" s="9" t="s">
        <v>27</v>
      </c>
      <c r="P22" s="9" t="s">
        <v>28</v>
      </c>
      <c r="Q22" s="7" t="s">
        <v>8</v>
      </c>
      <c r="R22" s="7" t="s">
        <v>33</v>
      </c>
      <c r="S22" s="8" t="s">
        <v>11</v>
      </c>
      <c r="T22" s="8" t="s">
        <v>12</v>
      </c>
      <c r="U22" s="9" t="s">
        <v>13</v>
      </c>
      <c r="V22" s="9" t="s">
        <v>19</v>
      </c>
    </row>
    <row r="23" spans="1:22" x14ac:dyDescent="0.25">
      <c r="A23" s="33">
        <v>38.284109999999998</v>
      </c>
      <c r="B23" s="33">
        <v>1.98E-3</v>
      </c>
      <c r="C23" s="17">
        <f>A23/2</f>
        <v>19.142054999999999</v>
      </c>
      <c r="D23" s="17">
        <f>RADIANS(C23)</f>
        <v>0.33409188534784312</v>
      </c>
      <c r="E23" s="17">
        <f>SIN(D23)</f>
        <v>0.3279114015885638</v>
      </c>
      <c r="F23" s="17">
        <f>COS(D23)</f>
        <v>0.94470848027749998</v>
      </c>
      <c r="G23" s="17">
        <f>0.15406/(2*E23)</f>
        <v>0.23491101445948165</v>
      </c>
      <c r="H23" s="33">
        <v>0.77580000000000005</v>
      </c>
      <c r="I23" s="33">
        <v>2.8999999999999998E-3</v>
      </c>
      <c r="J23" s="17">
        <f>RADIANS(H23)</f>
        <v>1.3540264336972009E-2</v>
      </c>
      <c r="K23" s="17">
        <f>J23-0.004712389</f>
        <v>8.8278753369720082E-3</v>
      </c>
      <c r="L23" s="17">
        <f>((J23^2)-(0.004712389)^2)^(1/2)</f>
        <v>1.2693783842013185E-2</v>
      </c>
      <c r="M23" s="33">
        <v>16902.224869999998</v>
      </c>
      <c r="N23" s="33">
        <v>56.864579999999997</v>
      </c>
      <c r="O23" s="18">
        <f>(0.89*0.15406)/(K23*F23)</f>
        <v>16.440911617137555</v>
      </c>
      <c r="P23" s="18">
        <f>(0.89*0.15406)/(L23*F23)</f>
        <v>11.433810437349218</v>
      </c>
      <c r="Q23" s="33">
        <v>16434.402870000002</v>
      </c>
      <c r="R23" s="33">
        <v>70.280180000000001</v>
      </c>
      <c r="S23" s="17">
        <f>Q23/M23</f>
        <v>0.97232186865349657</v>
      </c>
      <c r="T23" s="17">
        <f>(0.1652/G23^2)</f>
        <v>2.9936655677819681</v>
      </c>
      <c r="U23" s="18" t="s">
        <v>14</v>
      </c>
      <c r="V23" s="18">
        <f>G23*(3^(1/2))</f>
        <v>0.40687781230136938</v>
      </c>
    </row>
    <row r="24" spans="1:22" x14ac:dyDescent="0.25">
      <c r="A24" s="13">
        <v>44.431910000000002</v>
      </c>
      <c r="B24" s="13">
        <v>5.2900000000000004E-3</v>
      </c>
      <c r="C24" s="14">
        <f>A24/2</f>
        <v>22.215955000000001</v>
      </c>
      <c r="D24" s="14">
        <f>RADIANS(C24)</f>
        <v>0.38774156122489689</v>
      </c>
      <c r="E24" s="14">
        <f>SIN(D24)</f>
        <v>0.37809859683086694</v>
      </c>
      <c r="F24" s="14">
        <f>COS(D24)</f>
        <v>0.92576533261649496</v>
      </c>
      <c r="G24" s="14">
        <f>0.15406/(2*E24)</f>
        <v>0.20372992824000738</v>
      </c>
      <c r="H24" s="13">
        <v>1.0585899999999999</v>
      </c>
      <c r="I24" s="13">
        <v>1.2449999999999999E-2</v>
      </c>
      <c r="J24" s="14">
        <f>RADIANS(H24)</f>
        <v>1.8475880928686773E-2</v>
      </c>
      <c r="K24" s="14">
        <f>J24-0.004712389</f>
        <v>1.3763491928686773E-2</v>
      </c>
      <c r="L24" s="14">
        <f>((J24^2)-(0.004712389)^2)^(1/2)</f>
        <v>1.7864813629133964E-2</v>
      </c>
      <c r="M24" s="13">
        <v>4104.5760700000001</v>
      </c>
      <c r="N24" s="13">
        <v>37.75376</v>
      </c>
      <c r="O24" s="15">
        <f>(0.89*0.15406)/(K24*F24)</f>
        <v>10.760943571684436</v>
      </c>
      <c r="P24" s="15">
        <f>(0.89*0.15406)/(L24*F24)</f>
        <v>8.2904956675505144</v>
      </c>
      <c r="Q24" s="13">
        <v>5445.7382399999997</v>
      </c>
      <c r="R24" s="13">
        <v>69.219200000000001</v>
      </c>
      <c r="S24" s="14">
        <f>Q24/M24</f>
        <v>1.3267480361254456</v>
      </c>
      <c r="T24" s="14">
        <f>(0.1652/G24^2)</f>
        <v>3.9801586047547666</v>
      </c>
      <c r="U24" s="15" t="s">
        <v>16</v>
      </c>
      <c r="V24" s="15">
        <f>G24*2</f>
        <v>0.40745985648001476</v>
      </c>
    </row>
    <row r="25" spans="1:22" x14ac:dyDescent="0.25">
      <c r="A25" s="13">
        <v>64.791820000000001</v>
      </c>
      <c r="B25" s="13">
        <v>4.4400000000000004E-3</v>
      </c>
      <c r="C25" s="14">
        <f>A25/2</f>
        <v>32.395910000000001</v>
      </c>
      <c r="D25" s="14">
        <f>RADIANS(C25)</f>
        <v>0.56541529367975618</v>
      </c>
      <c r="E25" s="14">
        <f>SIN(D25)</f>
        <v>0.53576652213757914</v>
      </c>
      <c r="F25" s="14">
        <f>COS(D25)</f>
        <v>0.84436617279270665</v>
      </c>
      <c r="G25" s="14">
        <f>0.15406/(2*E25)</f>
        <v>0.14377531409142341</v>
      </c>
      <c r="H25" s="13">
        <v>0.85931999999999997</v>
      </c>
      <c r="I25" s="13">
        <v>9.3200000000000002E-3</v>
      </c>
      <c r="J25" s="14">
        <f>RADIANS(H25)</f>
        <v>1.4997963328237673E-2</v>
      </c>
      <c r="K25" s="14">
        <f>J25-0.004712389</f>
        <v>1.0285574328237672E-2</v>
      </c>
      <c r="L25" s="14">
        <f>((J25^2)-(0.004712389)^2)^(1/2)</f>
        <v>1.4238409107335027E-2</v>
      </c>
      <c r="M25" s="13">
        <v>7863.3216499999999</v>
      </c>
      <c r="N25" s="13">
        <v>71.591830000000002</v>
      </c>
      <c r="O25" s="15">
        <f>(0.89*0.15406)/(K25*F25)</f>
        <v>15.787760409931787</v>
      </c>
      <c r="P25" s="15">
        <f>(0.89*0.15406)/(L25*F25)</f>
        <v>11.404798243162359</v>
      </c>
      <c r="Q25" s="13">
        <v>8468.8299800000004</v>
      </c>
      <c r="R25" s="13">
        <v>86.483580000000003</v>
      </c>
      <c r="S25" s="14">
        <f>Q25/M25</f>
        <v>1.0770041411189126</v>
      </c>
      <c r="T25" s="14">
        <f>(0.1652/G25^2)</f>
        <v>7.9917408581679368</v>
      </c>
      <c r="U25" s="15" t="s">
        <v>17</v>
      </c>
      <c r="V25" s="15">
        <f>G25*(8^(1/2))</f>
        <v>0.40665799824508514</v>
      </c>
    </row>
    <row r="26" spans="1:22" x14ac:dyDescent="0.25">
      <c r="A26" s="13">
        <v>77.737819999999999</v>
      </c>
      <c r="B26" s="13">
        <v>5.8100000000000001E-3</v>
      </c>
      <c r="C26" s="14">
        <f>A26/2</f>
        <v>38.86891</v>
      </c>
      <c r="D26" s="14">
        <f>RADIANS(C26)</f>
        <v>0.67839045616134919</v>
      </c>
      <c r="E26" s="14">
        <f>SIN(D26)</f>
        <v>0.62754067269498826</v>
      </c>
      <c r="F26" s="14">
        <f>COS(D26)</f>
        <v>0.77858378104961934</v>
      </c>
      <c r="G26" s="14">
        <f>0.15406/(2*E26)</f>
        <v>0.12274901588321414</v>
      </c>
      <c r="H26" s="13">
        <v>1.05189</v>
      </c>
      <c r="I26" s="13">
        <v>1.3769999999999999E-2</v>
      </c>
      <c r="J26" s="14">
        <f>RADIANS(H26)</f>
        <v>1.8358943868803154E-2</v>
      </c>
      <c r="K26" s="14">
        <f>J26-0.004712389</f>
        <v>1.3646554868803153E-2</v>
      </c>
      <c r="L26" s="14">
        <f>((J26^2)-(0.004712389)^2)^(1/2)</f>
        <v>1.7743849917381063E-2</v>
      </c>
      <c r="M26" s="13">
        <v>2437.4355599999999</v>
      </c>
      <c r="N26" s="13">
        <v>24.846150000000002</v>
      </c>
      <c r="O26" s="15">
        <f>(0.89*0.15406)/(K26*F26)</f>
        <v>12.904807242355009</v>
      </c>
      <c r="P26" s="15">
        <f>(0.89*0.15406)/(L26*F26)</f>
        <v>9.9249126274236801</v>
      </c>
      <c r="Q26" s="13">
        <v>3213.40407</v>
      </c>
      <c r="R26" s="13">
        <v>45.750880000000002</v>
      </c>
      <c r="S26" s="14">
        <f>Q26/M26</f>
        <v>1.3183544716972948</v>
      </c>
      <c r="T26" s="14">
        <f>(0.1652/G26^2)</f>
        <v>10.964125679219958</v>
      </c>
      <c r="U26" s="15" t="s">
        <v>18</v>
      </c>
      <c r="V26" s="15">
        <f>G26*(11^(1/2))</f>
        <v>0.40711242906999673</v>
      </c>
    </row>
    <row r="27" spans="1:22" x14ac:dyDescent="0.25">
      <c r="A27" s="13">
        <v>81.899330000000006</v>
      </c>
      <c r="B27" s="13">
        <v>1.0499999999999999E-3</v>
      </c>
      <c r="C27" s="14">
        <f>A27/2</f>
        <v>40.949665000000003</v>
      </c>
      <c r="D27" s="14">
        <f>RADIANS(C27)</f>
        <v>0.71470648183868379</v>
      </c>
      <c r="E27" s="14">
        <f>SIN(D27)</f>
        <v>0.6553957548788657</v>
      </c>
      <c r="F27" s="14">
        <f>COS(D27)</f>
        <v>0.75528564430072531</v>
      </c>
      <c r="G27" s="14">
        <f>0.15406/(2*E27)</f>
        <v>0.11753203988060186</v>
      </c>
      <c r="H27" s="13">
        <v>0.91517000000000004</v>
      </c>
      <c r="I27" s="13">
        <v>2.81E-3</v>
      </c>
      <c r="J27" s="14">
        <f>RADIANS(H27)</f>
        <v>1.5972729715476506E-2</v>
      </c>
      <c r="K27" s="14">
        <f>J27-0.004712389</f>
        <v>1.1260340715476505E-2</v>
      </c>
      <c r="L27" s="14">
        <f>((J27^2)-(0.004712389)^2)^(1/2)</f>
        <v>1.526176544428413E-2</v>
      </c>
      <c r="M27" s="13">
        <v>659.29134999999997</v>
      </c>
      <c r="N27" s="13">
        <v>1.4876</v>
      </c>
      <c r="O27" s="15">
        <f>(0.89*0.15406)/(K27*F27)</f>
        <v>16.121933982039394</v>
      </c>
      <c r="P27" s="15">
        <f>(0.89*0.15406)/(L27*F27)</f>
        <v>11.894984908064657</v>
      </c>
      <c r="Q27" s="13">
        <v>756.20123999999998</v>
      </c>
      <c r="R27" s="13">
        <v>2.9412099999999999</v>
      </c>
      <c r="S27" s="14">
        <f>Q27/M27</f>
        <v>1.1469909926772133</v>
      </c>
      <c r="T27" s="14">
        <f>(0.1652/G27^2)</f>
        <v>11.959072406999738</v>
      </c>
      <c r="U27" s="15" t="s">
        <v>15</v>
      </c>
      <c r="V27" s="15">
        <f>G27*(12^(1/2))</f>
        <v>0.40714292918082784</v>
      </c>
    </row>
    <row r="32" spans="1:22" x14ac:dyDescent="0.25">
      <c r="G32" s="32"/>
    </row>
    <row r="33" spans="5:7" x14ac:dyDescent="0.25">
      <c r="E33" s="32"/>
    </row>
    <row r="34" spans="5:7" ht="14" customHeight="1" x14ac:dyDescent="0.25"/>
    <row r="37" spans="5:7" x14ac:dyDescent="0.25">
      <c r="G37" s="32"/>
    </row>
    <row r="41" spans="5:7" x14ac:dyDescent="0.25">
      <c r="G41" s="32"/>
    </row>
    <row r="42" spans="5:7" x14ac:dyDescent="0.25">
      <c r="G42" s="32"/>
    </row>
    <row r="44" spans="5:7" x14ac:dyDescent="0.25">
      <c r="G44" s="32"/>
    </row>
    <row r="45" spans="5:7" x14ac:dyDescent="0.25">
      <c r="G45" s="32"/>
    </row>
    <row r="47" spans="5:7" x14ac:dyDescent="0.25">
      <c r="G47" s="32"/>
    </row>
    <row r="51" spans="1:22" x14ac:dyDescent="0.25">
      <c r="G51" s="32"/>
    </row>
    <row r="52" spans="1:22" x14ac:dyDescent="0.25">
      <c r="G52" s="32"/>
    </row>
    <row r="55" spans="1:22" x14ac:dyDescent="0.25">
      <c r="G55" s="32"/>
    </row>
    <row r="56" spans="1:22" x14ac:dyDescent="0.25">
      <c r="G56" s="32"/>
    </row>
    <row r="58" spans="1:22" x14ac:dyDescent="0.25">
      <c r="A58" t="s">
        <v>35</v>
      </c>
    </row>
    <row r="60" spans="1:22" ht="14" thickBot="1" x14ac:dyDescent="0.3">
      <c r="H60" s="32"/>
    </row>
    <row r="61" spans="1:22" ht="14" thickBot="1" x14ac:dyDescent="0.3">
      <c r="A61" s="11" t="s">
        <v>9</v>
      </c>
      <c r="B61" s="29"/>
    </row>
    <row r="62" spans="1:22" ht="15" thickBot="1" x14ac:dyDescent="0.4">
      <c r="A62" s="7" t="s">
        <v>4</v>
      </c>
      <c r="B62" s="7"/>
      <c r="C62" s="12" t="s">
        <v>7</v>
      </c>
      <c r="D62" s="12" t="s">
        <v>3</v>
      </c>
      <c r="E62" s="8" t="s">
        <v>1</v>
      </c>
      <c r="F62" s="8" t="s">
        <v>2</v>
      </c>
      <c r="G62" s="8" t="s">
        <v>6</v>
      </c>
      <c r="H62" s="7" t="s">
        <v>24</v>
      </c>
      <c r="I62" s="7"/>
      <c r="J62" s="8" t="s">
        <v>23</v>
      </c>
      <c r="K62" s="8" t="s">
        <v>25</v>
      </c>
      <c r="L62" s="8" t="s">
        <v>26</v>
      </c>
      <c r="M62" s="7" t="s">
        <v>20</v>
      </c>
      <c r="N62" s="7"/>
      <c r="O62" s="9" t="s">
        <v>27</v>
      </c>
      <c r="P62" s="9" t="s">
        <v>28</v>
      </c>
      <c r="Q62" s="7" t="s">
        <v>8</v>
      </c>
      <c r="R62" s="7"/>
      <c r="S62" s="8" t="s">
        <v>11</v>
      </c>
      <c r="T62" s="8" t="s">
        <v>12</v>
      </c>
      <c r="U62" s="9" t="s">
        <v>13</v>
      </c>
      <c r="V62" s="9" t="s">
        <v>19</v>
      </c>
    </row>
    <row r="63" spans="1:22" x14ac:dyDescent="0.25">
      <c r="A63" s="16">
        <v>38.286900000000003</v>
      </c>
      <c r="B63" s="16"/>
      <c r="C63" s="17">
        <f>A63/2</f>
        <v>19.143450000000001</v>
      </c>
      <c r="D63" s="17">
        <f>RADIANS(C63)</f>
        <v>0.33411623269090851</v>
      </c>
      <c r="E63" s="17">
        <f>SIN(D63)</f>
        <v>0.32793440263283585</v>
      </c>
      <c r="F63" s="17">
        <f>COS(D63)</f>
        <v>0.94470049622610297</v>
      </c>
      <c r="G63" s="17">
        <f>0.15406/(2*E63)</f>
        <v>0.23489453799772528</v>
      </c>
      <c r="H63" s="16">
        <v>0.80893700000000002</v>
      </c>
      <c r="I63" s="16"/>
      <c r="J63" s="17">
        <f>RADIANS(H63)</f>
        <v>1.4118614091205369E-2</v>
      </c>
      <c r="K63" s="17">
        <f>J63-0.004712389</f>
        <v>9.4062250912053703E-3</v>
      </c>
      <c r="L63" s="17">
        <f>((J63^2)-(0.004712389)^2)^(1/2)</f>
        <v>1.3308968922086406E-2</v>
      </c>
      <c r="M63" s="16">
        <v>17590.2</v>
      </c>
      <c r="N63" s="16"/>
      <c r="O63" s="18">
        <f>(0.89*0.15406)/(K63*F63)</f>
        <v>15.430158580983614</v>
      </c>
      <c r="P63" s="18">
        <f>(0.89*0.15406)/(L63*F63)</f>
        <v>10.905393622556664</v>
      </c>
      <c r="Q63" s="16">
        <v>19185.7</v>
      </c>
      <c r="R63" s="16"/>
      <c r="S63" s="17">
        <f>Q63/M63</f>
        <v>1.0907039146797648</v>
      </c>
      <c r="T63" s="17">
        <f>(0.1652/G63^2)</f>
        <v>2.9940855583580657</v>
      </c>
      <c r="U63" s="18" t="s">
        <v>14</v>
      </c>
      <c r="V63" s="18">
        <f>G63*(3^(1/2))</f>
        <v>0.40684927423247835</v>
      </c>
    </row>
    <row r="64" spans="1:22" x14ac:dyDescent="0.25">
      <c r="A64" s="13">
        <v>44.434199999999997</v>
      </c>
      <c r="B64" s="13"/>
      <c r="C64" s="14">
        <f t="shared" ref="C64:C67" si="0">A64/2</f>
        <v>22.217099999999999</v>
      </c>
      <c r="D64" s="14">
        <f t="shared" ref="D64:D67" si="1">RADIANS(C64)</f>
        <v>0.38776154524483214</v>
      </c>
      <c r="E64" s="14">
        <f t="shared" ref="E64:E67" si="2">SIN(D64)</f>
        <v>0.37811709726822912</v>
      </c>
      <c r="F64" s="14">
        <f t="shared" ref="F64:F67" si="3">COS(D64)</f>
        <v>0.92575777650174162</v>
      </c>
      <c r="G64" s="14">
        <f t="shared" ref="G64:G67" si="4">0.15406/(2*E64)</f>
        <v>0.20371996018301278</v>
      </c>
      <c r="H64" s="13">
        <v>1.2095800000000001</v>
      </c>
      <c r="I64" s="13"/>
      <c r="J64" s="14">
        <f>RADIANS(H64)</f>
        <v>2.1111153566273012E-2</v>
      </c>
      <c r="K64" s="14">
        <f t="shared" ref="K64:K67" si="5">J64-0.004712389</f>
        <v>1.6398764566273011E-2</v>
      </c>
      <c r="L64" s="14">
        <f t="shared" ref="L64:L67" si="6">((J64^2)-(0.004712389)^2)^(1/2)</f>
        <v>2.0578488642547119E-2</v>
      </c>
      <c r="M64" s="13">
        <v>4381.5</v>
      </c>
      <c r="N64" s="13"/>
      <c r="O64" s="15">
        <f t="shared" ref="O64:O67" si="7">(0.89*0.15406)/(K64*F64)</f>
        <v>9.0317394500627017</v>
      </c>
      <c r="P64" s="15">
        <f t="shared" ref="P64:P67" si="8">(0.89*0.15406)/(L64*F64)</f>
        <v>7.1972908913861788</v>
      </c>
      <c r="Q64" s="13">
        <v>6954.28</v>
      </c>
      <c r="R64" s="13"/>
      <c r="S64" s="14">
        <f t="shared" ref="S64:S67" si="9">Q64/M64</f>
        <v>1.5871916010498688</v>
      </c>
      <c r="T64" s="14">
        <f t="shared" ref="T64:T67" si="10">(0.1652/G64^2)</f>
        <v>3.9805481141422936</v>
      </c>
      <c r="U64" s="15" t="s">
        <v>16</v>
      </c>
      <c r="V64" s="15">
        <f>G64*2</f>
        <v>0.40743992036602555</v>
      </c>
    </row>
    <row r="65" spans="1:22" x14ac:dyDescent="0.25">
      <c r="A65" s="13">
        <v>64.794600000000003</v>
      </c>
      <c r="B65" s="13"/>
      <c r="C65" s="14">
        <f t="shared" si="0"/>
        <v>32.397300000000001</v>
      </c>
      <c r="D65" s="14">
        <f t="shared" si="1"/>
        <v>0.5654395537563589</v>
      </c>
      <c r="E65" s="14">
        <f t="shared" si="2"/>
        <v>0.53578700636794685</v>
      </c>
      <c r="F65" s="14">
        <f t="shared" si="3"/>
        <v>0.84435317480736327</v>
      </c>
      <c r="G65" s="14">
        <f t="shared" si="4"/>
        <v>0.14376981726783489</v>
      </c>
      <c r="H65" s="13">
        <v>0.92740800000000001</v>
      </c>
      <c r="I65" s="13"/>
      <c r="J65" s="14">
        <f>RADIANS(H65)</f>
        <v>1.6186323109335571E-2</v>
      </c>
      <c r="K65" s="14">
        <f t="shared" si="5"/>
        <v>1.147393410933557E-2</v>
      </c>
      <c r="L65" s="14">
        <f t="shared" si="6"/>
        <v>1.5485168572298131E-2</v>
      </c>
      <c r="M65" s="13">
        <v>8397.9599999999991</v>
      </c>
      <c r="N65" s="13"/>
      <c r="O65" s="15">
        <f t="shared" si="7"/>
        <v>14.152833840657841</v>
      </c>
      <c r="P65" s="15">
        <f t="shared" si="8"/>
        <v>10.486723614916572</v>
      </c>
      <c r="Q65" s="13">
        <v>10647.1</v>
      </c>
      <c r="R65" s="13"/>
      <c r="S65" s="14">
        <f t="shared" si="9"/>
        <v>1.2678198038571273</v>
      </c>
      <c r="T65" s="14">
        <f t="shared" si="10"/>
        <v>7.9923519743296003</v>
      </c>
      <c r="U65" s="15" t="s">
        <v>17</v>
      </c>
      <c r="V65" s="15">
        <f>G65*(8^(1/2))</f>
        <v>0.40664245088014739</v>
      </c>
    </row>
    <row r="66" spans="1:22" x14ac:dyDescent="0.25">
      <c r="A66" s="13">
        <v>77.727599999999995</v>
      </c>
      <c r="B66" s="13"/>
      <c r="C66" s="14">
        <f t="shared" si="0"/>
        <v>38.863799999999998</v>
      </c>
      <c r="D66" s="14">
        <f t="shared" si="1"/>
        <v>0.67830126983657224</v>
      </c>
      <c r="E66" s="14">
        <f t="shared" si="2"/>
        <v>0.62747123117332537</v>
      </c>
      <c r="F66" s="14">
        <f t="shared" si="3"/>
        <v>0.77863974599928509</v>
      </c>
      <c r="G66" s="14">
        <f t="shared" si="4"/>
        <v>0.12276260037605155</v>
      </c>
      <c r="H66" s="13">
        <v>1.23027</v>
      </c>
      <c r="I66" s="13"/>
      <c r="J66" s="14">
        <f>RADIANS(H66)</f>
        <v>2.1472262188510637E-2</v>
      </c>
      <c r="K66" s="14">
        <f t="shared" si="5"/>
        <v>1.6759873188510636E-2</v>
      </c>
      <c r="L66" s="14">
        <f t="shared" si="6"/>
        <v>2.0948781191392079E-2</v>
      </c>
      <c r="M66" s="13">
        <v>2541.2600000000002</v>
      </c>
      <c r="N66" s="13"/>
      <c r="O66" s="15">
        <f t="shared" si="7"/>
        <v>10.506851719218123</v>
      </c>
      <c r="P66" s="15">
        <f t="shared" si="8"/>
        <v>8.4059068074536984</v>
      </c>
      <c r="Q66" s="13">
        <v>3924.1</v>
      </c>
      <c r="R66" s="13"/>
      <c r="S66" s="14">
        <f t="shared" si="9"/>
        <v>1.5441552615631615</v>
      </c>
      <c r="T66" s="14">
        <f t="shared" si="10"/>
        <v>10.961699307579268</v>
      </c>
      <c r="U66" s="15" t="s">
        <v>18</v>
      </c>
      <c r="V66" s="15">
        <f>G66*(11^(1/2))</f>
        <v>0.40715748373570571</v>
      </c>
    </row>
    <row r="67" spans="1:22" x14ac:dyDescent="0.25">
      <c r="A67" s="13">
        <v>81.930800000000005</v>
      </c>
      <c r="B67" s="13"/>
      <c r="C67" s="14">
        <f t="shared" si="0"/>
        <v>40.965400000000002</v>
      </c>
      <c r="D67" s="14">
        <f t="shared" si="1"/>
        <v>0.71498110939648507</v>
      </c>
      <c r="E67" s="14">
        <f t="shared" si="2"/>
        <v>0.6556031524131245</v>
      </c>
      <c r="F67" s="14">
        <f t="shared" si="3"/>
        <v>0.75510562608549903</v>
      </c>
      <c r="G67" s="14">
        <f t="shared" si="4"/>
        <v>0.11749485907209305</v>
      </c>
      <c r="H67" s="13">
        <v>0.93405199999999999</v>
      </c>
      <c r="I67" s="13"/>
      <c r="J67" s="14">
        <f>RADIANS(H67)</f>
        <v>1.6302282784838074E-2</v>
      </c>
      <c r="K67" s="14">
        <f t="shared" si="5"/>
        <v>1.1589893784838073E-2</v>
      </c>
      <c r="L67" s="14">
        <f t="shared" si="6"/>
        <v>1.5606338901533146E-2</v>
      </c>
      <c r="M67" s="13">
        <v>649.74</v>
      </c>
      <c r="N67" s="13"/>
      <c r="O67" s="15">
        <f t="shared" si="7"/>
        <v>15.667248727289365</v>
      </c>
      <c r="P67" s="15">
        <f t="shared" si="8"/>
        <v>11.635127866669926</v>
      </c>
      <c r="Q67" s="13">
        <v>787.59500000000003</v>
      </c>
      <c r="R67" s="13"/>
      <c r="S67" s="14">
        <f t="shared" si="9"/>
        <v>1.2121694831778866</v>
      </c>
      <c r="T67" s="14">
        <f t="shared" si="10"/>
        <v>11.966642411989143</v>
      </c>
      <c r="U67" s="15" t="s">
        <v>15</v>
      </c>
      <c r="V67" s="15">
        <f>G67*(12^(1/2))</f>
        <v>0.40701413108202034</v>
      </c>
    </row>
    <row r="68" spans="1:2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" thickBo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" thickBot="1" x14ac:dyDescent="0.3">
      <c r="A70" s="10" t="s">
        <v>10</v>
      </c>
      <c r="B70" s="2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 thickBot="1" x14ac:dyDescent="0.4">
      <c r="A71" s="7" t="s">
        <v>4</v>
      </c>
      <c r="B71" s="7"/>
      <c r="C71" s="12" t="s">
        <v>7</v>
      </c>
      <c r="D71" s="12" t="s">
        <v>3</v>
      </c>
      <c r="E71" s="8" t="s">
        <v>1</v>
      </c>
      <c r="F71" s="8" t="s">
        <v>2</v>
      </c>
      <c r="G71" s="8" t="s">
        <v>6</v>
      </c>
      <c r="H71" s="7" t="s">
        <v>24</v>
      </c>
      <c r="I71" s="7"/>
      <c r="J71" s="8" t="s">
        <v>23</v>
      </c>
      <c r="K71" s="8" t="s">
        <v>25</v>
      </c>
      <c r="L71" s="8" t="s">
        <v>26</v>
      </c>
      <c r="M71" s="7" t="s">
        <v>20</v>
      </c>
      <c r="N71" s="7"/>
      <c r="O71" s="9" t="s">
        <v>27</v>
      </c>
      <c r="P71" s="9" t="s">
        <v>28</v>
      </c>
      <c r="Q71" s="7" t="s">
        <v>8</v>
      </c>
      <c r="R71" s="7"/>
      <c r="S71" s="8" t="s">
        <v>11</v>
      </c>
      <c r="T71" s="8" t="s">
        <v>12</v>
      </c>
      <c r="U71" s="9" t="s">
        <v>13</v>
      </c>
      <c r="V71" s="9" t="s">
        <v>19</v>
      </c>
    </row>
    <row r="72" spans="1:22" x14ac:dyDescent="0.25">
      <c r="A72" s="16">
        <v>38.283679999999997</v>
      </c>
      <c r="B72" s="16"/>
      <c r="C72" s="17">
        <f>A72/2</f>
        <v>19.141839999999998</v>
      </c>
      <c r="D72" s="17">
        <f>RADIANS(C72)</f>
        <v>0.33408813288995132</v>
      </c>
      <c r="E72" s="17">
        <f>SIN(D72)</f>
        <v>0.32790785660746291</v>
      </c>
      <c r="F72" s="17">
        <f>COS(D72)</f>
        <v>0.94470971074457555</v>
      </c>
      <c r="G72" s="17">
        <f>0.15406/(2*E72)</f>
        <v>0.23491355406043926</v>
      </c>
      <c r="H72" s="16">
        <v>0.80101999999999995</v>
      </c>
      <c r="I72" s="16"/>
      <c r="J72" s="17">
        <f>RADIANS(H72)</f>
        <v>1.3980436374324978E-2</v>
      </c>
      <c r="K72" s="17">
        <f>J72-0.004712389</f>
        <v>9.2680473743249787E-3</v>
      </c>
      <c r="L72" s="17">
        <f>((J72^2)-(0.004712389)^2)^(1/2)</f>
        <v>1.3162294295799192E-2</v>
      </c>
      <c r="M72" s="16">
        <v>17464</v>
      </c>
      <c r="N72" s="16"/>
      <c r="O72" s="18">
        <f>(0.89*0.15406)/(K72*F72)</f>
        <v>15.660054732169295</v>
      </c>
      <c r="P72" s="18">
        <f>(0.89*0.15406)/(L72*F72)</f>
        <v>11.02681081888502</v>
      </c>
      <c r="Q72" s="16">
        <v>19925.016869999999</v>
      </c>
      <c r="R72" s="16"/>
      <c r="S72" s="17">
        <f>Q72/M72</f>
        <v>1.1409194268208886</v>
      </c>
      <c r="T72" s="17">
        <f>(0.1652/G72^2)</f>
        <v>2.993600840355938</v>
      </c>
      <c r="U72" s="18" t="s">
        <v>14</v>
      </c>
      <c r="V72" s="18">
        <f>G72*(3^(1/2))</f>
        <v>0.40688221101925892</v>
      </c>
    </row>
    <row r="73" spans="1:22" x14ac:dyDescent="0.25">
      <c r="A73" s="13">
        <v>44.414160000000003</v>
      </c>
      <c r="B73" s="13"/>
      <c r="C73" s="14">
        <f t="shared" ref="C73:C76" si="11">A73/2</f>
        <v>22.207080000000001</v>
      </c>
      <c r="D73" s="14">
        <f t="shared" ref="D73:D76" si="12">RADIANS(C73)</f>
        <v>0.38758666325378238</v>
      </c>
      <c r="E73" s="14">
        <f t="shared" ref="E73:E76" si="13">SIN(D73)</f>
        <v>0.37795519312375797</v>
      </c>
      <c r="F73" s="14">
        <f t="shared" ref="F73:F76" si="14">COS(D73)</f>
        <v>0.92582388821567074</v>
      </c>
      <c r="G73" s="14">
        <f t="shared" ref="G73:G76" si="15">0.15406/(2*E73)</f>
        <v>0.20380722742120713</v>
      </c>
      <c r="H73" s="13">
        <v>1.18581</v>
      </c>
      <c r="I73" s="13"/>
      <c r="J73" s="14">
        <f>RADIANS(H73)</f>
        <v>2.0696288803073958E-2</v>
      </c>
      <c r="K73" s="14">
        <f t="shared" ref="K73:K76" si="16">J73-0.004712389</f>
        <v>1.5983899803073957E-2</v>
      </c>
      <c r="L73" s="14">
        <f t="shared" ref="L73:L76" si="17">((J73^2)-(0.004712389)^2)^(1/2)</f>
        <v>2.0152661366006314E-2</v>
      </c>
      <c r="M73" s="13">
        <v>4110</v>
      </c>
      <c r="N73" s="13"/>
      <c r="O73" s="15">
        <f t="shared" ref="O73:O76" si="18">(0.89*0.15406)/(K73*F73)</f>
        <v>9.2654980586240416</v>
      </c>
      <c r="P73" s="15">
        <f t="shared" ref="P73:P76" si="19">(0.89*0.15406)/(L73*F73)</f>
        <v>7.3488453909336888</v>
      </c>
      <c r="Q73" s="13">
        <v>6887.37</v>
      </c>
      <c r="R73" s="13"/>
      <c r="S73" s="14">
        <f t="shared" ref="S73:S76" si="20">Q73/M73</f>
        <v>1.6757591240875913</v>
      </c>
      <c r="T73" s="14">
        <f t="shared" ref="T73:T76" si="21">(0.1652/G73^2)</f>
        <v>3.9771400203748573</v>
      </c>
      <c r="U73" s="15" t="s">
        <v>16</v>
      </c>
      <c r="V73" s="15">
        <f>G73*2</f>
        <v>0.40761445484241426</v>
      </c>
    </row>
    <row r="74" spans="1:22" x14ac:dyDescent="0.25">
      <c r="A74" s="13">
        <v>64.792140000000003</v>
      </c>
      <c r="B74" s="13"/>
      <c r="C74" s="14">
        <f t="shared" si="11"/>
        <v>32.396070000000002</v>
      </c>
      <c r="D74" s="14">
        <f t="shared" si="12"/>
        <v>0.56541808620655942</v>
      </c>
      <c r="E74" s="14">
        <f t="shared" si="13"/>
        <v>0.53576888005065948</v>
      </c>
      <c r="F74" s="14">
        <f t="shared" si="14"/>
        <v>0.84436467664704096</v>
      </c>
      <c r="G74" s="14">
        <f t="shared" si="15"/>
        <v>0.14377468133781202</v>
      </c>
      <c r="H74" s="13">
        <v>0.91678000000000004</v>
      </c>
      <c r="I74" s="13"/>
      <c r="J74" s="14">
        <f>RADIANS(H74)</f>
        <v>1.6000829516433616E-2</v>
      </c>
      <c r="K74" s="14">
        <f t="shared" si="16"/>
        <v>1.1288440516433615E-2</v>
      </c>
      <c r="L74" s="14">
        <f t="shared" si="17"/>
        <v>1.5291171803581706E-2</v>
      </c>
      <c r="M74" s="13">
        <v>8379</v>
      </c>
      <c r="N74" s="13"/>
      <c r="O74" s="15">
        <f t="shared" si="18"/>
        <v>14.385199680283161</v>
      </c>
      <c r="P74" s="15">
        <f t="shared" si="19"/>
        <v>10.619622419640852</v>
      </c>
      <c r="Q74" s="13">
        <v>11269.827740000001</v>
      </c>
      <c r="R74" s="13"/>
      <c r="S74" s="14">
        <f t="shared" si="20"/>
        <v>1.3450086812268769</v>
      </c>
      <c r="T74" s="14">
        <f t="shared" si="21"/>
        <v>7.9918112017634835</v>
      </c>
      <c r="U74" s="15" t="s">
        <v>17</v>
      </c>
      <c r="V74" s="15">
        <f>G74*(8^(1/2))</f>
        <v>0.40665620854760737</v>
      </c>
    </row>
    <row r="75" spans="1:22" x14ac:dyDescent="0.25">
      <c r="A75" s="13">
        <v>77.749269999999996</v>
      </c>
      <c r="B75" s="13"/>
      <c r="C75" s="14">
        <f t="shared" si="11"/>
        <v>38.874634999999998</v>
      </c>
      <c r="D75" s="14">
        <f t="shared" si="12"/>
        <v>0.67849037626102582</v>
      </c>
      <c r="E75" s="14">
        <f t="shared" si="13"/>
        <v>0.62761846573117663</v>
      </c>
      <c r="F75" s="14">
        <f t="shared" si="14"/>
        <v>0.77852107323645636</v>
      </c>
      <c r="G75" s="14">
        <f t="shared" si="15"/>
        <v>0.12273380119601789</v>
      </c>
      <c r="H75" s="13">
        <v>1.21959</v>
      </c>
      <c r="I75" s="13"/>
      <c r="J75" s="14">
        <f>RADIANS(H75)</f>
        <v>2.1285861024397643E-2</v>
      </c>
      <c r="K75" s="14">
        <f t="shared" si="16"/>
        <v>1.6573472024397642E-2</v>
      </c>
      <c r="L75" s="14">
        <f t="shared" si="17"/>
        <v>2.0757679770693295E-2</v>
      </c>
      <c r="M75" s="13">
        <v>2749</v>
      </c>
      <c r="N75" s="13"/>
      <c r="O75" s="15">
        <f t="shared" si="18"/>
        <v>10.626641462346234</v>
      </c>
      <c r="P75" s="15">
        <f t="shared" si="19"/>
        <v>8.4845872436164402</v>
      </c>
      <c r="Q75" s="13">
        <v>5290.2677800000001</v>
      </c>
      <c r="R75" s="13"/>
      <c r="S75" s="14">
        <f t="shared" si="20"/>
        <v>1.9244335321935249</v>
      </c>
      <c r="T75" s="14">
        <f t="shared" si="21"/>
        <v>10.966844181875544</v>
      </c>
      <c r="U75" s="15" t="s">
        <v>18</v>
      </c>
      <c r="V75" s="15">
        <f>G75*(11^(1/2))</f>
        <v>0.40706196766126412</v>
      </c>
    </row>
    <row r="76" spans="1:22" x14ac:dyDescent="0.25">
      <c r="A76" s="13">
        <v>81.861429999999999</v>
      </c>
      <c r="B76" s="13"/>
      <c r="C76" s="14">
        <f t="shared" si="11"/>
        <v>40.930714999999999</v>
      </c>
      <c r="D76" s="14">
        <f t="shared" si="12"/>
        <v>0.71437574194543085</v>
      </c>
      <c r="E76" s="14">
        <f t="shared" si="13"/>
        <v>0.65514591594354599</v>
      </c>
      <c r="F76" s="14">
        <f t="shared" si="14"/>
        <v>0.75550236850885666</v>
      </c>
      <c r="G76" s="14">
        <f t="shared" si="15"/>
        <v>0.11757686055183726</v>
      </c>
      <c r="H76" s="13">
        <v>1.0368599999999999</v>
      </c>
      <c r="I76" s="13"/>
      <c r="J76" s="14">
        <f>RADIANS(H76)</f>
        <v>1.8096620882228402E-2</v>
      </c>
      <c r="K76" s="14">
        <f t="shared" si="16"/>
        <v>1.3384231882228401E-2</v>
      </c>
      <c r="L76" s="14">
        <f t="shared" si="17"/>
        <v>1.7472294562185704E-2</v>
      </c>
      <c r="M76" s="13">
        <v>607</v>
      </c>
      <c r="N76" s="13"/>
      <c r="O76" s="15">
        <f t="shared" si="18"/>
        <v>13.559716755493724</v>
      </c>
      <c r="P76" s="15">
        <f t="shared" si="19"/>
        <v>10.38709556245958</v>
      </c>
      <c r="Q76" s="13">
        <v>759.92623000000003</v>
      </c>
      <c r="R76" s="13"/>
      <c r="S76" s="14">
        <f t="shared" si="20"/>
        <v>1.2519377759472818</v>
      </c>
      <c r="T76" s="14">
        <f t="shared" si="21"/>
        <v>11.949956472366527</v>
      </c>
      <c r="U76" s="15" t="s">
        <v>15</v>
      </c>
      <c r="V76" s="15">
        <f>G76*(12^(1/2))</f>
        <v>0.40729819254044597</v>
      </c>
    </row>
    <row r="77" spans="1:22" x14ac:dyDescent="0.25">
      <c r="A77" s="6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22" x14ac:dyDescent="0.25">
      <c r="A78" s="5"/>
      <c r="B78" s="5"/>
      <c r="C78" s="6"/>
      <c r="E78" s="6"/>
    </row>
    <row r="79" spans="1:22" ht="14" thickBot="1" x14ac:dyDescent="0.3">
      <c r="A79" s="19" t="s">
        <v>29</v>
      </c>
      <c r="B79" s="19"/>
      <c r="C79" s="20" t="s">
        <v>30</v>
      </c>
      <c r="D79" s="4"/>
      <c r="E79" s="5"/>
      <c r="F79" s="4"/>
      <c r="G79" s="6"/>
      <c r="H79" s="5"/>
      <c r="I79" s="5"/>
      <c r="J79" s="5"/>
      <c r="K79" s="5"/>
      <c r="L79" s="5"/>
      <c r="M79" s="5"/>
      <c r="N79" s="5"/>
    </row>
    <row r="80" spans="1:22" x14ac:dyDescent="0.25">
      <c r="G80" s="5"/>
      <c r="H80" s="5"/>
      <c r="I80" s="5"/>
      <c r="J80" s="11" t="s">
        <v>9</v>
      </c>
      <c r="K80" s="4"/>
      <c r="L80" s="4"/>
      <c r="M80" s="4"/>
      <c r="N80" s="4"/>
      <c r="O80" s="4"/>
    </row>
    <row r="81" spans="2:19" ht="14.5" x14ac:dyDescent="0.35">
      <c r="G81" s="6"/>
      <c r="H81" s="6"/>
      <c r="I81" s="6"/>
      <c r="J81" s="23" t="s">
        <v>4</v>
      </c>
      <c r="K81" s="24"/>
      <c r="L81" s="23" t="s">
        <v>24</v>
      </c>
      <c r="M81" s="25"/>
      <c r="N81" s="25"/>
      <c r="O81" s="23" t="s">
        <v>20</v>
      </c>
      <c r="P81" s="25"/>
      <c r="Q81" s="23" t="s">
        <v>8</v>
      </c>
      <c r="R81" s="21"/>
      <c r="S81" s="5"/>
    </row>
    <row r="82" spans="2:19" x14ac:dyDescent="0.25">
      <c r="G82" s="5"/>
      <c r="H82" s="5"/>
      <c r="I82" s="5"/>
      <c r="J82" s="22">
        <v>38.286900000000003</v>
      </c>
      <c r="K82" s="23">
        <v>6.4810700000000002E-3</v>
      </c>
      <c r="L82" s="22">
        <v>0.80893700000000002</v>
      </c>
      <c r="M82" s="23">
        <f>0.0105088*2</f>
        <v>2.1017600000000001E-2</v>
      </c>
      <c r="N82" s="23"/>
      <c r="O82" s="22">
        <v>17590.2</v>
      </c>
      <c r="P82" s="23">
        <v>382.25599999999997</v>
      </c>
      <c r="Q82" s="22">
        <v>19185.7</v>
      </c>
      <c r="R82" s="31"/>
    </row>
    <row r="83" spans="2:19" x14ac:dyDescent="0.25">
      <c r="J83" s="22">
        <v>44.434199999999997</v>
      </c>
      <c r="K83" s="23">
        <v>1.8167800000000001E-2</v>
      </c>
      <c r="L83" s="22">
        <v>1.2095800000000001</v>
      </c>
      <c r="M83" s="23">
        <f>0.0287493*2</f>
        <v>5.7498599999999997E-2</v>
      </c>
      <c r="N83" s="23"/>
      <c r="O83" s="22">
        <v>4381.5</v>
      </c>
      <c r="P83" s="23">
        <v>169.36600000000001</v>
      </c>
      <c r="Q83" s="22">
        <v>6954.28</v>
      </c>
      <c r="R83" s="31"/>
    </row>
    <row r="84" spans="2:19" x14ac:dyDescent="0.25">
      <c r="J84" s="22">
        <v>64.794600000000003</v>
      </c>
      <c r="K84" s="23">
        <v>1.00249E-2</v>
      </c>
      <c r="L84" s="22">
        <v>0.92740800000000001</v>
      </c>
      <c r="M84" s="23">
        <f>0.0166331*2</f>
        <v>3.3266200000000003E-2</v>
      </c>
      <c r="N84" s="23"/>
      <c r="O84" s="22">
        <v>8397.9599999999991</v>
      </c>
      <c r="P84" s="23">
        <v>247.666</v>
      </c>
      <c r="Q84" s="22">
        <v>10647.1</v>
      </c>
      <c r="R84" s="31"/>
    </row>
    <row r="85" spans="2:19" x14ac:dyDescent="0.25">
      <c r="J85" s="22">
        <v>77.727599999999995</v>
      </c>
      <c r="K85" s="23">
        <v>2.3568100000000002E-2</v>
      </c>
      <c r="L85" s="22">
        <v>1.23027</v>
      </c>
      <c r="M85" s="23">
        <f>2* 0.0355576</f>
        <v>7.1115200000000003E-2</v>
      </c>
      <c r="N85" s="23"/>
      <c r="O85" s="22">
        <v>2541.2600000000002</v>
      </c>
      <c r="P85" s="23">
        <v>126.59</v>
      </c>
      <c r="Q85" s="22">
        <v>3924.1</v>
      </c>
      <c r="R85" s="31"/>
    </row>
    <row r="86" spans="2:19" x14ac:dyDescent="0.25">
      <c r="J86" s="22">
        <v>81.930800000000005</v>
      </c>
      <c r="K86" s="23">
        <v>5.97916E-2</v>
      </c>
      <c r="L86" s="22">
        <v>0.93405199999999999</v>
      </c>
      <c r="M86" s="23">
        <f>2*0.0947348</f>
        <v>0.18946959999999999</v>
      </c>
      <c r="N86" s="23"/>
      <c r="O86" s="22">
        <v>649.74</v>
      </c>
      <c r="P86" s="23">
        <v>98.137699999999995</v>
      </c>
      <c r="Q86" s="22">
        <v>787.59500000000003</v>
      </c>
      <c r="R86" s="31"/>
    </row>
    <row r="88" spans="2:19" ht="14" thickBot="1" x14ac:dyDescent="0.3"/>
    <row r="89" spans="2:19" x14ac:dyDescent="0.25">
      <c r="B89" s="10" t="s">
        <v>10</v>
      </c>
      <c r="C89" t="s">
        <v>36</v>
      </c>
      <c r="H89" s="10" t="s">
        <v>10</v>
      </c>
      <c r="I89" t="s">
        <v>32</v>
      </c>
      <c r="N89" s="10" t="s">
        <v>10</v>
      </c>
      <c r="O89" t="s">
        <v>31</v>
      </c>
    </row>
    <row r="90" spans="2:19" x14ac:dyDescent="0.25">
      <c r="C90" t="s">
        <v>46</v>
      </c>
      <c r="D90" t="s">
        <v>47</v>
      </c>
      <c r="E90" t="s">
        <v>48</v>
      </c>
      <c r="F90" t="s">
        <v>49</v>
      </c>
      <c r="G90" t="s">
        <v>50</v>
      </c>
      <c r="I90" t="s">
        <v>46</v>
      </c>
      <c r="J90" t="s">
        <v>47</v>
      </c>
      <c r="K90" t="s">
        <v>48</v>
      </c>
      <c r="L90" t="s">
        <v>49</v>
      </c>
      <c r="M90" t="s">
        <v>50</v>
      </c>
      <c r="O90" t="s">
        <v>46</v>
      </c>
      <c r="P90" t="s">
        <v>47</v>
      </c>
      <c r="Q90" t="s">
        <v>48</v>
      </c>
      <c r="R90" t="s">
        <v>49</v>
      </c>
      <c r="S90" t="s">
        <v>50</v>
      </c>
    </row>
    <row r="91" spans="2:19" x14ac:dyDescent="0.25">
      <c r="B91" t="s">
        <v>37</v>
      </c>
      <c r="C91">
        <v>-71.939779999999999</v>
      </c>
      <c r="D91">
        <v>4.3288700000000002</v>
      </c>
      <c r="E91">
        <v>-16.61862</v>
      </c>
      <c r="F91" s="32">
        <v>7.2739900000000001E-56</v>
      </c>
      <c r="G91">
        <v>0.58113999999999999</v>
      </c>
      <c r="H91" s="2" t="s">
        <v>37</v>
      </c>
      <c r="I91" s="2">
        <v>-151.72302999999999</v>
      </c>
      <c r="J91" s="2">
        <v>6.3671899999999999</v>
      </c>
      <c r="K91" s="2">
        <v>-23.828869999999998</v>
      </c>
      <c r="L91" s="35">
        <v>8.5612899999999997E-103</v>
      </c>
      <c r="M91">
        <v>0.44584000000000001</v>
      </c>
      <c r="N91" s="2" t="s">
        <v>37</v>
      </c>
      <c r="O91" s="2">
        <v>64.077640000000002</v>
      </c>
      <c r="P91" s="2">
        <v>7.2134900000000002</v>
      </c>
      <c r="Q91" s="2">
        <v>8.8830299999999998</v>
      </c>
      <c r="R91" s="35">
        <v>2.3738199999999999E-18</v>
      </c>
      <c r="S91" s="2">
        <v>0.21883</v>
      </c>
    </row>
    <row r="92" spans="2:19" x14ac:dyDescent="0.25">
      <c r="B92" t="s">
        <v>38</v>
      </c>
      <c r="C92">
        <v>38.284219999999998</v>
      </c>
      <c r="D92" s="32">
        <v>9.0585199999999996E-4</v>
      </c>
      <c r="E92">
        <v>42263.21211</v>
      </c>
      <c r="F92">
        <v>0</v>
      </c>
      <c r="G92">
        <v>0.12084</v>
      </c>
      <c r="H92" s="2" t="s">
        <v>38</v>
      </c>
      <c r="I92" s="2">
        <v>38.281770000000002</v>
      </c>
      <c r="J92" s="2">
        <v>1.3500000000000001E-3</v>
      </c>
      <c r="K92" s="2">
        <v>28388.60226</v>
      </c>
      <c r="L92" s="2">
        <v>0</v>
      </c>
      <c r="M92" s="32">
        <v>6.3604900000000005E-5</v>
      </c>
      <c r="N92" s="2" t="s">
        <v>38</v>
      </c>
      <c r="O92" s="2">
        <v>38.285490000000003</v>
      </c>
      <c r="P92" s="2">
        <v>1.9400000000000001E-3</v>
      </c>
      <c r="Q92" s="2">
        <v>19716.423470000002</v>
      </c>
      <c r="R92" s="2">
        <v>0</v>
      </c>
      <c r="S92" s="2">
        <v>0</v>
      </c>
    </row>
    <row r="93" spans="2:19" x14ac:dyDescent="0.25">
      <c r="B93" t="s">
        <v>40</v>
      </c>
      <c r="C93">
        <v>19366.583460000002</v>
      </c>
      <c r="D93">
        <v>62.941569999999999</v>
      </c>
      <c r="E93">
        <v>307.69144999999997</v>
      </c>
      <c r="F93">
        <v>0</v>
      </c>
      <c r="G93">
        <v>0.76817000000000002</v>
      </c>
      <c r="H93" s="2" t="s">
        <v>39</v>
      </c>
      <c r="I93" s="2">
        <v>0.72313000000000005</v>
      </c>
      <c r="J93" s="2">
        <v>3.9100000000000003E-3</v>
      </c>
      <c r="K93" s="2">
        <v>184.75002000000001</v>
      </c>
      <c r="L93" s="2">
        <v>0</v>
      </c>
      <c r="M93">
        <v>0.52522999999999997</v>
      </c>
      <c r="N93" s="2" t="s">
        <v>39</v>
      </c>
      <c r="O93" s="2">
        <v>0.75926000000000005</v>
      </c>
      <c r="P93" s="2">
        <v>3.9100000000000003E-3</v>
      </c>
      <c r="Q93" s="2">
        <v>194.11444</v>
      </c>
      <c r="R93" s="2">
        <v>0</v>
      </c>
      <c r="S93" s="2">
        <v>0.34277000000000002</v>
      </c>
    </row>
    <row r="94" spans="2:19" x14ac:dyDescent="0.25">
      <c r="B94" t="s">
        <v>39</v>
      </c>
      <c r="C94">
        <v>0.80286999999999997</v>
      </c>
      <c r="D94">
        <v>2.9499999999999999E-3</v>
      </c>
      <c r="E94">
        <v>272.10682000000003</v>
      </c>
      <c r="F94">
        <v>0</v>
      </c>
      <c r="G94">
        <v>0.68357999999999997</v>
      </c>
      <c r="H94" s="2" t="s">
        <v>40</v>
      </c>
      <c r="I94" s="2">
        <v>20983.9755</v>
      </c>
      <c r="J94" s="2">
        <v>82.516540000000006</v>
      </c>
      <c r="K94" s="2">
        <v>254.30024</v>
      </c>
      <c r="L94" s="2">
        <v>0</v>
      </c>
      <c r="M94">
        <v>0.55025000000000002</v>
      </c>
      <c r="N94" s="2" t="s">
        <v>40</v>
      </c>
      <c r="O94" s="2">
        <v>15839.56878</v>
      </c>
      <c r="P94" s="2">
        <v>71.660089999999997</v>
      </c>
      <c r="Q94" s="2">
        <v>221.03754000000001</v>
      </c>
      <c r="R94" s="2">
        <v>0</v>
      </c>
      <c r="S94" s="2">
        <v>0.36086000000000001</v>
      </c>
    </row>
    <row r="95" spans="2:19" x14ac:dyDescent="0.25">
      <c r="B95" t="s">
        <v>45</v>
      </c>
      <c r="C95">
        <v>0.67674000000000001</v>
      </c>
      <c r="D95">
        <v>8.8000000000000005E-3</v>
      </c>
      <c r="E95">
        <v>76.900750000000002</v>
      </c>
      <c r="F95">
        <v>0</v>
      </c>
      <c r="G95">
        <v>0.84569000000000005</v>
      </c>
      <c r="H95" s="2" t="s">
        <v>44</v>
      </c>
      <c r="I95" s="2">
        <v>18473.706429999998</v>
      </c>
      <c r="J95" s="2">
        <v>68.911860000000004</v>
      </c>
      <c r="K95" s="2"/>
      <c r="L95" s="2"/>
      <c r="N95" s="2" t="s">
        <v>41</v>
      </c>
      <c r="O95" s="2">
        <v>0.37963000000000002</v>
      </c>
      <c r="P95" s="2">
        <v>1.9599999999999999E-3</v>
      </c>
      <c r="Q95" s="2"/>
      <c r="R95" s="2"/>
      <c r="S95" s="2"/>
    </row>
    <row r="96" spans="2:19" x14ac:dyDescent="0.25">
      <c r="C96">
        <v>-71.939779999999999</v>
      </c>
      <c r="D96">
        <v>4.3288700000000002</v>
      </c>
      <c r="E96">
        <v>-16.61862</v>
      </c>
      <c r="F96" s="32">
        <v>7.2739900000000001E-56</v>
      </c>
      <c r="G96">
        <v>0.58113999999999999</v>
      </c>
      <c r="H96" s="2"/>
      <c r="I96" s="2">
        <v>-151.72302999999999</v>
      </c>
      <c r="J96" s="2">
        <v>6.3671899999999999</v>
      </c>
      <c r="K96" s="2">
        <v>-23.828869999999998</v>
      </c>
      <c r="L96" s="35">
        <v>8.5612899999999997E-103</v>
      </c>
      <c r="M96">
        <v>0.44584000000000001</v>
      </c>
      <c r="N96" s="2" t="s">
        <v>42</v>
      </c>
      <c r="O96" s="2">
        <v>0.89395999999999998</v>
      </c>
      <c r="P96" s="2">
        <v>4.6100000000000004E-3</v>
      </c>
      <c r="Q96" s="2"/>
      <c r="R96" s="2"/>
      <c r="S96" s="2"/>
    </row>
    <row r="97" spans="3:19" x14ac:dyDescent="0.25">
      <c r="C97">
        <v>44.451659999999997</v>
      </c>
      <c r="D97">
        <v>4.2399999999999998E-3</v>
      </c>
      <c r="E97">
        <v>10480.67621</v>
      </c>
      <c r="F97">
        <v>0</v>
      </c>
      <c r="G97">
        <v>6.8809999999999996E-2</v>
      </c>
      <c r="H97" s="2"/>
      <c r="I97" s="2">
        <v>44.43956</v>
      </c>
      <c r="J97" s="2">
        <v>6.3600000000000002E-3</v>
      </c>
      <c r="K97" s="2">
        <v>6984.0615900000003</v>
      </c>
      <c r="L97" s="2">
        <v>0</v>
      </c>
      <c r="M97" s="32">
        <v>1.07105E-4</v>
      </c>
      <c r="N97" s="2" t="s">
        <v>43</v>
      </c>
      <c r="O97" s="2">
        <v>16645.39977</v>
      </c>
      <c r="P97" s="2">
        <v>73.910889999999995</v>
      </c>
      <c r="Q97" s="2"/>
      <c r="R97" s="2"/>
      <c r="S97" s="2"/>
    </row>
    <row r="98" spans="3:19" x14ac:dyDescent="0.25">
      <c r="C98">
        <v>6571.9050900000002</v>
      </c>
      <c r="D98">
        <v>81.630700000000004</v>
      </c>
      <c r="E98">
        <v>80.507769999999994</v>
      </c>
      <c r="F98">
        <v>0</v>
      </c>
      <c r="G98">
        <v>0.82504</v>
      </c>
      <c r="H98" s="2"/>
      <c r="I98" s="2">
        <v>1.0398799999999999</v>
      </c>
      <c r="J98" s="2">
        <v>1.8669999999999999E-2</v>
      </c>
      <c r="K98" s="2">
        <v>55.700119999999998</v>
      </c>
      <c r="L98" s="2">
        <v>0</v>
      </c>
      <c r="M98">
        <v>0.53537999999999997</v>
      </c>
      <c r="N98" s="2"/>
      <c r="O98" s="2">
        <v>64.077640000000002</v>
      </c>
      <c r="P98" s="2">
        <v>7.2134900000000002</v>
      </c>
      <c r="Q98" s="2">
        <v>8.8830299999999998</v>
      </c>
      <c r="R98" s="35">
        <v>2.3738199999999999E-18</v>
      </c>
      <c r="S98" s="2">
        <v>0.21883</v>
      </c>
    </row>
    <row r="99" spans="3:19" x14ac:dyDescent="0.25">
      <c r="C99">
        <v>1.2276100000000001</v>
      </c>
      <c r="D99">
        <v>1.2789999999999999E-2</v>
      </c>
      <c r="E99">
        <v>95.994950000000003</v>
      </c>
      <c r="F99">
        <v>0</v>
      </c>
      <c r="G99">
        <v>0.60997999999999997</v>
      </c>
      <c r="H99" s="2"/>
      <c r="I99" s="2">
        <v>7668.9531500000003</v>
      </c>
      <c r="J99" s="2">
        <v>101.12521</v>
      </c>
      <c r="K99" s="2">
        <v>75.836209999999994</v>
      </c>
      <c r="L99" s="2">
        <v>0</v>
      </c>
      <c r="M99">
        <v>0.56937000000000004</v>
      </c>
      <c r="N99" s="2"/>
      <c r="O99" s="2">
        <v>44.43159</v>
      </c>
      <c r="P99" s="2">
        <v>9.3200000000000002E-3</v>
      </c>
      <c r="Q99" s="2">
        <v>4764.8401000000003</v>
      </c>
      <c r="R99" s="2">
        <v>0</v>
      </c>
      <c r="S99" s="35">
        <v>-2.44249E-15</v>
      </c>
    </row>
    <row r="100" spans="3:19" x14ac:dyDescent="0.25">
      <c r="C100">
        <v>0.42707000000000001</v>
      </c>
      <c r="D100">
        <v>3.465E-2</v>
      </c>
      <c r="E100">
        <v>12.32616</v>
      </c>
      <c r="F100" s="32">
        <v>6.4243199999999998E-33</v>
      </c>
      <c r="G100">
        <v>0.86782999999999999</v>
      </c>
      <c r="H100" s="2"/>
      <c r="I100" s="2">
        <v>4694.9825899999996</v>
      </c>
      <c r="J100" s="2">
        <v>57.482640000000004</v>
      </c>
      <c r="K100" s="2"/>
      <c r="L100" s="2"/>
      <c r="N100" s="2"/>
      <c r="O100" s="2">
        <v>1.08118</v>
      </c>
      <c r="P100" s="2">
        <v>1.8839999999999999E-2</v>
      </c>
      <c r="Q100" s="2">
        <v>57.389420000000001</v>
      </c>
      <c r="R100" s="2">
        <v>0</v>
      </c>
      <c r="S100" s="2">
        <v>0.34669</v>
      </c>
    </row>
    <row r="101" spans="3:19" x14ac:dyDescent="0.25">
      <c r="C101">
        <v>-71.939779999999999</v>
      </c>
      <c r="D101">
        <v>4.3288700000000002</v>
      </c>
      <c r="E101">
        <v>-16.61862</v>
      </c>
      <c r="F101" s="32">
        <v>7.2739900000000001E-56</v>
      </c>
      <c r="G101">
        <v>0.58113999999999999</v>
      </c>
      <c r="H101" s="2"/>
      <c r="I101" s="2">
        <v>-151.72302999999999</v>
      </c>
      <c r="J101" s="2">
        <v>6.3671899999999999</v>
      </c>
      <c r="K101" s="2">
        <v>-23.828869999999998</v>
      </c>
      <c r="L101" s="35">
        <v>8.5612899999999997E-103</v>
      </c>
      <c r="M101">
        <v>0.44584000000000001</v>
      </c>
      <c r="N101" s="2"/>
      <c r="O101" s="2">
        <v>5604.9514099999997</v>
      </c>
      <c r="P101" s="2">
        <v>86.258390000000006</v>
      </c>
      <c r="Q101" s="2">
        <v>64.978620000000006</v>
      </c>
      <c r="R101" s="2">
        <v>0</v>
      </c>
      <c r="S101" s="2">
        <v>0.37186000000000002</v>
      </c>
    </row>
    <row r="102" spans="3:19" x14ac:dyDescent="0.25">
      <c r="C102">
        <v>50.725490000000001</v>
      </c>
      <c r="D102">
        <v>5.4999999999999997E-3</v>
      </c>
      <c r="E102">
        <v>9230.4975099999992</v>
      </c>
      <c r="F102">
        <v>0</v>
      </c>
      <c r="G102">
        <v>0.52976999999999996</v>
      </c>
      <c r="H102" s="2"/>
      <c r="I102" s="2">
        <v>50.724580000000003</v>
      </c>
      <c r="J102" s="2">
        <v>5.1799999999999997E-3</v>
      </c>
      <c r="K102" s="2">
        <v>9788.6979900000006</v>
      </c>
      <c r="L102" s="2">
        <v>0</v>
      </c>
      <c r="M102" s="32">
        <v>2.8236599999999999E-6</v>
      </c>
      <c r="N102" s="2"/>
      <c r="O102" s="2">
        <v>0.54059000000000001</v>
      </c>
      <c r="P102" s="2">
        <v>9.4199999999999996E-3</v>
      </c>
      <c r="Q102" s="2"/>
      <c r="R102" s="2"/>
      <c r="S102" s="2"/>
    </row>
    <row r="103" spans="3:19" x14ac:dyDescent="0.25">
      <c r="C103">
        <v>990.39242999999999</v>
      </c>
      <c r="D103">
        <v>40.754449999999999</v>
      </c>
      <c r="E103">
        <v>24.301449999999999</v>
      </c>
      <c r="F103" s="32">
        <v>5.1004600000000005E-106</v>
      </c>
      <c r="G103">
        <v>0.86202000000000001</v>
      </c>
      <c r="H103" s="2"/>
      <c r="I103" s="2">
        <v>0.28822999999999999</v>
      </c>
      <c r="J103" s="2">
        <v>1.482E-2</v>
      </c>
      <c r="K103" s="2">
        <v>19.445180000000001</v>
      </c>
      <c r="L103" s="35">
        <v>2.7618700000000001E-73</v>
      </c>
      <c r="M103">
        <v>0.51117000000000001</v>
      </c>
      <c r="N103" s="2"/>
      <c r="O103" s="2">
        <v>1.2729999999999999</v>
      </c>
      <c r="P103" s="2">
        <v>2.2179999999999998E-2</v>
      </c>
      <c r="Q103" s="2"/>
      <c r="R103" s="2"/>
      <c r="S103" s="2"/>
    </row>
    <row r="104" spans="3:19" x14ac:dyDescent="0.25">
      <c r="C104">
        <v>0.35154999999999997</v>
      </c>
      <c r="D104">
        <v>9.4900000000000002E-3</v>
      </c>
      <c r="E104">
        <v>37.060609999999997</v>
      </c>
      <c r="F104" s="32">
        <v>9.0544599999999999E-200</v>
      </c>
      <c r="G104">
        <v>0.58589000000000002</v>
      </c>
      <c r="H104" s="2"/>
      <c r="I104" s="2">
        <v>1374.09818</v>
      </c>
      <c r="J104" s="2">
        <v>50.547820000000002</v>
      </c>
      <c r="K104" s="2">
        <v>27.18412</v>
      </c>
      <c r="L104" s="35">
        <v>8.9080499999999995E-127</v>
      </c>
      <c r="M104">
        <v>0.52229999999999999</v>
      </c>
      <c r="N104" s="2"/>
      <c r="O104" s="2">
        <v>4136.3011100000003</v>
      </c>
      <c r="P104" s="2">
        <v>61.999929999999999</v>
      </c>
      <c r="Q104" s="2"/>
      <c r="R104" s="2"/>
      <c r="S104" s="2"/>
    </row>
    <row r="105" spans="3:19" x14ac:dyDescent="0.25">
      <c r="C105">
        <v>-0.13166</v>
      </c>
      <c r="D105">
        <v>0.13758000000000001</v>
      </c>
      <c r="E105">
        <v>-0.95694999999999997</v>
      </c>
      <c r="F105">
        <v>0.33878999999999998</v>
      </c>
      <c r="G105">
        <v>0.89431000000000005</v>
      </c>
      <c r="H105" s="2"/>
      <c r="I105" s="2">
        <v>3035.0508599999998</v>
      </c>
      <c r="J105" s="2">
        <v>109.12860000000001</v>
      </c>
      <c r="K105" s="2"/>
      <c r="L105" s="2"/>
      <c r="N105" s="2"/>
      <c r="O105" s="2">
        <v>64.077640000000002</v>
      </c>
      <c r="P105" s="2">
        <v>7.2134900000000002</v>
      </c>
      <c r="Q105" s="2">
        <v>8.8830299999999998</v>
      </c>
      <c r="R105" s="35">
        <v>2.3738199999999999E-18</v>
      </c>
      <c r="S105" s="2">
        <v>0.21883</v>
      </c>
    </row>
    <row r="106" spans="3:19" x14ac:dyDescent="0.25">
      <c r="C106">
        <v>-71.939779999999999</v>
      </c>
      <c r="D106">
        <v>4.3288700000000002</v>
      </c>
      <c r="E106">
        <v>-16.61862</v>
      </c>
      <c r="F106" s="32">
        <v>7.2739900000000001E-56</v>
      </c>
      <c r="G106">
        <v>0.58113999999999999</v>
      </c>
      <c r="H106" s="2"/>
      <c r="I106" s="2">
        <v>-151.72302999999999</v>
      </c>
      <c r="J106" s="2">
        <v>6.3671899999999999</v>
      </c>
      <c r="K106" s="2">
        <v>-23.828869999999998</v>
      </c>
      <c r="L106" s="35">
        <v>8.5612899999999997E-103</v>
      </c>
      <c r="M106">
        <v>0.44584000000000001</v>
      </c>
      <c r="N106" s="2"/>
      <c r="O106" s="2">
        <v>64.792000000000002</v>
      </c>
      <c r="P106" s="2">
        <v>4.3899999999999998E-3</v>
      </c>
      <c r="Q106" s="2">
        <v>14767.287420000001</v>
      </c>
      <c r="R106" s="2">
        <v>0</v>
      </c>
      <c r="S106" s="35">
        <v>8.8817800000000003E-16</v>
      </c>
    </row>
    <row r="107" spans="3:19" x14ac:dyDescent="0.25">
      <c r="C107">
        <v>77.739379999999997</v>
      </c>
      <c r="D107">
        <v>7.8700000000000003E-3</v>
      </c>
      <c r="E107">
        <v>9875.7100399999999</v>
      </c>
      <c r="F107">
        <v>0</v>
      </c>
      <c r="G107">
        <v>0.21113000000000001</v>
      </c>
      <c r="H107" s="2"/>
      <c r="I107" s="2">
        <v>64.790639999999996</v>
      </c>
      <c r="J107" s="2">
        <v>3.0799999999999998E-3</v>
      </c>
      <c r="K107" s="2">
        <v>21010.069520000001</v>
      </c>
      <c r="L107" s="2">
        <v>0</v>
      </c>
      <c r="M107" s="32">
        <v>2.2535900000000001E-6</v>
      </c>
      <c r="N107" s="2"/>
      <c r="O107" s="2">
        <v>0.87239999999999995</v>
      </c>
      <c r="P107" s="2">
        <v>8.8500000000000002E-3</v>
      </c>
      <c r="Q107" s="2">
        <v>98.607789999999994</v>
      </c>
      <c r="R107" s="2">
        <v>0</v>
      </c>
      <c r="S107" s="2">
        <v>0.34415000000000001</v>
      </c>
    </row>
    <row r="108" spans="3:19" x14ac:dyDescent="0.25">
      <c r="C108">
        <v>4662.46713</v>
      </c>
      <c r="D108">
        <v>83.390780000000007</v>
      </c>
      <c r="E108">
        <v>55.911070000000002</v>
      </c>
      <c r="F108">
        <v>0</v>
      </c>
      <c r="G108">
        <v>0.78605000000000003</v>
      </c>
      <c r="H108" s="2"/>
      <c r="I108" s="2">
        <v>0.86297000000000001</v>
      </c>
      <c r="J108" s="2">
        <v>9.0200000000000002E-3</v>
      </c>
      <c r="K108" s="2">
        <v>95.702529999999996</v>
      </c>
      <c r="L108" s="2">
        <v>0</v>
      </c>
      <c r="M108">
        <v>0.53217000000000003</v>
      </c>
      <c r="N108" s="2"/>
      <c r="O108" s="2">
        <v>8634.0962500000005</v>
      </c>
      <c r="P108" s="2">
        <v>77.049880000000002</v>
      </c>
      <c r="Q108" s="2">
        <v>112.05852</v>
      </c>
      <c r="R108" s="2">
        <v>0</v>
      </c>
      <c r="S108" s="2">
        <v>0.36476999999999998</v>
      </c>
    </row>
    <row r="109" spans="3:19" x14ac:dyDescent="0.25">
      <c r="C109">
        <v>1.20052</v>
      </c>
      <c r="D109">
        <v>2.5870000000000001E-2</v>
      </c>
      <c r="E109">
        <v>46.409480000000002</v>
      </c>
      <c r="F109" s="32">
        <v>5.7717000000000002E-268</v>
      </c>
      <c r="G109">
        <v>0.73050999999999999</v>
      </c>
      <c r="H109" s="2"/>
      <c r="I109" s="2">
        <v>11962.11744</v>
      </c>
      <c r="J109" s="2">
        <v>91.409400000000005</v>
      </c>
      <c r="K109" s="2">
        <v>130.86311000000001</v>
      </c>
      <c r="L109" s="2">
        <v>0</v>
      </c>
      <c r="M109">
        <v>0.56262999999999996</v>
      </c>
      <c r="N109" s="2"/>
      <c r="O109" s="2">
        <v>0.43619999999999998</v>
      </c>
      <c r="P109" s="2">
        <v>4.4200000000000003E-3</v>
      </c>
      <c r="Q109" s="2"/>
      <c r="R109" s="2"/>
      <c r="S109" s="2"/>
    </row>
    <row r="110" spans="3:19" x14ac:dyDescent="0.25">
      <c r="C110">
        <v>0.77975000000000005</v>
      </c>
      <c r="D110">
        <v>4.648E-2</v>
      </c>
      <c r="E110">
        <v>16.77703</v>
      </c>
      <c r="F110" s="32">
        <v>8.5121100000000005E-57</v>
      </c>
      <c r="G110">
        <v>0.85728000000000004</v>
      </c>
      <c r="H110" s="2"/>
      <c r="I110" s="2">
        <v>8824.5809300000001</v>
      </c>
      <c r="J110" s="2">
        <v>63.072069999999997</v>
      </c>
      <c r="K110" s="2"/>
      <c r="L110" s="2"/>
      <c r="N110" s="2"/>
      <c r="O110" s="2">
        <v>1.0271699999999999</v>
      </c>
      <c r="P110" s="2">
        <v>1.042E-2</v>
      </c>
      <c r="Q110" s="2"/>
      <c r="R110" s="2"/>
      <c r="S110" s="2"/>
    </row>
    <row r="111" spans="3:19" x14ac:dyDescent="0.25">
      <c r="C111">
        <v>-71.939779999999999</v>
      </c>
      <c r="D111">
        <v>4.3288700000000002</v>
      </c>
      <c r="E111">
        <v>-16.61862</v>
      </c>
      <c r="F111" s="32">
        <v>7.2739900000000001E-56</v>
      </c>
      <c r="G111">
        <v>0.58113999999999999</v>
      </c>
      <c r="H111" s="2"/>
      <c r="I111" s="2">
        <v>-151.72302999999999</v>
      </c>
      <c r="J111" s="2">
        <v>6.3671899999999999</v>
      </c>
      <c r="K111" s="2">
        <v>-23.828869999999998</v>
      </c>
      <c r="L111" s="35">
        <v>8.5612899999999997E-103</v>
      </c>
      <c r="M111">
        <v>0.44584000000000001</v>
      </c>
      <c r="N111" s="2"/>
      <c r="O111" s="2">
        <v>7896.6410900000001</v>
      </c>
      <c r="P111" s="2">
        <v>68.976290000000006</v>
      </c>
      <c r="Q111" s="2"/>
      <c r="R111" s="2"/>
      <c r="S111" s="2"/>
    </row>
    <row r="112" spans="3:19" x14ac:dyDescent="0.25">
      <c r="C112">
        <v>81.951800000000006</v>
      </c>
      <c r="D112">
        <v>2.8490000000000001E-2</v>
      </c>
      <c r="E112">
        <v>2876.4841500000002</v>
      </c>
      <c r="F112">
        <v>0</v>
      </c>
      <c r="G112">
        <v>0.25059999999999999</v>
      </c>
      <c r="H112" s="2"/>
      <c r="I112" s="2">
        <v>77.734020000000001</v>
      </c>
      <c r="J112" s="2">
        <v>1.119E-2</v>
      </c>
      <c r="K112" s="2">
        <v>6943.8183499999996</v>
      </c>
      <c r="L112" s="2">
        <v>0</v>
      </c>
      <c r="M112">
        <v>3.7399999999999998E-3</v>
      </c>
      <c r="N112" s="2"/>
      <c r="O112" s="2">
        <v>64.077640000000002</v>
      </c>
      <c r="P112" s="2">
        <v>7.2134900000000002</v>
      </c>
      <c r="Q112" s="2">
        <v>8.8830299999999998</v>
      </c>
      <c r="R112" s="35">
        <v>2.3738199999999999E-18</v>
      </c>
      <c r="S112" s="2">
        <v>0.21883</v>
      </c>
    </row>
    <row r="113" spans="3:19" x14ac:dyDescent="0.25">
      <c r="C113">
        <v>1087.4377300000001</v>
      </c>
      <c r="D113">
        <v>79.557730000000006</v>
      </c>
      <c r="E113">
        <v>13.66854</v>
      </c>
      <c r="F113" s="32">
        <v>1.4000000000000001E-39</v>
      </c>
      <c r="G113">
        <v>0.80584999999999996</v>
      </c>
      <c r="H113" s="2"/>
      <c r="I113" s="2">
        <v>1.17737</v>
      </c>
      <c r="J113" s="2">
        <v>3.3259999999999998E-2</v>
      </c>
      <c r="K113" s="2">
        <v>35.403399999999998</v>
      </c>
      <c r="L113" s="35">
        <v>1.01986E-187</v>
      </c>
      <c r="M113">
        <v>0.54840999999999995</v>
      </c>
      <c r="N113" s="2"/>
      <c r="O113" s="2">
        <v>77.737759999999994</v>
      </c>
      <c r="P113" s="2">
        <v>1.5709999999999998E-2</v>
      </c>
      <c r="Q113" s="2">
        <v>4947.7285099999999</v>
      </c>
      <c r="R113" s="2">
        <v>0</v>
      </c>
      <c r="S113" s="35">
        <v>3.60978E-12</v>
      </c>
    </row>
    <row r="114" spans="3:19" x14ac:dyDescent="0.25">
      <c r="C114">
        <v>1.1051</v>
      </c>
      <c r="D114">
        <v>8.4839999999999999E-2</v>
      </c>
      <c r="E114">
        <v>13.02614</v>
      </c>
      <c r="F114" s="32">
        <v>2.4967200000000001E-36</v>
      </c>
      <c r="G114">
        <v>0.69730000000000003</v>
      </c>
      <c r="H114" s="2"/>
      <c r="I114" s="2">
        <v>5261.0305099999996</v>
      </c>
      <c r="J114" s="2">
        <v>109.57682</v>
      </c>
      <c r="K114" s="2">
        <v>48.012259999999998</v>
      </c>
      <c r="L114" s="35">
        <v>7.2711300000000001E-280</v>
      </c>
      <c r="M114">
        <v>0.58474000000000004</v>
      </c>
      <c r="N114" s="2"/>
      <c r="O114" s="2">
        <v>1.09487</v>
      </c>
      <c r="P114" s="2">
        <v>3.175E-2</v>
      </c>
      <c r="Q114" s="2">
        <v>34.487160000000003</v>
      </c>
      <c r="R114" s="35">
        <v>7.0852100000000001E-181</v>
      </c>
      <c r="S114" s="2">
        <v>0.34684999999999999</v>
      </c>
    </row>
    <row r="115" spans="3:19" x14ac:dyDescent="0.25">
      <c r="C115">
        <v>0.63970000000000005</v>
      </c>
      <c r="D115">
        <v>0.19486999999999999</v>
      </c>
      <c r="E115">
        <v>3.2826900000000001</v>
      </c>
      <c r="F115">
        <v>1.06E-3</v>
      </c>
      <c r="G115">
        <v>0.86260000000000003</v>
      </c>
      <c r="H115" s="2"/>
      <c r="I115" s="2">
        <v>2844.7166999999999</v>
      </c>
      <c r="J115" s="2">
        <v>54.097949999999997</v>
      </c>
      <c r="K115" s="2"/>
      <c r="L115" s="2"/>
      <c r="N115" s="2"/>
      <c r="O115" s="2">
        <v>3389.8780900000002</v>
      </c>
      <c r="P115" s="2">
        <v>86.834379999999996</v>
      </c>
      <c r="Q115" s="2">
        <v>39.038429999999998</v>
      </c>
      <c r="R115" s="35">
        <v>9.0968999999999995E-215</v>
      </c>
      <c r="S115" s="2">
        <v>0.37231999999999998</v>
      </c>
    </row>
    <row r="116" spans="3:19" x14ac:dyDescent="0.25">
      <c r="H116" s="2"/>
      <c r="I116" s="2">
        <v>-151.72302999999999</v>
      </c>
      <c r="J116" s="2">
        <v>6.3671899999999999</v>
      </c>
      <c r="K116" s="2">
        <v>-23.828869999999998</v>
      </c>
      <c r="L116" s="35">
        <v>8.5612899999999997E-103</v>
      </c>
      <c r="M116">
        <v>0.44584000000000001</v>
      </c>
      <c r="N116" s="2"/>
      <c r="O116" s="2">
        <v>0.54744000000000004</v>
      </c>
      <c r="P116" s="2">
        <v>1.5869999999999999E-2</v>
      </c>
      <c r="Q116" s="2"/>
      <c r="R116" s="2"/>
      <c r="S116" s="2"/>
    </row>
    <row r="117" spans="3:19" x14ac:dyDescent="0.25">
      <c r="H117" s="2"/>
      <c r="I117" s="2">
        <v>81.940780000000004</v>
      </c>
      <c r="J117" s="2">
        <v>4.0849999999999997E-2</v>
      </c>
      <c r="K117" s="2">
        <v>2005.7791299999999</v>
      </c>
      <c r="L117" s="2">
        <v>0</v>
      </c>
      <c r="M117">
        <v>3.8800000000000002E-3</v>
      </c>
      <c r="N117" s="2"/>
      <c r="O117" s="2">
        <v>1.28911</v>
      </c>
      <c r="P117" s="2">
        <v>3.7379999999999997E-2</v>
      </c>
      <c r="Q117" s="2"/>
      <c r="R117" s="2"/>
      <c r="S117" s="2"/>
    </row>
    <row r="118" spans="3:19" x14ac:dyDescent="0.25">
      <c r="H118" s="2"/>
      <c r="I118" s="2">
        <v>1.2142900000000001</v>
      </c>
      <c r="J118" s="2">
        <v>0.12141</v>
      </c>
      <c r="K118" s="2">
        <v>10.001530000000001</v>
      </c>
      <c r="L118" s="35">
        <v>1.1610799999999999E-22</v>
      </c>
      <c r="M118">
        <v>0.54879999999999995</v>
      </c>
      <c r="N118" s="2"/>
      <c r="O118" s="2">
        <v>2470.3649099999998</v>
      </c>
      <c r="P118" s="2">
        <v>61.61383</v>
      </c>
      <c r="Q118" s="2"/>
      <c r="R118" s="2"/>
      <c r="S118" s="2"/>
    </row>
    <row r="119" spans="3:19" x14ac:dyDescent="0.25">
      <c r="H119" s="2"/>
      <c r="I119" s="2">
        <v>1510.1242500000001</v>
      </c>
      <c r="J119" s="2">
        <v>111.41172</v>
      </c>
      <c r="K119" s="2">
        <v>13.554449999999999</v>
      </c>
      <c r="L119" s="35">
        <v>5.2312900000000002E-39</v>
      </c>
      <c r="M119">
        <v>0.58567999999999998</v>
      </c>
      <c r="N119" s="2"/>
      <c r="O119" s="2">
        <v>64.077640000000002</v>
      </c>
      <c r="P119" s="2">
        <v>7.2134900000000002</v>
      </c>
      <c r="Q119" s="2">
        <v>8.8830299999999998</v>
      </c>
      <c r="R119" s="35">
        <v>2.3738199999999999E-18</v>
      </c>
      <c r="S119" s="2">
        <v>0.21883</v>
      </c>
    </row>
    <row r="120" spans="3:19" x14ac:dyDescent="0.25">
      <c r="H120" s="2"/>
      <c r="I120" s="2">
        <v>791.71817999999996</v>
      </c>
      <c r="J120" s="2">
        <v>53.282899999999998</v>
      </c>
      <c r="K120" s="2"/>
      <c r="L120" s="2"/>
      <c r="N120" s="2"/>
      <c r="O120" s="2">
        <v>81.897319999999993</v>
      </c>
      <c r="P120" s="2">
        <v>5.3490000000000003E-2</v>
      </c>
      <c r="Q120" s="2">
        <v>1531.02808</v>
      </c>
      <c r="R120" s="2">
        <v>0</v>
      </c>
      <c r="S120" s="35">
        <v>5.66502E-12</v>
      </c>
    </row>
    <row r="121" spans="3:19" x14ac:dyDescent="0.25">
      <c r="H121" s="2"/>
      <c r="I121" s="2"/>
      <c r="J121" s="2"/>
      <c r="K121" s="2"/>
      <c r="L121" s="2"/>
      <c r="N121" s="2"/>
      <c r="O121" s="2">
        <v>0.84989000000000003</v>
      </c>
      <c r="P121" s="2">
        <v>0.10784000000000001</v>
      </c>
      <c r="Q121" s="2">
        <v>7.8810700000000002</v>
      </c>
      <c r="R121" s="35">
        <v>7.3295100000000003E-15</v>
      </c>
      <c r="S121" s="2">
        <v>0.34388000000000002</v>
      </c>
    </row>
    <row r="122" spans="3:19" x14ac:dyDescent="0.25">
      <c r="N122" s="2"/>
      <c r="O122" s="2">
        <v>680.96450000000004</v>
      </c>
      <c r="P122" s="2">
        <v>76.003240000000005</v>
      </c>
      <c r="Q122" s="2">
        <v>8.9596800000000005</v>
      </c>
      <c r="R122" s="35">
        <v>1.2411199999999999E-18</v>
      </c>
      <c r="S122" s="2">
        <v>0.36398999999999998</v>
      </c>
    </row>
    <row r="123" spans="3:19" x14ac:dyDescent="0.25">
      <c r="N123" s="2"/>
      <c r="O123" s="2">
        <v>0.42494999999999999</v>
      </c>
      <c r="P123" s="2">
        <v>5.3920000000000003E-2</v>
      </c>
      <c r="Q123" s="2"/>
      <c r="R123" s="2"/>
      <c r="S123" s="2"/>
    </row>
    <row r="124" spans="3:19" x14ac:dyDescent="0.25">
      <c r="N124" s="2"/>
      <c r="O124" s="2">
        <v>1.0006699999999999</v>
      </c>
      <c r="P124" s="2">
        <v>0.12697</v>
      </c>
      <c r="Q124" s="2"/>
      <c r="R124" s="2"/>
      <c r="S124" s="2"/>
    </row>
    <row r="125" spans="3:19" x14ac:dyDescent="0.25">
      <c r="N125" s="2"/>
      <c r="O125" s="2">
        <v>639.29453000000001</v>
      </c>
      <c r="P125" s="2">
        <v>69.878680000000003</v>
      </c>
      <c r="Q125" s="2"/>
      <c r="R125" s="2"/>
      <c r="S125" s="2"/>
    </row>
    <row r="126" spans="3:19" ht="14" thickBot="1" x14ac:dyDescent="0.3"/>
    <row r="127" spans="3:19" x14ac:dyDescent="0.25">
      <c r="H127" s="11" t="s">
        <v>9</v>
      </c>
    </row>
    <row r="128" spans="3:19" x14ac:dyDescent="0.25">
      <c r="H128" t="s">
        <v>51</v>
      </c>
      <c r="I128" t="s">
        <v>52</v>
      </c>
      <c r="J128" t="s">
        <v>53</v>
      </c>
      <c r="K128" t="s">
        <v>43</v>
      </c>
      <c r="L128" t="s">
        <v>54</v>
      </c>
      <c r="M128" t="s">
        <v>42</v>
      </c>
      <c r="N128" t="s">
        <v>55</v>
      </c>
    </row>
    <row r="129" spans="8:17" x14ac:dyDescent="0.25">
      <c r="H129" t="s">
        <v>56</v>
      </c>
      <c r="I129" t="s">
        <v>57</v>
      </c>
      <c r="J129">
        <v>38.284100000000002</v>
      </c>
      <c r="K129">
        <v>19136.8</v>
      </c>
      <c r="L129">
        <v>19593.5</v>
      </c>
      <c r="M129">
        <v>0.65181299999999998</v>
      </c>
      <c r="N129">
        <v>19136.8</v>
      </c>
      <c r="O129">
        <v>38.284100000000002</v>
      </c>
      <c r="P129">
        <v>0.325907</v>
      </c>
    </row>
    <row r="130" spans="8:17" x14ac:dyDescent="0.25">
      <c r="H130" t="s">
        <v>58</v>
      </c>
      <c r="I130" t="s">
        <v>57</v>
      </c>
      <c r="J130">
        <v>64.793899999999994</v>
      </c>
      <c r="K130">
        <v>9100.0499999999993</v>
      </c>
      <c r="L130">
        <v>10833</v>
      </c>
      <c r="M130">
        <v>0.75785499999999995</v>
      </c>
      <c r="N130">
        <v>9100.0499999999993</v>
      </c>
      <c r="O130">
        <v>64.793899999999994</v>
      </c>
      <c r="P130">
        <v>0.37892799999999999</v>
      </c>
    </row>
    <row r="131" spans="8:17" x14ac:dyDescent="0.25">
      <c r="H131" t="s">
        <v>59</v>
      </c>
      <c r="I131" t="s">
        <v>57</v>
      </c>
      <c r="J131">
        <v>44.438099999999999</v>
      </c>
      <c r="K131">
        <v>4771.97</v>
      </c>
      <c r="L131">
        <v>7188.71</v>
      </c>
      <c r="M131">
        <v>0.95903400000000005</v>
      </c>
      <c r="N131">
        <v>4771.97</v>
      </c>
      <c r="O131">
        <v>44.438099999999999</v>
      </c>
      <c r="P131">
        <v>0.47951700000000003</v>
      </c>
    </row>
    <row r="132" spans="8:17" x14ac:dyDescent="0.25">
      <c r="H132" t="s">
        <v>60</v>
      </c>
      <c r="I132" t="s">
        <v>57</v>
      </c>
      <c r="J132">
        <v>77.728200000000001</v>
      </c>
      <c r="K132">
        <v>2838.6</v>
      </c>
      <c r="L132">
        <v>4166.84</v>
      </c>
      <c r="M132">
        <v>0.93450800000000001</v>
      </c>
      <c r="N132">
        <v>2838.6</v>
      </c>
      <c r="O132">
        <v>77.728200000000001</v>
      </c>
      <c r="P132">
        <v>0.467254</v>
      </c>
    </row>
    <row r="133" spans="8:17" x14ac:dyDescent="0.25">
      <c r="H133" t="s">
        <v>61</v>
      </c>
      <c r="I133" t="s">
        <v>57</v>
      </c>
      <c r="J133">
        <v>81.942400000000006</v>
      </c>
      <c r="K133">
        <v>677.80600000000004</v>
      </c>
      <c r="L133">
        <v>775.1</v>
      </c>
      <c r="M133">
        <v>0.72800200000000004</v>
      </c>
      <c r="N133">
        <v>677.80600000000004</v>
      </c>
      <c r="O133">
        <v>81.942400000000006</v>
      </c>
      <c r="P133">
        <v>0.36400100000000002</v>
      </c>
    </row>
    <row r="135" spans="8:17" x14ac:dyDescent="0.25">
      <c r="H135" t="s">
        <v>51</v>
      </c>
      <c r="I135" t="s">
        <v>52</v>
      </c>
      <c r="J135" t="s">
        <v>53</v>
      </c>
      <c r="K135" t="s">
        <v>43</v>
      </c>
      <c r="L135" t="s">
        <v>54</v>
      </c>
      <c r="M135" t="s">
        <v>42</v>
      </c>
      <c r="N135" t="s">
        <v>55</v>
      </c>
    </row>
    <row r="136" spans="8:17" x14ac:dyDescent="0.25">
      <c r="H136" t="s">
        <v>62</v>
      </c>
      <c r="I136" t="s">
        <v>63</v>
      </c>
      <c r="J136">
        <v>38.286900000000003</v>
      </c>
      <c r="K136">
        <v>17590.2</v>
      </c>
      <c r="L136">
        <v>19185.7</v>
      </c>
      <c r="M136" t="s">
        <v>64</v>
      </c>
      <c r="N136">
        <v>19185.7</v>
      </c>
      <c r="O136">
        <v>38.286900000000003</v>
      </c>
      <c r="P136">
        <v>0.40446799999999999</v>
      </c>
      <c r="Q136">
        <v>0.65310400000000002</v>
      </c>
    </row>
    <row r="137" spans="8:17" x14ac:dyDescent="0.25">
      <c r="H137" t="s">
        <v>65</v>
      </c>
      <c r="I137" t="s">
        <v>63</v>
      </c>
      <c r="J137">
        <v>64.794600000000003</v>
      </c>
      <c r="K137">
        <v>8397.9599999999991</v>
      </c>
      <c r="L137">
        <v>10647.1</v>
      </c>
      <c r="M137" t="s">
        <v>64</v>
      </c>
      <c r="N137">
        <v>10647.1</v>
      </c>
      <c r="O137">
        <v>64.794600000000003</v>
      </c>
      <c r="P137">
        <v>0.46370400000000001</v>
      </c>
      <c r="Q137">
        <v>0.68668799999999997</v>
      </c>
    </row>
    <row r="138" spans="8:17" x14ac:dyDescent="0.25">
      <c r="H138" t="s">
        <v>66</v>
      </c>
      <c r="I138" t="s">
        <v>63</v>
      </c>
      <c r="J138">
        <v>44.434199999999997</v>
      </c>
      <c r="K138">
        <v>4381.5</v>
      </c>
      <c r="L138">
        <v>6954.28</v>
      </c>
      <c r="M138" t="s">
        <v>64</v>
      </c>
      <c r="N138">
        <v>6954.28</v>
      </c>
      <c r="O138">
        <v>44.434199999999997</v>
      </c>
      <c r="P138">
        <v>0.60478799999999999</v>
      </c>
      <c r="Q138">
        <v>0.585673</v>
      </c>
    </row>
    <row r="139" spans="8:17" x14ac:dyDescent="0.25">
      <c r="H139" t="s">
        <v>67</v>
      </c>
      <c r="I139" t="s">
        <v>63</v>
      </c>
      <c r="J139">
        <v>77.727599999999995</v>
      </c>
      <c r="K139">
        <v>2541.27</v>
      </c>
      <c r="L139">
        <v>3924.17</v>
      </c>
      <c r="M139" t="s">
        <v>64</v>
      </c>
      <c r="N139">
        <v>3924.17</v>
      </c>
      <c r="O139">
        <v>77.727599999999995</v>
      </c>
      <c r="P139">
        <v>0.61513399999999996</v>
      </c>
      <c r="Q139">
        <v>0.47131600000000001</v>
      </c>
    </row>
    <row r="140" spans="8:17" x14ac:dyDescent="0.25">
      <c r="H140" t="s">
        <v>68</v>
      </c>
      <c r="I140" t="s">
        <v>63</v>
      </c>
      <c r="J140">
        <v>81.930800000000005</v>
      </c>
      <c r="K140">
        <v>649.60199999999998</v>
      </c>
      <c r="L140">
        <v>787.47799999999995</v>
      </c>
      <c r="M140" t="s">
        <v>64</v>
      </c>
      <c r="N140">
        <v>787.47799999999995</v>
      </c>
      <c r="O140">
        <v>81.930800000000005</v>
      </c>
      <c r="P140">
        <v>0.46722200000000003</v>
      </c>
      <c r="Q140">
        <v>0.55677299999999996</v>
      </c>
    </row>
    <row r="142" spans="8:17" x14ac:dyDescent="0.25">
      <c r="H142" t="s">
        <v>51</v>
      </c>
      <c r="I142" t="s">
        <v>52</v>
      </c>
      <c r="J142" t="s">
        <v>53</v>
      </c>
      <c r="K142" t="s">
        <v>43</v>
      </c>
      <c r="L142" t="s">
        <v>54</v>
      </c>
      <c r="M142" t="s">
        <v>42</v>
      </c>
      <c r="N142" t="s">
        <v>55</v>
      </c>
    </row>
    <row r="143" spans="8:17" x14ac:dyDescent="0.25">
      <c r="H143" t="s">
        <v>69</v>
      </c>
      <c r="I143" t="s">
        <v>70</v>
      </c>
      <c r="J143">
        <v>38.286799999999999</v>
      </c>
      <c r="K143">
        <v>17492.599999999999</v>
      </c>
      <c r="L143">
        <v>19059.900000000001</v>
      </c>
      <c r="M143">
        <v>0.81098999999999999</v>
      </c>
      <c r="N143">
        <v>17492.599999999999</v>
      </c>
      <c r="O143">
        <v>38.286799999999999</v>
      </c>
      <c r="P143">
        <v>0.30916399999999999</v>
      </c>
      <c r="Q143">
        <v>0.76100000000000001</v>
      </c>
    </row>
    <row r="144" spans="8:17" x14ac:dyDescent="0.25">
      <c r="H144" t="s">
        <v>71</v>
      </c>
      <c r="I144" t="s">
        <v>70</v>
      </c>
      <c r="J144">
        <v>64.794700000000006</v>
      </c>
      <c r="K144">
        <v>8357.39</v>
      </c>
      <c r="L144">
        <v>10588</v>
      </c>
      <c r="M144">
        <v>0.92793700000000001</v>
      </c>
      <c r="N144">
        <v>8357.39</v>
      </c>
      <c r="O144">
        <v>64.794700000000006</v>
      </c>
      <c r="P144">
        <v>0.33555600000000002</v>
      </c>
      <c r="Q144">
        <v>0.85886700000000005</v>
      </c>
    </row>
    <row r="145" spans="8:17" x14ac:dyDescent="0.25">
      <c r="H145" t="s">
        <v>72</v>
      </c>
      <c r="I145" t="s">
        <v>70</v>
      </c>
      <c r="J145">
        <v>44.433700000000002</v>
      </c>
      <c r="K145">
        <v>4387.3599999999997</v>
      </c>
      <c r="L145">
        <v>6960.51</v>
      </c>
      <c r="M145">
        <v>1.1985699999999999</v>
      </c>
      <c r="N145">
        <v>4387.3599999999997</v>
      </c>
      <c r="O145">
        <v>44.433700000000002</v>
      </c>
      <c r="P145">
        <v>0.47770600000000002</v>
      </c>
      <c r="Q145">
        <v>0.680427</v>
      </c>
    </row>
    <row r="146" spans="8:17" x14ac:dyDescent="0.25">
      <c r="H146" t="s">
        <v>73</v>
      </c>
      <c r="I146" t="s">
        <v>70</v>
      </c>
      <c r="J146">
        <v>81.930800000000005</v>
      </c>
      <c r="K146">
        <v>650.88699999999994</v>
      </c>
      <c r="L146">
        <v>793.21</v>
      </c>
      <c r="M146">
        <v>0.92822899999999997</v>
      </c>
      <c r="N146">
        <v>650.88699999999994</v>
      </c>
      <c r="O146">
        <v>81.930800000000005</v>
      </c>
      <c r="P146">
        <v>0.378496</v>
      </c>
      <c r="Q146">
        <v>0.63975700000000002</v>
      </c>
    </row>
    <row r="147" spans="8:17" x14ac:dyDescent="0.25">
      <c r="H147" t="s">
        <v>74</v>
      </c>
      <c r="I147" t="s">
        <v>70</v>
      </c>
      <c r="J147">
        <v>77.7273</v>
      </c>
      <c r="K147">
        <v>2539.8200000000002</v>
      </c>
      <c r="L147">
        <v>3904.79</v>
      </c>
      <c r="M147">
        <v>1.22526</v>
      </c>
      <c r="N147">
        <v>2539.8200000000002</v>
      </c>
      <c r="O147">
        <v>77.7273</v>
      </c>
      <c r="P147">
        <v>0.55811999999999995</v>
      </c>
      <c r="Q147">
        <v>0.44784499999999999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Ranieri</dc:creator>
  <cp:lastModifiedBy>Pierpaolo Ranieri</cp:lastModifiedBy>
  <dcterms:created xsi:type="dcterms:W3CDTF">2015-06-05T18:19:34Z</dcterms:created>
  <dcterms:modified xsi:type="dcterms:W3CDTF">2020-06-01T19:18:37Z</dcterms:modified>
</cp:coreProperties>
</file>