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WILLY" sheetId="1" r:id="rId4"/>
    <sheet state="visible" name="2) ILM" sheetId="2" r:id="rId5"/>
    <sheet state="visible" name="3) XY" sheetId="3" r:id="rId6"/>
    <sheet state="visible" name="4) BIANCHI" sheetId="4" r:id="rId7"/>
    <sheet state="visible" name="5) VERDI" sheetId="5" r:id="rId8"/>
    <sheet state="visible" name="DKS" sheetId="6" r:id="rId9"/>
  </sheets>
  <definedNames/>
  <calcPr/>
</workbook>
</file>

<file path=xl/sharedStrings.xml><?xml version="1.0" encoding="utf-8"?>
<sst xmlns="http://schemas.openxmlformats.org/spreadsheetml/2006/main" count="348" uniqueCount="138">
  <si>
    <t>WILLY</t>
  </si>
  <si>
    <t>ALFA</t>
  </si>
  <si>
    <t>BETA</t>
  </si>
  <si>
    <t>GAMMA</t>
  </si>
  <si>
    <t>MAT (std fisico) kg</t>
  </si>
  <si>
    <t>MAT (std monetario) euro/kg</t>
  </si>
  <si>
    <t>MOD (std fisico) ore</t>
  </si>
  <si>
    <t>MOD (std monetario) euro/ora</t>
  </si>
  <si>
    <t>Provvigioni</t>
  </si>
  <si>
    <t>Costi industriali diretti</t>
  </si>
  <si>
    <t>Costi commerciali</t>
  </si>
  <si>
    <t>Costi amministrativi</t>
  </si>
  <si>
    <t>Volume di produzione/vendità (unità)</t>
  </si>
  <si>
    <t>Prezzo unitario euro</t>
  </si>
  <si>
    <t>1. costruire il budget economico;</t>
  </si>
  <si>
    <t>2. determinare il fatturato di pareggio;</t>
  </si>
  <si>
    <t>3. determinare i prezzi di vendita che, a parità delle altre condizioni, consentono di ottenere un Reddito Operativo di euro 50.000,00;</t>
  </si>
  <si>
    <t>4. nell’ipotesi di limitazione della capacità produttiva a 10.000 ore MOD come si dovrebbero modificare le quantità da produrre dei tre prodotti (rispetto alle ipotesi iniziali di budget)?</t>
  </si>
  <si>
    <t>5. Determinare gli scostamenti elementari dei ricavi di vendita dell’azienda WILLY sapendo che a consuntivo si sono riscontrati i seguenti dati:</t>
  </si>
  <si>
    <t>PREZZO EFFETTIVO</t>
  </si>
  <si>
    <t xml:space="preserve">QUANTITA' EFETTIVE </t>
  </si>
  <si>
    <t>BUDGET ECONOMICO</t>
  </si>
  <si>
    <t>TOTALE</t>
  </si>
  <si>
    <t>FATTURATO</t>
  </si>
  <si>
    <t>MAT</t>
  </si>
  <si>
    <t>MOD</t>
  </si>
  <si>
    <t>PROVVIGIONI</t>
  </si>
  <si>
    <t>MLC</t>
  </si>
  <si>
    <t>COSTI INDUSTRIALI DIRETTI</t>
  </si>
  <si>
    <t>MSLC</t>
  </si>
  <si>
    <t>COSTI COMMERCIALI</t>
  </si>
  <si>
    <t>COSTI AMMINISTRATIVI</t>
  </si>
  <si>
    <t>REDDITO OPERATIVO</t>
  </si>
  <si>
    <t>X</t>
  </si>
  <si>
    <t>X*0.026947</t>
  </si>
  <si>
    <t>X-MAT-MOD-PROVVIGIONI=MLC</t>
  </si>
  <si>
    <t>X-187000-412000-X*0.026947=355000</t>
  </si>
  <si>
    <t>MLC UNITARIO</t>
  </si>
  <si>
    <t>MLC ORARIO</t>
  </si>
  <si>
    <t>GRADUATORIA</t>
  </si>
  <si>
    <t>TERZO</t>
  </si>
  <si>
    <t>PRIMO</t>
  </si>
  <si>
    <t>SECONDO</t>
  </si>
  <si>
    <t>ORE MOD NUOVE</t>
  </si>
  <si>
    <t xml:space="preserve">NUOVE QUANTITA' </t>
  </si>
  <si>
    <t>BO (Budget globale)</t>
  </si>
  <si>
    <t>BF (Budget flessibilizzato)</t>
  </si>
  <si>
    <t>CPS (Budget a prezzi standard)</t>
  </si>
  <si>
    <t>CP (Consuntivo puro)</t>
  </si>
  <si>
    <t>SV (Delta volume)</t>
  </si>
  <si>
    <t>SM (Delta mix)</t>
  </si>
  <si>
    <t>SP (Delta prezzo)</t>
  </si>
  <si>
    <t>SG (Delta globale)</t>
  </si>
  <si>
    <t>ILM</t>
  </si>
  <si>
    <t>Ammortamenti industriali</t>
  </si>
  <si>
    <t>Costi fissi non industriali</t>
  </si>
  <si>
    <t>1. Costruire il Budget Economico;</t>
  </si>
  <si>
    <t xml:space="preserve">2. Determinare il Fatturato che consente di ottenere un Reddito Operativo di 180.000,00 euro; 
</t>
  </si>
  <si>
    <t xml:space="preserve">3. L’acquisto di un macchinario del valore di 60.000,00 euro (ammortizzabile in 10 anni) consentirebbe all’azienda di incrementare
la produzione dell’utensile GAMMA di 1.500 unità. Nell’ipotesi di collocamento di tali unità sul mercato, alle attuali condizioni,
conviene effettuare l’investimento? 
</t>
  </si>
  <si>
    <t xml:space="preserve">4. La ILM potrebbe acquisire l’utensile ALFA da un fornitore esterno ad un prezzo unitario pari a euro 9,00. Conviene operare
questa scelta? 
</t>
  </si>
  <si>
    <t>5. Determinare gli scostamenti elementari dei ricavi di vendita dell’azienda ILM sapendo che a consuntivo si sono riscontrati i
seguenti dati:</t>
  </si>
  <si>
    <t>AMMORTAMENTI INDUSTRIALI</t>
  </si>
  <si>
    <t>COSTI FISSI NON INDUSTRIALI</t>
  </si>
  <si>
    <t>X*0.27563</t>
  </si>
  <si>
    <t>X-173400-441000-X*0.27563=350000</t>
  </si>
  <si>
    <t>newMLC/(oldMLC/oldFatturato)</t>
  </si>
  <si>
    <t xml:space="preserve">3. L’acquisto di un macchinario del valore di 60.000,00 euro (ammortizzabile in 10 anni) consentirebbe all’azienda di incrementare
la produzione dell’utensile GAMMA di 1.500 unità. Nell’ipotesi di collocamento di tali unità sul mercato, alle attuali condizioni,
conviene effettuare l’investimento? 
</t>
  </si>
  <si>
    <t>VANTAGGI</t>
  </si>
  <si>
    <t>SVANTAGGI</t>
  </si>
  <si>
    <t>AMMORTAMENTO</t>
  </si>
  <si>
    <t>TOTALE SVANTAGGI</t>
  </si>
  <si>
    <t>VANTAGGI-SVANTAGGI</t>
  </si>
  <si>
    <t xml:space="preserve">4. La ILM potrebbe acquisire l’utensile ALFA da un fornitore esterno ad un prezzo unitario pari a euro 9,00. Conviene operare
questa scelta? 
</t>
  </si>
  <si>
    <t>AMMORTAMENTI INDUSTIALI</t>
  </si>
  <si>
    <t>TOTALE VANTAGGI</t>
  </si>
  <si>
    <t>COSTO UTENSILE ALFA</t>
  </si>
  <si>
    <t>XY</t>
  </si>
  <si>
    <t>Spese generali industriali</t>
  </si>
  <si>
    <t xml:space="preserve">1. Costruire il Budget di Produzione del quadrimestre considerato; 
</t>
  </si>
  <si>
    <t xml:space="preserve">2. Costruire il Budget Economico del quadrimestre considerato; 
</t>
  </si>
  <si>
    <t xml:space="preserve">3. Determinare il Fatturato di Pareggio e le corrispondenti quantità dei tre prodotti; 
</t>
  </si>
  <si>
    <t xml:space="preserve">4. La XY potrebbe acquistare il prodotto GAMMA da un fornitore esterno ad un prezzo unitario pari a euro 11,00. Conviene
operare questa scelta sapendo che l’ammortamento industriale attribuito al prodotto GAMMA si riferisce a macchinari utilizzati
unicamente per questo tipo di prodotto? 
</t>
  </si>
  <si>
    <t xml:space="preserve">5. Calcolare gli Scostamenti Elementari della MOD del prodotto BETA sapendo che a consuntivo si sono avuti i seguenti risultati: 
</t>
  </si>
  <si>
    <t>PEGGIORAMENTO DELL'EFFICIENZA INTERNA</t>
  </si>
  <si>
    <t>MOD (COSTO ORARIO EFFETTIVO) €/ORA</t>
  </si>
  <si>
    <t>VOLUME DI PRODUZIONE EFFETTIVO</t>
  </si>
  <si>
    <t>BUDGET DI PRODUZIONE</t>
  </si>
  <si>
    <t>Costi variabili</t>
  </si>
  <si>
    <t>Materiali</t>
  </si>
  <si>
    <t>Mano d'opera diretta</t>
  </si>
  <si>
    <t>Costi fissi</t>
  </si>
  <si>
    <t>TOTALE costi di produzione</t>
  </si>
  <si>
    <t>AMMORTAMENTI</t>
  </si>
  <si>
    <t>SPESE GEN INDUSTRIALI</t>
  </si>
  <si>
    <t>Costi fissi diretti</t>
  </si>
  <si>
    <t>Costi fissi indiretti</t>
  </si>
  <si>
    <t>COSTI FISSI</t>
  </si>
  <si>
    <t>Fatturato</t>
  </si>
  <si>
    <t>1-k</t>
  </si>
  <si>
    <t>FATTURATO DI PAREGGIO</t>
  </si>
  <si>
    <t>Prodotti</t>
  </si>
  <si>
    <t>Quantità</t>
  </si>
  <si>
    <t>Materie prime</t>
  </si>
  <si>
    <t>Ammortamenti</t>
  </si>
  <si>
    <t>Totale</t>
  </si>
  <si>
    <t>Variazione costi</t>
  </si>
  <si>
    <t>VANTAGGI - SVANTAGGI</t>
  </si>
  <si>
    <t>BIANCHI</t>
  </si>
  <si>
    <t>Y</t>
  </si>
  <si>
    <t>Z</t>
  </si>
  <si>
    <t xml:space="preserve">1. costruire il budget di produzione; 
</t>
  </si>
  <si>
    <t xml:space="preserve">2. costruire il budget economico; 
</t>
  </si>
  <si>
    <t>3. determinare il fatturato che consente di ottenere un Reddito Operativo di 130.000,00 euro e le corrispondenti quantità dei tre
prodotti;</t>
  </si>
  <si>
    <t>4. l’azienda riceve un ordine speciale di 2.000 prodotti X da vendersi ad un prezzo di 12,00 euro, conviene accettare l’ordine
sapendo che è stato procurato da un venditore dell’azienda a cui verranno pagate le relative provvigioni?</t>
  </si>
  <si>
    <t xml:space="preserve">5. Determinare gli scostamenti elementari del costo della MAT del prodotto Z considerando che a consuntivo si sono avuti i
seguenti valori: </t>
  </si>
  <si>
    <t>Costo totale</t>
  </si>
  <si>
    <t>Efficienza interna</t>
  </si>
  <si>
    <t>Costo effettivo euro/kg</t>
  </si>
  <si>
    <t>VERDI</t>
  </si>
  <si>
    <t xml:space="preserve">1. costruire il budget dei costi di produzione tenendo conto che le Spese Generali Industriali ammontano a 40.000,00 euro in
corrispondenza di un consumo di ore MOD pari a 4.000 e ammontano a 60.000,00 euro in corrispondenza di un consumo di ore
MOD pari a 9.000; 
</t>
  </si>
  <si>
    <t xml:space="preserve">2. costruire il budget economico; </t>
  </si>
  <si>
    <t xml:space="preserve">3. determinare il fatturato di pareggio; 
</t>
  </si>
  <si>
    <t xml:space="preserve">4. l’azienda riceve un ordine speciale di 1.500 pezzi del prodotto BETA da vendersi ad un prezzo di 10,00 euro, conviene accettare
l’ordine? L’ordine speciale è stato procurato da un venditore dell’azienda Verdi a cui saranno pagate le relative provvigioni; 
</t>
  </si>
  <si>
    <t xml:space="preserve">5. determinare gli scostamenti elementari del costo della MOD del componente GAMMA tenendo conto dei seguenti dati a
consuntivo: </t>
  </si>
  <si>
    <t>Costo orario effettivo euro/ora</t>
  </si>
  <si>
    <t>Volume effettivo (unità)</t>
  </si>
  <si>
    <t>DKS</t>
  </si>
  <si>
    <t>COSTO STANDARD UNITARIO</t>
  </si>
  <si>
    <t>G</t>
  </si>
  <si>
    <t>P</t>
  </si>
  <si>
    <t>MOI</t>
  </si>
  <si>
    <t>EN. EL.</t>
  </si>
  <si>
    <t>BUDGET COSTI REPARTO TELAI</t>
  </si>
  <si>
    <t>TOTALE COSTI VARIABILI</t>
  </si>
  <si>
    <t>MOI FISSA</t>
  </si>
  <si>
    <t>STIPENDI</t>
  </si>
  <si>
    <t>SPESE GENERALI</t>
  </si>
  <si>
    <t>TOTALE COSTI INDUSTRIALI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</si>
</sst>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6">
    <font>
      <sz val="10.0"/>
      <color rgb="FF000000"/>
      <name val="Arial"/>
      <scheme val="minor"/>
    </font>
    <font>
      <b/>
      <sz val="18.0"/>
      <color theme="1"/>
      <name val="Arial"/>
      <scheme val="minor"/>
    </font>
    <font>
      <sz val="18.0"/>
      <color theme="1"/>
      <name val="Arial"/>
      <scheme val="minor"/>
    </font>
    <font>
      <color theme="1"/>
      <name val="Arial"/>
      <scheme val="minor"/>
    </font>
    <font>
      <b/>
      <color theme="1"/>
      <name val="Arial"/>
      <scheme val="minor"/>
    </font>
    <font/>
  </fonts>
  <fills count="4">
    <fill>
      <patternFill patternType="none"/>
    </fill>
    <fill>
      <patternFill patternType="lightGray"/>
    </fill>
    <fill>
      <patternFill patternType="solid">
        <fgColor rgb="FFFFFF00"/>
        <bgColor rgb="FFFFFF00"/>
      </patternFill>
    </fill>
    <fill>
      <patternFill patternType="solid">
        <fgColor rgb="FF00FF00"/>
        <bgColor rgb="FF00FF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readingOrder="0"/>
    </xf>
    <xf borderId="1" fillId="0" fontId="4" numFmtId="0" xfId="0" applyAlignment="1" applyBorder="1" applyFont="1">
      <alignment readingOrder="0"/>
    </xf>
    <xf borderId="1" fillId="0" fontId="3" numFmtId="0" xfId="0" applyAlignment="1" applyBorder="1" applyFont="1">
      <alignment readingOrder="0"/>
    </xf>
    <xf borderId="1" fillId="0" fontId="3" numFmtId="4" xfId="0" applyAlignment="1" applyBorder="1" applyFont="1" applyNumberFormat="1">
      <alignment horizontal="center" readingOrder="0"/>
    </xf>
    <xf borderId="2" fillId="0" fontId="3" numFmtId="4" xfId="0" applyAlignment="1" applyBorder="1" applyFont="1" applyNumberFormat="1">
      <alignment horizontal="center" readingOrder="0"/>
    </xf>
    <xf borderId="3" fillId="0" fontId="5" numFmtId="0" xfId="0" applyBorder="1" applyFont="1"/>
    <xf borderId="4" fillId="0" fontId="5" numFmtId="0" xfId="0" applyBorder="1" applyFont="1"/>
    <xf borderId="0" fillId="0" fontId="3" numFmtId="0" xfId="0" applyAlignment="1" applyFont="1">
      <alignment readingOrder="0" shrinkToFit="0" wrapText="1"/>
    </xf>
    <xf borderId="1" fillId="0" fontId="3" numFmtId="0" xfId="0" applyBorder="1" applyFont="1"/>
    <xf borderId="1" fillId="0" fontId="3" numFmtId="4" xfId="0" applyBorder="1" applyFont="1" applyNumberFormat="1"/>
    <xf borderId="1" fillId="0" fontId="4" numFmtId="4" xfId="0" applyBorder="1" applyFont="1" applyNumberFormat="1"/>
    <xf borderId="0" fillId="0" fontId="3" numFmtId="4" xfId="0" applyFont="1" applyNumberFormat="1"/>
    <xf borderId="0" fillId="0" fontId="3" numFmtId="0" xfId="0" applyAlignment="1" applyFont="1">
      <alignment horizontal="center" readingOrder="0"/>
    </xf>
    <xf borderId="1" fillId="0" fontId="3" numFmtId="164" xfId="0" applyBorder="1" applyFont="1" applyNumberFormat="1"/>
    <xf borderId="1" fillId="0" fontId="3" numFmtId="4" xfId="0" applyAlignment="1" applyBorder="1" applyFont="1" applyNumberFormat="1">
      <alignment readingOrder="0"/>
    </xf>
    <xf borderId="0" fillId="0" fontId="3" numFmtId="0" xfId="0" applyAlignment="1" applyFont="1">
      <alignment readingOrder="0"/>
    </xf>
    <xf borderId="1" fillId="0" fontId="4" numFmtId="2" xfId="0" applyBorder="1" applyFont="1" applyNumberFormat="1"/>
    <xf borderId="1" fillId="0" fontId="3" numFmtId="2" xfId="0" applyBorder="1" applyFont="1" applyNumberFormat="1"/>
    <xf borderId="1" fillId="0" fontId="3" numFmtId="0" xfId="0" applyAlignment="1" applyBorder="1" applyFont="1">
      <alignment horizontal="center" readingOrder="0"/>
    </xf>
    <xf borderId="1" fillId="0" fontId="4" numFmtId="0" xfId="0" applyBorder="1" applyFont="1"/>
    <xf borderId="1" fillId="0" fontId="3" numFmtId="0" xfId="0" applyAlignment="1" applyBorder="1" applyFont="1">
      <alignment horizontal="right" readingOrder="0"/>
    </xf>
    <xf borderId="1" fillId="0" fontId="3" numFmtId="0" xfId="0" applyAlignment="1" applyBorder="1" applyFont="1">
      <alignment horizontal="right"/>
    </xf>
    <xf borderId="1" fillId="0" fontId="3" numFmtId="10" xfId="0" applyAlignment="1" applyBorder="1" applyFont="1" applyNumberFormat="1">
      <alignment horizontal="center" readingOrder="0"/>
    </xf>
    <xf borderId="0" fillId="0" fontId="3" numFmtId="0" xfId="0" applyFont="1"/>
    <xf borderId="0" fillId="2" fontId="4" numFmtId="4" xfId="0" applyFill="1" applyFont="1" applyNumberFormat="1"/>
    <xf borderId="0" fillId="2" fontId="3" numFmtId="0" xfId="0" applyAlignment="1" applyFont="1">
      <alignment readingOrder="0"/>
    </xf>
    <xf borderId="0" fillId="2" fontId="3" numFmtId="0" xfId="0" applyFont="1"/>
    <xf borderId="2" fillId="0" fontId="4" numFmtId="0" xfId="0" applyAlignment="1" applyBorder="1" applyFont="1">
      <alignment readingOrder="0"/>
    </xf>
    <xf borderId="5" fillId="0" fontId="3" numFmtId="0" xfId="0" applyBorder="1" applyFont="1"/>
    <xf borderId="6" fillId="0" fontId="4" numFmtId="4" xfId="0" applyBorder="1" applyFont="1" applyNumberFormat="1"/>
    <xf borderId="6" fillId="0" fontId="3" numFmtId="4" xfId="0" applyBorder="1" applyFont="1" applyNumberFormat="1"/>
    <xf borderId="1" fillId="3" fontId="4" numFmtId="4" xfId="0" applyBorder="1" applyFill="1" applyFont="1" applyNumberFormat="1"/>
    <xf borderId="1" fillId="0" fontId="3" numFmtId="0" xfId="0" applyAlignment="1" applyBorder="1" applyFont="1">
      <alignment readingOrder="0" shrinkToFit="0" wrapText="1"/>
    </xf>
    <xf borderId="1" fillId="0" fontId="3" numFmtId="10" xfId="0" applyAlignment="1" applyBorder="1" applyFont="1" applyNumberFormat="1">
      <alignment readingOrder="0"/>
    </xf>
    <xf borderId="2" fillId="0" fontId="3" numFmtId="0" xfId="0" applyBorder="1" applyFont="1"/>
    <xf borderId="2" fillId="0" fontId="3" numFmtId="4" xfId="0" applyBorder="1" applyFont="1" applyNumberFormat="1"/>
    <xf borderId="7" fillId="0" fontId="3" numFmtId="4" xfId="0" applyBorder="1" applyFont="1" applyNumberFormat="1"/>
    <xf borderId="8" fillId="0" fontId="5" numFmtId="0" xfId="0" applyBorder="1" applyFont="1"/>
    <xf borderId="9" fillId="0" fontId="5" numFmtId="0" xfId="0" applyBorder="1" applyFont="1"/>
    <xf borderId="5" fillId="0" fontId="5" numFmtId="0" xfId="0" applyBorder="1" applyFont="1"/>
    <xf borderId="10" fillId="0" fontId="5" numFmtId="0" xfId="0" applyBorder="1" applyFont="1"/>
    <xf borderId="11" fillId="0" fontId="5" numFmtId="0" xfId="0" applyBorder="1" applyFont="1"/>
    <xf borderId="1" fillId="3" fontId="3" numFmtId="4" xfId="0" applyBorder="1" applyFont="1" applyNumberFormat="1"/>
    <xf borderId="1" fillId="0" fontId="4" numFmtId="0" xfId="0" applyAlignment="1" applyBorder="1" applyFont="1">
      <alignment horizontal="center" readingOrder="0"/>
    </xf>
    <xf borderId="5" fillId="0" fontId="3" numFmtId="4" xfId="0" applyBorder="1" applyFont="1" applyNumberFormat="1"/>
    <xf borderId="2" fillId="0" fontId="4" numFmtId="0" xfId="0" applyAlignment="1" applyBorder="1" applyFont="1">
      <alignment horizontal="center" readingOrder="0"/>
    </xf>
    <xf borderId="1" fillId="0" fontId="3" numFmtId="0" xfId="0" applyAlignment="1" applyBorder="1" applyFont="1">
      <alignment horizontal="center"/>
    </xf>
    <xf borderId="1" fillId="0" fontId="3" numFmtId="4"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9.63"/>
    <col customWidth="1" min="3" max="3" width="10.75"/>
    <col customWidth="1" min="4" max="4" width="30.13"/>
    <col customWidth="1" min="5" max="6" width="9.88"/>
    <col customWidth="1" min="8" max="8" width="38.38"/>
    <col customWidth="1" min="9" max="9" width="8.38"/>
  </cols>
  <sheetData>
    <row r="1">
      <c r="A1" s="1">
        <v>1.0</v>
      </c>
      <c r="B1" s="2" t="s">
        <v>0</v>
      </c>
    </row>
    <row r="2">
      <c r="B2" s="3"/>
      <c r="C2" s="4" t="s">
        <v>1</v>
      </c>
      <c r="D2" s="4" t="s">
        <v>2</v>
      </c>
      <c r="E2" s="4" t="s">
        <v>3</v>
      </c>
    </row>
    <row r="3">
      <c r="B3" s="5" t="s">
        <v>4</v>
      </c>
      <c r="C3" s="6">
        <v>0.2</v>
      </c>
      <c r="D3" s="6">
        <v>0.5</v>
      </c>
      <c r="E3" s="6">
        <v>0.4</v>
      </c>
    </row>
    <row r="4">
      <c r="B4" s="5" t="s">
        <v>5</v>
      </c>
      <c r="C4" s="6">
        <v>12.0</v>
      </c>
      <c r="D4" s="6">
        <v>10.0</v>
      </c>
      <c r="E4" s="6">
        <v>8.0</v>
      </c>
    </row>
    <row r="5">
      <c r="B5" s="5" t="s">
        <v>6</v>
      </c>
      <c r="C5" s="6">
        <v>0.3</v>
      </c>
      <c r="D5" s="6">
        <v>0.1</v>
      </c>
      <c r="E5" s="6">
        <v>0.2</v>
      </c>
    </row>
    <row r="6">
      <c r="B6" s="5" t="s">
        <v>7</v>
      </c>
      <c r="C6" s="6">
        <v>40.0</v>
      </c>
      <c r="D6" s="6">
        <v>40.0</v>
      </c>
      <c r="E6" s="6">
        <v>40.0</v>
      </c>
    </row>
    <row r="7">
      <c r="B7" s="5" t="s">
        <v>8</v>
      </c>
      <c r="C7" s="6">
        <v>0.04</v>
      </c>
      <c r="D7" s="6">
        <v>0.03</v>
      </c>
      <c r="E7" s="6">
        <v>0.02</v>
      </c>
    </row>
    <row r="8">
      <c r="B8" s="5" t="s">
        <v>9</v>
      </c>
      <c r="C8" s="6">
        <v>40000.0</v>
      </c>
      <c r="D8" s="6">
        <v>55000.0</v>
      </c>
      <c r="E8" s="6">
        <v>70000.0</v>
      </c>
    </row>
    <row r="9">
      <c r="B9" s="5" t="s">
        <v>10</v>
      </c>
      <c r="C9" s="7">
        <v>75000.0</v>
      </c>
      <c r="D9" s="8"/>
      <c r="E9" s="9"/>
    </row>
    <row r="10">
      <c r="B10" s="5" t="s">
        <v>11</v>
      </c>
      <c r="C10" s="7">
        <v>65000.0</v>
      </c>
      <c r="D10" s="8"/>
      <c r="E10" s="9"/>
    </row>
    <row r="11">
      <c r="B11" s="5" t="s">
        <v>12</v>
      </c>
      <c r="C11" s="6">
        <v>12000.0</v>
      </c>
      <c r="D11" s="6">
        <v>15000.0</v>
      </c>
      <c r="E11" s="6">
        <v>26000.0</v>
      </c>
    </row>
    <row r="12">
      <c r="B12" s="5" t="s">
        <v>13</v>
      </c>
      <c r="C12" s="6">
        <v>16.5</v>
      </c>
      <c r="D12" s="6">
        <v>18.5</v>
      </c>
      <c r="E12" s="6">
        <v>19.0</v>
      </c>
    </row>
    <row r="14">
      <c r="B14" s="10" t="s">
        <v>14</v>
      </c>
    </row>
    <row r="15">
      <c r="B15" s="10" t="s">
        <v>15</v>
      </c>
    </row>
    <row r="16">
      <c r="B16" s="10" t="s">
        <v>16</v>
      </c>
    </row>
    <row r="17">
      <c r="B17" s="10" t="s">
        <v>17</v>
      </c>
    </row>
    <row r="18">
      <c r="B18" s="10" t="s">
        <v>18</v>
      </c>
    </row>
    <row r="20">
      <c r="B20" s="11"/>
      <c r="C20" s="4" t="s">
        <v>1</v>
      </c>
      <c r="D20" s="4" t="s">
        <v>2</v>
      </c>
      <c r="E20" s="4" t="s">
        <v>3</v>
      </c>
    </row>
    <row r="21">
      <c r="B21" s="5" t="s">
        <v>19</v>
      </c>
      <c r="C21" s="5">
        <v>17.5</v>
      </c>
      <c r="D21" s="5">
        <v>20.0</v>
      </c>
      <c r="E21" s="5">
        <v>19.0</v>
      </c>
    </row>
    <row r="22">
      <c r="B22" s="5" t="s">
        <v>20</v>
      </c>
      <c r="C22" s="5">
        <v>12000.0</v>
      </c>
      <c r="D22" s="5">
        <v>17000.0</v>
      </c>
      <c r="E22" s="5">
        <v>24000.0</v>
      </c>
    </row>
    <row r="24">
      <c r="B24" s="10" t="s">
        <v>14</v>
      </c>
    </row>
    <row r="25">
      <c r="B25" s="4" t="s">
        <v>21</v>
      </c>
      <c r="C25" s="4" t="s">
        <v>1</v>
      </c>
      <c r="D25" s="4" t="s">
        <v>2</v>
      </c>
      <c r="E25" s="4" t="s">
        <v>3</v>
      </c>
      <c r="F25" s="4" t="s">
        <v>22</v>
      </c>
    </row>
    <row r="26">
      <c r="B26" s="5" t="s">
        <v>23</v>
      </c>
      <c r="C26" s="12">
        <f t="shared" ref="C26:E26" si="1">C11*C12</f>
        <v>198000</v>
      </c>
      <c r="D26" s="12">
        <f t="shared" si="1"/>
        <v>277500</v>
      </c>
      <c r="E26" s="12">
        <f t="shared" si="1"/>
        <v>494000</v>
      </c>
      <c r="F26" s="12">
        <f t="shared" ref="F26:F32" si="3">SUM(C26:E26)</f>
        <v>969500</v>
      </c>
    </row>
    <row r="27">
      <c r="B27" s="5" t="s">
        <v>24</v>
      </c>
      <c r="C27" s="12">
        <f t="shared" ref="C27:E27" si="2">-(C3*C4*C11)</f>
        <v>-28800</v>
      </c>
      <c r="D27" s="12">
        <f t="shared" si="2"/>
        <v>-75000</v>
      </c>
      <c r="E27" s="12">
        <f t="shared" si="2"/>
        <v>-83200</v>
      </c>
      <c r="F27" s="12">
        <f t="shared" si="3"/>
        <v>-187000</v>
      </c>
    </row>
    <row r="28">
      <c r="B28" s="5" t="s">
        <v>25</v>
      </c>
      <c r="C28" s="12">
        <f t="shared" ref="C28:E28" si="4">-(C5*C6*C11)</f>
        <v>-144000</v>
      </c>
      <c r="D28" s="12">
        <f t="shared" si="4"/>
        <v>-60000</v>
      </c>
      <c r="E28" s="12">
        <f t="shared" si="4"/>
        <v>-208000</v>
      </c>
      <c r="F28" s="12">
        <f t="shared" si="3"/>
        <v>-412000</v>
      </c>
    </row>
    <row r="29">
      <c r="B29" s="5" t="s">
        <v>26</v>
      </c>
      <c r="C29" s="12">
        <f t="shared" ref="C29:E29" si="5">-(C26*C7)</f>
        <v>-7920</v>
      </c>
      <c r="D29" s="12">
        <f t="shared" si="5"/>
        <v>-8325</v>
      </c>
      <c r="E29" s="12">
        <f t="shared" si="5"/>
        <v>-9880</v>
      </c>
      <c r="F29" s="12">
        <f t="shared" si="3"/>
        <v>-26125</v>
      </c>
    </row>
    <row r="30">
      <c r="B30" s="5" t="s">
        <v>27</v>
      </c>
      <c r="C30" s="12">
        <f t="shared" ref="C30:E30" si="6">SUM(C26:C29)</f>
        <v>17280</v>
      </c>
      <c r="D30" s="12">
        <f t="shared" si="6"/>
        <v>134175</v>
      </c>
      <c r="E30" s="12">
        <f t="shared" si="6"/>
        <v>192920</v>
      </c>
      <c r="F30" s="12">
        <f t="shared" si="3"/>
        <v>344375</v>
      </c>
    </row>
    <row r="31">
      <c r="B31" s="5" t="s">
        <v>28</v>
      </c>
      <c r="C31" s="12">
        <f t="shared" ref="C31:E31" si="7">-C8</f>
        <v>-40000</v>
      </c>
      <c r="D31" s="12">
        <f t="shared" si="7"/>
        <v>-55000</v>
      </c>
      <c r="E31" s="12">
        <f t="shared" si="7"/>
        <v>-70000</v>
      </c>
      <c r="F31" s="12">
        <f t="shared" si="3"/>
        <v>-165000</v>
      </c>
    </row>
    <row r="32">
      <c r="B32" s="5" t="s">
        <v>29</v>
      </c>
      <c r="C32" s="12">
        <f t="shared" ref="C32:E32" si="8">C30+C31</f>
        <v>-22720</v>
      </c>
      <c r="D32" s="12">
        <f t="shared" si="8"/>
        <v>79175</v>
      </c>
      <c r="E32" s="12">
        <f t="shared" si="8"/>
        <v>122920</v>
      </c>
      <c r="F32" s="12">
        <f t="shared" si="3"/>
        <v>179375</v>
      </c>
    </row>
    <row r="33">
      <c r="B33" s="5" t="s">
        <v>30</v>
      </c>
      <c r="C33" s="12"/>
      <c r="D33" s="12"/>
      <c r="E33" s="12"/>
      <c r="F33" s="12">
        <f t="shared" ref="F33:F34" si="9">-C9</f>
        <v>-75000</v>
      </c>
    </row>
    <row r="34">
      <c r="B34" s="5" t="s">
        <v>31</v>
      </c>
      <c r="C34" s="12"/>
      <c r="D34" s="12"/>
      <c r="E34" s="12"/>
      <c r="F34" s="12">
        <f t="shared" si="9"/>
        <v>-65000</v>
      </c>
    </row>
    <row r="35">
      <c r="B35" s="4" t="s">
        <v>32</v>
      </c>
      <c r="C35" s="12"/>
      <c r="D35" s="12"/>
      <c r="E35" s="12"/>
      <c r="F35" s="13">
        <f>SUM(F32:F34)</f>
        <v>39375</v>
      </c>
    </row>
    <row r="37">
      <c r="B37" s="10" t="s">
        <v>15</v>
      </c>
    </row>
    <row r="38">
      <c r="B38" s="14">
        <f>(C8+D8+E8+C9+C10)/(F30/F26)</f>
        <v>858649.7278</v>
      </c>
    </row>
    <row r="40">
      <c r="B40" s="10" t="s">
        <v>16</v>
      </c>
    </row>
    <row r="41">
      <c r="B41" s="4" t="s">
        <v>21</v>
      </c>
      <c r="C41" s="4" t="s">
        <v>22</v>
      </c>
    </row>
    <row r="42">
      <c r="B42" s="5" t="s">
        <v>23</v>
      </c>
      <c r="C42" s="6" t="s">
        <v>33</v>
      </c>
    </row>
    <row r="43">
      <c r="B43" s="5" t="s">
        <v>24</v>
      </c>
      <c r="C43" s="12">
        <f t="shared" ref="C43:C44" si="10">F27</f>
        <v>-187000</v>
      </c>
    </row>
    <row r="44">
      <c r="B44" s="5" t="s">
        <v>25</v>
      </c>
      <c r="C44" s="12">
        <f t="shared" si="10"/>
        <v>-412000</v>
      </c>
    </row>
    <row r="45">
      <c r="B45" s="5" t="s">
        <v>26</v>
      </c>
      <c r="C45" s="15" t="s">
        <v>34</v>
      </c>
      <c r="D45" s="16">
        <f>ABS(F29)/F26</f>
        <v>0.02694687983</v>
      </c>
      <c r="F45" s="14">
        <f>C46/(F30/F26)</f>
        <v>999411.9782</v>
      </c>
    </row>
    <row r="46">
      <c r="B46" s="5" t="s">
        <v>27</v>
      </c>
      <c r="C46" s="12">
        <f>ABS(C47)+C48</f>
        <v>355000</v>
      </c>
    </row>
    <row r="47">
      <c r="B47" s="5" t="s">
        <v>28</v>
      </c>
      <c r="C47" s="12">
        <f>F31</f>
        <v>-165000</v>
      </c>
    </row>
    <row r="48">
      <c r="B48" s="5" t="s">
        <v>29</v>
      </c>
      <c r="C48" s="12">
        <f>C51+ABS(C49)+ABS(C50)</f>
        <v>190000</v>
      </c>
    </row>
    <row r="49">
      <c r="B49" s="5" t="s">
        <v>30</v>
      </c>
      <c r="C49" s="12">
        <f t="shared" ref="C49:C50" si="11">-C9</f>
        <v>-75000</v>
      </c>
    </row>
    <row r="50">
      <c r="B50" s="5" t="s">
        <v>31</v>
      </c>
      <c r="C50" s="12">
        <f t="shared" si="11"/>
        <v>-65000</v>
      </c>
    </row>
    <row r="51">
      <c r="B51" s="4" t="s">
        <v>32</v>
      </c>
      <c r="C51" s="17">
        <v>50000.0</v>
      </c>
    </row>
    <row r="53">
      <c r="B53" s="18" t="s">
        <v>35</v>
      </c>
      <c r="D53" s="18" t="s">
        <v>36</v>
      </c>
      <c r="G53" s="14">
        <f>(355000+187000+412000)/(1-D45)</f>
        <v>980419.2394</v>
      </c>
    </row>
    <row r="55">
      <c r="B55" s="4" t="s">
        <v>1</v>
      </c>
      <c r="C55" s="19">
        <f>(G53*(C26/F26))/C11</f>
        <v>16.68583543</v>
      </c>
    </row>
    <row r="56">
      <c r="B56" s="4" t="s">
        <v>2</v>
      </c>
      <c r="C56" s="19">
        <f>(G53*(D26/F26))/D11</f>
        <v>18.70836094</v>
      </c>
    </row>
    <row r="57">
      <c r="B57" s="4" t="s">
        <v>3</v>
      </c>
      <c r="C57" s="19">
        <f>(G53*(E26/F26))/E11</f>
        <v>19.21399231</v>
      </c>
    </row>
    <row r="59">
      <c r="B59" s="10" t="s">
        <v>17</v>
      </c>
    </row>
    <row r="60">
      <c r="B60" s="11"/>
      <c r="C60" s="4" t="s">
        <v>1</v>
      </c>
      <c r="D60" s="4" t="s">
        <v>2</v>
      </c>
      <c r="E60" s="4" t="s">
        <v>3</v>
      </c>
    </row>
    <row r="61">
      <c r="B61" s="5" t="s">
        <v>27</v>
      </c>
      <c r="C61" s="12">
        <f t="shared" ref="C61:E61" si="12">C30</f>
        <v>17280</v>
      </c>
      <c r="D61" s="12">
        <f t="shared" si="12"/>
        <v>134175</v>
      </c>
      <c r="E61" s="12">
        <f t="shared" si="12"/>
        <v>192920</v>
      </c>
    </row>
    <row r="62">
      <c r="B62" s="5" t="s">
        <v>37</v>
      </c>
      <c r="C62" s="11">
        <f t="shared" ref="C62:E62" si="13">C61/C11</f>
        <v>1.44</v>
      </c>
      <c r="D62" s="20">
        <f t="shared" si="13"/>
        <v>8.945</v>
      </c>
      <c r="E62" s="11">
        <f t="shared" si="13"/>
        <v>7.42</v>
      </c>
    </row>
    <row r="63">
      <c r="B63" s="5" t="s">
        <v>38</v>
      </c>
      <c r="C63" s="11">
        <f t="shared" ref="C63:E63" si="14">(1/C5)*C62</f>
        <v>4.8</v>
      </c>
      <c r="D63" s="11">
        <f t="shared" si="14"/>
        <v>89.45</v>
      </c>
      <c r="E63" s="11">
        <f t="shared" si="14"/>
        <v>37.1</v>
      </c>
    </row>
    <row r="64">
      <c r="B64" s="5" t="s">
        <v>39</v>
      </c>
      <c r="C64" s="21" t="s">
        <v>40</v>
      </c>
      <c r="D64" s="21" t="s">
        <v>41</v>
      </c>
      <c r="E64" s="21" t="s">
        <v>42</v>
      </c>
    </row>
    <row r="65">
      <c r="B65" s="5" t="s">
        <v>43</v>
      </c>
      <c r="C65" s="11">
        <f>10000-E65-D65</f>
        <v>3300</v>
      </c>
      <c r="D65" s="11">
        <f>15000/(1/0.1)</f>
        <v>1500</v>
      </c>
      <c r="E65" s="11">
        <f>E11/(1/E5)</f>
        <v>5200</v>
      </c>
    </row>
    <row r="66">
      <c r="B66" s="5" t="s">
        <v>44</v>
      </c>
      <c r="C66" s="22">
        <f>C65*(1/C5)</f>
        <v>11000</v>
      </c>
      <c r="D66" s="4">
        <v>15000.0</v>
      </c>
      <c r="E66" s="4">
        <v>24000.0</v>
      </c>
    </row>
    <row r="68">
      <c r="B68" s="10" t="s">
        <v>18</v>
      </c>
    </row>
    <row r="70">
      <c r="B70" s="23" t="s">
        <v>45</v>
      </c>
      <c r="C70" s="12">
        <f>PRODUCT(C11:C12)+PRODUCT(D11:D12)+PRODUCT(E11:E12)</f>
        <v>969500</v>
      </c>
    </row>
    <row r="71">
      <c r="B71" s="23" t="s">
        <v>46</v>
      </c>
      <c r="C71" s="12">
        <f t="shared" ref="C71:C72" si="16">SUM(D71:F71)</f>
        <v>969500</v>
      </c>
      <c r="D71" s="14">
        <f t="shared" ref="D71:F71" si="15">SUM(C11:E11)*C12*C11/SUM(C11:E11)</f>
        <v>198000</v>
      </c>
      <c r="E71" s="14">
        <f t="shared" si="15"/>
        <v>277500</v>
      </c>
      <c r="F71" s="14">
        <f t="shared" si="15"/>
        <v>494000</v>
      </c>
    </row>
    <row r="72">
      <c r="B72" s="23" t="s">
        <v>47</v>
      </c>
      <c r="C72" s="12">
        <f t="shared" si="16"/>
        <v>968500</v>
      </c>
      <c r="D72" s="14">
        <f>SUM(C11:E11)*C12*C22/SUM(C22:E22)</f>
        <v>198000</v>
      </c>
      <c r="E72" s="14">
        <f>SUM(C11:E11)*D12*D22/SUM(C22:E22)</f>
        <v>314500</v>
      </c>
      <c r="F72" s="14">
        <f>SUM(C11:E11)*E12*E22/SUM(C22:E22)</f>
        <v>456000</v>
      </c>
    </row>
    <row r="73">
      <c r="B73" s="24"/>
      <c r="C73" s="12"/>
    </row>
    <row r="74">
      <c r="B74" s="23" t="s">
        <v>48</v>
      </c>
      <c r="C74" s="12">
        <f>PRODUCT(C21:C22)+PRODUCT(D21:D22)+PRODUCT(E21:E22)</f>
        <v>1006000</v>
      </c>
    </row>
    <row r="75">
      <c r="B75" s="24"/>
      <c r="C75" s="12"/>
    </row>
    <row r="76">
      <c r="B76" s="23" t="s">
        <v>49</v>
      </c>
      <c r="C76" s="12">
        <f>C70-D71</f>
        <v>771500</v>
      </c>
    </row>
    <row r="77">
      <c r="B77" s="23" t="s">
        <v>50</v>
      </c>
      <c r="C77" s="12">
        <f>D71-C72</f>
        <v>-770500</v>
      </c>
    </row>
    <row r="78">
      <c r="B78" s="23" t="s">
        <v>51</v>
      </c>
      <c r="C78" s="12">
        <f>C72-C74</f>
        <v>-37500</v>
      </c>
    </row>
    <row r="79">
      <c r="B79" s="23" t="s">
        <v>52</v>
      </c>
      <c r="C79" s="12">
        <f>C70-C74</f>
        <v>-36500</v>
      </c>
    </row>
  </sheetData>
  <mergeCells count="12">
    <mergeCell ref="C9:E9"/>
    <mergeCell ref="C10:E10"/>
    <mergeCell ref="B14:E14"/>
    <mergeCell ref="B15:E15"/>
    <mergeCell ref="B16:E16"/>
    <mergeCell ref="B17:E17"/>
    <mergeCell ref="B18:E18"/>
    <mergeCell ref="B24:E24"/>
    <mergeCell ref="B37:E37"/>
    <mergeCell ref="B40:E40"/>
    <mergeCell ref="B59:E59"/>
    <mergeCell ref="B68:E6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3" width="29.25"/>
    <col customWidth="1" min="4" max="4" width="11.5"/>
    <col customWidth="1" min="5" max="6" width="9.88"/>
  </cols>
  <sheetData>
    <row r="1">
      <c r="A1" s="1">
        <v>2.0</v>
      </c>
      <c r="B1" s="2" t="s">
        <v>53</v>
      </c>
    </row>
    <row r="2">
      <c r="B2" s="3"/>
      <c r="C2" s="4" t="s">
        <v>1</v>
      </c>
      <c r="D2" s="4" t="s">
        <v>2</v>
      </c>
      <c r="E2" s="4" t="s">
        <v>3</v>
      </c>
    </row>
    <row r="3">
      <c r="B3" s="5" t="s">
        <v>4</v>
      </c>
      <c r="C3" s="6">
        <v>0.7</v>
      </c>
      <c r="D3" s="6">
        <v>0.8</v>
      </c>
      <c r="E3" s="6">
        <v>0.9</v>
      </c>
    </row>
    <row r="4">
      <c r="B4" s="5" t="s">
        <v>5</v>
      </c>
      <c r="C4" s="6">
        <v>3.0</v>
      </c>
      <c r="D4" s="6">
        <v>4.0</v>
      </c>
      <c r="E4" s="6">
        <v>5.0</v>
      </c>
    </row>
    <row r="5">
      <c r="B5" s="5" t="s">
        <v>6</v>
      </c>
      <c r="C5" s="6">
        <v>0.2</v>
      </c>
      <c r="D5" s="6">
        <v>0.4</v>
      </c>
      <c r="E5" s="6">
        <v>0.3</v>
      </c>
    </row>
    <row r="6">
      <c r="B6" s="5" t="s">
        <v>7</v>
      </c>
      <c r="C6" s="6">
        <v>30.0</v>
      </c>
      <c r="D6" s="6">
        <v>30.0</v>
      </c>
      <c r="E6" s="6">
        <v>30.0</v>
      </c>
    </row>
    <row r="7">
      <c r="B7" s="5" t="s">
        <v>8</v>
      </c>
      <c r="C7" s="25">
        <v>0.03</v>
      </c>
      <c r="D7" s="25">
        <v>0.04</v>
      </c>
      <c r="E7" s="25">
        <v>0.02</v>
      </c>
    </row>
    <row r="8">
      <c r="B8" s="5" t="s">
        <v>54</v>
      </c>
      <c r="C8" s="6">
        <v>30000.0</v>
      </c>
      <c r="D8" s="6">
        <v>25000.0</v>
      </c>
      <c r="E8" s="6">
        <v>45000.0</v>
      </c>
    </row>
    <row r="9">
      <c r="B9" s="5" t="s">
        <v>55</v>
      </c>
      <c r="C9" s="7">
        <v>70000.0</v>
      </c>
      <c r="D9" s="8"/>
      <c r="E9" s="9"/>
    </row>
    <row r="10">
      <c r="B10" s="5" t="s">
        <v>12</v>
      </c>
      <c r="C10" s="6">
        <v>15000.0</v>
      </c>
      <c r="D10" s="6">
        <v>12000.0</v>
      </c>
      <c r="E10" s="6">
        <v>23000.0</v>
      </c>
    </row>
    <row r="11">
      <c r="B11" s="5" t="s">
        <v>13</v>
      </c>
      <c r="C11" s="6">
        <v>18.0</v>
      </c>
      <c r="D11" s="6">
        <v>19.5</v>
      </c>
      <c r="E11" s="6">
        <v>20.5</v>
      </c>
    </row>
    <row r="13">
      <c r="B13" s="10" t="s">
        <v>56</v>
      </c>
    </row>
    <row r="14">
      <c r="B14" s="10" t="s">
        <v>57</v>
      </c>
    </row>
    <row r="15">
      <c r="B15" s="10" t="s">
        <v>58</v>
      </c>
    </row>
    <row r="16">
      <c r="B16" s="10" t="s">
        <v>59</v>
      </c>
    </row>
    <row r="17">
      <c r="B17" s="10" t="s">
        <v>60</v>
      </c>
    </row>
    <row r="19">
      <c r="B19" s="11"/>
      <c r="C19" s="4" t="s">
        <v>1</v>
      </c>
      <c r="D19" s="4" t="s">
        <v>2</v>
      </c>
      <c r="E19" s="4" t="s">
        <v>3</v>
      </c>
    </row>
    <row r="20">
      <c r="B20" s="5" t="s">
        <v>19</v>
      </c>
      <c r="C20" s="17">
        <v>17.5</v>
      </c>
      <c r="D20" s="17">
        <v>20.0</v>
      </c>
      <c r="E20" s="17">
        <v>19.0</v>
      </c>
    </row>
    <row r="21">
      <c r="B21" s="5" t="s">
        <v>20</v>
      </c>
      <c r="C21" s="17">
        <v>17000.0</v>
      </c>
      <c r="D21" s="17">
        <v>12000.0</v>
      </c>
      <c r="E21" s="17">
        <v>24000.0</v>
      </c>
    </row>
    <row r="23">
      <c r="B23" s="10" t="s">
        <v>56</v>
      </c>
    </row>
    <row r="24">
      <c r="B24" s="4" t="s">
        <v>21</v>
      </c>
      <c r="C24" s="4" t="s">
        <v>1</v>
      </c>
      <c r="D24" s="4" t="s">
        <v>2</v>
      </c>
      <c r="E24" s="4" t="s">
        <v>3</v>
      </c>
      <c r="F24" s="4" t="s">
        <v>22</v>
      </c>
    </row>
    <row r="25">
      <c r="B25" s="5" t="s">
        <v>23</v>
      </c>
      <c r="C25" s="12">
        <f t="shared" ref="C25:E25" si="1">C10*C11</f>
        <v>270000</v>
      </c>
      <c r="D25" s="12">
        <f t="shared" si="1"/>
        <v>234000</v>
      </c>
      <c r="E25" s="12">
        <f t="shared" si="1"/>
        <v>471500</v>
      </c>
      <c r="F25" s="12">
        <f t="shared" ref="F25:F31" si="3">SUM(C25:E25)</f>
        <v>975500</v>
      </c>
    </row>
    <row r="26">
      <c r="B26" s="5" t="s">
        <v>24</v>
      </c>
      <c r="C26" s="12">
        <f t="shared" ref="C26:E26" si="2">-(C3*C4*C10)</f>
        <v>-31500</v>
      </c>
      <c r="D26" s="12">
        <f t="shared" si="2"/>
        <v>-38400</v>
      </c>
      <c r="E26" s="12">
        <f t="shared" si="2"/>
        <v>-103500</v>
      </c>
      <c r="F26" s="12">
        <f t="shared" si="3"/>
        <v>-173400</v>
      </c>
    </row>
    <row r="27">
      <c r="B27" s="5" t="s">
        <v>25</v>
      </c>
      <c r="C27" s="12">
        <f t="shared" ref="C27:E27" si="4">-(C5*C6*C10)</f>
        <v>-90000</v>
      </c>
      <c r="D27" s="12">
        <f t="shared" si="4"/>
        <v>-144000</v>
      </c>
      <c r="E27" s="12">
        <f t="shared" si="4"/>
        <v>-207000</v>
      </c>
      <c r="F27" s="12">
        <f t="shared" si="3"/>
        <v>-441000</v>
      </c>
    </row>
    <row r="28">
      <c r="B28" s="5" t="s">
        <v>26</v>
      </c>
      <c r="C28" s="12">
        <f t="shared" ref="C28:E28" si="5">-(C25*C7)</f>
        <v>-8100</v>
      </c>
      <c r="D28" s="12">
        <f t="shared" si="5"/>
        <v>-9360</v>
      </c>
      <c r="E28" s="12">
        <f t="shared" si="5"/>
        <v>-9430</v>
      </c>
      <c r="F28" s="12">
        <f t="shared" si="3"/>
        <v>-26890</v>
      </c>
    </row>
    <row r="29">
      <c r="B29" s="5" t="s">
        <v>27</v>
      </c>
      <c r="C29" s="12">
        <f t="shared" ref="C29:E29" si="6">SUM(C25:C28)</f>
        <v>140400</v>
      </c>
      <c r="D29" s="12">
        <f t="shared" si="6"/>
        <v>42240</v>
      </c>
      <c r="E29" s="12">
        <f t="shared" si="6"/>
        <v>151570</v>
      </c>
      <c r="F29" s="12">
        <f t="shared" si="3"/>
        <v>334210</v>
      </c>
    </row>
    <row r="30">
      <c r="B30" s="5" t="s">
        <v>61</v>
      </c>
      <c r="C30" s="17">
        <v>-30000.0</v>
      </c>
      <c r="D30" s="17">
        <v>-25000.0</v>
      </c>
      <c r="E30" s="17">
        <v>-45000.0</v>
      </c>
      <c r="F30" s="12">
        <f t="shared" si="3"/>
        <v>-100000</v>
      </c>
    </row>
    <row r="31">
      <c r="B31" s="5" t="s">
        <v>29</v>
      </c>
      <c r="C31" s="12">
        <f t="shared" ref="C31:E31" si="7">SUM(C29:C30)</f>
        <v>110400</v>
      </c>
      <c r="D31" s="12">
        <f t="shared" si="7"/>
        <v>17240</v>
      </c>
      <c r="E31" s="12">
        <f t="shared" si="7"/>
        <v>106570</v>
      </c>
      <c r="F31" s="12">
        <f t="shared" si="3"/>
        <v>234210</v>
      </c>
    </row>
    <row r="32">
      <c r="B32" s="5" t="s">
        <v>62</v>
      </c>
      <c r="C32" s="12"/>
      <c r="D32" s="12"/>
      <c r="E32" s="12"/>
      <c r="F32" s="17">
        <v>-70000.0</v>
      </c>
    </row>
    <row r="33">
      <c r="B33" s="4" t="s">
        <v>32</v>
      </c>
      <c r="C33" s="12"/>
      <c r="D33" s="12"/>
      <c r="E33" s="12"/>
      <c r="F33" s="13">
        <f>SUM(F31:F32)</f>
        <v>164210</v>
      </c>
    </row>
    <row r="35">
      <c r="B35" s="10" t="s">
        <v>57</v>
      </c>
    </row>
    <row r="36">
      <c r="B36" s="4" t="s">
        <v>21</v>
      </c>
      <c r="C36" s="4" t="s">
        <v>22</v>
      </c>
    </row>
    <row r="37">
      <c r="B37" s="5" t="s">
        <v>23</v>
      </c>
      <c r="C37" s="6" t="s">
        <v>33</v>
      </c>
    </row>
    <row r="38">
      <c r="B38" s="5" t="s">
        <v>24</v>
      </c>
      <c r="C38" s="12">
        <f t="shared" ref="C38:C39" si="8">F26</f>
        <v>-173400</v>
      </c>
    </row>
    <row r="39">
      <c r="B39" s="5" t="s">
        <v>25</v>
      </c>
      <c r="C39" s="12">
        <f t="shared" si="8"/>
        <v>-441000</v>
      </c>
    </row>
    <row r="40">
      <c r="B40" s="5" t="s">
        <v>26</v>
      </c>
      <c r="C40" s="6" t="s">
        <v>63</v>
      </c>
      <c r="D40" s="26">
        <f>ABS(F28)/F25</f>
        <v>0.0275653511</v>
      </c>
    </row>
    <row r="41">
      <c r="B41" s="5" t="s">
        <v>27</v>
      </c>
      <c r="C41" s="12">
        <f>C43+ABS(C42)</f>
        <v>350000</v>
      </c>
    </row>
    <row r="42">
      <c r="B42" s="5" t="s">
        <v>61</v>
      </c>
      <c r="C42" s="12">
        <f>F30</f>
        <v>-100000</v>
      </c>
    </row>
    <row r="43">
      <c r="B43" s="5" t="s">
        <v>29</v>
      </c>
      <c r="C43" s="12">
        <f>C45+ABS(C44)</f>
        <v>250000</v>
      </c>
    </row>
    <row r="44">
      <c r="B44" s="5" t="s">
        <v>62</v>
      </c>
      <c r="C44" s="17">
        <f>F32</f>
        <v>-70000</v>
      </c>
    </row>
    <row r="45">
      <c r="B45" s="4" t="s">
        <v>32</v>
      </c>
      <c r="C45" s="17">
        <v>180000.0</v>
      </c>
    </row>
    <row r="47">
      <c r="B47" s="18" t="s">
        <v>35</v>
      </c>
      <c r="C47" s="18" t="s">
        <v>64</v>
      </c>
      <c r="F47" s="14">
        <f>(350000+173400+441000)/(1-D40)</f>
        <v>991737.595</v>
      </c>
    </row>
    <row r="49">
      <c r="B49" s="27">
        <f>C41/(F29/F25)</f>
        <v>1021588.223</v>
      </c>
      <c r="C49" s="28" t="s">
        <v>65</v>
      </c>
      <c r="D49" s="29"/>
    </row>
    <row r="51">
      <c r="B51" s="10" t="s">
        <v>66</v>
      </c>
    </row>
    <row r="53">
      <c r="B53" s="30" t="s">
        <v>67</v>
      </c>
      <c r="C53" s="31"/>
    </row>
    <row r="54">
      <c r="B54" s="5" t="s">
        <v>23</v>
      </c>
      <c r="C54" s="32">
        <f>1500*20.5</f>
        <v>30750</v>
      </c>
    </row>
    <row r="56">
      <c r="B56" s="30" t="s">
        <v>68</v>
      </c>
      <c r="C56" s="31"/>
    </row>
    <row r="57">
      <c r="B57" s="5" t="s">
        <v>24</v>
      </c>
      <c r="C57" s="33">
        <f>1500*0.9*5</f>
        <v>6750</v>
      </c>
    </row>
    <row r="58">
      <c r="B58" s="5" t="s">
        <v>25</v>
      </c>
      <c r="C58" s="17">
        <f>1500*0.3*30</f>
        <v>13500</v>
      </c>
    </row>
    <row r="59">
      <c r="B59" s="5" t="s">
        <v>69</v>
      </c>
      <c r="C59" s="12">
        <f>60000/10</f>
        <v>6000</v>
      </c>
    </row>
    <row r="60">
      <c r="B60" s="5" t="s">
        <v>26</v>
      </c>
      <c r="C60" s="12">
        <f>1500*0.02*20.5</f>
        <v>615</v>
      </c>
    </row>
    <row r="61">
      <c r="B61" s="4" t="s">
        <v>70</v>
      </c>
      <c r="C61" s="13">
        <f>SUM(C57:C60)</f>
        <v>26865</v>
      </c>
    </row>
    <row r="63">
      <c r="B63" s="4" t="s">
        <v>71</v>
      </c>
      <c r="C63" s="34">
        <f>C54-C61</f>
        <v>3885</v>
      </c>
    </row>
    <row r="65">
      <c r="B65" s="10" t="s">
        <v>72</v>
      </c>
    </row>
    <row r="67">
      <c r="B67" s="30" t="s">
        <v>67</v>
      </c>
      <c r="C67" s="31"/>
    </row>
    <row r="68">
      <c r="B68" s="5" t="s">
        <v>24</v>
      </c>
      <c r="C68" s="33">
        <f>0.7*3*15000</f>
        <v>31500</v>
      </c>
    </row>
    <row r="69">
      <c r="B69" s="5" t="s">
        <v>25</v>
      </c>
      <c r="C69" s="17">
        <f>0.2*30*15000</f>
        <v>90000</v>
      </c>
    </row>
    <row r="70">
      <c r="B70" s="5" t="s">
        <v>73</v>
      </c>
      <c r="C70" s="12">
        <f>30000</f>
        <v>30000</v>
      </c>
    </row>
    <row r="71">
      <c r="B71" s="4" t="s">
        <v>74</v>
      </c>
      <c r="C71" s="13">
        <f>SUM(C68:C70)</f>
        <v>151500</v>
      </c>
    </row>
    <row r="73">
      <c r="B73" s="4" t="s">
        <v>68</v>
      </c>
    </row>
    <row r="74">
      <c r="B74" s="5" t="s">
        <v>75</v>
      </c>
      <c r="C74" s="13">
        <f>9*15000</f>
        <v>135000</v>
      </c>
    </row>
    <row r="76">
      <c r="B76" s="4" t="s">
        <v>71</v>
      </c>
      <c r="C76" s="34">
        <f>C71-C74</f>
        <v>16500</v>
      </c>
    </row>
    <row r="78">
      <c r="B78" s="10" t="s">
        <v>60</v>
      </c>
    </row>
    <row r="80">
      <c r="B80" s="23" t="s">
        <v>45</v>
      </c>
      <c r="C80" s="12">
        <f>C10*C11+D10*D11+E10*E11</f>
        <v>975500</v>
      </c>
    </row>
    <row r="81">
      <c r="B81" s="23" t="s">
        <v>46</v>
      </c>
      <c r="C81" s="12">
        <f t="shared" ref="C81:C82" si="10">SUM(D81:F81)</f>
        <v>1034030</v>
      </c>
      <c r="D81" s="14">
        <f t="shared" ref="D81:F81" si="9">SUM($C$21:$E$21)*(C10/ SUM($C$10:$E$10))*C11</f>
        <v>286200</v>
      </c>
      <c r="E81" s="14">
        <f t="shared" si="9"/>
        <v>248040</v>
      </c>
      <c r="F81" s="14">
        <f t="shared" si="9"/>
        <v>499790</v>
      </c>
    </row>
    <row r="82">
      <c r="B82" s="23" t="s">
        <v>47</v>
      </c>
      <c r="C82" s="12">
        <f t="shared" si="10"/>
        <v>1032000</v>
      </c>
      <c r="D82" s="14">
        <f t="shared" ref="D82:F82" si="11">SUM($C$21:$E$21)*(C21/ SUM($C$21:$E$21))*C11</f>
        <v>306000</v>
      </c>
      <c r="E82" s="14">
        <f t="shared" si="11"/>
        <v>234000</v>
      </c>
      <c r="F82" s="14">
        <f t="shared" si="11"/>
        <v>492000</v>
      </c>
    </row>
    <row r="83">
      <c r="B83" s="24"/>
      <c r="C83" s="12"/>
    </row>
    <row r="84">
      <c r="B84" s="23" t="s">
        <v>48</v>
      </c>
      <c r="C84" s="12">
        <f>C21*C20+D21*D20+E21*E20</f>
        <v>993500</v>
      </c>
    </row>
    <row r="85">
      <c r="B85" s="24"/>
      <c r="C85" s="12"/>
    </row>
    <row r="86">
      <c r="B86" s="23" t="s">
        <v>49</v>
      </c>
      <c r="C86" s="12">
        <f>ABS(C80-C81)</f>
        <v>58530</v>
      </c>
    </row>
    <row r="87">
      <c r="B87" s="23" t="s">
        <v>50</v>
      </c>
      <c r="C87" s="12">
        <f>C81-C82</f>
        <v>2030</v>
      </c>
    </row>
    <row r="88">
      <c r="B88" s="23" t="s">
        <v>51</v>
      </c>
      <c r="C88" s="12">
        <f>C82-C84</f>
        <v>38500</v>
      </c>
    </row>
    <row r="89">
      <c r="B89" s="23" t="s">
        <v>52</v>
      </c>
      <c r="C89" s="12">
        <f>C86-(C87+C88)</f>
        <v>18000</v>
      </c>
    </row>
  </sheetData>
  <mergeCells count="11">
    <mergeCell ref="B35:E35"/>
    <mergeCell ref="B51:E51"/>
    <mergeCell ref="B65:E65"/>
    <mergeCell ref="B78:E78"/>
    <mergeCell ref="C9:E9"/>
    <mergeCell ref="B13:E13"/>
    <mergeCell ref="B14:E14"/>
    <mergeCell ref="B15:E15"/>
    <mergeCell ref="B16:E16"/>
    <mergeCell ref="B17:E17"/>
    <mergeCell ref="B23:E2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9.38"/>
    <col customWidth="1" min="3" max="6" width="9.88"/>
    <col customWidth="1" min="8" max="8" width="38.38"/>
    <col customWidth="1" min="9" max="9" width="8.38"/>
  </cols>
  <sheetData>
    <row r="1">
      <c r="A1" s="1">
        <v>3.0</v>
      </c>
      <c r="B1" s="2" t="s">
        <v>76</v>
      </c>
    </row>
    <row r="2">
      <c r="B2" s="3"/>
      <c r="C2" s="4" t="s">
        <v>1</v>
      </c>
      <c r="D2" s="4" t="s">
        <v>2</v>
      </c>
      <c r="E2" s="4" t="s">
        <v>3</v>
      </c>
    </row>
    <row r="3">
      <c r="B3" s="5" t="s">
        <v>4</v>
      </c>
      <c r="C3" s="6">
        <v>0.5</v>
      </c>
      <c r="D3" s="6">
        <v>0.6</v>
      </c>
      <c r="E3" s="6">
        <v>0.7</v>
      </c>
    </row>
    <row r="4">
      <c r="B4" s="5" t="s">
        <v>5</v>
      </c>
      <c r="C4" s="6">
        <v>3.0</v>
      </c>
      <c r="D4" s="6">
        <v>2.0</v>
      </c>
      <c r="E4" s="6">
        <v>4.0</v>
      </c>
    </row>
    <row r="5">
      <c r="B5" s="5" t="s">
        <v>6</v>
      </c>
      <c r="C5" s="6">
        <v>0.4</v>
      </c>
      <c r="D5" s="6">
        <v>0.3</v>
      </c>
      <c r="E5" s="6">
        <v>0.2</v>
      </c>
    </row>
    <row r="6">
      <c r="B6" s="5" t="s">
        <v>7</v>
      </c>
      <c r="C6" s="6">
        <v>30.0</v>
      </c>
      <c r="D6" s="6">
        <v>30.0</v>
      </c>
      <c r="E6" s="6">
        <v>30.0</v>
      </c>
    </row>
    <row r="7">
      <c r="B7" s="5" t="s">
        <v>8</v>
      </c>
      <c r="C7" s="25">
        <v>0.04</v>
      </c>
      <c r="D7" s="25">
        <v>0.02</v>
      </c>
      <c r="E7" s="25">
        <v>0.03</v>
      </c>
    </row>
    <row r="8">
      <c r="B8" s="5" t="s">
        <v>54</v>
      </c>
      <c r="C8" s="6">
        <v>40000.0</v>
      </c>
      <c r="D8" s="6">
        <v>30000.0</v>
      </c>
      <c r="E8" s="6">
        <v>45000.0</v>
      </c>
    </row>
    <row r="9">
      <c r="B9" s="5" t="s">
        <v>77</v>
      </c>
      <c r="C9" s="7">
        <v>80000.0</v>
      </c>
      <c r="D9" s="8"/>
      <c r="E9" s="9"/>
    </row>
    <row r="10">
      <c r="B10" s="5" t="s">
        <v>55</v>
      </c>
      <c r="C10" s="7">
        <v>110000.0</v>
      </c>
      <c r="D10" s="8"/>
      <c r="E10" s="9"/>
    </row>
    <row r="11">
      <c r="B11" s="5" t="s">
        <v>12</v>
      </c>
      <c r="C11" s="6">
        <v>16000.0</v>
      </c>
      <c r="D11" s="6">
        <v>12000.0</v>
      </c>
      <c r="E11" s="6">
        <v>20000.0</v>
      </c>
    </row>
    <row r="12">
      <c r="B12" s="5" t="s">
        <v>13</v>
      </c>
      <c r="C12" s="6">
        <v>19.0</v>
      </c>
      <c r="D12" s="6">
        <v>20.0</v>
      </c>
      <c r="E12" s="6">
        <v>18.0</v>
      </c>
    </row>
    <row r="14">
      <c r="B14" s="10" t="s">
        <v>78</v>
      </c>
    </row>
    <row r="15">
      <c r="B15" s="10" t="s">
        <v>79</v>
      </c>
    </row>
    <row r="16">
      <c r="B16" s="10" t="s">
        <v>80</v>
      </c>
    </row>
    <row r="17">
      <c r="B17" s="10" t="s">
        <v>81</v>
      </c>
    </row>
    <row r="18">
      <c r="B18" s="10" t="s">
        <v>82</v>
      </c>
    </row>
    <row r="20">
      <c r="B20" s="35" t="s">
        <v>83</v>
      </c>
      <c r="C20" s="36">
        <v>0.05</v>
      </c>
    </row>
    <row r="21">
      <c r="B21" s="35" t="s">
        <v>84</v>
      </c>
      <c r="C21" s="17">
        <v>28.0</v>
      </c>
    </row>
    <row r="22">
      <c r="B22" s="35" t="s">
        <v>85</v>
      </c>
      <c r="C22" s="17">
        <v>13000.0</v>
      </c>
    </row>
    <row r="24">
      <c r="B24" s="10" t="s">
        <v>78</v>
      </c>
    </row>
    <row r="25">
      <c r="B25" s="4" t="s">
        <v>86</v>
      </c>
      <c r="C25" s="4" t="s">
        <v>1</v>
      </c>
      <c r="D25" s="4" t="s">
        <v>2</v>
      </c>
      <c r="E25" s="4" t="s">
        <v>3</v>
      </c>
      <c r="F25" s="4" t="s">
        <v>22</v>
      </c>
    </row>
    <row r="26">
      <c r="B26" s="4" t="s">
        <v>87</v>
      </c>
      <c r="C26" s="37"/>
      <c r="D26" s="8"/>
      <c r="E26" s="8"/>
      <c r="F26" s="9"/>
    </row>
    <row r="27">
      <c r="B27" s="5" t="s">
        <v>88</v>
      </c>
      <c r="C27" s="12">
        <f t="shared" ref="C27:E27" si="1">C3*C4*C11</f>
        <v>24000</v>
      </c>
      <c r="D27" s="12">
        <f t="shared" si="1"/>
        <v>14400</v>
      </c>
      <c r="E27" s="12">
        <f t="shared" si="1"/>
        <v>56000</v>
      </c>
      <c r="F27" s="12">
        <f t="shared" ref="F27:F28" si="3">SUM(C27:E27)</f>
        <v>94400</v>
      </c>
    </row>
    <row r="28">
      <c r="B28" s="5" t="s">
        <v>89</v>
      </c>
      <c r="C28" s="12">
        <f t="shared" ref="C28:E28" si="2">C5*C6*C11</f>
        <v>192000</v>
      </c>
      <c r="D28" s="12">
        <f t="shared" si="2"/>
        <v>108000</v>
      </c>
      <c r="E28" s="12">
        <f t="shared" si="2"/>
        <v>120000</v>
      </c>
      <c r="F28" s="12">
        <f t="shared" si="3"/>
        <v>420000</v>
      </c>
    </row>
    <row r="29">
      <c r="B29" s="4" t="s">
        <v>90</v>
      </c>
      <c r="C29" s="38"/>
      <c r="D29" s="8"/>
      <c r="E29" s="8"/>
      <c r="F29" s="9"/>
    </row>
    <row r="30">
      <c r="B30" s="5" t="s">
        <v>54</v>
      </c>
      <c r="C30" s="12">
        <f t="shared" ref="C30:E30" si="4">C8</f>
        <v>40000</v>
      </c>
      <c r="D30" s="12">
        <f t="shared" si="4"/>
        <v>30000</v>
      </c>
      <c r="E30" s="12">
        <f t="shared" si="4"/>
        <v>45000</v>
      </c>
      <c r="F30" s="12">
        <f>SUM(C30:E30)</f>
        <v>115000</v>
      </c>
    </row>
    <row r="31">
      <c r="B31" s="5" t="s">
        <v>77</v>
      </c>
      <c r="C31" s="38"/>
      <c r="D31" s="8"/>
      <c r="E31" s="9"/>
      <c r="F31" s="12">
        <f>C9</f>
        <v>80000</v>
      </c>
    </row>
    <row r="32">
      <c r="B32" s="4" t="s">
        <v>91</v>
      </c>
      <c r="C32" s="37"/>
      <c r="D32" s="8"/>
      <c r="E32" s="9"/>
      <c r="F32" s="13">
        <f>SUM(F27:F28,F30:F31)</f>
        <v>709400</v>
      </c>
    </row>
    <row r="34">
      <c r="B34" s="10" t="s">
        <v>79</v>
      </c>
    </row>
    <row r="35">
      <c r="B35" s="4" t="s">
        <v>21</v>
      </c>
      <c r="C35" s="4" t="s">
        <v>1</v>
      </c>
      <c r="D35" s="4" t="s">
        <v>2</v>
      </c>
      <c r="E35" s="4" t="s">
        <v>3</v>
      </c>
      <c r="F35" s="4" t="s">
        <v>22</v>
      </c>
    </row>
    <row r="36">
      <c r="B36" s="5" t="s">
        <v>23</v>
      </c>
      <c r="C36" s="12">
        <f t="shared" ref="C36:E36" si="5">C11*C12</f>
        <v>304000</v>
      </c>
      <c r="D36" s="12">
        <f t="shared" si="5"/>
        <v>240000</v>
      </c>
      <c r="E36" s="12">
        <f t="shared" si="5"/>
        <v>360000</v>
      </c>
      <c r="F36" s="12">
        <f t="shared" ref="F36:F39" si="7">SUM(C36:E36)</f>
        <v>904000</v>
      </c>
    </row>
    <row r="37">
      <c r="B37" s="5" t="s">
        <v>24</v>
      </c>
      <c r="C37" s="12">
        <f t="shared" ref="C37:E37" si="6">-(C3*C4*C11)</f>
        <v>-24000</v>
      </c>
      <c r="D37" s="12">
        <f t="shared" si="6"/>
        <v>-14400</v>
      </c>
      <c r="E37" s="12">
        <f t="shared" si="6"/>
        <v>-56000</v>
      </c>
      <c r="F37" s="12">
        <f t="shared" si="7"/>
        <v>-94400</v>
      </c>
    </row>
    <row r="38">
      <c r="B38" s="5" t="s">
        <v>25</v>
      </c>
      <c r="C38" s="12">
        <f t="shared" ref="C38:E38" si="8">-(C5*C6*C11)</f>
        <v>-192000</v>
      </c>
      <c r="D38" s="12">
        <f t="shared" si="8"/>
        <v>-108000</v>
      </c>
      <c r="E38" s="12">
        <f t="shared" si="8"/>
        <v>-120000</v>
      </c>
      <c r="F38" s="12">
        <f t="shared" si="7"/>
        <v>-420000</v>
      </c>
    </row>
    <row r="39">
      <c r="B39" s="5" t="s">
        <v>26</v>
      </c>
      <c r="C39" s="12">
        <f t="shared" ref="C39:E39" si="9">-(C36*C7)</f>
        <v>-12160</v>
      </c>
      <c r="D39" s="12">
        <f t="shared" si="9"/>
        <v>-4800</v>
      </c>
      <c r="E39" s="12">
        <f t="shared" si="9"/>
        <v>-10800</v>
      </c>
      <c r="F39" s="12">
        <f t="shared" si="7"/>
        <v>-27760</v>
      </c>
    </row>
    <row r="40">
      <c r="B40" s="4" t="s">
        <v>27</v>
      </c>
      <c r="C40" s="12">
        <f t="shared" ref="C40:F40" si="10">SUM(C36:C39)</f>
        <v>75840</v>
      </c>
      <c r="D40" s="12">
        <f t="shared" si="10"/>
        <v>112800</v>
      </c>
      <c r="E40" s="12">
        <f t="shared" si="10"/>
        <v>173200</v>
      </c>
      <c r="F40" s="12">
        <f t="shared" si="10"/>
        <v>361840</v>
      </c>
    </row>
    <row r="41">
      <c r="B41" s="5" t="s">
        <v>92</v>
      </c>
      <c r="C41" s="12">
        <f t="shared" ref="C41:E41" si="11">-C8</f>
        <v>-40000</v>
      </c>
      <c r="D41" s="12">
        <f t="shared" si="11"/>
        <v>-30000</v>
      </c>
      <c r="E41" s="12">
        <f t="shared" si="11"/>
        <v>-45000</v>
      </c>
      <c r="F41" s="12">
        <f>SUM(C41:E41)</f>
        <v>-115000</v>
      </c>
    </row>
    <row r="42">
      <c r="B42" s="4" t="s">
        <v>29</v>
      </c>
      <c r="C42" s="12">
        <f t="shared" ref="C42:F42" si="12">C40+C41</f>
        <v>35840</v>
      </c>
      <c r="D42" s="12">
        <f t="shared" si="12"/>
        <v>82800</v>
      </c>
      <c r="E42" s="12">
        <f t="shared" si="12"/>
        <v>128200</v>
      </c>
      <c r="F42" s="12">
        <f t="shared" si="12"/>
        <v>246840</v>
      </c>
    </row>
    <row r="43">
      <c r="B43" s="5" t="s">
        <v>93</v>
      </c>
      <c r="C43" s="39"/>
      <c r="D43" s="40"/>
      <c r="E43" s="41"/>
      <c r="F43" s="12">
        <f t="shared" ref="F43:F44" si="13">-C9</f>
        <v>-80000</v>
      </c>
    </row>
    <row r="44">
      <c r="B44" s="5" t="s">
        <v>62</v>
      </c>
      <c r="C44" s="42"/>
      <c r="D44" s="43"/>
      <c r="E44" s="44"/>
      <c r="F44" s="12">
        <f t="shared" si="13"/>
        <v>-110000</v>
      </c>
    </row>
    <row r="45">
      <c r="B45" s="4" t="s">
        <v>32</v>
      </c>
      <c r="C45" s="12"/>
      <c r="D45" s="12"/>
      <c r="E45" s="12"/>
      <c r="F45" s="13">
        <f>SUM(F42:F44)</f>
        <v>56840</v>
      </c>
    </row>
    <row r="47">
      <c r="B47" s="10" t="s">
        <v>80</v>
      </c>
    </row>
    <row r="48">
      <c r="C48" s="14"/>
    </row>
    <row r="49">
      <c r="B49" s="5" t="s">
        <v>94</v>
      </c>
      <c r="C49" s="12">
        <f>ABS(F41)</f>
        <v>115000</v>
      </c>
    </row>
    <row r="50">
      <c r="B50" s="5" t="s">
        <v>95</v>
      </c>
      <c r="C50" s="12">
        <f>ABS(F43+F44)</f>
        <v>190000</v>
      </c>
    </row>
    <row r="51">
      <c r="B51" s="4" t="s">
        <v>96</v>
      </c>
      <c r="C51" s="13">
        <f>SUM(C49:C50)</f>
        <v>305000</v>
      </c>
    </row>
    <row r="52">
      <c r="C52" s="14"/>
    </row>
    <row r="53">
      <c r="B53" s="5" t="s">
        <v>97</v>
      </c>
      <c r="C53" s="12">
        <f>F36</f>
        <v>904000</v>
      </c>
    </row>
    <row r="54">
      <c r="B54" s="5" t="s">
        <v>27</v>
      </c>
      <c r="C54" s="12">
        <f>F40</f>
        <v>361840</v>
      </c>
    </row>
    <row r="55">
      <c r="B55" s="5" t="s">
        <v>98</v>
      </c>
      <c r="C55" s="17">
        <f>C54/C53</f>
        <v>0.4002654867</v>
      </c>
    </row>
    <row r="56">
      <c r="B56" s="4" t="s">
        <v>99</v>
      </c>
      <c r="C56" s="13">
        <f>C51/C55</f>
        <v>761994.2516</v>
      </c>
    </row>
    <row r="57">
      <c r="C57" s="14"/>
    </row>
    <row r="58">
      <c r="B58" s="5" t="s">
        <v>100</v>
      </c>
      <c r="C58" s="17" t="s">
        <v>101</v>
      </c>
    </row>
    <row r="59">
      <c r="B59" s="5" t="s">
        <v>1</v>
      </c>
      <c r="C59" s="12"/>
    </row>
    <row r="60">
      <c r="B60" s="5" t="s">
        <v>2</v>
      </c>
      <c r="C60" s="12"/>
    </row>
    <row r="61">
      <c r="B61" s="5" t="s">
        <v>3</v>
      </c>
      <c r="C61" s="12"/>
    </row>
    <row r="62">
      <c r="C62" s="14"/>
    </row>
    <row r="63">
      <c r="B63" s="10" t="s">
        <v>81</v>
      </c>
    </row>
    <row r="64">
      <c r="C64" s="14"/>
    </row>
    <row r="65">
      <c r="B65" s="4" t="s">
        <v>67</v>
      </c>
    </row>
    <row r="66">
      <c r="B66" s="5" t="s">
        <v>102</v>
      </c>
      <c r="C66" s="12">
        <f t="shared" ref="C66:C67" si="14">ABS(E37)</f>
        <v>56000</v>
      </c>
    </row>
    <row r="67">
      <c r="B67" s="5" t="s">
        <v>89</v>
      </c>
      <c r="C67" s="12">
        <f t="shared" si="14"/>
        <v>120000</v>
      </c>
    </row>
    <row r="68">
      <c r="B68" s="5" t="s">
        <v>103</v>
      </c>
      <c r="C68" s="12">
        <f>ABS(E8)</f>
        <v>45000</v>
      </c>
    </row>
    <row r="69">
      <c r="B69" s="5" t="s">
        <v>104</v>
      </c>
      <c r="C69" s="12">
        <f>SUM(C66:C68)</f>
        <v>221000</v>
      </c>
    </row>
    <row r="70">
      <c r="C70" s="14"/>
    </row>
    <row r="71">
      <c r="B71" s="4" t="s">
        <v>68</v>
      </c>
      <c r="C71" s="14"/>
    </row>
    <row r="72">
      <c r="B72" s="5" t="s">
        <v>105</v>
      </c>
      <c r="C72" s="12">
        <f>E11*11</f>
        <v>220000</v>
      </c>
    </row>
    <row r="73">
      <c r="C73" s="14"/>
    </row>
    <row r="74">
      <c r="B74" s="4" t="s">
        <v>106</v>
      </c>
      <c r="C74" s="45">
        <f>C69-C72</f>
        <v>1000</v>
      </c>
    </row>
    <row r="76">
      <c r="B76" s="10" t="s">
        <v>82</v>
      </c>
    </row>
    <row r="78">
      <c r="B78" s="23" t="s">
        <v>45</v>
      </c>
      <c r="C78" s="12">
        <f>D5*D6*D11</f>
        <v>108000</v>
      </c>
      <c r="H78" s="35" t="s">
        <v>83</v>
      </c>
      <c r="I78" s="36">
        <v>0.05</v>
      </c>
    </row>
    <row r="79">
      <c r="B79" s="23" t="s">
        <v>46</v>
      </c>
      <c r="C79" s="12">
        <f>(I80*D5*D6)</f>
        <v>117000</v>
      </c>
      <c r="H79" s="35" t="s">
        <v>84</v>
      </c>
      <c r="I79" s="17">
        <v>28.0</v>
      </c>
    </row>
    <row r="80">
      <c r="B80" s="23" t="s">
        <v>47</v>
      </c>
      <c r="C80" s="12">
        <f>I80*D6*(D5*(1+I78))</f>
        <v>122850</v>
      </c>
      <c r="H80" s="35" t="s">
        <v>85</v>
      </c>
      <c r="I80" s="17">
        <v>13000.0</v>
      </c>
    </row>
    <row r="81">
      <c r="B81" s="24"/>
      <c r="C81" s="12"/>
    </row>
    <row r="82">
      <c r="B82" s="23" t="s">
        <v>48</v>
      </c>
      <c r="C82" s="12">
        <f>I80*I79*(D5*(1+I78))</f>
        <v>114660</v>
      </c>
    </row>
    <row r="83">
      <c r="B83" s="24"/>
      <c r="C83" s="12"/>
    </row>
    <row r="84">
      <c r="B84" s="23" t="s">
        <v>49</v>
      </c>
      <c r="C84" s="13">
        <f t="shared" ref="C84:C85" si="15">ABS(C78-C79)</f>
        <v>9000</v>
      </c>
    </row>
    <row r="85">
      <c r="B85" s="23" t="s">
        <v>50</v>
      </c>
      <c r="C85" s="13">
        <f t="shared" si="15"/>
        <v>5850</v>
      </c>
    </row>
    <row r="86">
      <c r="B86" s="23" t="s">
        <v>51</v>
      </c>
      <c r="C86" s="13">
        <f>C80-C82</f>
        <v>8190</v>
      </c>
    </row>
    <row r="87">
      <c r="B87" s="23" t="s">
        <v>52</v>
      </c>
      <c r="C87" s="13">
        <f>ABS(C78-C82)</f>
        <v>6660</v>
      </c>
    </row>
  </sheetData>
  <mergeCells count="17">
    <mergeCell ref="C9:E9"/>
    <mergeCell ref="C10:E10"/>
    <mergeCell ref="B14:E14"/>
    <mergeCell ref="B15:E15"/>
    <mergeCell ref="B16:E16"/>
    <mergeCell ref="B17:E17"/>
    <mergeCell ref="B18:E18"/>
    <mergeCell ref="B47:E47"/>
    <mergeCell ref="B63:E63"/>
    <mergeCell ref="B76:E76"/>
    <mergeCell ref="B24:E24"/>
    <mergeCell ref="C26:F26"/>
    <mergeCell ref="C29:F29"/>
    <mergeCell ref="C31:E31"/>
    <mergeCell ref="B34:E34"/>
    <mergeCell ref="C32:E32"/>
    <mergeCell ref="C43:E4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33.75"/>
    <col customWidth="1" min="3" max="3" width="9.38"/>
    <col customWidth="1" min="4" max="5" width="8.38"/>
    <col customWidth="1" min="6" max="6" width="7.5"/>
  </cols>
  <sheetData>
    <row r="1">
      <c r="A1" s="1">
        <v>4.0</v>
      </c>
      <c r="B1" s="2" t="s">
        <v>107</v>
      </c>
    </row>
    <row r="2">
      <c r="B2" s="3"/>
      <c r="C2" s="4" t="s">
        <v>33</v>
      </c>
      <c r="D2" s="4" t="s">
        <v>108</v>
      </c>
      <c r="E2" s="4" t="s">
        <v>109</v>
      </c>
    </row>
    <row r="3">
      <c r="B3" s="5" t="s">
        <v>4</v>
      </c>
      <c r="C3" s="6">
        <v>0.3</v>
      </c>
      <c r="D3" s="6">
        <v>0.4</v>
      </c>
      <c r="E3" s="6">
        <v>0.6</v>
      </c>
    </row>
    <row r="4">
      <c r="B4" s="5" t="s">
        <v>5</v>
      </c>
      <c r="C4" s="6">
        <v>12.0</v>
      </c>
      <c r="D4" s="6">
        <v>10.0</v>
      </c>
      <c r="E4" s="6">
        <v>9.0</v>
      </c>
    </row>
    <row r="5">
      <c r="B5" s="5" t="s">
        <v>6</v>
      </c>
      <c r="C5" s="6">
        <v>0.3</v>
      </c>
      <c r="D5" s="6">
        <v>0.2</v>
      </c>
      <c r="E5" s="6">
        <v>0.4</v>
      </c>
    </row>
    <row r="6">
      <c r="B6" s="5" t="s">
        <v>7</v>
      </c>
      <c r="C6" s="6">
        <v>30.0</v>
      </c>
      <c r="D6" s="6">
        <v>30.0</v>
      </c>
      <c r="E6" s="6">
        <v>30.0</v>
      </c>
    </row>
    <row r="7">
      <c r="B7" s="5" t="s">
        <v>8</v>
      </c>
      <c r="C7" s="25">
        <v>0.03</v>
      </c>
      <c r="D7" s="25">
        <v>0.02</v>
      </c>
      <c r="E7" s="25">
        <v>0.04</v>
      </c>
    </row>
    <row r="8">
      <c r="B8" s="5" t="s">
        <v>54</v>
      </c>
      <c r="C8" s="6">
        <v>40000.0</v>
      </c>
      <c r="D8" s="6">
        <v>55000.0</v>
      </c>
      <c r="E8" s="6">
        <v>70000.0</v>
      </c>
    </row>
    <row r="9">
      <c r="B9" s="5" t="s">
        <v>77</v>
      </c>
      <c r="C9" s="7">
        <v>80000.0</v>
      </c>
      <c r="D9" s="8"/>
      <c r="E9" s="9"/>
    </row>
    <row r="10">
      <c r="B10" s="5" t="s">
        <v>11</v>
      </c>
      <c r="C10" s="7">
        <v>65000.0</v>
      </c>
      <c r="D10" s="8"/>
      <c r="E10" s="9"/>
    </row>
    <row r="11">
      <c r="B11" s="5" t="s">
        <v>12</v>
      </c>
      <c r="C11" s="6">
        <v>16000.0</v>
      </c>
      <c r="D11" s="6">
        <v>20000.0</v>
      </c>
      <c r="E11" s="6">
        <v>29000.0</v>
      </c>
    </row>
    <row r="12">
      <c r="B12" s="5" t="s">
        <v>13</v>
      </c>
      <c r="C12" s="6">
        <v>19.5</v>
      </c>
      <c r="D12" s="6">
        <v>21.5</v>
      </c>
      <c r="E12" s="6">
        <v>22.0</v>
      </c>
    </row>
    <row r="14">
      <c r="B14" s="10" t="s">
        <v>110</v>
      </c>
    </row>
    <row r="15">
      <c r="B15" s="10" t="s">
        <v>111</v>
      </c>
    </row>
    <row r="16">
      <c r="B16" s="10" t="s">
        <v>112</v>
      </c>
    </row>
    <row r="17">
      <c r="B17" s="10" t="s">
        <v>113</v>
      </c>
    </row>
    <row r="18">
      <c r="B18" s="10" t="s">
        <v>114</v>
      </c>
    </row>
    <row r="20">
      <c r="B20" s="11"/>
      <c r="C20" s="46" t="s">
        <v>109</v>
      </c>
    </row>
    <row r="21">
      <c r="B21" s="35" t="s">
        <v>115</v>
      </c>
      <c r="C21" s="6">
        <v>155000.0</v>
      </c>
    </row>
    <row r="22">
      <c r="B22" s="35" t="s">
        <v>116</v>
      </c>
      <c r="C22" s="25">
        <f>0.05</f>
        <v>0.05</v>
      </c>
    </row>
    <row r="23">
      <c r="B23" s="35" t="s">
        <v>117</v>
      </c>
      <c r="C23" s="6">
        <v>10.0</v>
      </c>
    </row>
    <row r="25">
      <c r="B25" s="10" t="s">
        <v>110</v>
      </c>
    </row>
    <row r="26">
      <c r="B26" s="4" t="s">
        <v>86</v>
      </c>
      <c r="C26" s="4" t="s">
        <v>33</v>
      </c>
      <c r="D26" s="4" t="s">
        <v>108</v>
      </c>
      <c r="E26" s="4" t="s">
        <v>109</v>
      </c>
      <c r="F26" s="4" t="s">
        <v>22</v>
      </c>
    </row>
    <row r="27">
      <c r="B27" s="4" t="s">
        <v>87</v>
      </c>
      <c r="C27" s="37"/>
      <c r="D27" s="8"/>
      <c r="E27" s="8"/>
      <c r="F27" s="9"/>
    </row>
    <row r="28">
      <c r="B28" s="5" t="s">
        <v>88</v>
      </c>
      <c r="C28" s="12"/>
      <c r="D28" s="12"/>
      <c r="E28" s="12"/>
      <c r="F28" s="12"/>
    </row>
    <row r="29">
      <c r="B29" s="5" t="s">
        <v>89</v>
      </c>
      <c r="C29" s="12"/>
      <c r="D29" s="12"/>
      <c r="E29" s="12"/>
      <c r="F29" s="12"/>
    </row>
    <row r="30">
      <c r="B30" s="4" t="s">
        <v>90</v>
      </c>
      <c r="C30" s="38"/>
      <c r="D30" s="8"/>
      <c r="E30" s="8"/>
      <c r="F30" s="9"/>
    </row>
    <row r="31">
      <c r="B31" s="5" t="s">
        <v>9</v>
      </c>
      <c r="C31" s="12"/>
      <c r="D31" s="12"/>
      <c r="E31" s="12"/>
      <c r="F31" s="12"/>
    </row>
    <row r="32">
      <c r="B32" s="5" t="s">
        <v>77</v>
      </c>
      <c r="C32" s="38"/>
      <c r="D32" s="8"/>
      <c r="E32" s="9"/>
      <c r="F32" s="12"/>
    </row>
    <row r="33">
      <c r="B33" s="4" t="s">
        <v>91</v>
      </c>
      <c r="C33" s="37"/>
      <c r="D33" s="8"/>
      <c r="E33" s="9"/>
      <c r="F33" s="22"/>
    </row>
    <row r="35">
      <c r="B35" s="10" t="s">
        <v>111</v>
      </c>
    </row>
    <row r="36">
      <c r="B36" s="4" t="s">
        <v>21</v>
      </c>
      <c r="C36" s="4" t="s">
        <v>33</v>
      </c>
      <c r="D36" s="4" t="s">
        <v>108</v>
      </c>
      <c r="E36" s="4" t="s">
        <v>109</v>
      </c>
      <c r="F36" s="4" t="s">
        <v>22</v>
      </c>
    </row>
    <row r="37">
      <c r="B37" s="5" t="s">
        <v>23</v>
      </c>
      <c r="C37" s="12"/>
      <c r="D37" s="12"/>
      <c r="E37" s="12"/>
      <c r="F37" s="12"/>
    </row>
    <row r="38">
      <c r="B38" s="5" t="s">
        <v>24</v>
      </c>
      <c r="C38" s="12"/>
      <c r="D38" s="12"/>
      <c r="E38" s="12"/>
      <c r="F38" s="12"/>
    </row>
    <row r="39">
      <c r="B39" s="5" t="s">
        <v>25</v>
      </c>
      <c r="C39" s="12"/>
      <c r="D39" s="12"/>
      <c r="E39" s="12"/>
      <c r="F39" s="12"/>
    </row>
    <row r="40">
      <c r="B40" s="5" t="s">
        <v>26</v>
      </c>
      <c r="C40" s="12"/>
      <c r="D40" s="12"/>
      <c r="E40" s="12"/>
      <c r="F40" s="12"/>
    </row>
    <row r="41">
      <c r="B41" s="4" t="s">
        <v>27</v>
      </c>
      <c r="C41" s="12"/>
      <c r="D41" s="12"/>
      <c r="E41" s="12"/>
      <c r="F41" s="12"/>
    </row>
    <row r="42">
      <c r="B42" s="5" t="s">
        <v>28</v>
      </c>
      <c r="C42" s="12"/>
      <c r="D42" s="12"/>
      <c r="E42" s="12"/>
      <c r="F42" s="12"/>
    </row>
    <row r="43">
      <c r="B43" s="4" t="s">
        <v>29</v>
      </c>
      <c r="C43" s="12"/>
      <c r="D43" s="12"/>
      <c r="E43" s="12"/>
      <c r="F43" s="12"/>
    </row>
    <row r="44">
      <c r="B44" s="5" t="s">
        <v>93</v>
      </c>
      <c r="C44" s="39"/>
      <c r="D44" s="40"/>
      <c r="E44" s="41"/>
      <c r="F44" s="12"/>
    </row>
    <row r="45">
      <c r="B45" s="5" t="s">
        <v>31</v>
      </c>
      <c r="C45" s="47"/>
      <c r="D45" s="43"/>
      <c r="E45" s="44"/>
      <c r="F45" s="12"/>
    </row>
    <row r="46">
      <c r="B46" s="4" t="s">
        <v>32</v>
      </c>
      <c r="C46" s="12"/>
      <c r="D46" s="12"/>
      <c r="E46" s="12"/>
      <c r="F46" s="13"/>
    </row>
    <row r="48">
      <c r="B48" s="10" t="s">
        <v>112</v>
      </c>
    </row>
  </sheetData>
  <mergeCells count="16">
    <mergeCell ref="C32:E32"/>
    <mergeCell ref="C33:E33"/>
    <mergeCell ref="B35:E35"/>
    <mergeCell ref="C44:E44"/>
    <mergeCell ref="C45:E45"/>
    <mergeCell ref="B48:E48"/>
    <mergeCell ref="C9:E9"/>
    <mergeCell ref="C10:E10"/>
    <mergeCell ref="B15:E15"/>
    <mergeCell ref="B16:E16"/>
    <mergeCell ref="B17:E17"/>
    <mergeCell ref="B18:E18"/>
    <mergeCell ref="B25:E25"/>
    <mergeCell ref="C27:F27"/>
    <mergeCell ref="C30:F30"/>
    <mergeCell ref="B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33.63"/>
    <col customWidth="1" min="3" max="5" width="8.38"/>
  </cols>
  <sheetData>
    <row r="1">
      <c r="A1" s="1">
        <v>5.0</v>
      </c>
      <c r="B1" s="2" t="s">
        <v>118</v>
      </c>
    </row>
    <row r="2">
      <c r="B2" s="3"/>
      <c r="C2" s="4" t="s">
        <v>1</v>
      </c>
      <c r="D2" s="4" t="s">
        <v>2</v>
      </c>
      <c r="E2" s="4" t="s">
        <v>3</v>
      </c>
    </row>
    <row r="3">
      <c r="B3" s="5" t="s">
        <v>4</v>
      </c>
      <c r="C3" s="6">
        <v>0.2</v>
      </c>
      <c r="D3" s="6">
        <v>0.5</v>
      </c>
      <c r="E3" s="6">
        <v>0.4</v>
      </c>
    </row>
    <row r="4">
      <c r="B4" s="5" t="s">
        <v>5</v>
      </c>
      <c r="C4" s="6">
        <v>12.0</v>
      </c>
      <c r="D4" s="6">
        <v>10.0</v>
      </c>
      <c r="E4" s="6">
        <v>8.0</v>
      </c>
    </row>
    <row r="5">
      <c r="B5" s="5" t="s">
        <v>6</v>
      </c>
      <c r="C5" s="6">
        <v>0.3</v>
      </c>
      <c r="D5" s="6">
        <v>0.1</v>
      </c>
      <c r="E5" s="6">
        <v>0.2</v>
      </c>
    </row>
    <row r="6">
      <c r="B6" s="5" t="s">
        <v>7</v>
      </c>
      <c r="C6" s="6">
        <v>40.0</v>
      </c>
      <c r="D6" s="6">
        <v>40.0</v>
      </c>
      <c r="E6" s="6">
        <v>40.0</v>
      </c>
    </row>
    <row r="7">
      <c r="B7" s="5" t="s">
        <v>8</v>
      </c>
      <c r="C7" s="25">
        <v>0.04</v>
      </c>
      <c r="D7" s="25">
        <v>0.03</v>
      </c>
      <c r="E7" s="25">
        <v>0.02</v>
      </c>
    </row>
    <row r="8">
      <c r="B8" s="5" t="s">
        <v>54</v>
      </c>
      <c r="C8" s="6">
        <v>40000.0</v>
      </c>
      <c r="D8" s="6">
        <v>55000.0</v>
      </c>
      <c r="E8" s="6">
        <v>70000.0</v>
      </c>
    </row>
    <row r="9">
      <c r="B9" s="5" t="s">
        <v>11</v>
      </c>
      <c r="C9" s="7">
        <v>65000.0</v>
      </c>
      <c r="D9" s="8"/>
      <c r="E9" s="9"/>
    </row>
    <row r="10">
      <c r="B10" s="5" t="s">
        <v>12</v>
      </c>
      <c r="C10" s="6">
        <v>12000.0</v>
      </c>
      <c r="D10" s="6">
        <v>15000.0</v>
      </c>
      <c r="E10" s="6">
        <v>26000.0</v>
      </c>
    </row>
    <row r="11">
      <c r="B11" s="5" t="s">
        <v>13</v>
      </c>
      <c r="C11" s="6">
        <v>16.5</v>
      </c>
      <c r="D11" s="6">
        <v>18.5</v>
      </c>
      <c r="E11" s="6">
        <v>19.0</v>
      </c>
    </row>
    <row r="13">
      <c r="B13" s="10" t="s">
        <v>119</v>
      </c>
    </row>
    <row r="14">
      <c r="B14" s="10" t="s">
        <v>120</v>
      </c>
    </row>
    <row r="15">
      <c r="B15" s="10" t="s">
        <v>121</v>
      </c>
    </row>
    <row r="16">
      <c r="B16" s="10" t="s">
        <v>122</v>
      </c>
    </row>
    <row r="17">
      <c r="B17" s="10" t="s">
        <v>123</v>
      </c>
    </row>
    <row r="19">
      <c r="B19" s="35" t="s">
        <v>124</v>
      </c>
      <c r="C19" s="6">
        <v>42.0</v>
      </c>
    </row>
    <row r="20">
      <c r="B20" s="35" t="s">
        <v>125</v>
      </c>
      <c r="C20" s="6">
        <v>25000.0</v>
      </c>
    </row>
    <row r="21">
      <c r="B21" s="35" t="s">
        <v>116</v>
      </c>
      <c r="C21" s="25">
        <v>0.05</v>
      </c>
    </row>
  </sheetData>
  <mergeCells count="6">
    <mergeCell ref="B13:E13"/>
    <mergeCell ref="B14:E14"/>
    <mergeCell ref="B15:E15"/>
    <mergeCell ref="B16:E16"/>
    <mergeCell ref="B17:E17"/>
    <mergeCell ref="C9:E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7.38"/>
    <col customWidth="1" min="3" max="4" width="9.38"/>
    <col customWidth="1" min="5" max="5" width="10.75"/>
  </cols>
  <sheetData>
    <row r="1">
      <c r="A1" s="1">
        <v>6.0</v>
      </c>
      <c r="B1" s="1" t="s">
        <v>126</v>
      </c>
    </row>
    <row r="2">
      <c r="B2" s="48" t="s">
        <v>127</v>
      </c>
      <c r="C2" s="8"/>
      <c r="D2" s="9"/>
    </row>
    <row r="3">
      <c r="B3" s="49"/>
      <c r="C3" s="46" t="s">
        <v>128</v>
      </c>
      <c r="D3" s="46" t="s">
        <v>129</v>
      </c>
    </row>
    <row r="4">
      <c r="B4" s="21" t="s">
        <v>24</v>
      </c>
      <c r="C4" s="50">
        <f>2*2</f>
        <v>4</v>
      </c>
      <c r="D4" s="50">
        <f>2*1</f>
        <v>2</v>
      </c>
    </row>
    <row r="5">
      <c r="B5" s="21" t="s">
        <v>25</v>
      </c>
      <c r="C5" s="6">
        <f>1/10*5</f>
        <v>0.5</v>
      </c>
      <c r="D5" s="6">
        <f>1/5*5</f>
        <v>1</v>
      </c>
    </row>
    <row r="6">
      <c r="B6" s="21" t="s">
        <v>130</v>
      </c>
      <c r="C6" s="6">
        <f>(1/10*200000)/60000*(28000*5)</f>
        <v>46666.66667</v>
      </c>
      <c r="D6" s="6">
        <f>(1/5*200000)/60000*(28000*5)</f>
        <v>93333.33333</v>
      </c>
    </row>
    <row r="7">
      <c r="B7" s="21" t="s">
        <v>131</v>
      </c>
      <c r="C7" s="50">
        <f>10*0.016</f>
        <v>0.16</v>
      </c>
      <c r="D7" s="50">
        <f>20*0.016</f>
        <v>0.32</v>
      </c>
    </row>
    <row r="8">
      <c r="B8" s="21" t="s">
        <v>22</v>
      </c>
      <c r="C8" s="50">
        <f t="shared" ref="C8:D8" si="1">SUM(C4:C7)</f>
        <v>46671.32667</v>
      </c>
      <c r="D8" s="50">
        <f t="shared" si="1"/>
        <v>93336.65333</v>
      </c>
    </row>
    <row r="10">
      <c r="B10" s="48" t="s">
        <v>132</v>
      </c>
      <c r="C10" s="8"/>
      <c r="D10" s="8"/>
      <c r="E10" s="9"/>
    </row>
    <row r="11">
      <c r="B11" s="49"/>
      <c r="C11" s="46" t="s">
        <v>128</v>
      </c>
      <c r="D11" s="46" t="s">
        <v>129</v>
      </c>
      <c r="E11" s="46" t="s">
        <v>22</v>
      </c>
    </row>
    <row r="12">
      <c r="B12" s="46" t="s">
        <v>24</v>
      </c>
      <c r="C12" s="50">
        <f t="shared" ref="C12:D12" si="2">C4*200000</f>
        <v>800000</v>
      </c>
      <c r="D12" s="50">
        <f t="shared" si="2"/>
        <v>400000</v>
      </c>
      <c r="E12" s="50">
        <f t="shared" ref="E12:E20" si="4">SUM(C12:D12)</f>
        <v>1200000</v>
      </c>
    </row>
    <row r="13">
      <c r="B13" s="46" t="s">
        <v>25</v>
      </c>
      <c r="C13" s="50">
        <f t="shared" ref="C13:D13" si="3">C5*200000</f>
        <v>100000</v>
      </c>
      <c r="D13" s="50">
        <f t="shared" si="3"/>
        <v>200000</v>
      </c>
      <c r="E13" s="50">
        <f t="shared" si="4"/>
        <v>300000</v>
      </c>
    </row>
    <row r="14">
      <c r="B14" s="46" t="s">
        <v>130</v>
      </c>
      <c r="C14" s="50">
        <f t="shared" ref="C14:D14" si="5">C6</f>
        <v>46666.66667</v>
      </c>
      <c r="D14" s="50">
        <f t="shared" si="5"/>
        <v>93333.33333</v>
      </c>
      <c r="E14" s="50">
        <f t="shared" si="4"/>
        <v>140000</v>
      </c>
    </row>
    <row r="15">
      <c r="B15" s="46" t="s">
        <v>131</v>
      </c>
      <c r="C15" s="50">
        <f t="shared" ref="C15:D15" si="6">C7*200000</f>
        <v>32000</v>
      </c>
      <c r="D15" s="50">
        <f t="shared" si="6"/>
        <v>64000</v>
      </c>
      <c r="E15" s="50">
        <f t="shared" si="4"/>
        <v>96000</v>
      </c>
    </row>
    <row r="16">
      <c r="B16" s="46" t="s">
        <v>133</v>
      </c>
      <c r="C16" s="50">
        <f t="shared" ref="C16:D16" si="7">SUM(C12:C15)</f>
        <v>978666.6667</v>
      </c>
      <c r="D16" s="50">
        <f t="shared" si="7"/>
        <v>757333.3333</v>
      </c>
      <c r="E16" s="50">
        <f t="shared" si="4"/>
        <v>1736000</v>
      </c>
    </row>
    <row r="17">
      <c r="B17" s="46" t="s">
        <v>134</v>
      </c>
      <c r="C17" s="7">
        <f>20000*5</f>
        <v>100000</v>
      </c>
      <c r="D17" s="9"/>
      <c r="E17" s="50">
        <f t="shared" si="4"/>
        <v>100000</v>
      </c>
    </row>
    <row r="18">
      <c r="B18" s="46" t="s">
        <v>135</v>
      </c>
      <c r="C18" s="7">
        <v>40000.0</v>
      </c>
      <c r="D18" s="9"/>
      <c r="E18" s="50">
        <f t="shared" si="4"/>
        <v>40000</v>
      </c>
    </row>
    <row r="19">
      <c r="B19" s="46" t="s">
        <v>92</v>
      </c>
      <c r="C19" s="7">
        <v>50000.0</v>
      </c>
      <c r="D19" s="9"/>
      <c r="E19" s="50">
        <f t="shared" si="4"/>
        <v>50000</v>
      </c>
    </row>
    <row r="20">
      <c r="B20" s="46" t="s">
        <v>136</v>
      </c>
      <c r="C20" s="7">
        <v>100000.0</v>
      </c>
      <c r="D20" s="9"/>
      <c r="E20" s="50">
        <f t="shared" si="4"/>
        <v>100000</v>
      </c>
    </row>
    <row r="21">
      <c r="B21" s="46" t="s">
        <v>137</v>
      </c>
      <c r="C21" s="50"/>
      <c r="D21" s="50"/>
      <c r="E21" s="50">
        <f>SUM(E12:E20)</f>
        <v>3762000</v>
      </c>
    </row>
  </sheetData>
  <mergeCells count="6">
    <mergeCell ref="B2:D2"/>
    <mergeCell ref="B10:E10"/>
    <mergeCell ref="C17:D17"/>
    <mergeCell ref="C18:D18"/>
    <mergeCell ref="C19:D19"/>
    <mergeCell ref="C20:D20"/>
  </mergeCells>
  <drawing r:id="rId1"/>
</worksheet>
</file>