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7.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https://azurepnccgovt-my.sharepoint.com/personal/adam_jarvis_pncc_govt_nz/Documents/Desktop/"/>
    </mc:Choice>
  </mc:AlternateContent>
  <xr:revisionPtr revIDLastSave="1927" documentId="8_{EC0451BE-630B-4C38-B68A-BACCD1F3CB1C}" xr6:coauthVersionLast="45" xr6:coauthVersionMax="47" xr10:uidLastSave="{A100D6B5-5B16-4D97-905F-6C1964309EF5}"/>
  <bookViews>
    <workbookView xWindow="-120" yWindow="-120" windowWidth="29040" windowHeight="15840" tabRatio="791" activeTab="1" xr2:uid="{F21C635C-4F50-4874-BDFF-91B8F5F15B79}"/>
  </bookViews>
  <sheets>
    <sheet name="Welcome" sheetId="18" r:id="rId1"/>
    <sheet name="Modelled Results" sheetId="17" r:id="rId2"/>
    <sheet name="Chosen Scenarios" sheetId="21" r:id="rId3"/>
    <sheet name="Base-Year" sheetId="22" r:id="rId4"/>
    <sheet name="Baseline Statistics" sheetId="1" r:id="rId5"/>
    <sheet name="Baseline User Input" sheetId="13" r:id="rId6"/>
    <sheet name="1. Landuse" sheetId="9" r:id="rId7"/>
    <sheet name="2. Industry" sheetId="8" r:id="rId8"/>
    <sheet name="3. Transport" sheetId="5" r:id="rId9"/>
    <sheet name="4. Buildings" sheetId="6" r:id="rId10"/>
    <sheet name="5. Energy" sheetId="7" r:id="rId11"/>
    <sheet name="Emissions Factors, etc," sheetId="14" r:id="rId12"/>
    <sheet name="Background Calcs. Agriculture" sheetId="15" r:id="rId13"/>
    <sheet name="Background Calcs. Housing" sheetId="2" r:id="rId14"/>
    <sheet name="Background Calcs. Electricity" sheetId="10" r:id="rId15"/>
    <sheet name="Workspace" sheetId="20" r:id="rId16"/>
    <sheet name="Patch Notes" sheetId="16" r:id="rId17"/>
  </sheets>
  <externalReferences>
    <externalReference r:id="rId18"/>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 i="8" l="1"/>
  <c r="C29" i="8" s="1"/>
  <c r="L92" i="13" l="1"/>
  <c r="L69" i="13"/>
  <c r="L43" i="13" l="1"/>
  <c r="W13" i="10" l="1"/>
  <c r="W14" i="10"/>
  <c r="W15" i="10"/>
  <c r="W16" i="10"/>
  <c r="V15" i="10"/>
  <c r="S16" i="10"/>
  <c r="T16" i="10"/>
  <c r="U16" i="10"/>
  <c r="V16" i="10"/>
  <c r="H67" i="10" l="1"/>
  <c r="C11" i="7"/>
  <c r="P13" i="10" s="1"/>
  <c r="K13" i="2" l="1"/>
  <c r="C159" i="14" l="1"/>
  <c r="L49" i="13"/>
  <c r="W18" i="15"/>
  <c r="Z8" i="15"/>
  <c r="W9" i="15"/>
  <c r="M18" i="15"/>
  <c r="C129" i="14" l="1"/>
  <c r="D54" i="14"/>
  <c r="E54" i="14"/>
  <c r="F54" i="14"/>
  <c r="G54" i="14"/>
  <c r="H54" i="14"/>
  <c r="I54" i="14"/>
  <c r="C54" i="14"/>
  <c r="D53" i="14"/>
  <c r="E53" i="14"/>
  <c r="F53" i="14"/>
  <c r="G53" i="14"/>
  <c r="H53" i="14"/>
  <c r="I53" i="14"/>
  <c r="C53" i="14"/>
  <c r="O47" i="14"/>
  <c r="D46" i="14"/>
  <c r="E46" i="14"/>
  <c r="F46" i="14"/>
  <c r="G46" i="14"/>
  <c r="H46" i="14"/>
  <c r="I46" i="14"/>
  <c r="C46" i="14"/>
  <c r="D43" i="14"/>
  <c r="E43" i="14"/>
  <c r="F43" i="14"/>
  <c r="G43" i="14"/>
  <c r="H43" i="14"/>
  <c r="I43" i="14"/>
  <c r="C43" i="14"/>
  <c r="D42" i="14"/>
  <c r="E42" i="14"/>
  <c r="F42" i="14"/>
  <c r="G42" i="14"/>
  <c r="H42" i="14"/>
  <c r="I42" i="14"/>
  <c r="C42" i="14"/>
  <c r="D40" i="14"/>
  <c r="E40" i="14"/>
  <c r="F40" i="14"/>
  <c r="G40" i="14"/>
  <c r="H40" i="14"/>
  <c r="I40" i="14"/>
  <c r="C40" i="14"/>
  <c r="D39" i="14"/>
  <c r="E39" i="14"/>
  <c r="F39" i="14"/>
  <c r="G39" i="14"/>
  <c r="H39" i="14"/>
  <c r="I39" i="14"/>
  <c r="C39" i="14"/>
  <c r="D38" i="14"/>
  <c r="E38" i="14"/>
  <c r="F38" i="14"/>
  <c r="G38" i="14"/>
  <c r="H38" i="14"/>
  <c r="I38" i="14"/>
  <c r="C38" i="14"/>
  <c r="D37" i="14"/>
  <c r="E37" i="14"/>
  <c r="F37" i="14"/>
  <c r="G37" i="14"/>
  <c r="H37" i="14"/>
  <c r="I37" i="14"/>
  <c r="C37" i="14"/>
  <c r="D36" i="14"/>
  <c r="E36" i="14"/>
  <c r="F36" i="14"/>
  <c r="G36" i="14"/>
  <c r="H36" i="14"/>
  <c r="I36" i="14"/>
  <c r="C36" i="14"/>
  <c r="I29" i="14"/>
  <c r="D30" i="14"/>
  <c r="E30" i="14"/>
  <c r="F30" i="14"/>
  <c r="G30" i="14"/>
  <c r="H30" i="14"/>
  <c r="I30" i="14"/>
  <c r="C30" i="14"/>
  <c r="D29" i="14"/>
  <c r="E29" i="14"/>
  <c r="F29" i="14"/>
  <c r="G29" i="14"/>
  <c r="H29" i="14"/>
  <c r="C29" i="14"/>
  <c r="D28" i="14"/>
  <c r="E28" i="14"/>
  <c r="F28" i="14"/>
  <c r="G28" i="14"/>
  <c r="H28" i="14"/>
  <c r="I28" i="14"/>
  <c r="C28" i="14"/>
  <c r="D27" i="14"/>
  <c r="D34" i="14" s="1"/>
  <c r="E27" i="14"/>
  <c r="E34" i="14" s="1"/>
  <c r="F27" i="14"/>
  <c r="F34" i="14" s="1"/>
  <c r="G27" i="14"/>
  <c r="G34" i="14" s="1"/>
  <c r="H27" i="14"/>
  <c r="H34" i="14" s="1"/>
  <c r="I27" i="14"/>
  <c r="I34" i="14" s="1"/>
  <c r="C27" i="14"/>
  <c r="C34" i="14" s="1"/>
  <c r="D26" i="14"/>
  <c r="D35" i="14" s="1"/>
  <c r="E26" i="14"/>
  <c r="E35" i="14" s="1"/>
  <c r="F26" i="14"/>
  <c r="F35" i="14" s="1"/>
  <c r="G26" i="14"/>
  <c r="G35" i="14" s="1"/>
  <c r="H26" i="14"/>
  <c r="H35" i="14" s="1"/>
  <c r="I26" i="14"/>
  <c r="I35" i="14" s="1"/>
  <c r="C26" i="14"/>
  <c r="C35" i="14" s="1"/>
  <c r="D115" i="14"/>
  <c r="C24" i="14"/>
  <c r="D24" i="14"/>
  <c r="E24" i="14"/>
  <c r="F24" i="14"/>
  <c r="G24" i="14"/>
  <c r="H24" i="14"/>
  <c r="I24" i="14"/>
  <c r="D43" i="15"/>
  <c r="D42" i="15"/>
  <c r="D38" i="15"/>
  <c r="D37" i="15"/>
  <c r="D33" i="15"/>
  <c r="D32" i="15"/>
  <c r="D31" i="15"/>
  <c r="D30" i="15"/>
  <c r="D26" i="15"/>
  <c r="D25" i="15"/>
  <c r="O15" i="15" s="1"/>
  <c r="D24" i="15"/>
  <c r="D23" i="15"/>
  <c r="O22" i="15" s="1"/>
  <c r="D22" i="15"/>
  <c r="D21" i="15"/>
  <c r="D20" i="15"/>
  <c r="O19" i="15" s="1"/>
  <c r="D16" i="15"/>
  <c r="D15" i="15"/>
  <c r="D14" i="15"/>
  <c r="D13" i="15"/>
  <c r="D12" i="15"/>
  <c r="D11" i="15"/>
  <c r="D10" i="15"/>
  <c r="BB33" i="13"/>
  <c r="BB34" i="13" s="1"/>
  <c r="D28" i="15" s="1"/>
  <c r="BB21" i="13"/>
  <c r="BB22" i="13" s="1"/>
  <c r="D18" i="15" s="1"/>
  <c r="BA44" i="13"/>
  <c r="BA37" i="13"/>
  <c r="BA25" i="13"/>
  <c r="BA13" i="13"/>
  <c r="G186" i="14"/>
  <c r="G185" i="14"/>
  <c r="G184" i="14"/>
  <c r="G183" i="14"/>
  <c r="AR13" i="13"/>
  <c r="AJ21" i="13"/>
  <c r="AS13" i="13" s="1"/>
  <c r="BB13" i="13" s="1"/>
  <c r="BB25" i="13" s="1"/>
  <c r="BB37" i="13" s="1"/>
  <c r="BB44" i="13" s="1"/>
  <c r="AI21" i="13"/>
  <c r="AJ15" i="13"/>
  <c r="AJ13" i="13"/>
  <c r="AI13" i="13"/>
  <c r="Z13" i="13"/>
  <c r="AA13" i="13"/>
  <c r="L133" i="13"/>
  <c r="M123" i="13"/>
  <c r="N123" i="13"/>
  <c r="L123" i="13"/>
  <c r="N108" i="13"/>
  <c r="M107" i="13"/>
  <c r="N107" i="13"/>
  <c r="L107" i="13"/>
  <c r="M91" i="13"/>
  <c r="N91" i="13"/>
  <c r="L91" i="13"/>
  <c r="L61" i="13"/>
  <c r="K61" i="13"/>
  <c r="L66" i="13"/>
  <c r="K66" i="13"/>
  <c r="C176" i="14"/>
  <c r="E168" i="14"/>
  <c r="D168" i="14"/>
  <c r="C168" i="14"/>
  <c r="L42" i="13"/>
  <c r="L54" i="13"/>
  <c r="L52" i="13"/>
  <c r="L46" i="13"/>
  <c r="L41" i="13"/>
  <c r="L37" i="13"/>
  <c r="L30" i="13"/>
  <c r="L23" i="13"/>
  <c r="L13" i="13"/>
  <c r="C43" i="13"/>
  <c r="C31" i="13"/>
  <c r="C13" i="13"/>
  <c r="K52" i="13"/>
  <c r="K37" i="13"/>
  <c r="K30" i="13"/>
  <c r="K23" i="13"/>
  <c r="L20" i="13"/>
  <c r="L19" i="13"/>
  <c r="L18" i="13"/>
  <c r="D27" i="15" l="1"/>
  <c r="D17" i="15"/>
  <c r="O13" i="15"/>
  <c r="D34" i="15"/>
  <c r="Y29" i="15" s="1"/>
  <c r="O12" i="15"/>
  <c r="Y12" i="15"/>
  <c r="Y21" i="15"/>
  <c r="Y15" i="15"/>
  <c r="Y24" i="15"/>
  <c r="O24" i="15"/>
  <c r="Y16" i="15"/>
  <c r="O16" i="15"/>
  <c r="Y25" i="15"/>
  <c r="O25" i="15"/>
  <c r="O20" i="15"/>
  <c r="Y11" i="15"/>
  <c r="Y20" i="15"/>
  <c r="Y13" i="15"/>
  <c r="Y22" i="15"/>
  <c r="O23" i="15"/>
  <c r="Y23" i="15"/>
  <c r="O14" i="15"/>
  <c r="Y14" i="15"/>
  <c r="O21" i="15"/>
  <c r="Y10" i="15"/>
  <c r="O10" i="15"/>
  <c r="Y19" i="15"/>
  <c r="O11" i="15"/>
  <c r="C31" i="14"/>
  <c r="I31" i="14"/>
  <c r="F31" i="14"/>
  <c r="E25" i="14"/>
  <c r="D31" i="14"/>
  <c r="H31" i="14"/>
  <c r="G31" i="14"/>
  <c r="E31" i="14"/>
  <c r="H25" i="14"/>
  <c r="H185" i="14"/>
  <c r="G25" i="14"/>
  <c r="F25" i="14"/>
  <c r="D25" i="14"/>
  <c r="C25" i="14"/>
  <c r="I25" i="14"/>
  <c r="D44" i="15"/>
  <c r="Y28" i="15" l="1"/>
  <c r="Y32" i="15" s="1"/>
  <c r="D18" i="1"/>
  <c r="AJ24" i="13"/>
  <c r="C143" i="14"/>
  <c r="D143" i="14"/>
  <c r="E143" i="14"/>
  <c r="F143" i="14"/>
  <c r="G143" i="14"/>
  <c r="H143" i="14"/>
  <c r="I143" i="14"/>
  <c r="D129" i="14"/>
  <c r="E129" i="14"/>
  <c r="F129" i="14"/>
  <c r="G129" i="14"/>
  <c r="H129" i="14"/>
  <c r="I129" i="14"/>
  <c r="C137" i="14"/>
  <c r="D137" i="14"/>
  <c r="E137" i="14"/>
  <c r="F137" i="14"/>
  <c r="G137" i="14"/>
  <c r="H137" i="14"/>
  <c r="I137" i="14"/>
  <c r="C138" i="14"/>
  <c r="D138" i="14"/>
  <c r="E138" i="14"/>
  <c r="F138" i="14"/>
  <c r="G138" i="14"/>
  <c r="H138" i="14"/>
  <c r="I138" i="14"/>
  <c r="D80" i="7" l="1"/>
  <c r="E80" i="7" s="1"/>
  <c r="F80" i="7" s="1"/>
  <c r="G80" i="7" s="1"/>
  <c r="H80" i="7" s="1"/>
  <c r="D82" i="7"/>
  <c r="E82" i="7" s="1"/>
  <c r="F82" i="7" s="1"/>
  <c r="G82" i="7" s="1"/>
  <c r="H82" i="7" s="1"/>
  <c r="D81" i="7"/>
  <c r="E81" i="7" s="1"/>
  <c r="F81" i="7" s="1"/>
  <c r="G81" i="7" s="1"/>
  <c r="H81" i="7" s="1"/>
  <c r="D79" i="7"/>
  <c r="E79" i="7" s="1"/>
  <c r="F79" i="7" s="1"/>
  <c r="G79" i="7" s="1"/>
  <c r="H79" i="7" s="1"/>
  <c r="D44" i="7"/>
  <c r="E44" i="7"/>
  <c r="F44" i="7"/>
  <c r="G44" i="7"/>
  <c r="H44" i="7"/>
  <c r="I44" i="7"/>
  <c r="C44" i="7"/>
  <c r="L124" i="13" l="1"/>
  <c r="L108" i="13"/>
  <c r="O91" i="6" s="1"/>
  <c r="M108" i="13"/>
  <c r="P91" i="6" s="1"/>
  <c r="C155" i="5" l="1"/>
  <c r="C154" i="5"/>
  <c r="C152" i="5"/>
  <c r="C153" i="5"/>
  <c r="C37" i="13"/>
  <c r="C36" i="13"/>
  <c r="C35" i="13"/>
  <c r="C40" i="13"/>
  <c r="I151" i="5"/>
  <c r="C39" i="13" l="1"/>
  <c r="I161" i="5" s="1"/>
  <c r="C38" i="13"/>
  <c r="C41" i="13"/>
  <c r="I135" i="5" l="1"/>
  <c r="H135" i="5"/>
  <c r="G135" i="5"/>
  <c r="F135" i="5"/>
  <c r="E135" i="5"/>
  <c r="D135" i="5"/>
  <c r="C135" i="5"/>
  <c r="J129" i="5"/>
  <c r="N11" i="22"/>
  <c r="O11" i="22"/>
  <c r="N12" i="22"/>
  <c r="O12" i="22"/>
  <c r="N13" i="22"/>
  <c r="O13" i="22"/>
  <c r="N14" i="22"/>
  <c r="O14" i="22"/>
  <c r="N15" i="22"/>
  <c r="O15" i="22"/>
  <c r="N16" i="22"/>
  <c r="O16" i="22"/>
  <c r="N17" i="22"/>
  <c r="O17" i="22"/>
  <c r="N18" i="22"/>
  <c r="O18" i="22"/>
  <c r="N19" i="22"/>
  <c r="O19" i="22"/>
  <c r="N20" i="22"/>
  <c r="O20" i="22"/>
  <c r="N21" i="22"/>
  <c r="O21" i="22"/>
  <c r="N22" i="22"/>
  <c r="O22" i="22"/>
  <c r="N23" i="22"/>
  <c r="O23" i="22"/>
  <c r="N24" i="22"/>
  <c r="O24" i="22"/>
  <c r="N25" i="22"/>
  <c r="O25" i="22"/>
  <c r="N26" i="22"/>
  <c r="O26" i="22"/>
  <c r="N27" i="22"/>
  <c r="O27" i="22"/>
  <c r="N28" i="22"/>
  <c r="O28" i="22"/>
  <c r="N29" i="22"/>
  <c r="O29" i="22"/>
  <c r="N30" i="22"/>
  <c r="O30" i="22"/>
  <c r="N31" i="22"/>
  <c r="O31" i="22"/>
  <c r="N32" i="22"/>
  <c r="O32" i="22"/>
  <c r="N33" i="22"/>
  <c r="O33" i="22"/>
  <c r="N34" i="22"/>
  <c r="O34" i="22"/>
  <c r="N35" i="22"/>
  <c r="O35" i="22"/>
  <c r="N37" i="22"/>
  <c r="O37" i="22"/>
  <c r="N38" i="22"/>
  <c r="O38" i="22"/>
  <c r="N39" i="22"/>
  <c r="O39" i="22"/>
  <c r="L11" i="22"/>
  <c r="L12" i="22"/>
  <c r="L13" i="22"/>
  <c r="L14" i="22"/>
  <c r="L15" i="22"/>
  <c r="L16" i="22"/>
  <c r="L17" i="22"/>
  <c r="L18" i="22"/>
  <c r="L19" i="22"/>
  <c r="L20" i="22"/>
  <c r="L21" i="22"/>
  <c r="L22" i="22"/>
  <c r="L23" i="22"/>
  <c r="L24" i="22"/>
  <c r="L25" i="22"/>
  <c r="L26" i="22"/>
  <c r="L27" i="22"/>
  <c r="L28" i="22"/>
  <c r="L29" i="22"/>
  <c r="L30" i="22"/>
  <c r="L31" i="22"/>
  <c r="L32" i="22"/>
  <c r="L33" i="22"/>
  <c r="L34" i="22"/>
  <c r="L35" i="22"/>
  <c r="L37" i="22"/>
  <c r="L38" i="22"/>
  <c r="L39" i="22"/>
  <c r="L10" i="22"/>
  <c r="B66" i="17"/>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3" i="22"/>
  <c r="B44" i="22"/>
  <c r="B45" i="22"/>
  <c r="B46" i="22"/>
  <c r="B47" i="22"/>
  <c r="B48" i="22"/>
  <c r="B49" i="22"/>
  <c r="B50" i="22"/>
  <c r="C11" i="21"/>
  <c r="D11" i="21"/>
  <c r="C12" i="21"/>
  <c r="D12" i="21"/>
  <c r="C13" i="21"/>
  <c r="D13" i="21"/>
  <c r="C14" i="21"/>
  <c r="D14" i="21"/>
  <c r="C15" i="21"/>
  <c r="D15" i="21"/>
  <c r="C18" i="21"/>
  <c r="D18" i="21"/>
  <c r="C19" i="21"/>
  <c r="D19" i="21"/>
  <c r="C20" i="21"/>
  <c r="D20" i="21"/>
  <c r="C21" i="21"/>
  <c r="D21" i="21"/>
  <c r="C24" i="21"/>
  <c r="D24" i="21"/>
  <c r="C25" i="21"/>
  <c r="D25" i="21"/>
  <c r="C26" i="21"/>
  <c r="D26" i="21"/>
  <c r="C27" i="21"/>
  <c r="D27" i="21"/>
  <c r="C28" i="21"/>
  <c r="D28" i="21"/>
  <c r="C29" i="21"/>
  <c r="D29" i="21"/>
  <c r="C30" i="21"/>
  <c r="D30" i="21"/>
  <c r="C31" i="21"/>
  <c r="D31" i="21"/>
  <c r="C32" i="21"/>
  <c r="D32" i="21"/>
  <c r="C35" i="21"/>
  <c r="D35" i="21"/>
  <c r="C36" i="21"/>
  <c r="D36" i="21"/>
  <c r="C37" i="21"/>
  <c r="D37" i="21"/>
  <c r="C38" i="21"/>
  <c r="D38" i="21"/>
  <c r="C39" i="21"/>
  <c r="D39" i="21"/>
  <c r="C40" i="21"/>
  <c r="D40" i="21"/>
  <c r="C43" i="21"/>
  <c r="D43" i="21"/>
  <c r="E43" i="21"/>
  <c r="C44" i="21"/>
  <c r="D44" i="21"/>
  <c r="E44" i="21"/>
  <c r="C45" i="21"/>
  <c r="D45" i="21"/>
  <c r="E45" i="21"/>
  <c r="C46" i="21"/>
  <c r="D46" i="21"/>
  <c r="E46" i="21"/>
  <c r="C145" i="5" l="1"/>
  <c r="I145" i="5" s="1"/>
  <c r="F43" i="15"/>
  <c r="D169" i="6"/>
  <c r="E169" i="6" s="1"/>
  <c r="F169" i="6" s="1"/>
  <c r="G169" i="6" s="1"/>
  <c r="H169" i="6" s="1"/>
  <c r="D168" i="6"/>
  <c r="E168" i="6" s="1"/>
  <c r="F168" i="6" s="1"/>
  <c r="G168" i="6" s="1"/>
  <c r="H168" i="6" s="1"/>
  <c r="D167" i="6"/>
  <c r="E167" i="6" s="1"/>
  <c r="F167" i="6" s="1"/>
  <c r="G167" i="6" s="1"/>
  <c r="H167" i="6" s="1"/>
  <c r="D166" i="6"/>
  <c r="E166" i="6" s="1"/>
  <c r="F166" i="6" s="1"/>
  <c r="G166" i="6" s="1"/>
  <c r="H166" i="6" s="1"/>
  <c r="D68" i="6"/>
  <c r="E68" i="6" s="1"/>
  <c r="F68" i="6" s="1"/>
  <c r="G68" i="6" s="1"/>
  <c r="H68" i="6" s="1"/>
  <c r="D67" i="6"/>
  <c r="E67" i="6" s="1"/>
  <c r="F67" i="6" s="1"/>
  <c r="G67" i="6" s="1"/>
  <c r="H67" i="6" s="1"/>
  <c r="D66" i="6"/>
  <c r="E66" i="6" s="1"/>
  <c r="F66" i="6" s="1"/>
  <c r="G66" i="6" s="1"/>
  <c r="H66" i="6" s="1"/>
  <c r="D65" i="6"/>
  <c r="E65" i="6" s="1"/>
  <c r="F65" i="6" s="1"/>
  <c r="G65" i="6" s="1"/>
  <c r="H65" i="6" s="1"/>
  <c r="D50" i="6"/>
  <c r="E50" i="6" s="1"/>
  <c r="F50" i="6" s="1"/>
  <c r="G50" i="6" s="1"/>
  <c r="H50" i="6" s="1"/>
  <c r="D49" i="6"/>
  <c r="E49" i="6" s="1"/>
  <c r="F49" i="6" s="1"/>
  <c r="G49" i="6" s="1"/>
  <c r="H49" i="6" s="1"/>
  <c r="D48" i="6"/>
  <c r="E48" i="6" s="1"/>
  <c r="F48" i="6" s="1"/>
  <c r="G48" i="6" s="1"/>
  <c r="H48" i="6" s="1"/>
  <c r="D47" i="6"/>
  <c r="E47" i="6" s="1"/>
  <c r="F47" i="6" s="1"/>
  <c r="G47" i="6" s="1"/>
  <c r="H47" i="6" s="1"/>
  <c r="D227" i="5"/>
  <c r="E227" i="5" s="1"/>
  <c r="F227" i="5" s="1"/>
  <c r="G227" i="5" s="1"/>
  <c r="H227" i="5" s="1"/>
  <c r="D228" i="5"/>
  <c r="E228" i="5" s="1"/>
  <c r="F228" i="5" s="1"/>
  <c r="G228" i="5" s="1"/>
  <c r="H228" i="5" s="1"/>
  <c r="D229" i="5"/>
  <c r="E229" i="5" s="1"/>
  <c r="F229" i="5" s="1"/>
  <c r="D230" i="5"/>
  <c r="D256" i="5"/>
  <c r="E256" i="5" s="1"/>
  <c r="F256" i="5" s="1"/>
  <c r="G256" i="5" s="1"/>
  <c r="H256" i="5" s="1"/>
  <c r="D255" i="5"/>
  <c r="E255" i="5" s="1"/>
  <c r="F255" i="5" s="1"/>
  <c r="G255" i="5" s="1"/>
  <c r="H255" i="5" s="1"/>
  <c r="D254" i="5"/>
  <c r="E254" i="5" s="1"/>
  <c r="F254" i="5" s="1"/>
  <c r="G254" i="5" s="1"/>
  <c r="H254" i="5" s="1"/>
  <c r="D253" i="5"/>
  <c r="E253" i="5" s="1"/>
  <c r="F253" i="5" s="1"/>
  <c r="G253" i="5" s="1"/>
  <c r="H253" i="5" s="1"/>
  <c r="D290" i="5"/>
  <c r="E290" i="5" s="1"/>
  <c r="F290" i="5" s="1"/>
  <c r="G290" i="5" s="1"/>
  <c r="H290" i="5" s="1"/>
  <c r="D291" i="5"/>
  <c r="E291" i="5" s="1"/>
  <c r="F291" i="5" s="1"/>
  <c r="G291" i="5" s="1"/>
  <c r="H291" i="5" s="1"/>
  <c r="D289" i="5"/>
  <c r="E289" i="5" s="1"/>
  <c r="F289" i="5" s="1"/>
  <c r="G289" i="5" s="1"/>
  <c r="H289" i="5" s="1"/>
  <c r="D288" i="5"/>
  <c r="E288" i="5" s="1"/>
  <c r="F288" i="5" s="1"/>
  <c r="G288" i="5" s="1"/>
  <c r="H288" i="5" s="1"/>
  <c r="D222" i="5"/>
  <c r="E222" i="5" s="1"/>
  <c r="F222" i="5" s="1"/>
  <c r="G222" i="5" s="1"/>
  <c r="H222" i="5" s="1"/>
  <c r="D221" i="5"/>
  <c r="E221" i="5" s="1"/>
  <c r="F221" i="5" s="1"/>
  <c r="G221" i="5" s="1"/>
  <c r="H221" i="5" s="1"/>
  <c r="D220" i="5"/>
  <c r="E220" i="5" s="1"/>
  <c r="F220" i="5" s="1"/>
  <c r="G220" i="5" s="1"/>
  <c r="H220" i="5" s="1"/>
  <c r="D219" i="5"/>
  <c r="E219" i="5" s="1"/>
  <c r="F219" i="5" s="1"/>
  <c r="G219" i="5" s="1"/>
  <c r="H219" i="5" s="1"/>
  <c r="D197" i="5"/>
  <c r="E197" i="5" s="1"/>
  <c r="F197" i="5" s="1"/>
  <c r="G197" i="5" s="1"/>
  <c r="H197" i="5" s="1"/>
  <c r="D196" i="5"/>
  <c r="E196" i="5" s="1"/>
  <c r="F196" i="5" s="1"/>
  <c r="G196" i="5" s="1"/>
  <c r="H196" i="5" s="1"/>
  <c r="D195" i="5"/>
  <c r="E195" i="5" s="1"/>
  <c r="F195" i="5" s="1"/>
  <c r="G195" i="5" s="1"/>
  <c r="H195" i="5" s="1"/>
  <c r="D194" i="5"/>
  <c r="E194" i="5" s="1"/>
  <c r="F194" i="5" s="1"/>
  <c r="G194" i="5" s="1"/>
  <c r="H194" i="5" s="1"/>
  <c r="D87" i="5"/>
  <c r="E87" i="5" s="1"/>
  <c r="F87" i="5" s="1"/>
  <c r="G87" i="5" s="1"/>
  <c r="H87" i="5" s="1"/>
  <c r="D109" i="5"/>
  <c r="E109" i="5" s="1"/>
  <c r="F109" i="5" s="1"/>
  <c r="G109" i="5" s="1"/>
  <c r="H109" i="5" s="1"/>
  <c r="D111" i="5"/>
  <c r="E111" i="5" s="1"/>
  <c r="F111" i="5" s="1"/>
  <c r="G111" i="5" s="1"/>
  <c r="H111" i="5" s="1"/>
  <c r="D110" i="5"/>
  <c r="E110" i="5" s="1"/>
  <c r="F110" i="5" s="1"/>
  <c r="G110" i="5" s="1"/>
  <c r="H110" i="5" s="1"/>
  <c r="D108" i="5"/>
  <c r="E108" i="5" s="1"/>
  <c r="F108" i="5" s="1"/>
  <c r="G108" i="5" s="1"/>
  <c r="H108" i="5" s="1"/>
  <c r="D87" i="8"/>
  <c r="E87" i="8" s="1"/>
  <c r="F87" i="8" s="1"/>
  <c r="G87" i="8" s="1"/>
  <c r="H87" i="8" s="1"/>
  <c r="D86" i="8"/>
  <c r="E86" i="8" s="1"/>
  <c r="F86" i="8" s="1"/>
  <c r="G86" i="8" s="1"/>
  <c r="H86" i="8" s="1"/>
  <c r="D85" i="8"/>
  <c r="E85" i="8" s="1"/>
  <c r="F85" i="8" s="1"/>
  <c r="G85" i="8" s="1"/>
  <c r="H85" i="8" s="1"/>
  <c r="D84" i="8"/>
  <c r="E84" i="8" s="1"/>
  <c r="F84" i="8" s="1"/>
  <c r="G84" i="8" s="1"/>
  <c r="H84" i="8" s="1"/>
  <c r="D70" i="8"/>
  <c r="E70" i="8" s="1"/>
  <c r="F70" i="8" s="1"/>
  <c r="G70" i="8" s="1"/>
  <c r="H70" i="8" s="1"/>
  <c r="D69" i="8"/>
  <c r="E69" i="8" s="1"/>
  <c r="F69" i="8" s="1"/>
  <c r="G69" i="8" s="1"/>
  <c r="H69" i="8" s="1"/>
  <c r="D68" i="8"/>
  <c r="E68" i="8" s="1"/>
  <c r="F68" i="8" s="1"/>
  <c r="G68" i="8" s="1"/>
  <c r="H68" i="8" s="1"/>
  <c r="D67" i="8"/>
  <c r="E67" i="8" s="1"/>
  <c r="F67" i="8" s="1"/>
  <c r="G67" i="8" s="1"/>
  <c r="H67" i="8" s="1"/>
  <c r="C40" i="8"/>
  <c r="C76" i="8" s="1"/>
  <c r="D68" i="9"/>
  <c r="E68" i="9" s="1"/>
  <c r="F68" i="9" s="1"/>
  <c r="D67" i="9"/>
  <c r="E67" i="9" s="1"/>
  <c r="F67" i="9" s="1"/>
  <c r="G67" i="9" s="1"/>
  <c r="H67" i="9" s="1"/>
  <c r="D66" i="9"/>
  <c r="E66" i="9" s="1"/>
  <c r="F66" i="9" s="1"/>
  <c r="G66" i="9" s="1"/>
  <c r="H66" i="9" s="1"/>
  <c r="D43" i="9"/>
  <c r="E43" i="9" s="1"/>
  <c r="F43" i="9" s="1"/>
  <c r="G43" i="9" s="1"/>
  <c r="H43" i="9" s="1"/>
  <c r="D44" i="9"/>
  <c r="E44" i="9" s="1"/>
  <c r="F44" i="9" s="1"/>
  <c r="G44" i="9" s="1"/>
  <c r="H44" i="9" s="1"/>
  <c r="D42" i="9"/>
  <c r="E42" i="9" s="1"/>
  <c r="F42" i="9" s="1"/>
  <c r="G42" i="9" s="1"/>
  <c r="H42" i="9" s="1"/>
  <c r="G68" i="9" l="1"/>
  <c r="H68" i="9" s="1"/>
  <c r="D89" i="5"/>
  <c r="E89" i="5" s="1"/>
  <c r="F89" i="5" s="1"/>
  <c r="G89" i="5" s="1"/>
  <c r="H89" i="5" s="1"/>
  <c r="D86" i="5"/>
  <c r="E86" i="5" s="1"/>
  <c r="F86" i="5" s="1"/>
  <c r="G86" i="5" s="1"/>
  <c r="H86" i="5" s="1"/>
  <c r="D88" i="5"/>
  <c r="E88" i="5" s="1"/>
  <c r="F88" i="5" s="1"/>
  <c r="G88" i="5" s="1"/>
  <c r="H88" i="5" s="1"/>
  <c r="O96" i="6" l="1"/>
  <c r="O97" i="6"/>
  <c r="O95" i="6"/>
  <c r="O98" i="6"/>
  <c r="O46" i="6"/>
  <c r="Q47" i="6"/>
  <c r="O45" i="6"/>
  <c r="P45" i="6"/>
  <c r="Q45" i="6"/>
  <c r="O47" i="6"/>
  <c r="P47" i="6"/>
  <c r="P44" i="6"/>
  <c r="Q44" i="6"/>
  <c r="O44" i="6"/>
  <c r="Q46" i="6"/>
  <c r="P46" i="6"/>
  <c r="J51" i="18"/>
  <c r="D61" i="7" l="1"/>
  <c r="E61" i="7" s="1"/>
  <c r="F61" i="7" s="1"/>
  <c r="G61" i="7" s="1"/>
  <c r="H61" i="7" s="1"/>
  <c r="D60" i="7"/>
  <c r="E60" i="7" s="1"/>
  <c r="F60" i="7" s="1"/>
  <c r="G60" i="7" s="1"/>
  <c r="H60" i="7" s="1"/>
  <c r="D59" i="7"/>
  <c r="E59" i="7" s="1"/>
  <c r="F59" i="7" s="1"/>
  <c r="G59" i="7" s="1"/>
  <c r="H59" i="7" s="1"/>
  <c r="D58" i="7"/>
  <c r="E58" i="7" s="1"/>
  <c r="F58" i="7" s="1"/>
  <c r="G58" i="7" s="1"/>
  <c r="H58" i="7" s="1"/>
  <c r="C12" i="7"/>
  <c r="P14" i="10" s="1"/>
  <c r="C13" i="7"/>
  <c r="C14" i="7"/>
  <c r="I11" i="7"/>
  <c r="V13" i="10" s="1"/>
  <c r="C10" i="7"/>
  <c r="C197" i="6"/>
  <c r="D197" i="6" s="1"/>
  <c r="E197" i="6" s="1"/>
  <c r="C198" i="6"/>
  <c r="D198" i="6" s="1"/>
  <c r="E198" i="6" s="1"/>
  <c r="F198" i="6" s="1"/>
  <c r="G198" i="6" s="1"/>
  <c r="H198" i="6" s="1"/>
  <c r="C199" i="6"/>
  <c r="D199" i="6" s="1"/>
  <c r="E199" i="6" s="1"/>
  <c r="F199" i="6" s="1"/>
  <c r="G199" i="6" s="1"/>
  <c r="H199" i="6" s="1"/>
  <c r="C196" i="6"/>
  <c r="C183" i="6"/>
  <c r="C184" i="6"/>
  <c r="D184" i="6" s="1"/>
  <c r="E184" i="6" s="1"/>
  <c r="F184" i="6" s="1"/>
  <c r="G184" i="6" s="1"/>
  <c r="H184" i="6" s="1"/>
  <c r="C185" i="6"/>
  <c r="D185" i="6" s="1"/>
  <c r="E185" i="6" s="1"/>
  <c r="F185" i="6" s="1"/>
  <c r="G185" i="6" s="1"/>
  <c r="H185" i="6" s="1"/>
  <c r="C182" i="6"/>
  <c r="D14" i="7" l="1"/>
  <c r="P16" i="10"/>
  <c r="D13" i="7"/>
  <c r="P15" i="10"/>
  <c r="I183" i="6"/>
  <c r="D183" i="6" s="1"/>
  <c r="E183" i="6" s="1"/>
  <c r="F183" i="6" s="1"/>
  <c r="G183" i="6" s="1"/>
  <c r="H183" i="6" s="1"/>
  <c r="I196" i="6"/>
  <c r="D196" i="6" s="1"/>
  <c r="E196" i="6" s="1"/>
  <c r="F196" i="6" s="1"/>
  <c r="G196" i="6" s="1"/>
  <c r="H196" i="6" s="1"/>
  <c r="I182" i="6"/>
  <c r="D182" i="6" s="1"/>
  <c r="E182" i="6" s="1"/>
  <c r="F182" i="6" s="1"/>
  <c r="G182" i="6" s="1"/>
  <c r="H182" i="6" s="1"/>
  <c r="G11" i="7"/>
  <c r="T13" i="10" s="1"/>
  <c r="H11" i="7"/>
  <c r="U13" i="10" s="1"/>
  <c r="F11" i="7"/>
  <c r="S13" i="10" s="1"/>
  <c r="E11" i="7"/>
  <c r="R13" i="10" s="1"/>
  <c r="D11" i="7"/>
  <c r="Q13" i="10" s="1"/>
  <c r="I12" i="7"/>
  <c r="F197" i="6"/>
  <c r="G197" i="6" s="1"/>
  <c r="H197" i="6" s="1"/>
  <c r="E13" i="7" l="1"/>
  <c r="Q15" i="10"/>
  <c r="D12" i="7"/>
  <c r="V14" i="10"/>
  <c r="E14" i="7"/>
  <c r="R16" i="10" s="1"/>
  <c r="Q16" i="10"/>
  <c r="C193" i="5"/>
  <c r="J226" i="5"/>
  <c r="E30" i="21" s="1"/>
  <c r="D226" i="5"/>
  <c r="E226" i="5"/>
  <c r="F226" i="5"/>
  <c r="H226" i="5"/>
  <c r="I226" i="5"/>
  <c r="C226" i="5"/>
  <c r="C218" i="5"/>
  <c r="C168" i="5"/>
  <c r="I168" i="5" s="1"/>
  <c r="C169" i="5"/>
  <c r="D169" i="5" s="1"/>
  <c r="E169" i="5" s="1"/>
  <c r="F169" i="5" s="1"/>
  <c r="G169" i="5" s="1"/>
  <c r="H169" i="5" s="1"/>
  <c r="C170" i="5"/>
  <c r="D170" i="5" s="1"/>
  <c r="E170" i="5" s="1"/>
  <c r="F170" i="5" s="1"/>
  <c r="G170" i="5" s="1"/>
  <c r="H170" i="5" s="1"/>
  <c r="C167" i="5"/>
  <c r="I167" i="5" s="1"/>
  <c r="D167" i="5" s="1"/>
  <c r="E167" i="5" s="1"/>
  <c r="F167" i="5" s="1"/>
  <c r="G167" i="5" s="1"/>
  <c r="H167" i="5" s="1"/>
  <c r="E12" i="7" l="1"/>
  <c r="Q14" i="10"/>
  <c r="E58" i="10" s="1"/>
  <c r="F13" i="7"/>
  <c r="R15" i="10"/>
  <c r="G226" i="5"/>
  <c r="D168" i="5"/>
  <c r="E168" i="5" s="1"/>
  <c r="F168" i="5" s="1"/>
  <c r="G168" i="5" s="1"/>
  <c r="H168" i="5" s="1"/>
  <c r="G13" i="7" l="1"/>
  <c r="S15" i="10"/>
  <c r="F12" i="7"/>
  <c r="R14" i="10"/>
  <c r="C151" i="5"/>
  <c r="C161" i="5" s="1"/>
  <c r="C146" i="5"/>
  <c r="D146" i="5" s="1"/>
  <c r="E146" i="5" s="1"/>
  <c r="F146" i="5" s="1"/>
  <c r="G146" i="5" s="1"/>
  <c r="H146" i="5" s="1"/>
  <c r="C147" i="5"/>
  <c r="C144" i="5"/>
  <c r="C11" i="5"/>
  <c r="C12" i="5"/>
  <c r="E37" i="5" s="1"/>
  <c r="C13" i="5"/>
  <c r="C14" i="5"/>
  <c r="C15" i="5"/>
  <c r="C16" i="5"/>
  <c r="C17" i="5"/>
  <c r="C18" i="5"/>
  <c r="C19" i="5"/>
  <c r="C21" i="5"/>
  <c r="C22" i="5"/>
  <c r="C23" i="5"/>
  <c r="C24" i="5"/>
  <c r="C25" i="5"/>
  <c r="G12" i="7" l="1"/>
  <c r="S14" i="10"/>
  <c r="H13" i="7"/>
  <c r="U15" i="10" s="1"/>
  <c r="T15" i="10"/>
  <c r="D155" i="5"/>
  <c r="D151" i="5" s="1"/>
  <c r="D161" i="5" s="1"/>
  <c r="I152" i="5"/>
  <c r="D152" i="5" s="1"/>
  <c r="E152" i="5" s="1"/>
  <c r="F152" i="5" s="1"/>
  <c r="G152" i="5" s="1"/>
  <c r="H152" i="5" s="1"/>
  <c r="I144" i="5"/>
  <c r="D144" i="5" s="1"/>
  <c r="E144" i="5" s="1"/>
  <c r="F144" i="5" s="1"/>
  <c r="G144" i="5" s="1"/>
  <c r="H144" i="5" s="1"/>
  <c r="D145" i="5"/>
  <c r="E145" i="5" s="1"/>
  <c r="F145" i="5" s="1"/>
  <c r="G145" i="5" s="1"/>
  <c r="H145" i="5" s="1"/>
  <c r="I147" i="5"/>
  <c r="D147" i="5" s="1"/>
  <c r="E147" i="5" s="1"/>
  <c r="F147" i="5" s="1"/>
  <c r="G147" i="5" s="1"/>
  <c r="H147" i="5" s="1"/>
  <c r="I154" i="5"/>
  <c r="D154" i="5" s="1"/>
  <c r="E154" i="5" s="1"/>
  <c r="F154" i="5" s="1"/>
  <c r="G154" i="5" s="1"/>
  <c r="H154" i="5" s="1"/>
  <c r="I153" i="5"/>
  <c r="D153" i="5" s="1"/>
  <c r="E153" i="5" s="1"/>
  <c r="F153" i="5" s="1"/>
  <c r="G153" i="5" s="1"/>
  <c r="H153" i="5" s="1"/>
  <c r="G16" i="8"/>
  <c r="H12" i="7" l="1"/>
  <c r="U14" i="10" s="1"/>
  <c r="T14" i="10"/>
  <c r="E155" i="5"/>
  <c r="E151" i="5" s="1"/>
  <c r="E161" i="5" s="1"/>
  <c r="B65" i="17"/>
  <c r="D76" i="17"/>
  <c r="D64" i="17" s="1"/>
  <c r="E76" i="17"/>
  <c r="E64" i="17" s="1"/>
  <c r="F76" i="17"/>
  <c r="F64" i="17" s="1"/>
  <c r="G76" i="17"/>
  <c r="G64" i="17" s="1"/>
  <c r="H76" i="17"/>
  <c r="H64" i="17" s="1"/>
  <c r="I76" i="17"/>
  <c r="I64" i="17" s="1"/>
  <c r="D56" i="17"/>
  <c r="D71" i="17" s="1"/>
  <c r="E56" i="17"/>
  <c r="E71" i="17" s="1"/>
  <c r="F56" i="17"/>
  <c r="F71" i="17" s="1"/>
  <c r="G56" i="17"/>
  <c r="G71" i="17" s="1"/>
  <c r="H56" i="17"/>
  <c r="H71" i="17" s="1"/>
  <c r="I56" i="17"/>
  <c r="I71" i="17" s="1"/>
  <c r="C76" i="17"/>
  <c r="C64" i="17" s="1"/>
  <c r="C56" i="17"/>
  <c r="C71" i="17" s="1"/>
  <c r="F155" i="5" l="1"/>
  <c r="F151" i="5" s="1"/>
  <c r="F161" i="5" s="1"/>
  <c r="G155" i="5" l="1"/>
  <c r="G151" i="5" s="1"/>
  <c r="G161" i="5" s="1"/>
  <c r="J52" i="9"/>
  <c r="E13" i="21" s="1"/>
  <c r="H155" i="5" l="1"/>
  <c r="H151" i="5" s="1"/>
  <c r="H161" i="5" s="1"/>
  <c r="I195" i="6"/>
  <c r="H195" i="6"/>
  <c r="G195" i="6"/>
  <c r="F195" i="6"/>
  <c r="E195" i="6"/>
  <c r="D195" i="6"/>
  <c r="C195" i="6"/>
  <c r="C217" i="5"/>
  <c r="C225" i="5" s="1"/>
  <c r="D217" i="5"/>
  <c r="D225" i="5" s="1"/>
  <c r="E217" i="5"/>
  <c r="E225" i="5" s="1"/>
  <c r="F217" i="5"/>
  <c r="F225" i="5" s="1"/>
  <c r="G217" i="5"/>
  <c r="G225" i="5" s="1"/>
  <c r="H217" i="5"/>
  <c r="H225" i="5" s="1"/>
  <c r="I217" i="5"/>
  <c r="I225" i="5" s="1"/>
  <c r="I218" i="5"/>
  <c r="J218" i="5"/>
  <c r="E29" i="21" s="1"/>
  <c r="J78" i="7"/>
  <c r="J57" i="7"/>
  <c r="J34" i="7"/>
  <c r="J10" i="7"/>
  <c r="J195" i="6"/>
  <c r="E40" i="21" s="1"/>
  <c r="J181" i="6"/>
  <c r="E39" i="21" s="1"/>
  <c r="J165" i="6"/>
  <c r="E38" i="21" s="1"/>
  <c r="J118" i="6"/>
  <c r="E37" i="21" s="1"/>
  <c r="J64" i="6"/>
  <c r="E36" i="21" s="1"/>
  <c r="J46" i="6"/>
  <c r="E35" i="21" s="1"/>
  <c r="J287" i="5"/>
  <c r="E32" i="21" s="1"/>
  <c r="J252" i="5"/>
  <c r="E31" i="21" s="1"/>
  <c r="J193" i="5"/>
  <c r="E28" i="21" s="1"/>
  <c r="J166" i="5"/>
  <c r="E27" i="21" s="1"/>
  <c r="J151" i="5"/>
  <c r="J143" i="5"/>
  <c r="E26" i="21" s="1"/>
  <c r="J107" i="5"/>
  <c r="E25" i="21" s="1"/>
  <c r="J85" i="5"/>
  <c r="E24" i="21" s="1"/>
  <c r="J83" i="8" l="1"/>
  <c r="E21" i="21" s="1"/>
  <c r="J66" i="8"/>
  <c r="E20" i="21" s="1"/>
  <c r="J45" i="8"/>
  <c r="E19" i="21" s="1"/>
  <c r="J21" i="8"/>
  <c r="E18" i="21" s="1"/>
  <c r="J78" i="9"/>
  <c r="E15" i="21" s="1"/>
  <c r="J64" i="9"/>
  <c r="E14" i="21" s="1"/>
  <c r="J40" i="9"/>
  <c r="E12" i="21" s="1"/>
  <c r="G64" i="9"/>
  <c r="K16" i="9" l="1"/>
  <c r="E11" i="21" s="1"/>
  <c r="P80" i="6" l="1"/>
  <c r="Q80" i="6"/>
  <c r="P81" i="6"/>
  <c r="Q81" i="6"/>
  <c r="P82" i="6"/>
  <c r="Q82" i="6"/>
  <c r="P83" i="6"/>
  <c r="Q83" i="6"/>
  <c r="P84" i="6"/>
  <c r="Q84" i="6"/>
  <c r="P85" i="6"/>
  <c r="Q85" i="6"/>
  <c r="P86" i="6"/>
  <c r="Q86" i="6"/>
  <c r="P87" i="6"/>
  <c r="Q87" i="6"/>
  <c r="P88" i="6"/>
  <c r="Q88" i="6"/>
  <c r="P89" i="6"/>
  <c r="Q89" i="6"/>
  <c r="P90" i="6"/>
  <c r="Q90" i="6"/>
  <c r="P92" i="6"/>
  <c r="Q92" i="6"/>
  <c r="P93" i="6"/>
  <c r="Q93" i="6"/>
  <c r="O81" i="6"/>
  <c r="O82" i="6"/>
  <c r="O83" i="6"/>
  <c r="O84" i="6"/>
  <c r="O85" i="6"/>
  <c r="O86" i="6"/>
  <c r="O87" i="6"/>
  <c r="O88" i="6"/>
  <c r="O89" i="6"/>
  <c r="O90" i="6"/>
  <c r="O92" i="6"/>
  <c r="O93" i="6"/>
  <c r="O80" i="6"/>
  <c r="P64" i="6"/>
  <c r="Q64" i="6"/>
  <c r="P65" i="6"/>
  <c r="Q65" i="6"/>
  <c r="P66" i="6"/>
  <c r="Q66" i="6"/>
  <c r="P67" i="6"/>
  <c r="Q67" i="6"/>
  <c r="P68" i="6"/>
  <c r="Q68" i="6"/>
  <c r="P69" i="6"/>
  <c r="Q69" i="6"/>
  <c r="P70" i="6"/>
  <c r="Q70" i="6"/>
  <c r="P71" i="6"/>
  <c r="Q71" i="6"/>
  <c r="P72" i="6"/>
  <c r="Q72" i="6"/>
  <c r="P73" i="6"/>
  <c r="Q73" i="6"/>
  <c r="P74" i="6"/>
  <c r="Q74" i="6"/>
  <c r="O65" i="6"/>
  <c r="O66" i="6"/>
  <c r="O67" i="6"/>
  <c r="O68" i="6"/>
  <c r="O69" i="6"/>
  <c r="O70" i="6"/>
  <c r="O71" i="6"/>
  <c r="O72" i="6"/>
  <c r="O73" i="6"/>
  <c r="O74" i="6"/>
  <c r="O64" i="6"/>
  <c r="P53" i="6"/>
  <c r="Q53" i="6"/>
  <c r="P54" i="6"/>
  <c r="Q54" i="6"/>
  <c r="P55" i="6"/>
  <c r="Q55" i="6"/>
  <c r="P56" i="6"/>
  <c r="Q56" i="6"/>
  <c r="P57" i="6"/>
  <c r="Q57" i="6"/>
  <c r="P58" i="6"/>
  <c r="Q58" i="6"/>
  <c r="P59" i="6"/>
  <c r="Q59" i="6"/>
  <c r="O54" i="6"/>
  <c r="O55" i="6"/>
  <c r="O56" i="6"/>
  <c r="O57" i="6"/>
  <c r="O58" i="6"/>
  <c r="O59" i="6"/>
  <c r="O53" i="6"/>
  <c r="I124" i="6"/>
  <c r="H124" i="6"/>
  <c r="G124" i="6"/>
  <c r="F124" i="6"/>
  <c r="E124" i="6"/>
  <c r="D124" i="6"/>
  <c r="C124" i="6"/>
  <c r="I117" i="6"/>
  <c r="H117" i="6"/>
  <c r="G117" i="6"/>
  <c r="F117" i="6"/>
  <c r="E117" i="6"/>
  <c r="D117" i="6"/>
  <c r="C117" i="6"/>
  <c r="I70" i="6"/>
  <c r="H70" i="6"/>
  <c r="G70" i="6"/>
  <c r="F70" i="6"/>
  <c r="E70" i="6"/>
  <c r="D70" i="6"/>
  <c r="I57" i="6"/>
  <c r="H57" i="6"/>
  <c r="G57" i="6"/>
  <c r="G63" i="6" s="1"/>
  <c r="F57" i="6"/>
  <c r="E57" i="6"/>
  <c r="D57" i="6"/>
  <c r="C57" i="6"/>
  <c r="I52" i="6"/>
  <c r="H52" i="6"/>
  <c r="G52" i="6"/>
  <c r="F52" i="6"/>
  <c r="E52" i="6"/>
  <c r="D52" i="6"/>
  <c r="C52" i="6"/>
  <c r="I45" i="6"/>
  <c r="H45" i="6"/>
  <c r="G45" i="6"/>
  <c r="F45" i="6"/>
  <c r="E45" i="6"/>
  <c r="D45" i="6"/>
  <c r="C45" i="6"/>
  <c r="I46" i="6"/>
  <c r="H46" i="6"/>
  <c r="H59" i="6" s="1"/>
  <c r="G46" i="6"/>
  <c r="F46" i="6"/>
  <c r="E46" i="6"/>
  <c r="E59" i="6" s="1"/>
  <c r="D46" i="6"/>
  <c r="C46" i="6"/>
  <c r="C59" i="6" s="1"/>
  <c r="F58" i="6" l="1"/>
  <c r="C58" i="6"/>
  <c r="C60" i="6"/>
  <c r="D58" i="6"/>
  <c r="D60" i="6"/>
  <c r="E58" i="6"/>
  <c r="D59" i="6"/>
  <c r="H60" i="6"/>
  <c r="I58" i="6"/>
  <c r="H58" i="6"/>
  <c r="G59" i="6"/>
  <c r="F60" i="6"/>
  <c r="I60" i="6"/>
  <c r="I59" i="6"/>
  <c r="G60" i="6"/>
  <c r="G58" i="6"/>
  <c r="F59" i="6"/>
  <c r="E60" i="6"/>
  <c r="C70" i="6" l="1"/>
  <c r="D84" i="6"/>
  <c r="D94" i="6" s="1"/>
  <c r="D105" i="6" s="1"/>
  <c r="E84" i="6"/>
  <c r="E94" i="6" s="1"/>
  <c r="E105" i="6" s="1"/>
  <c r="F84" i="6"/>
  <c r="F94" i="6" s="1"/>
  <c r="F105" i="6" s="1"/>
  <c r="G84" i="6"/>
  <c r="G94" i="6" s="1"/>
  <c r="G105" i="6" s="1"/>
  <c r="H84" i="6"/>
  <c r="H94" i="6" s="1"/>
  <c r="H105" i="6" s="1"/>
  <c r="I84" i="6"/>
  <c r="I94" i="6" s="1"/>
  <c r="I105" i="6" s="1"/>
  <c r="C84" i="6"/>
  <c r="C94" i="6" s="1"/>
  <c r="C105" i="6" s="1"/>
  <c r="I118" i="6"/>
  <c r="C93" i="6"/>
  <c r="C103" i="6" s="1"/>
  <c r="C92" i="6"/>
  <c r="C91" i="6"/>
  <c r="C101" i="6" s="1"/>
  <c r="C88" i="6"/>
  <c r="C85" i="6"/>
  <c r="C95" i="6" s="1"/>
  <c r="I64" i="6"/>
  <c r="H64" i="6"/>
  <c r="G64" i="6"/>
  <c r="F64" i="6"/>
  <c r="E64" i="6"/>
  <c r="D64" i="6"/>
  <c r="C64" i="6"/>
  <c r="I63" i="6"/>
  <c r="H63" i="6"/>
  <c r="F63" i="6"/>
  <c r="E63" i="6"/>
  <c r="D63" i="6"/>
  <c r="C63" i="6"/>
  <c r="C89" i="6"/>
  <c r="C86" i="6"/>
  <c r="C90" i="6"/>
  <c r="C87" i="6"/>
  <c r="H87" i="6" l="1"/>
  <c r="H97" i="6" s="1"/>
  <c r="F91" i="6"/>
  <c r="F101" i="6" s="1"/>
  <c r="F88" i="6"/>
  <c r="F98" i="6" s="1"/>
  <c r="G92" i="6"/>
  <c r="G102" i="6" s="1"/>
  <c r="D93" i="6"/>
  <c r="D103" i="6" s="1"/>
  <c r="D85" i="6"/>
  <c r="D95" i="6" s="1"/>
  <c r="H93" i="6"/>
  <c r="H103" i="6" s="1"/>
  <c r="H85" i="6"/>
  <c r="H95" i="6" s="1"/>
  <c r="E87" i="6"/>
  <c r="E97" i="6" s="1"/>
  <c r="D87" i="6"/>
  <c r="D97" i="6" s="1"/>
  <c r="C97" i="6"/>
  <c r="I87" i="6"/>
  <c r="I97" i="6" s="1"/>
  <c r="F87" i="6"/>
  <c r="F97" i="6" s="1"/>
  <c r="G87" i="6"/>
  <c r="G97" i="6" s="1"/>
  <c r="H90" i="6"/>
  <c r="H100" i="6" s="1"/>
  <c r="G90" i="6"/>
  <c r="G100" i="6" s="1"/>
  <c r="F90" i="6"/>
  <c r="F100" i="6" s="1"/>
  <c r="E90" i="6"/>
  <c r="E100" i="6" s="1"/>
  <c r="D90" i="6"/>
  <c r="D100" i="6" s="1"/>
  <c r="I90" i="6"/>
  <c r="I100" i="6" s="1"/>
  <c r="C100" i="6"/>
  <c r="D86" i="6"/>
  <c r="D96" i="6" s="1"/>
  <c r="C96" i="6"/>
  <c r="I86" i="6"/>
  <c r="I96" i="6" s="1"/>
  <c r="H86" i="6"/>
  <c r="H96" i="6" s="1"/>
  <c r="G86" i="6"/>
  <c r="G96" i="6" s="1"/>
  <c r="F86" i="6"/>
  <c r="F96" i="6" s="1"/>
  <c r="E86" i="6"/>
  <c r="E96" i="6" s="1"/>
  <c r="G89" i="6"/>
  <c r="G99" i="6" s="1"/>
  <c r="F89" i="6"/>
  <c r="F99" i="6" s="1"/>
  <c r="D89" i="6"/>
  <c r="D99" i="6" s="1"/>
  <c r="E89" i="6"/>
  <c r="E99" i="6" s="1"/>
  <c r="H89" i="6"/>
  <c r="H99" i="6" s="1"/>
  <c r="C99" i="6"/>
  <c r="I89" i="6"/>
  <c r="I99" i="6" s="1"/>
  <c r="E85" i="6"/>
  <c r="E95" i="6" s="1"/>
  <c r="H88" i="6"/>
  <c r="H98" i="6" s="1"/>
  <c r="D92" i="6"/>
  <c r="D102" i="6" s="1"/>
  <c r="E93" i="6"/>
  <c r="E103" i="6" s="1"/>
  <c r="F85" i="6"/>
  <c r="F95" i="6" s="1"/>
  <c r="I88" i="6"/>
  <c r="I98" i="6" s="1"/>
  <c r="D91" i="6"/>
  <c r="D101" i="6" s="1"/>
  <c r="E92" i="6"/>
  <c r="E102" i="6" s="1"/>
  <c r="F93" i="6"/>
  <c r="F103" i="6" s="1"/>
  <c r="C98" i="6"/>
  <c r="G88" i="6"/>
  <c r="G98" i="6" s="1"/>
  <c r="G85" i="6"/>
  <c r="G95" i="6" s="1"/>
  <c r="E91" i="6"/>
  <c r="E101" i="6" s="1"/>
  <c r="F92" i="6"/>
  <c r="F102" i="6" s="1"/>
  <c r="G93" i="6"/>
  <c r="G103" i="6" s="1"/>
  <c r="I85" i="6"/>
  <c r="I95" i="6" s="1"/>
  <c r="D88" i="6"/>
  <c r="D98" i="6" s="1"/>
  <c r="G91" i="6"/>
  <c r="G101" i="6" s="1"/>
  <c r="H92" i="6"/>
  <c r="H102" i="6" s="1"/>
  <c r="I93" i="6"/>
  <c r="I103" i="6" s="1"/>
  <c r="E88" i="6"/>
  <c r="E98" i="6" s="1"/>
  <c r="H91" i="6"/>
  <c r="H101" i="6" s="1"/>
  <c r="I92" i="6"/>
  <c r="I102" i="6" s="1"/>
  <c r="C102" i="6"/>
  <c r="I91" i="6"/>
  <c r="I101" i="6" s="1"/>
  <c r="C24" i="1" l="1"/>
  <c r="C27" i="1" s="1"/>
  <c r="F18" i="1"/>
  <c r="E18" i="1"/>
  <c r="C18" i="1"/>
  <c r="C40" i="1"/>
  <c r="C55" i="14" s="1"/>
  <c r="G39" i="1"/>
  <c r="H39" i="1" s="1"/>
  <c r="I39" i="1" s="1"/>
  <c r="G17" i="1"/>
  <c r="H17" i="1" s="1"/>
  <c r="I17" i="1" s="1"/>
  <c r="I18" i="1" s="1"/>
  <c r="G18" i="1" l="1"/>
  <c r="H18" i="1"/>
  <c r="AJ16" i="13"/>
  <c r="B46" i="5"/>
  <c r="C47" i="5"/>
  <c r="B40" i="8"/>
  <c r="B76" i="8" s="1"/>
  <c r="B80" i="5"/>
  <c r="B296" i="5" s="1"/>
  <c r="B47" i="5"/>
  <c r="I49" i="5"/>
  <c r="H49" i="5"/>
  <c r="G49" i="5"/>
  <c r="F49" i="5"/>
  <c r="E49" i="5"/>
  <c r="D49" i="5"/>
  <c r="C49" i="5"/>
  <c r="C65" i="5"/>
  <c r="D65" i="5"/>
  <c r="E65" i="5"/>
  <c r="F65" i="5"/>
  <c r="G65" i="5"/>
  <c r="H65" i="5"/>
  <c r="I65" i="5"/>
  <c r="D79" i="8" l="1"/>
  <c r="E79" i="8"/>
  <c r="F79" i="8"/>
  <c r="G79" i="8"/>
  <c r="H79" i="8"/>
  <c r="I79" i="8"/>
  <c r="C79" i="8"/>
  <c r="C52" i="7"/>
  <c r="C11" i="9"/>
  <c r="I17" i="9" l="1"/>
  <c r="J17" i="9"/>
  <c r="I18" i="9"/>
  <c r="J18" i="9"/>
  <c r="I19" i="9"/>
  <c r="J19" i="9"/>
  <c r="J16" i="9"/>
  <c r="J13" i="2" s="1"/>
  <c r="I293" i="5" l="1"/>
  <c r="H293" i="5"/>
  <c r="G293" i="5"/>
  <c r="F293" i="5"/>
  <c r="E293" i="5"/>
  <c r="D293" i="5"/>
  <c r="C293" i="5"/>
  <c r="I287" i="5"/>
  <c r="H287" i="5"/>
  <c r="G287" i="5"/>
  <c r="F287" i="5"/>
  <c r="E287" i="5"/>
  <c r="D287" i="5"/>
  <c r="C287" i="5"/>
  <c r="I11" i="14"/>
  <c r="D11" i="14"/>
  <c r="D23" i="14" s="1"/>
  <c r="E11" i="14"/>
  <c r="E23" i="14" s="1"/>
  <c r="F11" i="14"/>
  <c r="F33" i="14" s="1"/>
  <c r="F45" i="14" s="1"/>
  <c r="F49" i="14" s="1"/>
  <c r="F108" i="14" s="1"/>
  <c r="G11" i="14"/>
  <c r="G33" i="14" s="1"/>
  <c r="G45" i="14" s="1"/>
  <c r="G49" i="14" s="1"/>
  <c r="G108" i="14" s="1"/>
  <c r="H11" i="14"/>
  <c r="H33" i="14" s="1"/>
  <c r="H45" i="14" s="1"/>
  <c r="H49" i="14" s="1"/>
  <c r="H108" i="14" s="1"/>
  <c r="C11" i="14"/>
  <c r="C23" i="14" s="1"/>
  <c r="I275" i="5"/>
  <c r="I286" i="5" s="1"/>
  <c r="H275" i="5"/>
  <c r="H286" i="5" s="1"/>
  <c r="G275" i="5"/>
  <c r="G286" i="5" s="1"/>
  <c r="F275" i="5"/>
  <c r="F286" i="5" s="1"/>
  <c r="E275" i="5"/>
  <c r="E286" i="5" s="1"/>
  <c r="D275" i="5"/>
  <c r="D286" i="5" s="1"/>
  <c r="C275" i="5"/>
  <c r="C286" i="5" s="1"/>
  <c r="I258" i="5"/>
  <c r="H258" i="5"/>
  <c r="G258" i="5"/>
  <c r="F258" i="5"/>
  <c r="E258" i="5"/>
  <c r="D258" i="5"/>
  <c r="C258" i="5"/>
  <c r="I232" i="5"/>
  <c r="H232" i="5"/>
  <c r="G232" i="5"/>
  <c r="F232" i="5"/>
  <c r="E232" i="5"/>
  <c r="D232" i="5"/>
  <c r="C232" i="5"/>
  <c r="I199" i="5"/>
  <c r="H199" i="5"/>
  <c r="G199" i="5"/>
  <c r="F199" i="5"/>
  <c r="E199" i="5"/>
  <c r="D199" i="5"/>
  <c r="C199" i="5"/>
  <c r="I177" i="5"/>
  <c r="H177" i="5"/>
  <c r="G177" i="5"/>
  <c r="F177" i="5"/>
  <c r="E177" i="5"/>
  <c r="D177" i="5"/>
  <c r="C177" i="5"/>
  <c r="I172" i="5"/>
  <c r="H172" i="5"/>
  <c r="G172" i="5"/>
  <c r="F172" i="5"/>
  <c r="E172" i="5"/>
  <c r="D172" i="5"/>
  <c r="C172" i="5"/>
  <c r="I157" i="5"/>
  <c r="H157" i="5"/>
  <c r="G157" i="5"/>
  <c r="F157" i="5"/>
  <c r="E157" i="5"/>
  <c r="D157" i="5"/>
  <c r="C157" i="5"/>
  <c r="I113" i="5"/>
  <c r="H113" i="5"/>
  <c r="G113" i="5"/>
  <c r="F113" i="5"/>
  <c r="E113" i="5"/>
  <c r="D113" i="5"/>
  <c r="C113" i="5"/>
  <c r="I91" i="5"/>
  <c r="H91" i="5"/>
  <c r="G91" i="5"/>
  <c r="F91" i="5"/>
  <c r="E91" i="5"/>
  <c r="D91" i="5"/>
  <c r="C91" i="5"/>
  <c r="C33" i="5"/>
  <c r="C27" i="5"/>
  <c r="C8" i="5" s="1"/>
  <c r="I33" i="5"/>
  <c r="H33" i="5"/>
  <c r="G33" i="5"/>
  <c r="F33" i="5"/>
  <c r="E33" i="5"/>
  <c r="D33" i="5"/>
  <c r="E27" i="5"/>
  <c r="F27" i="5"/>
  <c r="G27" i="5"/>
  <c r="H27" i="5"/>
  <c r="I27" i="5"/>
  <c r="D27" i="5"/>
  <c r="M124" i="13"/>
  <c r="N124" i="13"/>
  <c r="L126" i="13"/>
  <c r="L125" i="13" s="1"/>
  <c r="M126" i="13"/>
  <c r="M125" i="13" s="1"/>
  <c r="N126" i="13"/>
  <c r="N125" i="13" s="1"/>
  <c r="O60" i="6"/>
  <c r="M92" i="13"/>
  <c r="P60" i="6" s="1"/>
  <c r="N92" i="13"/>
  <c r="Q60" i="6" s="1"/>
  <c r="N134" i="13"/>
  <c r="M133" i="13"/>
  <c r="M132" i="13"/>
  <c r="M131" i="13"/>
  <c r="L131" i="13"/>
  <c r="C12" i="9"/>
  <c r="C12" i="8"/>
  <c r="C13" i="8"/>
  <c r="C14" i="8"/>
  <c r="C15" i="8"/>
  <c r="C16" i="8"/>
  <c r="C28" i="8" s="1"/>
  <c r="C11" i="8"/>
  <c r="G12" i="8"/>
  <c r="G15" i="8"/>
  <c r="G14" i="8"/>
  <c r="G13" i="8"/>
  <c r="D8" i="15"/>
  <c r="E8" i="15"/>
  <c r="F8" i="15"/>
  <c r="G8" i="15"/>
  <c r="H8" i="15"/>
  <c r="I8" i="15"/>
  <c r="J8" i="15"/>
  <c r="H89" i="8"/>
  <c r="G63" i="9"/>
  <c r="G70" i="9" s="1"/>
  <c r="F45" i="17"/>
  <c r="C14" i="17"/>
  <c r="C16" i="1"/>
  <c r="C26" i="1" s="1"/>
  <c r="C30" i="1" s="1"/>
  <c r="C89" i="8"/>
  <c r="D89" i="8"/>
  <c r="E89" i="8"/>
  <c r="F89" i="8"/>
  <c r="I89" i="8"/>
  <c r="C45" i="17"/>
  <c r="D45" i="17"/>
  <c r="E45" i="17"/>
  <c r="H45" i="17"/>
  <c r="I45" i="17"/>
  <c r="D14" i="17"/>
  <c r="E14" i="17"/>
  <c r="G14" i="17"/>
  <c r="H14" i="17"/>
  <c r="I14" i="17"/>
  <c r="D85" i="17"/>
  <c r="E85" i="17"/>
  <c r="G85" i="17"/>
  <c r="C77" i="9"/>
  <c r="D77" i="9"/>
  <c r="E77" i="9"/>
  <c r="I77" i="9"/>
  <c r="C63" i="9"/>
  <c r="C70" i="9" s="1"/>
  <c r="D63" i="9"/>
  <c r="D70" i="9" s="1"/>
  <c r="E63" i="9"/>
  <c r="E70" i="9" s="1"/>
  <c r="H63" i="9"/>
  <c r="H70" i="9" s="1"/>
  <c r="I63" i="9"/>
  <c r="I70" i="9" s="1"/>
  <c r="C51" i="9"/>
  <c r="C58" i="9" s="1"/>
  <c r="D51" i="9"/>
  <c r="D58" i="9" s="1"/>
  <c r="E51" i="9"/>
  <c r="E58" i="9" s="1"/>
  <c r="H51" i="9"/>
  <c r="H58" i="9" s="1"/>
  <c r="I51" i="9"/>
  <c r="I58" i="9" s="1"/>
  <c r="C39" i="9"/>
  <c r="C46" i="9" s="1"/>
  <c r="D39" i="9"/>
  <c r="D46" i="9" s="1"/>
  <c r="E39" i="9"/>
  <c r="E46" i="9" s="1"/>
  <c r="G39" i="9"/>
  <c r="G46" i="9" s="1"/>
  <c r="H39" i="9"/>
  <c r="H46" i="9" s="1"/>
  <c r="E15" i="9"/>
  <c r="F15" i="9"/>
  <c r="H15" i="9"/>
  <c r="I15" i="9"/>
  <c r="C82" i="8"/>
  <c r="D82" i="8"/>
  <c r="E82" i="8"/>
  <c r="F82" i="8"/>
  <c r="I82" i="8"/>
  <c r="C65" i="8"/>
  <c r="D65" i="8"/>
  <c r="D78" i="8" s="1"/>
  <c r="E65" i="8"/>
  <c r="F65" i="8"/>
  <c r="I65" i="8"/>
  <c r="C44" i="8"/>
  <c r="C51" i="8" s="1"/>
  <c r="D44" i="8"/>
  <c r="D51" i="8" s="1"/>
  <c r="E44" i="8"/>
  <c r="E51" i="8" s="1"/>
  <c r="H44" i="8"/>
  <c r="H51" i="8" s="1"/>
  <c r="I44" i="8"/>
  <c r="I51" i="8" s="1"/>
  <c r="C27" i="8"/>
  <c r="C20" i="8" s="1"/>
  <c r="D27" i="8"/>
  <c r="D20" i="8" s="1"/>
  <c r="E27" i="8"/>
  <c r="E20" i="8" s="1"/>
  <c r="H27" i="8"/>
  <c r="H20" i="8" s="1"/>
  <c r="I27" i="8"/>
  <c r="C251" i="5"/>
  <c r="D251" i="5"/>
  <c r="E251" i="5"/>
  <c r="H251" i="5"/>
  <c r="I251" i="5"/>
  <c r="C192" i="5"/>
  <c r="D192" i="5"/>
  <c r="E192" i="5"/>
  <c r="H192" i="5"/>
  <c r="I192" i="5"/>
  <c r="C165" i="5"/>
  <c r="D165" i="5"/>
  <c r="E165" i="5"/>
  <c r="F165" i="5"/>
  <c r="I165" i="5"/>
  <c r="C142" i="5"/>
  <c r="C150" i="5" s="1"/>
  <c r="D142" i="5"/>
  <c r="D150" i="5" s="1"/>
  <c r="E142" i="5"/>
  <c r="E150" i="5" s="1"/>
  <c r="F142" i="5"/>
  <c r="F150" i="5" s="1"/>
  <c r="I142" i="5"/>
  <c r="I150" i="5" s="1"/>
  <c r="C106" i="5"/>
  <c r="C128" i="5" s="1"/>
  <c r="D106" i="5"/>
  <c r="D128" i="5" s="1"/>
  <c r="E106" i="5"/>
  <c r="E128" i="5" s="1"/>
  <c r="F106" i="5"/>
  <c r="F128" i="5" s="1"/>
  <c r="I106" i="5"/>
  <c r="I128" i="5" s="1"/>
  <c r="C84" i="5"/>
  <c r="D84" i="5"/>
  <c r="E84" i="5"/>
  <c r="F84" i="5"/>
  <c r="I84" i="5"/>
  <c r="C187" i="6"/>
  <c r="C171" i="6" s="1"/>
  <c r="D187" i="6"/>
  <c r="D171" i="6" s="1"/>
  <c r="E187" i="6"/>
  <c r="E171" i="6" s="1"/>
  <c r="G187" i="6"/>
  <c r="G171" i="6" s="1"/>
  <c r="H187" i="6"/>
  <c r="H171" i="6" s="1"/>
  <c r="I187" i="6"/>
  <c r="I171" i="6" s="1"/>
  <c r="C180" i="6"/>
  <c r="C194" i="6" s="1"/>
  <c r="C201" i="6" s="1"/>
  <c r="C206" i="6" s="1"/>
  <c r="D180" i="6"/>
  <c r="D194" i="6" s="1"/>
  <c r="D201" i="6" s="1"/>
  <c r="D206" i="6" s="1"/>
  <c r="E180" i="6"/>
  <c r="E194" i="6" s="1"/>
  <c r="E201" i="6" s="1"/>
  <c r="E206" i="6" s="1"/>
  <c r="F180" i="6"/>
  <c r="F194" i="6" s="1"/>
  <c r="F201" i="6" s="1"/>
  <c r="F206" i="6" s="1"/>
  <c r="I180" i="6"/>
  <c r="I194" i="6" s="1"/>
  <c r="I201" i="6" s="1"/>
  <c r="I206" i="6" s="1"/>
  <c r="C164" i="6"/>
  <c r="D164" i="6"/>
  <c r="E164" i="6"/>
  <c r="F164" i="6"/>
  <c r="I164" i="6"/>
  <c r="C21" i="6"/>
  <c r="D21" i="6"/>
  <c r="E21" i="6"/>
  <c r="H21" i="6"/>
  <c r="I21" i="6"/>
  <c r="C106" i="7"/>
  <c r="H106" i="7"/>
  <c r="I106" i="7"/>
  <c r="C94" i="7"/>
  <c r="D94" i="7"/>
  <c r="E94" i="7"/>
  <c r="H94" i="7"/>
  <c r="I94" i="7"/>
  <c r="C84" i="7"/>
  <c r="D84" i="7"/>
  <c r="E84" i="7"/>
  <c r="G84" i="7"/>
  <c r="H84" i="7"/>
  <c r="I84" i="7"/>
  <c r="C77" i="7"/>
  <c r="D77" i="7"/>
  <c r="E77" i="7"/>
  <c r="G77" i="7"/>
  <c r="H77" i="7"/>
  <c r="I77" i="7"/>
  <c r="C56" i="7"/>
  <c r="C63" i="7" s="1"/>
  <c r="D56" i="7"/>
  <c r="D63" i="7" s="1"/>
  <c r="E56" i="7"/>
  <c r="E63" i="7" s="1"/>
  <c r="F56" i="7"/>
  <c r="F63" i="7" s="1"/>
  <c r="I56" i="7"/>
  <c r="I63" i="7" s="1"/>
  <c r="C33" i="7"/>
  <c r="C23" i="7" s="1"/>
  <c r="D33" i="7"/>
  <c r="D40" i="7" s="1"/>
  <c r="D43" i="7" s="1"/>
  <c r="E33" i="7"/>
  <c r="E23" i="7" s="1"/>
  <c r="H33" i="7"/>
  <c r="H23" i="7" s="1"/>
  <c r="I33" i="7"/>
  <c r="I26" i="7" s="1"/>
  <c r="Y8" i="15"/>
  <c r="AA8" i="15"/>
  <c r="AD8" i="15"/>
  <c r="AE8" i="15"/>
  <c r="O8" i="15"/>
  <c r="P8" i="15"/>
  <c r="Q8" i="15"/>
  <c r="S8" i="15"/>
  <c r="T8" i="15"/>
  <c r="U8" i="15"/>
  <c r="D42" i="2"/>
  <c r="E42" i="2"/>
  <c r="F42" i="2"/>
  <c r="H42" i="2"/>
  <c r="J42" i="2"/>
  <c r="D34" i="2"/>
  <c r="E34" i="2"/>
  <c r="F34" i="2"/>
  <c r="G34" i="2"/>
  <c r="H34" i="2"/>
  <c r="J34" i="2"/>
  <c r="D26" i="2"/>
  <c r="E26" i="2"/>
  <c r="F26" i="2"/>
  <c r="J26" i="2"/>
  <c r="D19" i="2"/>
  <c r="E19" i="2"/>
  <c r="F19" i="2"/>
  <c r="I19" i="2"/>
  <c r="J19" i="2"/>
  <c r="D7" i="2"/>
  <c r="E7" i="2"/>
  <c r="F7" i="2"/>
  <c r="I7" i="2"/>
  <c r="J7" i="2"/>
  <c r="D12" i="2"/>
  <c r="E12" i="2"/>
  <c r="F12" i="2"/>
  <c r="H12" i="2"/>
  <c r="I12" i="2"/>
  <c r="J12" i="2"/>
  <c r="D11" i="10"/>
  <c r="E11" i="10"/>
  <c r="F11" i="10"/>
  <c r="G11" i="10"/>
  <c r="J11" i="10"/>
  <c r="P26" i="10"/>
  <c r="Q26" i="10"/>
  <c r="R26" i="10"/>
  <c r="S26" i="10"/>
  <c r="V26" i="10"/>
  <c r="P12" i="10"/>
  <c r="Q12" i="10"/>
  <c r="R12" i="10"/>
  <c r="U12" i="10"/>
  <c r="V12" i="10"/>
  <c r="D16" i="1"/>
  <c r="D26" i="1" s="1"/>
  <c r="D30" i="1" s="1"/>
  <c r="E16" i="1"/>
  <c r="E26" i="1" s="1"/>
  <c r="E30" i="1" s="1"/>
  <c r="H16" i="1"/>
  <c r="H26" i="1" s="1"/>
  <c r="H30" i="1" s="1"/>
  <c r="I16" i="1"/>
  <c r="I26" i="1" s="1"/>
  <c r="I30" i="1" s="1"/>
  <c r="E120" i="14" l="1"/>
  <c r="E38" i="1"/>
  <c r="H120" i="14"/>
  <c r="H38" i="1"/>
  <c r="D120" i="14"/>
  <c r="D38" i="1"/>
  <c r="C120" i="14"/>
  <c r="C23" i="1"/>
  <c r="C38" i="1" s="1"/>
  <c r="I120" i="14"/>
  <c r="I38" i="1"/>
  <c r="I33" i="14"/>
  <c r="I45" i="14" s="1"/>
  <c r="I49" i="14" s="1"/>
  <c r="I108" i="14" s="1"/>
  <c r="I23" i="14"/>
  <c r="I27" i="6"/>
  <c r="I38" i="6"/>
  <c r="H27" i="6"/>
  <c r="H38" i="6"/>
  <c r="E38" i="6"/>
  <c r="E27" i="6"/>
  <c r="D38" i="6"/>
  <c r="D27" i="6"/>
  <c r="P8" i="6"/>
  <c r="C27" i="6"/>
  <c r="C38" i="6"/>
  <c r="P75" i="6"/>
  <c r="O75" i="6"/>
  <c r="Q75" i="6"/>
  <c r="Q91" i="6"/>
  <c r="F46" i="5"/>
  <c r="G46" i="5"/>
  <c r="I46" i="5"/>
  <c r="I62" i="5" s="1"/>
  <c r="I80" i="5" s="1"/>
  <c r="I296" i="5" s="1"/>
  <c r="I105" i="17" s="1"/>
  <c r="H46" i="5"/>
  <c r="D46" i="5"/>
  <c r="C46" i="5"/>
  <c r="C62" i="5" s="1"/>
  <c r="C80" i="5" s="1"/>
  <c r="E46" i="5"/>
  <c r="C44" i="5"/>
  <c r="C60" i="5" s="1"/>
  <c r="F44" i="5"/>
  <c r="F60" i="5" s="1"/>
  <c r="I44" i="5"/>
  <c r="I60" i="5" s="1"/>
  <c r="G44" i="5"/>
  <c r="G60" i="5" s="1"/>
  <c r="D44" i="5"/>
  <c r="D60" i="5" s="1"/>
  <c r="E44" i="5"/>
  <c r="E60" i="5" s="1"/>
  <c r="H44" i="5"/>
  <c r="H60" i="5" s="1"/>
  <c r="F37" i="5"/>
  <c r="G37" i="5"/>
  <c r="H37" i="5"/>
  <c r="C37" i="5"/>
  <c r="D37" i="5"/>
  <c r="I37" i="5"/>
  <c r="C38" i="5"/>
  <c r="D38" i="5"/>
  <c r="E38" i="5"/>
  <c r="F38" i="5"/>
  <c r="I38" i="5"/>
  <c r="G38" i="5"/>
  <c r="H38" i="5"/>
  <c r="B63" i="5"/>
  <c r="B81" i="5" s="1"/>
  <c r="B297" i="5" s="1"/>
  <c r="I45" i="5"/>
  <c r="C45" i="5"/>
  <c r="H45" i="5"/>
  <c r="D45" i="5"/>
  <c r="E45" i="5"/>
  <c r="F45" i="5"/>
  <c r="G45" i="5"/>
  <c r="D36" i="5"/>
  <c r="E36" i="5"/>
  <c r="F36" i="5"/>
  <c r="G36" i="5"/>
  <c r="H36" i="5"/>
  <c r="C36" i="5"/>
  <c r="I36" i="5"/>
  <c r="H40" i="5"/>
  <c r="D40" i="5"/>
  <c r="G40" i="5"/>
  <c r="E40" i="5"/>
  <c r="F40" i="5"/>
  <c r="C40" i="5"/>
  <c r="I40" i="5"/>
  <c r="I72" i="8"/>
  <c r="I78" i="8"/>
  <c r="F72" i="8"/>
  <c r="F78" i="8"/>
  <c r="E72" i="8"/>
  <c r="E78" i="8"/>
  <c r="D72" i="8"/>
  <c r="C72" i="8"/>
  <c r="C78" i="8"/>
  <c r="C47" i="9"/>
  <c r="H23" i="14"/>
  <c r="G23" i="14"/>
  <c r="F23" i="14"/>
  <c r="C33" i="14"/>
  <c r="C45" i="14" s="1"/>
  <c r="C49" i="14" s="1"/>
  <c r="C108" i="14" s="1"/>
  <c r="E33" i="14"/>
  <c r="E45" i="14" s="1"/>
  <c r="E49" i="14" s="1"/>
  <c r="E108" i="14" s="1"/>
  <c r="D33" i="14"/>
  <c r="D45" i="14" s="1"/>
  <c r="D49" i="14" s="1"/>
  <c r="D108" i="14" s="1"/>
  <c r="C40" i="7"/>
  <c r="C43" i="7" s="1"/>
  <c r="C26" i="7"/>
  <c r="C16" i="7"/>
  <c r="C9" i="7" s="1"/>
  <c r="D23" i="7"/>
  <c r="C8" i="6"/>
  <c r="M134" i="13"/>
  <c r="L134" i="13"/>
  <c r="I16" i="7"/>
  <c r="I9" i="7" s="1"/>
  <c r="H16" i="7"/>
  <c r="H9" i="7" s="1"/>
  <c r="H26" i="7"/>
  <c r="E16" i="7"/>
  <c r="E9" i="7" s="1"/>
  <c r="E26" i="7"/>
  <c r="C8" i="8"/>
  <c r="D16" i="7"/>
  <c r="D9" i="7" s="1"/>
  <c r="D26" i="7"/>
  <c r="G8" i="8"/>
  <c r="I40" i="7"/>
  <c r="I43" i="7" s="1"/>
  <c r="K8" i="8"/>
  <c r="H40" i="7"/>
  <c r="H43" i="7" s="1"/>
  <c r="I23" i="7"/>
  <c r="H8" i="6"/>
  <c r="E40" i="7"/>
  <c r="E43" i="7" s="1"/>
  <c r="G42" i="2"/>
  <c r="G12" i="2"/>
  <c r="F84" i="7"/>
  <c r="G16" i="1"/>
  <c r="G26" i="1" s="1"/>
  <c r="G30" i="1" s="1"/>
  <c r="H19" i="2"/>
  <c r="F16" i="1"/>
  <c r="F26" i="1" s="1"/>
  <c r="F30" i="1" s="1"/>
  <c r="T26" i="10"/>
  <c r="G19" i="2"/>
  <c r="I34" i="2"/>
  <c r="F106" i="7"/>
  <c r="G164" i="6"/>
  <c r="G84" i="5"/>
  <c r="G106" i="5"/>
  <c r="G128" i="5" s="1"/>
  <c r="G142" i="5"/>
  <c r="G150" i="5" s="1"/>
  <c r="G165" i="5"/>
  <c r="G65" i="8"/>
  <c r="J15" i="9"/>
  <c r="F63" i="9"/>
  <c r="F70" i="9" s="1"/>
  <c r="C85" i="17"/>
  <c r="G89" i="8"/>
  <c r="G15" i="9"/>
  <c r="G94" i="7"/>
  <c r="F14" i="17"/>
  <c r="G7" i="2"/>
  <c r="G33" i="7"/>
  <c r="F94" i="7"/>
  <c r="G192" i="5"/>
  <c r="G251" i="5"/>
  <c r="G44" i="8"/>
  <c r="G51" i="8" s="1"/>
  <c r="F51" i="9"/>
  <c r="F58" i="9" s="1"/>
  <c r="H77" i="9"/>
  <c r="F77" i="7"/>
  <c r="F187" i="6"/>
  <c r="F171" i="6" s="1"/>
  <c r="G21" i="6"/>
  <c r="I26" i="2"/>
  <c r="F21" i="6"/>
  <c r="S12" i="10"/>
  <c r="I11" i="10"/>
  <c r="H26" i="2"/>
  <c r="F33" i="7"/>
  <c r="H56" i="7"/>
  <c r="H63" i="7" s="1"/>
  <c r="H180" i="6"/>
  <c r="H194" i="6" s="1"/>
  <c r="H201" i="6" s="1"/>
  <c r="H206" i="6" s="1"/>
  <c r="F192" i="5"/>
  <c r="F251" i="5"/>
  <c r="F44" i="8"/>
  <c r="F51" i="8" s="1"/>
  <c r="H82" i="8"/>
  <c r="D15" i="9"/>
  <c r="C8" i="9" s="1"/>
  <c r="G77" i="9"/>
  <c r="I85" i="17"/>
  <c r="H7" i="2"/>
  <c r="R8" i="15"/>
  <c r="G51" i="9"/>
  <c r="G58" i="9" s="1"/>
  <c r="T12" i="10"/>
  <c r="H11" i="10"/>
  <c r="G26" i="2"/>
  <c r="I42" i="2"/>
  <c r="G56" i="7"/>
  <c r="G63" i="7" s="1"/>
  <c r="G180" i="6"/>
  <c r="G194" i="6" s="1"/>
  <c r="G201" i="6" s="1"/>
  <c r="G206" i="6" s="1"/>
  <c r="G82" i="8"/>
  <c r="I39" i="9"/>
  <c r="I46" i="9" s="1"/>
  <c r="F77" i="9"/>
  <c r="H85" i="17"/>
  <c r="F85" i="17"/>
  <c r="AC8" i="15"/>
  <c r="G27" i="8"/>
  <c r="G20" i="8" s="1"/>
  <c r="F39" i="9"/>
  <c r="F46" i="9" s="1"/>
  <c r="G45" i="17"/>
  <c r="U26" i="10"/>
  <c r="AB8" i="15"/>
  <c r="G106" i="7"/>
  <c r="H164" i="6"/>
  <c r="H84" i="5"/>
  <c r="H106" i="5"/>
  <c r="H128" i="5" s="1"/>
  <c r="H142" i="5"/>
  <c r="H150" i="5" s="1"/>
  <c r="H165" i="5"/>
  <c r="F27" i="8"/>
  <c r="F20" i="8" s="1"/>
  <c r="H65" i="8"/>
  <c r="G120" i="14" l="1"/>
  <c r="G38" i="1"/>
  <c r="F120" i="14"/>
  <c r="F38" i="1"/>
  <c r="G27" i="6"/>
  <c r="G38" i="6"/>
  <c r="F27" i="6"/>
  <c r="F38" i="6"/>
  <c r="C11" i="22"/>
  <c r="C42" i="22" s="1"/>
  <c r="M11" i="22"/>
  <c r="D122" i="6"/>
  <c r="E122" i="6" s="1"/>
  <c r="F122" i="6" s="1"/>
  <c r="D120" i="6"/>
  <c r="E120" i="6" s="1"/>
  <c r="F120" i="6" s="1"/>
  <c r="G120" i="6" s="1"/>
  <c r="H120" i="6" s="1"/>
  <c r="C296" i="5"/>
  <c r="C105" i="17" s="1"/>
  <c r="C63" i="5"/>
  <c r="C81" i="5" s="1"/>
  <c r="C297" i="5" s="1"/>
  <c r="C106" i="17" s="1"/>
  <c r="G72" i="8"/>
  <c r="G78" i="8"/>
  <c r="H72" i="8"/>
  <c r="H78" i="8"/>
  <c r="F23" i="7"/>
  <c r="F40" i="7"/>
  <c r="F43" i="7" s="1"/>
  <c r="F26" i="7"/>
  <c r="F16" i="7"/>
  <c r="F9" i="7" s="1"/>
  <c r="G23" i="7"/>
  <c r="G40" i="7"/>
  <c r="G43" i="7" s="1"/>
  <c r="G26" i="7"/>
  <c r="G16" i="7"/>
  <c r="G9" i="7" s="1"/>
  <c r="C118" i="6" l="1"/>
  <c r="D121" i="6"/>
  <c r="C34" i="17"/>
  <c r="C31" i="22" s="1"/>
  <c r="F31" i="22" s="1"/>
  <c r="M31" i="22"/>
  <c r="R31" i="22" s="1"/>
  <c r="C35" i="17"/>
  <c r="C32" i="22" s="1"/>
  <c r="F32" i="22" s="1"/>
  <c r="M32" i="22"/>
  <c r="R32" i="22" s="1"/>
  <c r="I119" i="6"/>
  <c r="D119" i="6" s="1"/>
  <c r="E119" i="6" s="1"/>
  <c r="F119" i="6" s="1"/>
  <c r="G119" i="6" s="1"/>
  <c r="H119" i="6" s="1"/>
  <c r="E121" i="6" l="1"/>
  <c r="D118" i="6"/>
  <c r="F121" i="6" l="1"/>
  <c r="E118" i="6"/>
  <c r="C143" i="5"/>
  <c r="D16" i="9"/>
  <c r="D13" i="2" s="1"/>
  <c r="C160" i="5" l="1"/>
  <c r="C162" i="5" s="1"/>
  <c r="G121" i="6"/>
  <c r="F118" i="6"/>
  <c r="Q28" i="15"/>
  <c r="H121" i="6" l="1"/>
  <c r="H118" i="6" s="1"/>
  <c r="G118" i="6"/>
  <c r="B92" i="7"/>
  <c r="B91" i="7"/>
  <c r="L26" i="13" l="1"/>
  <c r="H14" i="6" s="1"/>
  <c r="C64" i="7"/>
  <c r="L25" i="13" l="1"/>
  <c r="H13" i="6" s="1"/>
  <c r="H11" i="6"/>
  <c r="AJ25" i="13"/>
  <c r="L24" i="13"/>
  <c r="H12" i="6" s="1"/>
  <c r="O31" i="6" l="1"/>
  <c r="Q31" i="6" s="1"/>
  <c r="E43" i="15" l="1"/>
  <c r="G43" i="15"/>
  <c r="H43" i="15"/>
  <c r="I43" i="15"/>
  <c r="J43" i="15"/>
  <c r="O28" i="15"/>
  <c r="P28" i="15"/>
  <c r="R28" i="15"/>
  <c r="S28" i="15"/>
  <c r="T28" i="15"/>
  <c r="U28" i="15"/>
  <c r="D17" i="9" l="1"/>
  <c r="D14" i="2" s="1"/>
  <c r="E17" i="9"/>
  <c r="E14" i="2" s="1"/>
  <c r="F17" i="9"/>
  <c r="F14" i="2" s="1"/>
  <c r="G17" i="9"/>
  <c r="G14" i="2" s="1"/>
  <c r="H17" i="9"/>
  <c r="H14" i="2" s="1"/>
  <c r="I14" i="2"/>
  <c r="J14" i="2"/>
  <c r="D18" i="9"/>
  <c r="D15" i="2" s="1"/>
  <c r="E18" i="9"/>
  <c r="E15" i="2" s="1"/>
  <c r="F18" i="9"/>
  <c r="F15" i="2" s="1"/>
  <c r="G18" i="9"/>
  <c r="G15" i="2" s="1"/>
  <c r="H18" i="9"/>
  <c r="H15" i="2" s="1"/>
  <c r="I15" i="2"/>
  <c r="J15" i="2"/>
  <c r="D19" i="9"/>
  <c r="D16" i="2" s="1"/>
  <c r="E19" i="9"/>
  <c r="E16" i="2" s="1"/>
  <c r="F19" i="9"/>
  <c r="F16" i="2" s="1"/>
  <c r="G19" i="9"/>
  <c r="G16" i="2" s="1"/>
  <c r="H19" i="9"/>
  <c r="H16" i="2" s="1"/>
  <c r="I16" i="2"/>
  <c r="J16" i="2"/>
  <c r="E16" i="9"/>
  <c r="E13" i="2" s="1"/>
  <c r="F16" i="9"/>
  <c r="F13" i="2" s="1"/>
  <c r="G16" i="9"/>
  <c r="G13" i="2" s="1"/>
  <c r="H16" i="9"/>
  <c r="H13" i="2" s="1"/>
  <c r="I16" i="9"/>
  <c r="I13" i="2" s="1"/>
  <c r="I51" i="18"/>
  <c r="H51" i="18"/>
  <c r="G51" i="18"/>
  <c r="F51" i="18"/>
  <c r="E51" i="18"/>
  <c r="D51" i="18"/>
  <c r="C51" i="18"/>
  <c r="C40" i="9"/>
  <c r="D78" i="9"/>
  <c r="E78" i="9"/>
  <c r="F78" i="9"/>
  <c r="G78" i="9"/>
  <c r="H78" i="9"/>
  <c r="I78" i="9"/>
  <c r="C78" i="9"/>
  <c r="C64" i="9"/>
  <c r="D64" i="9"/>
  <c r="E64" i="9"/>
  <c r="F64" i="9"/>
  <c r="H64" i="9"/>
  <c r="I64" i="9"/>
  <c r="C52" i="9"/>
  <c r="D52" i="9"/>
  <c r="E52" i="9"/>
  <c r="F52" i="9"/>
  <c r="G52" i="9"/>
  <c r="H52" i="9"/>
  <c r="I52" i="9"/>
  <c r="D40" i="9"/>
  <c r="E40" i="9"/>
  <c r="E47" i="9" s="1"/>
  <c r="F40" i="9"/>
  <c r="G40" i="9"/>
  <c r="H40" i="9"/>
  <c r="I40" i="9"/>
  <c r="I47" i="9" s="1"/>
  <c r="I48" i="9" s="1"/>
  <c r="C83" i="8"/>
  <c r="D83" i="8"/>
  <c r="E83" i="8"/>
  <c r="F83" i="8"/>
  <c r="F91" i="8" s="1"/>
  <c r="G83" i="8"/>
  <c r="H83" i="8"/>
  <c r="I83" i="8"/>
  <c r="C66" i="8"/>
  <c r="C181" i="6"/>
  <c r="D66" i="8"/>
  <c r="E66" i="8"/>
  <c r="F66" i="8"/>
  <c r="G66" i="8"/>
  <c r="H66" i="8"/>
  <c r="I66" i="8"/>
  <c r="C45" i="8"/>
  <c r="C52" i="8" s="1"/>
  <c r="C107" i="17" s="1"/>
  <c r="D45" i="8"/>
  <c r="E45" i="8"/>
  <c r="F45" i="8"/>
  <c r="G45" i="8"/>
  <c r="H45" i="8"/>
  <c r="I45" i="8"/>
  <c r="C21" i="8"/>
  <c r="C61" i="8" s="1"/>
  <c r="C22" i="6" s="1"/>
  <c r="F21" i="8"/>
  <c r="H21" i="8"/>
  <c r="I21" i="8"/>
  <c r="I33" i="8" s="1"/>
  <c r="D21" i="8"/>
  <c r="D64" i="7" s="1"/>
  <c r="C252" i="5"/>
  <c r="E21" i="8"/>
  <c r="E64" i="7" s="1"/>
  <c r="G21" i="8"/>
  <c r="I252" i="5"/>
  <c r="D193" i="5"/>
  <c r="E193" i="5"/>
  <c r="F193" i="5"/>
  <c r="G193" i="5"/>
  <c r="H193" i="5"/>
  <c r="I193" i="5"/>
  <c r="I49" i="7" s="1"/>
  <c r="C166" i="5"/>
  <c r="C175" i="5" s="1"/>
  <c r="D166" i="5"/>
  <c r="D175" i="5" s="1"/>
  <c r="E166" i="5"/>
  <c r="E175" i="5" s="1"/>
  <c r="F166" i="5"/>
  <c r="F175" i="5" s="1"/>
  <c r="G166" i="5"/>
  <c r="G175" i="5" s="1"/>
  <c r="H166" i="5"/>
  <c r="H175" i="5" s="1"/>
  <c r="I166" i="5"/>
  <c r="I175" i="5" s="1"/>
  <c r="D143" i="5"/>
  <c r="D160" i="5" s="1"/>
  <c r="E143" i="5"/>
  <c r="E160" i="5" s="1"/>
  <c r="F143" i="5"/>
  <c r="F160" i="5" s="1"/>
  <c r="G143" i="5"/>
  <c r="G160" i="5" s="1"/>
  <c r="H143" i="5"/>
  <c r="H160" i="5" s="1"/>
  <c r="I143" i="5"/>
  <c r="I160" i="5" s="1"/>
  <c r="C107" i="5"/>
  <c r="D107" i="5"/>
  <c r="E107" i="5"/>
  <c r="F107" i="5"/>
  <c r="G107" i="5"/>
  <c r="H107" i="5"/>
  <c r="I107" i="5"/>
  <c r="C85" i="5"/>
  <c r="D85" i="5"/>
  <c r="E85" i="5"/>
  <c r="F85" i="5"/>
  <c r="G85" i="5"/>
  <c r="H85" i="5"/>
  <c r="I85" i="5"/>
  <c r="D181" i="6"/>
  <c r="E181" i="6"/>
  <c r="F181" i="6"/>
  <c r="G181" i="6"/>
  <c r="H181" i="6"/>
  <c r="I181" i="6"/>
  <c r="C165" i="6"/>
  <c r="D165" i="6"/>
  <c r="E165" i="6"/>
  <c r="F165" i="6"/>
  <c r="G165" i="6"/>
  <c r="H165" i="6"/>
  <c r="I165" i="6"/>
  <c r="D10" i="7"/>
  <c r="E23" i="10" s="1"/>
  <c r="E10" i="7"/>
  <c r="F23" i="10" s="1"/>
  <c r="F10" i="7"/>
  <c r="G23" i="10" s="1"/>
  <c r="G10" i="7"/>
  <c r="H23" i="10" s="1"/>
  <c r="H10" i="7"/>
  <c r="I23" i="10" s="1"/>
  <c r="I10" i="7"/>
  <c r="J23" i="10" s="1"/>
  <c r="I34" i="7"/>
  <c r="C35" i="7"/>
  <c r="D35" i="7" s="1"/>
  <c r="E35" i="7" s="1"/>
  <c r="F35" i="7" s="1"/>
  <c r="G35" i="7" s="1"/>
  <c r="H35" i="7" s="1"/>
  <c r="D57" i="7"/>
  <c r="E57" i="7"/>
  <c r="F57" i="7"/>
  <c r="G57" i="7"/>
  <c r="H57" i="7"/>
  <c r="I57" i="7"/>
  <c r="C57" i="7"/>
  <c r="C65" i="7" s="1"/>
  <c r="C66" i="7" s="1"/>
  <c r="C78" i="7"/>
  <c r="D78" i="7"/>
  <c r="E78" i="7"/>
  <c r="F78" i="7"/>
  <c r="G78" i="7"/>
  <c r="H78" i="7"/>
  <c r="I78" i="7"/>
  <c r="E65" i="7" l="1"/>
  <c r="E66" i="7" s="1"/>
  <c r="E67" i="7" s="1"/>
  <c r="I41" i="7"/>
  <c r="I53" i="7"/>
  <c r="C91" i="8"/>
  <c r="D65" i="7"/>
  <c r="D66" i="7" s="1"/>
  <c r="I62" i="8"/>
  <c r="I64" i="7"/>
  <c r="I65" i="7" s="1"/>
  <c r="I66" i="7" s="1"/>
  <c r="D91" i="8"/>
  <c r="M33" i="22"/>
  <c r="R33" i="22" s="1"/>
  <c r="C36" i="17"/>
  <c r="C49" i="17" s="1"/>
  <c r="I91" i="8"/>
  <c r="I27" i="1" s="1"/>
  <c r="D60" i="18"/>
  <c r="D59" i="18"/>
  <c r="D58" i="18"/>
  <c r="E60" i="18"/>
  <c r="E58" i="18"/>
  <c r="E59" i="18"/>
  <c r="H60" i="18"/>
  <c r="H58" i="18"/>
  <c r="H59" i="18"/>
  <c r="F60" i="18"/>
  <c r="F58" i="18"/>
  <c r="F59" i="18"/>
  <c r="G60" i="18"/>
  <c r="G58" i="18"/>
  <c r="G59" i="18"/>
  <c r="I60" i="18"/>
  <c r="I58" i="18"/>
  <c r="I59" i="18"/>
  <c r="I59" i="9"/>
  <c r="G62" i="8"/>
  <c r="G40" i="8"/>
  <c r="G76" i="8" s="1"/>
  <c r="G47" i="5" s="1"/>
  <c r="G62" i="5"/>
  <c r="G80" i="5" s="1"/>
  <c r="G296" i="5" s="1"/>
  <c r="G105" i="17" s="1"/>
  <c r="F40" i="8"/>
  <c r="F76" i="8" s="1"/>
  <c r="F47" i="5" s="1"/>
  <c r="F63" i="5" s="1"/>
  <c r="F81" i="5" s="1"/>
  <c r="F297" i="5" s="1"/>
  <c r="F106" i="17" s="1"/>
  <c r="F35" i="17" s="1"/>
  <c r="F62" i="5"/>
  <c r="F80" i="5" s="1"/>
  <c r="F296" i="5" s="1"/>
  <c r="F105" i="17" s="1"/>
  <c r="E40" i="8"/>
  <c r="E76" i="8" s="1"/>
  <c r="E47" i="5" s="1"/>
  <c r="E63" i="5" s="1"/>
  <c r="E81" i="5" s="1"/>
  <c r="E297" i="5" s="1"/>
  <c r="E106" i="17" s="1"/>
  <c r="E35" i="17" s="1"/>
  <c r="E62" i="5"/>
  <c r="E80" i="5" s="1"/>
  <c r="H40" i="8"/>
  <c r="H76" i="8" s="1"/>
  <c r="H47" i="5" s="1"/>
  <c r="H63" i="5" s="1"/>
  <c r="H81" i="5" s="1"/>
  <c r="H297" i="5" s="1"/>
  <c r="H106" i="17" s="1"/>
  <c r="H35" i="17" s="1"/>
  <c r="H62" i="5"/>
  <c r="H80" i="5" s="1"/>
  <c r="H296" i="5" s="1"/>
  <c r="H105" i="17" s="1"/>
  <c r="I40" i="8"/>
  <c r="I76" i="8" s="1"/>
  <c r="I47" i="5" s="1"/>
  <c r="I63" i="5" s="1"/>
  <c r="I81" i="5" s="1"/>
  <c r="I297" i="5" s="1"/>
  <c r="I106" i="17" s="1"/>
  <c r="I35" i="17" s="1"/>
  <c r="J35" i="17" s="1"/>
  <c r="K35" i="17" s="1"/>
  <c r="D28" i="8"/>
  <c r="D40" i="8"/>
  <c r="D76" i="8" s="1"/>
  <c r="D47" i="5" s="1"/>
  <c r="D63" i="5" s="1"/>
  <c r="D81" i="5" s="1"/>
  <c r="D297" i="5" s="1"/>
  <c r="D106" i="17" s="1"/>
  <c r="D35" i="17" s="1"/>
  <c r="D62" i="5"/>
  <c r="D80" i="5" s="1"/>
  <c r="D296" i="5" s="1"/>
  <c r="D105" i="17" s="1"/>
  <c r="G91" i="8"/>
  <c r="H91" i="8"/>
  <c r="E91" i="8"/>
  <c r="C60" i="9"/>
  <c r="E296" i="5" l="1"/>
  <c r="E105" i="17" s="1"/>
  <c r="G63" i="5"/>
  <c r="G81" i="5" s="1"/>
  <c r="G297" i="5" s="1"/>
  <c r="G106" i="17" s="1"/>
  <c r="G35" i="17" s="1"/>
  <c r="C71" i="9"/>
  <c r="C73" i="9" s="1"/>
  <c r="C112" i="17"/>
  <c r="C41" i="17" l="1"/>
  <c r="C38" i="22" s="1"/>
  <c r="F38" i="22" s="1"/>
  <c r="M38" i="22"/>
  <c r="R38" i="22" s="1"/>
  <c r="C72" i="9"/>
  <c r="C74" i="9" s="1"/>
  <c r="D12" i="10" l="1"/>
  <c r="D49" i="7" l="1"/>
  <c r="E49" i="7"/>
  <c r="F49" i="7"/>
  <c r="G49" i="7"/>
  <c r="H49" i="7"/>
  <c r="C49" i="7"/>
  <c r="C36" i="7" l="1"/>
  <c r="D36" i="7" s="1"/>
  <c r="E36" i="7" s="1"/>
  <c r="F36" i="7" s="1"/>
  <c r="G36" i="7" s="1"/>
  <c r="H36" i="7" s="1"/>
  <c r="C37" i="7"/>
  <c r="D37" i="7" s="1"/>
  <c r="E37" i="7" s="1"/>
  <c r="F37" i="7" s="1"/>
  <c r="G37" i="7" s="1"/>
  <c r="H37" i="7" s="1"/>
  <c r="C38" i="7"/>
  <c r="C34" i="7" l="1"/>
  <c r="D38" i="7"/>
  <c r="C41" i="7" l="1"/>
  <c r="C46" i="7" s="1"/>
  <c r="C53" i="7"/>
  <c r="E38" i="7"/>
  <c r="D34" i="7"/>
  <c r="D53" i="7" s="1"/>
  <c r="C62" i="8"/>
  <c r="C23" i="6" s="1"/>
  <c r="D9" i="2"/>
  <c r="C45" i="7" l="1"/>
  <c r="I45" i="7"/>
  <c r="F38" i="7"/>
  <c r="E34" i="7"/>
  <c r="E53" i="7" s="1"/>
  <c r="G38" i="7" l="1"/>
  <c r="F34" i="7"/>
  <c r="F53" i="7" s="1"/>
  <c r="C31" i="6"/>
  <c r="C74" i="6" s="1"/>
  <c r="H38" i="7" l="1"/>
  <c r="H34" i="7" s="1"/>
  <c r="H53" i="7" s="1"/>
  <c r="G34" i="7"/>
  <c r="G53" i="7" s="1"/>
  <c r="C106" i="6"/>
  <c r="C128" i="6"/>
  <c r="I23" i="6"/>
  <c r="I61" i="8"/>
  <c r="I22" i="6" s="1"/>
  <c r="E62" i="8"/>
  <c r="E23" i="6" s="1"/>
  <c r="E61" i="8"/>
  <c r="E22" i="6" s="1"/>
  <c r="H64" i="7"/>
  <c r="H65" i="7" s="1"/>
  <c r="H66" i="7" s="1"/>
  <c r="H61" i="8"/>
  <c r="H22" i="6" s="1"/>
  <c r="H62" i="8"/>
  <c r="H23" i="6" s="1"/>
  <c r="G64" i="7"/>
  <c r="G65" i="7" s="1"/>
  <c r="G66" i="7" s="1"/>
  <c r="G61" i="8"/>
  <c r="G22" i="6" s="1"/>
  <c r="G23" i="6"/>
  <c r="D62" i="8"/>
  <c r="D23" i="6" s="1"/>
  <c r="D61" i="8"/>
  <c r="D22" i="6" s="1"/>
  <c r="F64" i="7"/>
  <c r="F65" i="7" s="1"/>
  <c r="F66" i="7" s="1"/>
  <c r="F61" i="8"/>
  <c r="F22" i="6" s="1"/>
  <c r="F62" i="8"/>
  <c r="F23" i="6" s="1"/>
  <c r="C151" i="6" l="1"/>
  <c r="E31" i="6"/>
  <c r="E74" i="6" s="1"/>
  <c r="F31" i="6"/>
  <c r="F74" i="6" s="1"/>
  <c r="I31" i="6"/>
  <c r="I74" i="6" s="1"/>
  <c r="D31" i="6"/>
  <c r="D74" i="6" s="1"/>
  <c r="H31" i="6"/>
  <c r="H74" i="6" s="1"/>
  <c r="G31" i="6"/>
  <c r="G74" i="6" s="1"/>
  <c r="H128" i="6" l="1"/>
  <c r="H106" i="6"/>
  <c r="F106" i="6"/>
  <c r="F128" i="6"/>
  <c r="I128" i="6"/>
  <c r="I106" i="6"/>
  <c r="E106" i="6"/>
  <c r="E128" i="6"/>
  <c r="D106" i="6"/>
  <c r="D128" i="6"/>
  <c r="G106" i="6"/>
  <c r="G128" i="6"/>
  <c r="E42" i="15"/>
  <c r="F42" i="15"/>
  <c r="G42" i="15"/>
  <c r="H42" i="15"/>
  <c r="I42" i="15"/>
  <c r="J42" i="15"/>
  <c r="D151" i="6" l="1"/>
  <c r="E151" i="6"/>
  <c r="F151" i="6"/>
  <c r="H151" i="6"/>
  <c r="I151" i="6"/>
  <c r="G151" i="6"/>
  <c r="C32" i="8"/>
  <c r="C75" i="8" s="1"/>
  <c r="C33" i="8"/>
  <c r="C31" i="8"/>
  <c r="C74" i="8" s="1"/>
  <c r="F108" i="10"/>
  <c r="G108" i="10"/>
  <c r="H108" i="10"/>
  <c r="I108" i="10"/>
  <c r="J108" i="10"/>
  <c r="F83" i="10"/>
  <c r="G83" i="10"/>
  <c r="H83" i="10"/>
  <c r="I83" i="10"/>
  <c r="J83" i="10"/>
  <c r="F58" i="10"/>
  <c r="G58" i="10"/>
  <c r="H58" i="10"/>
  <c r="I58" i="10"/>
  <c r="J58" i="10"/>
  <c r="I90" i="8" l="1"/>
  <c r="C90" i="8"/>
  <c r="C20" i="5" s="1"/>
  <c r="E31" i="8"/>
  <c r="I31" i="8"/>
  <c r="H31" i="8"/>
  <c r="F31" i="8"/>
  <c r="D31" i="8"/>
  <c r="G31" i="8"/>
  <c r="F32" i="8"/>
  <c r="G32" i="8"/>
  <c r="I32" i="8"/>
  <c r="D32" i="8"/>
  <c r="H32" i="8"/>
  <c r="E32" i="8"/>
  <c r="D33" i="8"/>
  <c r="D90" i="8" s="1"/>
  <c r="H33" i="8"/>
  <c r="H90" i="8" s="1"/>
  <c r="E33" i="8"/>
  <c r="E90" i="8" s="1"/>
  <c r="G33" i="8"/>
  <c r="G90" i="8" s="1"/>
  <c r="F33" i="8"/>
  <c r="F90" i="8" s="1"/>
  <c r="C48" i="7" l="1"/>
  <c r="C50" i="7" s="1"/>
  <c r="C67" i="7"/>
  <c r="I67" i="7"/>
  <c r="F67" i="7"/>
  <c r="D67" i="7"/>
  <c r="H67" i="7"/>
  <c r="G67" i="7"/>
  <c r="C59" i="9" l="1"/>
  <c r="C111" i="17" s="1"/>
  <c r="C40" i="17" l="1"/>
  <c r="C37" i="22" s="1"/>
  <c r="F37" i="22" s="1"/>
  <c r="M37" i="22"/>
  <c r="R37" i="22" s="1"/>
  <c r="H47" i="9"/>
  <c r="H48" i="9" s="1"/>
  <c r="H60" i="9" s="1"/>
  <c r="H71" i="9" s="1"/>
  <c r="G47" i="9"/>
  <c r="G48" i="9" s="1"/>
  <c r="G60" i="9" s="1"/>
  <c r="G71" i="9" s="1"/>
  <c r="G73" i="9" s="1"/>
  <c r="E48" i="9"/>
  <c r="E60" i="9" s="1"/>
  <c r="E71" i="9" s="1"/>
  <c r="E73" i="9" s="1"/>
  <c r="F47" i="9"/>
  <c r="F48" i="9" s="1"/>
  <c r="D47" i="9"/>
  <c r="D48" i="9" s="1"/>
  <c r="D60" i="9" s="1"/>
  <c r="D71" i="9" s="1"/>
  <c r="D73" i="9" s="1"/>
  <c r="C31" i="5"/>
  <c r="C79" i="5" s="1"/>
  <c r="C30" i="5"/>
  <c r="C78" i="5" s="1"/>
  <c r="C28" i="1"/>
  <c r="C31" i="1" s="1"/>
  <c r="C33" i="1" s="1"/>
  <c r="H72" i="9" l="1"/>
  <c r="H74" i="9" s="1"/>
  <c r="H73" i="9"/>
  <c r="F60" i="9"/>
  <c r="F71" i="9" s="1"/>
  <c r="I60" i="9"/>
  <c r="I112" i="17" s="1"/>
  <c r="I41" i="17" s="1"/>
  <c r="J41" i="17" s="1"/>
  <c r="G72" i="9"/>
  <c r="G74" i="9" s="1"/>
  <c r="D72" i="9"/>
  <c r="D74" i="9" s="1"/>
  <c r="E72" i="9"/>
  <c r="E74" i="9" s="1"/>
  <c r="C271" i="5"/>
  <c r="C91" i="7" s="1"/>
  <c r="C101" i="7" s="1"/>
  <c r="C212" i="5"/>
  <c r="C245" i="5" s="1"/>
  <c r="C272" i="5"/>
  <c r="C92" i="7" s="1"/>
  <c r="C102" i="7" s="1"/>
  <c r="C213" i="5"/>
  <c r="C246" i="5" s="1"/>
  <c r="C113" i="17"/>
  <c r="E112" i="17"/>
  <c r="E41" i="17" s="1"/>
  <c r="D112" i="17"/>
  <c r="D41" i="17" s="1"/>
  <c r="G112" i="17"/>
  <c r="G41" i="17" s="1"/>
  <c r="H112" i="17"/>
  <c r="H41" i="17" s="1"/>
  <c r="C24" i="6"/>
  <c r="C32" i="6" s="1"/>
  <c r="C75" i="6" s="1"/>
  <c r="F72" i="9" l="1"/>
  <c r="F74" i="9" s="1"/>
  <c r="F73" i="9"/>
  <c r="F112" i="17"/>
  <c r="F41" i="17" s="1"/>
  <c r="C42" i="17"/>
  <c r="C39" i="22" s="1"/>
  <c r="F39" i="22" s="1"/>
  <c r="M39" i="22"/>
  <c r="R39" i="22" s="1"/>
  <c r="C107" i="6"/>
  <c r="C129" i="6" s="1"/>
  <c r="I71" i="9"/>
  <c r="I73" i="9" s="1"/>
  <c r="D59" i="9"/>
  <c r="D111" i="17" s="1"/>
  <c r="D40" i="17" s="1"/>
  <c r="C52" i="17" l="1"/>
  <c r="C49" i="22" s="1"/>
  <c r="F49" i="22" s="1"/>
  <c r="I72" i="9"/>
  <c r="I74" i="9" s="1"/>
  <c r="E59" i="9"/>
  <c r="E111" i="17" s="1"/>
  <c r="E40" i="17" s="1"/>
  <c r="F59" i="9" l="1"/>
  <c r="F111" i="17" s="1"/>
  <c r="F40" i="17" s="1"/>
  <c r="G59" i="9" l="1"/>
  <c r="G111" i="17" s="1"/>
  <c r="G40" i="17" s="1"/>
  <c r="H59" i="9" l="1"/>
  <c r="H111" i="17" s="1"/>
  <c r="H40" i="17" s="1"/>
  <c r="I111" i="17"/>
  <c r="I40" i="17" s="1"/>
  <c r="J40" i="17" l="1"/>
  <c r="C41" i="5"/>
  <c r="C57" i="5" s="1"/>
  <c r="C42" i="5"/>
  <c r="C58" i="5" s="1"/>
  <c r="C30" i="8"/>
  <c r="D30" i="8" s="1"/>
  <c r="C33" i="22"/>
  <c r="F33" i="22" s="1"/>
  <c r="H19" i="6"/>
  <c r="H18" i="6"/>
  <c r="C73" i="8" l="1"/>
  <c r="C39" i="5" s="1"/>
  <c r="C55" i="5" s="1"/>
  <c r="C46" i="22"/>
  <c r="F46" i="22" s="1"/>
  <c r="L34" i="13"/>
  <c r="C35" i="6"/>
  <c r="C78" i="6" s="1"/>
  <c r="K13" i="8"/>
  <c r="E36" i="8" s="1"/>
  <c r="E55" i="8" s="1"/>
  <c r="H17" i="6"/>
  <c r="O32" i="6" s="1"/>
  <c r="I74" i="8"/>
  <c r="I41" i="5" s="1"/>
  <c r="I57" i="5" s="1"/>
  <c r="H74" i="8"/>
  <c r="H41" i="5" s="1"/>
  <c r="H57" i="5" s="1"/>
  <c r="F74" i="8"/>
  <c r="F41" i="5" s="1"/>
  <c r="F57" i="5" s="1"/>
  <c r="G74" i="8"/>
  <c r="G41" i="5" s="1"/>
  <c r="G57" i="5" s="1"/>
  <c r="E74" i="8"/>
  <c r="E41" i="5" s="1"/>
  <c r="E57" i="5" s="1"/>
  <c r="D74" i="8"/>
  <c r="D41" i="5" s="1"/>
  <c r="D57" i="5" s="1"/>
  <c r="G75" i="8"/>
  <c r="G42" i="5" s="1"/>
  <c r="G58" i="5" s="1"/>
  <c r="F75" i="8"/>
  <c r="F42" i="5" s="1"/>
  <c r="F58" i="5" s="1"/>
  <c r="I75" i="8"/>
  <c r="I42" i="5" s="1"/>
  <c r="I58" i="5" s="1"/>
  <c r="D75" i="8"/>
  <c r="D42" i="5" s="1"/>
  <c r="D58" i="5" s="1"/>
  <c r="H75" i="8"/>
  <c r="H42" i="5" s="1"/>
  <c r="H58" i="5" s="1"/>
  <c r="E75" i="8"/>
  <c r="E42" i="5" s="1"/>
  <c r="E58" i="5" s="1"/>
  <c r="G30" i="8"/>
  <c r="H30" i="8"/>
  <c r="E30" i="8"/>
  <c r="I30" i="8"/>
  <c r="F30" i="8"/>
  <c r="D52" i="8"/>
  <c r="F28" i="8"/>
  <c r="G28" i="8"/>
  <c r="E28" i="8"/>
  <c r="I28" i="8"/>
  <c r="H28" i="8"/>
  <c r="G29" i="8"/>
  <c r="D29" i="8"/>
  <c r="H29" i="8"/>
  <c r="I29" i="8"/>
  <c r="E29" i="8"/>
  <c r="F29" i="8"/>
  <c r="F73" i="8" l="1"/>
  <c r="F39" i="5" s="1"/>
  <c r="F55" i="5" s="1"/>
  <c r="F71" i="5" s="1"/>
  <c r="E73" i="8"/>
  <c r="E39" i="5" s="1"/>
  <c r="E55" i="5" s="1"/>
  <c r="H73" i="8"/>
  <c r="H39" i="5" s="1"/>
  <c r="H55" i="5" s="1"/>
  <c r="D73" i="8"/>
  <c r="D39" i="5" s="1"/>
  <c r="D55" i="5" s="1"/>
  <c r="I73" i="8"/>
  <c r="I39" i="5" s="1"/>
  <c r="I55" i="5" s="1"/>
  <c r="G73" i="8"/>
  <c r="G39" i="5" s="1"/>
  <c r="G55" i="5" s="1"/>
  <c r="E41" i="6"/>
  <c r="C110" i="6"/>
  <c r="C132" i="6" s="1"/>
  <c r="D107" i="17"/>
  <c r="D36" i="17" s="1"/>
  <c r="D49" i="17" s="1"/>
  <c r="H52" i="8"/>
  <c r="I52" i="8"/>
  <c r="E52" i="8"/>
  <c r="G52" i="8"/>
  <c r="F52" i="8"/>
  <c r="H16" i="6"/>
  <c r="Q32" i="6" s="1"/>
  <c r="C34" i="6"/>
  <c r="C77" i="6" s="1"/>
  <c r="I34" i="6"/>
  <c r="I77" i="6" s="1"/>
  <c r="F34" i="6"/>
  <c r="F77" i="6" s="1"/>
  <c r="E34" i="6"/>
  <c r="E77" i="6" s="1"/>
  <c r="H34" i="6"/>
  <c r="H77" i="6" s="1"/>
  <c r="G34" i="6"/>
  <c r="G77" i="6" s="1"/>
  <c r="D34" i="6"/>
  <c r="D77" i="6" s="1"/>
  <c r="H36" i="8"/>
  <c r="H55" i="8" s="1"/>
  <c r="C36" i="8"/>
  <c r="C55" i="8" s="1"/>
  <c r="C41" i="6" s="1"/>
  <c r="D36" i="8"/>
  <c r="D55" i="8" s="1"/>
  <c r="F36" i="8"/>
  <c r="F55" i="8" s="1"/>
  <c r="I36" i="8"/>
  <c r="I55" i="8" s="1"/>
  <c r="G36" i="8"/>
  <c r="G55" i="8" s="1"/>
  <c r="I41" i="6" l="1"/>
  <c r="D41" i="6"/>
  <c r="H41" i="6"/>
  <c r="G41" i="6"/>
  <c r="F41" i="6"/>
  <c r="I109" i="6"/>
  <c r="I131" i="6" s="1"/>
  <c r="E109" i="6"/>
  <c r="E131" i="6" s="1"/>
  <c r="G109" i="6"/>
  <c r="H109" i="6"/>
  <c r="H131" i="6" s="1"/>
  <c r="F109" i="6"/>
  <c r="F131" i="6" s="1"/>
  <c r="C109" i="6"/>
  <c r="D109" i="6"/>
  <c r="F107" i="17"/>
  <c r="F36" i="17" s="1"/>
  <c r="F49" i="17" s="1"/>
  <c r="G107" i="17"/>
  <c r="G36" i="17" s="1"/>
  <c r="G49" i="17" s="1"/>
  <c r="E107" i="17"/>
  <c r="E36" i="17" s="1"/>
  <c r="E49" i="17" s="1"/>
  <c r="I107" i="17"/>
  <c r="I36" i="17" s="1"/>
  <c r="J36" i="17" s="1"/>
  <c r="K36" i="17" s="1"/>
  <c r="H107" i="17"/>
  <c r="H36" i="17" s="1"/>
  <c r="H49" i="17" s="1"/>
  <c r="C109" i="17" l="1"/>
  <c r="I49" i="17"/>
  <c r="J49" i="17" s="1"/>
  <c r="K49" i="17" s="1"/>
  <c r="D131" i="6"/>
  <c r="C131" i="6"/>
  <c r="G131" i="6"/>
  <c r="O29" i="15"/>
  <c r="O30" i="15" s="1"/>
  <c r="C108" i="17" l="1"/>
  <c r="M35" i="22"/>
  <c r="R35" i="22" s="1"/>
  <c r="C38" i="17"/>
  <c r="C35" i="22" s="1"/>
  <c r="F35" i="22" s="1"/>
  <c r="C37" i="17" l="1"/>
  <c r="C66" i="17" s="1"/>
  <c r="M34" i="22"/>
  <c r="R34" i="22" s="1"/>
  <c r="C34" i="22" l="1"/>
  <c r="F34" i="22" s="1"/>
  <c r="C50" i="17"/>
  <c r="C47" i="22" s="1"/>
  <c r="F47" i="22" s="1"/>
  <c r="C13" i="6"/>
  <c r="L48" i="13"/>
  <c r="L56" i="13"/>
  <c r="K16" i="8" s="1"/>
  <c r="C39" i="8" s="1"/>
  <c r="C58" i="8" s="1"/>
  <c r="C12" i="6"/>
  <c r="C11" i="6"/>
  <c r="K12" i="8"/>
  <c r="AJ26" i="13" l="1"/>
  <c r="P19" i="6" s="1"/>
  <c r="P11" i="6"/>
  <c r="P12" i="6"/>
  <c r="C35" i="8"/>
  <c r="C54" i="8" s="1"/>
  <c r="C40" i="6" s="1"/>
  <c r="E35" i="8"/>
  <c r="E54" i="8" s="1"/>
  <c r="D35" i="8"/>
  <c r="D54" i="8" s="1"/>
  <c r="G35" i="8"/>
  <c r="G54" i="8" s="1"/>
  <c r="F35" i="8"/>
  <c r="F54" i="8" s="1"/>
  <c r="H35" i="8"/>
  <c r="H54" i="8" s="1"/>
  <c r="I35" i="8"/>
  <c r="I54" i="8" s="1"/>
  <c r="P18" i="6"/>
  <c r="L47" i="13"/>
  <c r="K15" i="8" s="1"/>
  <c r="C38" i="8" s="1"/>
  <c r="C57" i="8" s="1"/>
  <c r="P17" i="6"/>
  <c r="L57" i="13"/>
  <c r="L58" i="13"/>
  <c r="L44" i="13"/>
  <c r="C15" i="6"/>
  <c r="C16" i="6"/>
  <c r="C19" i="6" s="1"/>
  <c r="I172" i="6" l="1"/>
  <c r="I173" i="6" s="1"/>
  <c r="I188" i="6" s="1"/>
  <c r="C172" i="6"/>
  <c r="E82" i="6"/>
  <c r="D82" i="6"/>
  <c r="I82" i="6"/>
  <c r="H82" i="6"/>
  <c r="G82" i="6"/>
  <c r="F82" i="6"/>
  <c r="C82" i="6"/>
  <c r="C114" i="6"/>
  <c r="I40" i="6"/>
  <c r="I81" i="6"/>
  <c r="F40" i="6"/>
  <c r="F81" i="6"/>
  <c r="G40" i="6"/>
  <c r="G81" i="6"/>
  <c r="C113" i="6"/>
  <c r="C81" i="6"/>
  <c r="H40" i="6"/>
  <c r="H81" i="6"/>
  <c r="D40" i="6"/>
  <c r="D81" i="6"/>
  <c r="E40" i="6"/>
  <c r="E81" i="6"/>
  <c r="K14" i="8"/>
  <c r="C37" i="8" s="1"/>
  <c r="C18" i="6"/>
  <c r="P23" i="6" s="1"/>
  <c r="C29" i="6"/>
  <c r="C54" i="6" s="1"/>
  <c r="K11" i="8"/>
  <c r="G34" i="8" s="1"/>
  <c r="C14" i="6"/>
  <c r="P24" i="6"/>
  <c r="D172" i="6"/>
  <c r="D173" i="6" s="1"/>
  <c r="F172" i="6"/>
  <c r="F173" i="6" s="1"/>
  <c r="G172" i="6"/>
  <c r="G173" i="6" s="1"/>
  <c r="H172" i="6"/>
  <c r="H173" i="6" s="1"/>
  <c r="E172" i="6"/>
  <c r="E173" i="6" s="1"/>
  <c r="E39" i="8"/>
  <c r="E58" i="8" s="1"/>
  <c r="E114" i="6" s="1"/>
  <c r="I39" i="8"/>
  <c r="I58" i="8" s="1"/>
  <c r="I114" i="6" s="1"/>
  <c r="G39" i="8"/>
  <c r="G58" i="8" s="1"/>
  <c r="G114" i="6" s="1"/>
  <c r="D39" i="8"/>
  <c r="D58" i="8" s="1"/>
  <c r="D114" i="6" s="1"/>
  <c r="F39" i="8"/>
  <c r="F58" i="8" s="1"/>
  <c r="F114" i="6" s="1"/>
  <c r="H39" i="8"/>
  <c r="H58" i="8" s="1"/>
  <c r="H114" i="6" s="1"/>
  <c r="G38" i="8"/>
  <c r="G57" i="8" s="1"/>
  <c r="G113" i="6" s="1"/>
  <c r="E38" i="8"/>
  <c r="E57" i="8" s="1"/>
  <c r="E113" i="6" s="1"/>
  <c r="D38" i="8"/>
  <c r="D57" i="8" s="1"/>
  <c r="D113" i="6" s="1"/>
  <c r="H38" i="8"/>
  <c r="H57" i="8" s="1"/>
  <c r="H113" i="6" s="1"/>
  <c r="I38" i="8"/>
  <c r="F38" i="8"/>
  <c r="F57" i="8" s="1"/>
  <c r="F113" i="6" s="1"/>
  <c r="J117" i="10"/>
  <c r="J97" i="10" s="1"/>
  <c r="I117" i="10"/>
  <c r="I97" i="10" s="1"/>
  <c r="H117" i="10"/>
  <c r="H97" i="10" s="1"/>
  <c r="G117" i="10"/>
  <c r="G97" i="10" s="1"/>
  <c r="F117" i="10"/>
  <c r="F97" i="10" s="1"/>
  <c r="E117" i="10"/>
  <c r="E97" i="10" s="1"/>
  <c r="D115" i="10"/>
  <c r="D116" i="10" s="1"/>
  <c r="D117" i="10" s="1"/>
  <c r="C115" i="10"/>
  <c r="C116" i="10" s="1"/>
  <c r="C117" i="10" s="1"/>
  <c r="E108" i="10"/>
  <c r="E99" i="10"/>
  <c r="J72" i="10"/>
  <c r="I72" i="10"/>
  <c r="H72" i="10"/>
  <c r="G72" i="10"/>
  <c r="G73" i="10" s="1"/>
  <c r="F72" i="10"/>
  <c r="F73" i="10" s="1"/>
  <c r="E72" i="10"/>
  <c r="D90" i="10"/>
  <c r="D91" i="10" s="1"/>
  <c r="D92" i="10" s="1"/>
  <c r="C90" i="10"/>
  <c r="C91" i="10" s="1"/>
  <c r="C92" i="10" s="1"/>
  <c r="E83" i="10"/>
  <c r="E74" i="10"/>
  <c r="J67" i="10"/>
  <c r="J47" i="10" s="1"/>
  <c r="I67" i="10"/>
  <c r="I47" i="10" s="1"/>
  <c r="H47" i="10"/>
  <c r="G67" i="10"/>
  <c r="G47" i="10" s="1"/>
  <c r="F67" i="10"/>
  <c r="F47" i="10" s="1"/>
  <c r="E67" i="10"/>
  <c r="E47" i="10" s="1"/>
  <c r="D65" i="10"/>
  <c r="D66" i="10" s="1"/>
  <c r="D67" i="10" s="1"/>
  <c r="C65" i="10"/>
  <c r="C66" i="10" s="1"/>
  <c r="C67" i="10" s="1"/>
  <c r="E49" i="10"/>
  <c r="S21" i="10"/>
  <c r="R21" i="10"/>
  <c r="Q21" i="10"/>
  <c r="P21" i="10"/>
  <c r="O21" i="10"/>
  <c r="C12" i="10"/>
  <c r="C13" i="10" s="1"/>
  <c r="E136" i="6" l="1"/>
  <c r="E93" i="17" s="1"/>
  <c r="E22" i="17" s="1"/>
  <c r="I57" i="8"/>
  <c r="I113" i="6" s="1"/>
  <c r="I135" i="6" s="1"/>
  <c r="I92" i="17" s="1"/>
  <c r="I21" i="17" s="1"/>
  <c r="I189" i="6"/>
  <c r="I190" i="6" s="1"/>
  <c r="H136" i="6"/>
  <c r="H93" i="17" s="1"/>
  <c r="H22" i="17" s="1"/>
  <c r="D136" i="6"/>
  <c r="D93" i="17" s="1"/>
  <c r="D22" i="17" s="1"/>
  <c r="F136" i="6"/>
  <c r="F93" i="17" s="1"/>
  <c r="F22" i="17" s="1"/>
  <c r="G136" i="6"/>
  <c r="G93" i="17" s="1"/>
  <c r="G22" i="17" s="1"/>
  <c r="I136" i="6"/>
  <c r="I93" i="17" s="1"/>
  <c r="I22" i="17" s="1"/>
  <c r="C136" i="6"/>
  <c r="C93" i="17" s="1"/>
  <c r="H135" i="6"/>
  <c r="H92" i="17" s="1"/>
  <c r="H21" i="17" s="1"/>
  <c r="D135" i="6"/>
  <c r="D92" i="17" s="1"/>
  <c r="D21" i="17" s="1"/>
  <c r="C135" i="6"/>
  <c r="C92" i="17" s="1"/>
  <c r="G135" i="6"/>
  <c r="G92" i="17" s="1"/>
  <c r="G21" i="17" s="1"/>
  <c r="F135" i="6"/>
  <c r="F92" i="17" s="1"/>
  <c r="F21" i="17" s="1"/>
  <c r="E135" i="6"/>
  <c r="E92" i="17" s="1"/>
  <c r="E21" i="17" s="1"/>
  <c r="C72" i="6"/>
  <c r="C126" i="6" s="1"/>
  <c r="C69" i="7" s="1"/>
  <c r="C173" i="6"/>
  <c r="G53" i="8"/>
  <c r="G39" i="6" s="1"/>
  <c r="C56" i="8"/>
  <c r="G37" i="8"/>
  <c r="G56" i="8" s="1"/>
  <c r="H37" i="8"/>
  <c r="H56" i="8" s="1"/>
  <c r="F37" i="8"/>
  <c r="F56" i="8" s="1"/>
  <c r="D37" i="8"/>
  <c r="D56" i="8" s="1"/>
  <c r="I37" i="8"/>
  <c r="I56" i="8" s="1"/>
  <c r="E37" i="8"/>
  <c r="E56" i="8" s="1"/>
  <c r="E34" i="8"/>
  <c r="H34" i="8"/>
  <c r="D34" i="8"/>
  <c r="C17" i="6"/>
  <c r="P22" i="6" s="1"/>
  <c r="P21" i="6" s="1"/>
  <c r="D28" i="6"/>
  <c r="D53" i="6" s="1"/>
  <c r="G28" i="6"/>
  <c r="G53" i="6" s="1"/>
  <c r="H28" i="6"/>
  <c r="H53" i="6" s="1"/>
  <c r="C28" i="6"/>
  <c r="C53" i="6" s="1"/>
  <c r="C71" i="6" s="1"/>
  <c r="E28" i="6"/>
  <c r="E53" i="6" s="1"/>
  <c r="I28" i="6"/>
  <c r="I53" i="6" s="1"/>
  <c r="F28" i="6"/>
  <c r="F53" i="6" s="1"/>
  <c r="I34" i="8"/>
  <c r="F34" i="8"/>
  <c r="C34" i="8"/>
  <c r="F48" i="10"/>
  <c r="H48" i="10"/>
  <c r="E48" i="10"/>
  <c r="I48" i="10"/>
  <c r="H73" i="10"/>
  <c r="H98" i="10"/>
  <c r="H107" i="10" s="1"/>
  <c r="J48" i="10"/>
  <c r="E73" i="10"/>
  <c r="I73" i="10"/>
  <c r="D13" i="10"/>
  <c r="J73" i="10"/>
  <c r="E98" i="10"/>
  <c r="E106" i="10" s="1"/>
  <c r="I98" i="10"/>
  <c r="I106" i="10" s="1"/>
  <c r="F98" i="10"/>
  <c r="F106" i="10" s="1"/>
  <c r="J98" i="10"/>
  <c r="J107" i="10" s="1"/>
  <c r="G48" i="10"/>
  <c r="G98" i="10"/>
  <c r="G106" i="10" s="1"/>
  <c r="C33" i="10"/>
  <c r="C32" i="10"/>
  <c r="C21" i="17" l="1"/>
  <c r="C18" i="22" s="1"/>
  <c r="F18" i="22" s="1"/>
  <c r="M18" i="22"/>
  <c r="R18" i="22" s="1"/>
  <c r="C22" i="17"/>
  <c r="C19" i="22" s="1"/>
  <c r="F19" i="22" s="1"/>
  <c r="M19" i="22"/>
  <c r="R19" i="22" s="1"/>
  <c r="C188" i="6"/>
  <c r="C189" i="6" s="1"/>
  <c r="C190" i="6" s="1"/>
  <c r="O30" i="6"/>
  <c r="Q30" i="6" s="1"/>
  <c r="F112" i="6"/>
  <c r="F80" i="6"/>
  <c r="H112" i="6"/>
  <c r="H80" i="6"/>
  <c r="C112" i="6"/>
  <c r="C80" i="6"/>
  <c r="G112" i="6"/>
  <c r="G80" i="6"/>
  <c r="D112" i="6"/>
  <c r="D80" i="6"/>
  <c r="E112" i="6"/>
  <c r="E80" i="6"/>
  <c r="I112" i="6"/>
  <c r="I80" i="6"/>
  <c r="I71" i="6"/>
  <c r="G71" i="6"/>
  <c r="E71" i="6"/>
  <c r="H71" i="6"/>
  <c r="D71" i="6"/>
  <c r="F71" i="6"/>
  <c r="F53" i="8"/>
  <c r="F39" i="6" s="1"/>
  <c r="E53" i="8"/>
  <c r="E39" i="6" s="1"/>
  <c r="I53" i="8"/>
  <c r="I39" i="6" s="1"/>
  <c r="D53" i="8"/>
  <c r="D39" i="6" s="1"/>
  <c r="C53" i="8"/>
  <c r="C39" i="6" s="1"/>
  <c r="H53" i="8"/>
  <c r="H39" i="6" s="1"/>
  <c r="I82" i="10"/>
  <c r="H82" i="10"/>
  <c r="E82" i="10"/>
  <c r="F82" i="10"/>
  <c r="J82" i="10"/>
  <c r="G82" i="10"/>
  <c r="H56" i="10"/>
  <c r="G56" i="10"/>
  <c r="F56" i="10"/>
  <c r="I56" i="10"/>
  <c r="J57" i="10"/>
  <c r="E56" i="10"/>
  <c r="G81" i="10"/>
  <c r="F57" i="10"/>
  <c r="J81" i="10"/>
  <c r="E81" i="10"/>
  <c r="J56" i="10"/>
  <c r="I107" i="10"/>
  <c r="E107" i="10"/>
  <c r="J106" i="10"/>
  <c r="H81" i="10"/>
  <c r="I57" i="10"/>
  <c r="H106" i="10"/>
  <c r="G107" i="10"/>
  <c r="H57" i="10"/>
  <c r="I81" i="10"/>
  <c r="G57" i="10"/>
  <c r="F81" i="10"/>
  <c r="E57" i="10"/>
  <c r="F107" i="10"/>
  <c r="J21" i="17" l="1"/>
  <c r="K21" i="17" s="1"/>
  <c r="J22" i="17"/>
  <c r="K22" i="17" s="1"/>
  <c r="C202" i="6"/>
  <c r="C203" i="6" s="1"/>
  <c r="C204" i="6" s="1"/>
  <c r="C208" i="6" s="1"/>
  <c r="C88" i="17" s="1"/>
  <c r="C87" i="17"/>
  <c r="M13" i="22" s="1"/>
  <c r="R13" i="22" s="1"/>
  <c r="H134" i="6"/>
  <c r="D134" i="6"/>
  <c r="D91" i="17" s="1"/>
  <c r="D20" i="17" s="1"/>
  <c r="F134" i="6"/>
  <c r="F91" i="17" s="1"/>
  <c r="F20" i="17" s="1"/>
  <c r="E134" i="6"/>
  <c r="E91" i="17" s="1"/>
  <c r="E20" i="17" s="1"/>
  <c r="G134" i="6"/>
  <c r="G91" i="17" s="1"/>
  <c r="G20" i="17" s="1"/>
  <c r="I134" i="6"/>
  <c r="I91" i="17" s="1"/>
  <c r="I20" i="17" s="1"/>
  <c r="C134" i="6"/>
  <c r="R30" i="6"/>
  <c r="R31" i="6"/>
  <c r="R32" i="6"/>
  <c r="H91" i="17" l="1"/>
  <c r="H20" i="17" s="1"/>
  <c r="H125" i="6"/>
  <c r="H68" i="7" s="1"/>
  <c r="H72" i="7" s="1"/>
  <c r="H73" i="7" s="1"/>
  <c r="C91" i="17"/>
  <c r="C20" i="17" s="1"/>
  <c r="C17" i="22" s="1"/>
  <c r="F17" i="22" s="1"/>
  <c r="C125" i="6"/>
  <c r="C68" i="7" s="1"/>
  <c r="C17" i="17"/>
  <c r="C14" i="22" s="1"/>
  <c r="F14" i="22" s="1"/>
  <c r="M14" i="22"/>
  <c r="R14" i="22" s="1"/>
  <c r="C207" i="6"/>
  <c r="I162" i="5"/>
  <c r="D125" i="6"/>
  <c r="D68" i="7" s="1"/>
  <c r="G125" i="6"/>
  <c r="G68" i="7" s="1"/>
  <c r="G72" i="7" s="1"/>
  <c r="G73" i="7" s="1"/>
  <c r="E125" i="6"/>
  <c r="E68" i="7" s="1"/>
  <c r="I125" i="6"/>
  <c r="I68" i="7" s="1"/>
  <c r="F125" i="6"/>
  <c r="F68" i="7" s="1"/>
  <c r="F72" i="7" s="1"/>
  <c r="F73" i="7" s="1"/>
  <c r="C16" i="17"/>
  <c r="C13" i="22" s="1"/>
  <c r="F13" i="22" s="1"/>
  <c r="S32" i="6"/>
  <c r="S31" i="6"/>
  <c r="C56" i="14"/>
  <c r="H162" i="5"/>
  <c r="E162" i="5"/>
  <c r="G162" i="5"/>
  <c r="F162" i="5"/>
  <c r="D162" i="5"/>
  <c r="M17" i="22" l="1"/>
  <c r="R17" i="22" s="1"/>
  <c r="J20" i="17"/>
  <c r="K20" i="17" s="1"/>
  <c r="E72" i="7"/>
  <c r="E73" i="7" s="1"/>
  <c r="C71" i="7"/>
  <c r="C156" i="6" s="1"/>
  <c r="C18" i="7" s="1"/>
  <c r="C70" i="7"/>
  <c r="C155" i="6" s="1"/>
  <c r="C17" i="7" s="1"/>
  <c r="C72" i="7"/>
  <c r="C73" i="7" s="1"/>
  <c r="C74" i="7" s="1"/>
  <c r="D8" i="2" l="1"/>
  <c r="D20" i="2" l="1"/>
  <c r="D21" i="2"/>
  <c r="D28" i="2" s="1"/>
  <c r="D22" i="2"/>
  <c r="D23" i="2"/>
  <c r="D38" i="2" s="1"/>
  <c r="D46" i="2" l="1"/>
  <c r="D30" i="2"/>
  <c r="D45" i="2"/>
  <c r="D29" i="2"/>
  <c r="D43" i="2"/>
  <c r="D27" i="2"/>
  <c r="C175" i="6"/>
  <c r="D44" i="2"/>
  <c r="C176" i="6"/>
  <c r="D36" i="2"/>
  <c r="D37" i="2"/>
  <c r="D35" i="2"/>
  <c r="D47" i="2" l="1"/>
  <c r="D31" i="2"/>
  <c r="C25" i="6" s="1"/>
  <c r="C177" i="6"/>
  <c r="D39" i="2"/>
  <c r="C53" i="5" l="1"/>
  <c r="C69" i="5" s="1"/>
  <c r="C95" i="5" s="1"/>
  <c r="C117" i="5" s="1"/>
  <c r="C76" i="5"/>
  <c r="C102" i="5" s="1"/>
  <c r="C54" i="5"/>
  <c r="C70" i="5" s="1"/>
  <c r="C96" i="5" s="1"/>
  <c r="C118" i="5" s="1"/>
  <c r="C61" i="5"/>
  <c r="C77" i="5" s="1"/>
  <c r="C103" i="5" s="1"/>
  <c r="C56" i="5"/>
  <c r="C72" i="5" s="1"/>
  <c r="C98" i="5" s="1"/>
  <c r="C120" i="5" s="1"/>
  <c r="C184" i="5" s="1"/>
  <c r="C52" i="5"/>
  <c r="C73" i="5"/>
  <c r="C99" i="5" s="1"/>
  <c r="C74" i="5"/>
  <c r="C100" i="5" s="1"/>
  <c r="C71" i="5"/>
  <c r="C97" i="5" s="1"/>
  <c r="C119" i="5" s="1"/>
  <c r="C86" i="17"/>
  <c r="C32" i="1"/>
  <c r="C34" i="1" s="1"/>
  <c r="C36" i="6"/>
  <c r="C140" i="6" s="1"/>
  <c r="C30" i="6"/>
  <c r="C33" i="6"/>
  <c r="J8" i="2"/>
  <c r="J20" i="2" s="1"/>
  <c r="C130" i="5" l="1"/>
  <c r="C122" i="5"/>
  <c r="C139" i="5" s="1"/>
  <c r="C186" i="5" s="1"/>
  <c r="C68" i="5"/>
  <c r="C94" i="5" s="1"/>
  <c r="C116" i="5" s="1"/>
  <c r="C180" i="5" s="1"/>
  <c r="C15" i="17"/>
  <c r="M12" i="22"/>
  <c r="R12" i="22" s="1"/>
  <c r="C206" i="5"/>
  <c r="C181" i="5"/>
  <c r="C203" i="5" s="1"/>
  <c r="C139" i="6"/>
  <c r="C143" i="6" s="1"/>
  <c r="C147" i="6" s="1"/>
  <c r="C76" i="6"/>
  <c r="C138" i="6"/>
  <c r="C55" i="6"/>
  <c r="C108" i="6"/>
  <c r="C111" i="6"/>
  <c r="C79" i="6"/>
  <c r="C144" i="6"/>
  <c r="C148" i="6" s="1"/>
  <c r="C125" i="5"/>
  <c r="C189" i="5"/>
  <c r="C211" i="5" s="1"/>
  <c r="C244" i="5" s="1"/>
  <c r="C270" i="5" s="1"/>
  <c r="C182" i="5"/>
  <c r="C124" i="5"/>
  <c r="C188" i="5"/>
  <c r="C210" i="5" s="1"/>
  <c r="C243" i="5" s="1"/>
  <c r="C269" i="5" s="1"/>
  <c r="J23" i="2"/>
  <c r="J46" i="2" s="1"/>
  <c r="J22" i="2"/>
  <c r="J21" i="2"/>
  <c r="C12" i="22" l="1"/>
  <c r="F12" i="22" s="1"/>
  <c r="C131" i="5"/>
  <c r="D131" i="5" s="1"/>
  <c r="E131" i="5" s="1"/>
  <c r="F131" i="5" s="1"/>
  <c r="G131" i="5" s="1"/>
  <c r="H131" i="5" s="1"/>
  <c r="C133" i="5"/>
  <c r="C132" i="5"/>
  <c r="D132" i="5" s="1"/>
  <c r="E132" i="5" s="1"/>
  <c r="F132" i="5" s="1"/>
  <c r="G132" i="5" s="1"/>
  <c r="H132" i="5" s="1"/>
  <c r="C46" i="17"/>
  <c r="C202" i="5"/>
  <c r="C235" i="5" s="1"/>
  <c r="C261" i="5" s="1"/>
  <c r="C85" i="7" s="1"/>
  <c r="C95" i="7" s="1"/>
  <c r="J28" i="2"/>
  <c r="J29" i="2"/>
  <c r="C239" i="5"/>
  <c r="C265" i="5" s="1"/>
  <c r="C89" i="7" s="1"/>
  <c r="C99" i="7" s="1"/>
  <c r="C236" i="5"/>
  <c r="C262" i="5" s="1"/>
  <c r="C86" i="7" s="1"/>
  <c r="C96" i="7" s="1"/>
  <c r="C142" i="6"/>
  <c r="C146" i="6" s="1"/>
  <c r="C130" i="6"/>
  <c r="C73" i="6"/>
  <c r="C133" i="6"/>
  <c r="C150" i="6" s="1"/>
  <c r="C152" i="6" s="1"/>
  <c r="C204" i="5"/>
  <c r="C237" i="5" s="1"/>
  <c r="C263" i="5" s="1"/>
  <c r="C113" i="7"/>
  <c r="C102" i="17" s="1"/>
  <c r="C282" i="5"/>
  <c r="C281" i="5"/>
  <c r="C112" i="7"/>
  <c r="C101" i="17" s="1"/>
  <c r="J27" i="2"/>
  <c r="J30" i="2"/>
  <c r="J43" i="2"/>
  <c r="J44" i="2"/>
  <c r="J45" i="2"/>
  <c r="D133" i="5" l="1"/>
  <c r="C129" i="5"/>
  <c r="C30" i="17"/>
  <c r="C27" i="22" s="1"/>
  <c r="F27" i="22" s="1"/>
  <c r="M27" i="22"/>
  <c r="R27" i="22" s="1"/>
  <c r="C43" i="22"/>
  <c r="F43" i="22" s="1"/>
  <c r="C65" i="17"/>
  <c r="C67" i="17" s="1"/>
  <c r="C31" i="17"/>
  <c r="C28" i="22" s="1"/>
  <c r="F28" i="22" s="1"/>
  <c r="M28" i="22"/>
  <c r="R28" i="22" s="1"/>
  <c r="C183" i="5"/>
  <c r="C205" i="5" s="1"/>
  <c r="C238" i="5" s="1"/>
  <c r="C264" i="5" s="1"/>
  <c r="C88" i="7" s="1"/>
  <c r="C153" i="6"/>
  <c r="C159" i="6" s="1"/>
  <c r="C89" i="17" s="1"/>
  <c r="C127" i="6"/>
  <c r="C157" i="6" s="1"/>
  <c r="F76" i="5"/>
  <c r="F102" i="5" s="1"/>
  <c r="F124" i="5" s="1"/>
  <c r="F73" i="5"/>
  <c r="F99" i="5" s="1"/>
  <c r="F97" i="5"/>
  <c r="F119" i="5" s="1"/>
  <c r="F74" i="5"/>
  <c r="F100" i="5" s="1"/>
  <c r="H76" i="5"/>
  <c r="H102" i="5" s="1"/>
  <c r="H124" i="5" s="1"/>
  <c r="H74" i="5"/>
  <c r="H100" i="5" s="1"/>
  <c r="H73" i="5"/>
  <c r="H99" i="5" s="1"/>
  <c r="H71" i="5"/>
  <c r="H97" i="5" s="1"/>
  <c r="H119" i="5" s="1"/>
  <c r="C87" i="7"/>
  <c r="C278" i="5"/>
  <c r="J31" i="2"/>
  <c r="I25" i="6" s="1"/>
  <c r="I36" i="6" s="1"/>
  <c r="I140" i="6" s="1"/>
  <c r="J47" i="2"/>
  <c r="J10" i="15" s="1"/>
  <c r="J20" i="15" s="1"/>
  <c r="J13" i="15"/>
  <c r="J23" i="15" s="1"/>
  <c r="J11" i="15"/>
  <c r="J21" i="15" s="1"/>
  <c r="J12" i="15"/>
  <c r="J22" i="15" s="1"/>
  <c r="J14" i="15"/>
  <c r="J24" i="15" s="1"/>
  <c r="J15" i="15"/>
  <c r="J25" i="15" s="1"/>
  <c r="J16" i="15"/>
  <c r="J26" i="15" s="1"/>
  <c r="AE22" i="15" l="1"/>
  <c r="U22" i="15"/>
  <c r="AE13" i="15"/>
  <c r="U13" i="15"/>
  <c r="AE19" i="15"/>
  <c r="AE10" i="15"/>
  <c r="U19" i="15"/>
  <c r="U10" i="15"/>
  <c r="U25" i="15"/>
  <c r="AE25" i="15"/>
  <c r="AE16" i="15"/>
  <c r="U16" i="15"/>
  <c r="U24" i="15"/>
  <c r="AE24" i="15"/>
  <c r="AE15" i="15"/>
  <c r="U15" i="15"/>
  <c r="AE21" i="15"/>
  <c r="U12" i="15"/>
  <c r="AE12" i="15"/>
  <c r="U21" i="15"/>
  <c r="U14" i="15"/>
  <c r="AE23" i="15"/>
  <c r="U23" i="15"/>
  <c r="AE14" i="15"/>
  <c r="AE20" i="15"/>
  <c r="AE11" i="15"/>
  <c r="U20" i="15"/>
  <c r="U11" i="15"/>
  <c r="H122" i="5"/>
  <c r="F122" i="5"/>
  <c r="H130" i="5"/>
  <c r="F130" i="5"/>
  <c r="C208" i="5"/>
  <c r="C241" i="5" s="1"/>
  <c r="C267" i="5" s="1"/>
  <c r="C273" i="5" s="1"/>
  <c r="C283" i="5" s="1"/>
  <c r="C20" i="7" s="1"/>
  <c r="C121" i="5"/>
  <c r="C138" i="5" s="1"/>
  <c r="C185" i="5" s="1"/>
  <c r="E133" i="5"/>
  <c r="C18" i="17"/>
  <c r="M15" i="22"/>
  <c r="R15" i="22" s="1"/>
  <c r="C158" i="6"/>
  <c r="C19" i="7"/>
  <c r="I144" i="6"/>
  <c r="I148" i="6" s="1"/>
  <c r="I111" i="6"/>
  <c r="I79" i="6"/>
  <c r="C160" i="6"/>
  <c r="C90" i="17" s="1"/>
  <c r="I30" i="6"/>
  <c r="I33" i="6"/>
  <c r="I139" i="6" s="1"/>
  <c r="C97" i="7"/>
  <c r="G76" i="5"/>
  <c r="G102" i="5" s="1"/>
  <c r="G124" i="5" s="1"/>
  <c r="G73" i="5"/>
  <c r="G99" i="5" s="1"/>
  <c r="G71" i="5"/>
  <c r="G97" i="5" s="1"/>
  <c r="G119" i="5" s="1"/>
  <c r="G74" i="5"/>
  <c r="G100" i="5" s="1"/>
  <c r="I76" i="5"/>
  <c r="I102" i="5" s="1"/>
  <c r="I124" i="5" s="1"/>
  <c r="I74" i="5"/>
  <c r="I100" i="5" s="1"/>
  <c r="I73" i="5"/>
  <c r="I99" i="5" s="1"/>
  <c r="I71" i="5"/>
  <c r="I97" i="5" s="1"/>
  <c r="I119" i="5" s="1"/>
  <c r="D76" i="5"/>
  <c r="D102" i="5" s="1"/>
  <c r="D124" i="5" s="1"/>
  <c r="D73" i="5"/>
  <c r="D99" i="5" s="1"/>
  <c r="D74" i="5"/>
  <c r="D100" i="5" s="1"/>
  <c r="D71" i="5"/>
  <c r="D97" i="5" s="1"/>
  <c r="D119" i="5" s="1"/>
  <c r="E76" i="5"/>
  <c r="E102" i="5" s="1"/>
  <c r="E124" i="5" s="1"/>
  <c r="E73" i="5"/>
  <c r="E99" i="5" s="1"/>
  <c r="E71" i="5"/>
  <c r="E97" i="5" s="1"/>
  <c r="E119" i="5" s="1"/>
  <c r="E74" i="5"/>
  <c r="E100" i="5" s="1"/>
  <c r="C98" i="7"/>
  <c r="F188" i="5"/>
  <c r="F210" i="5" s="1"/>
  <c r="F243" i="5" s="1"/>
  <c r="J17" i="15"/>
  <c r="J44" i="15" s="1"/>
  <c r="J27" i="15"/>
  <c r="J28" i="15" s="1"/>
  <c r="H188" i="5"/>
  <c r="H210" i="5" s="1"/>
  <c r="H243" i="5" s="1"/>
  <c r="H252" i="5"/>
  <c r="D252" i="5"/>
  <c r="G252" i="5"/>
  <c r="F252" i="5"/>
  <c r="E252" i="5"/>
  <c r="I122" i="5" l="1"/>
  <c r="C15" i="22"/>
  <c r="F15" i="22" s="1"/>
  <c r="I130" i="5"/>
  <c r="E122" i="5"/>
  <c r="G122" i="5"/>
  <c r="C207" i="5"/>
  <c r="C240" i="5" s="1"/>
  <c r="C266" i="5" s="1"/>
  <c r="C90" i="7" s="1"/>
  <c r="C100" i="7" s="1"/>
  <c r="C110" i="7" s="1"/>
  <c r="C99" i="17" s="1"/>
  <c r="C28" i="17" s="1"/>
  <c r="C25" i="22" s="1"/>
  <c r="F25" i="22" s="1"/>
  <c r="D122" i="5"/>
  <c r="I121" i="5"/>
  <c r="F133" i="5"/>
  <c r="G130" i="5"/>
  <c r="I129" i="5"/>
  <c r="E130" i="5"/>
  <c r="E129" i="5" s="1"/>
  <c r="D130" i="5"/>
  <c r="D129" i="5" s="1"/>
  <c r="C21" i="7"/>
  <c r="C24" i="7" s="1"/>
  <c r="C19" i="17"/>
  <c r="C16" i="22" s="1"/>
  <c r="F16" i="22" s="1"/>
  <c r="M16" i="22"/>
  <c r="R16" i="22" s="1"/>
  <c r="J30" i="15"/>
  <c r="J38" i="15"/>
  <c r="J37" i="15"/>
  <c r="C109" i="7"/>
  <c r="C98" i="17" s="1"/>
  <c r="I133" i="6"/>
  <c r="I143" i="6"/>
  <c r="I147" i="6" s="1"/>
  <c r="I76" i="6"/>
  <c r="I138" i="6"/>
  <c r="I55" i="6"/>
  <c r="I108" i="6"/>
  <c r="C103" i="7"/>
  <c r="C114" i="7" s="1"/>
  <c r="C103" i="17" s="1"/>
  <c r="F269" i="5"/>
  <c r="F281" i="5" s="1"/>
  <c r="H269" i="5"/>
  <c r="H281" i="5" s="1"/>
  <c r="G188" i="5"/>
  <c r="G210" i="5" s="1"/>
  <c r="G243" i="5" s="1"/>
  <c r="G269" i="5" s="1"/>
  <c r="U29" i="15"/>
  <c r="U30" i="15" s="1"/>
  <c r="J18" i="15"/>
  <c r="E188" i="5"/>
  <c r="E210" i="5" s="1"/>
  <c r="E243" i="5" s="1"/>
  <c r="E269" i="5" s="1"/>
  <c r="D188" i="5"/>
  <c r="D210" i="5" s="1"/>
  <c r="D243" i="5" s="1"/>
  <c r="D269" i="5" s="1"/>
  <c r="I188" i="5"/>
  <c r="I210" i="5" s="1"/>
  <c r="I243" i="5" s="1"/>
  <c r="I269" i="5" s="1"/>
  <c r="I139" i="5" l="1"/>
  <c r="I186" i="5" s="1"/>
  <c r="E139" i="5"/>
  <c r="E186" i="5" s="1"/>
  <c r="D139" i="5"/>
  <c r="D186" i="5" s="1"/>
  <c r="C279" i="5"/>
  <c r="I138" i="5"/>
  <c r="I185" i="5" s="1"/>
  <c r="C104" i="7"/>
  <c r="C115" i="7" s="1"/>
  <c r="C104" i="17" s="1"/>
  <c r="M25" i="22"/>
  <c r="R25" i="22" s="1"/>
  <c r="G133" i="5"/>
  <c r="F129" i="5"/>
  <c r="F139" i="5" s="1"/>
  <c r="F186" i="5" s="1"/>
  <c r="C27" i="17"/>
  <c r="C24" i="22" s="1"/>
  <c r="F24" i="22" s="1"/>
  <c r="M24" i="22"/>
  <c r="R24" i="22" s="1"/>
  <c r="C32" i="17"/>
  <c r="C29" i="22" s="1"/>
  <c r="F29" i="22" s="1"/>
  <c r="M29" i="22"/>
  <c r="R29" i="22" s="1"/>
  <c r="D25" i="10"/>
  <c r="P27" i="10" s="1"/>
  <c r="C27" i="7" s="1"/>
  <c r="I130" i="6"/>
  <c r="I142" i="6"/>
  <c r="I146" i="6" s="1"/>
  <c r="I73" i="6"/>
  <c r="F112" i="7"/>
  <c r="F101" i="17" s="1"/>
  <c r="F30" i="17" s="1"/>
  <c r="I108" i="17"/>
  <c r="I37" i="17" s="1"/>
  <c r="I113" i="17"/>
  <c r="I42" i="17" s="1"/>
  <c r="H112" i="7"/>
  <c r="E281" i="5"/>
  <c r="E112" i="7"/>
  <c r="G281" i="5"/>
  <c r="G112" i="7"/>
  <c r="D281" i="5"/>
  <c r="D112" i="7"/>
  <c r="I281" i="5"/>
  <c r="I112" i="7"/>
  <c r="C33" i="17" l="1"/>
  <c r="C30" i="22" s="1"/>
  <c r="F30" i="22" s="1"/>
  <c r="M30" i="22"/>
  <c r="R30" i="22" s="1"/>
  <c r="H133" i="5"/>
  <c r="H129" i="5" s="1"/>
  <c r="H139" i="5" s="1"/>
  <c r="H186" i="5" s="1"/>
  <c r="G129" i="5"/>
  <c r="G139" i="5" s="1"/>
  <c r="G186" i="5" s="1"/>
  <c r="J37" i="17"/>
  <c r="K37" i="17" s="1"/>
  <c r="I52" i="17"/>
  <c r="J52" i="17" s="1"/>
  <c r="J42" i="17"/>
  <c r="I127" i="6"/>
  <c r="I157" i="6" s="1"/>
  <c r="D33" i="10"/>
  <c r="D32" i="10"/>
  <c r="C28" i="7"/>
  <c r="C95" i="17" s="1"/>
  <c r="C94" i="17"/>
  <c r="C29" i="7"/>
  <c r="C96" i="17" s="1"/>
  <c r="C30" i="7"/>
  <c r="C97" i="17" s="1"/>
  <c r="G101" i="17"/>
  <c r="G30" i="17" s="1"/>
  <c r="H101" i="17"/>
  <c r="H30" i="17" s="1"/>
  <c r="I101" i="17"/>
  <c r="I30" i="17" s="1"/>
  <c r="J30" i="17" s="1"/>
  <c r="K30" i="17" s="1"/>
  <c r="E101" i="17"/>
  <c r="E30" i="17" s="1"/>
  <c r="D101" i="17"/>
  <c r="D30" i="17" s="1"/>
  <c r="C25" i="17" l="1"/>
  <c r="C22" i="22" s="1"/>
  <c r="F22" i="22" s="1"/>
  <c r="M22" i="22"/>
  <c r="R22" i="22" s="1"/>
  <c r="C26" i="17"/>
  <c r="C23" i="22" s="1"/>
  <c r="F23" i="22" s="1"/>
  <c r="M23" i="22"/>
  <c r="R23" i="22" s="1"/>
  <c r="C24" i="17"/>
  <c r="C21" i="22" s="1"/>
  <c r="F21" i="22" s="1"/>
  <c r="M21" i="22"/>
  <c r="R21" i="22" s="1"/>
  <c r="C23" i="17"/>
  <c r="M20" i="22"/>
  <c r="R20" i="22" s="1"/>
  <c r="I19" i="7"/>
  <c r="C20" i="22" l="1"/>
  <c r="F20" i="22" s="1"/>
  <c r="C47" i="17"/>
  <c r="C44" i="22" s="1"/>
  <c r="F44" i="22" s="1"/>
  <c r="D72" i="7"/>
  <c r="D73" i="7" s="1"/>
  <c r="E27" i="1" l="1"/>
  <c r="E28" i="1" s="1"/>
  <c r="E31" i="1" s="1"/>
  <c r="G27" i="1"/>
  <c r="G28" i="1" s="1"/>
  <c r="G31" i="1" s="1"/>
  <c r="F27" i="1"/>
  <c r="F28" i="1" s="1"/>
  <c r="F31" i="1" s="1"/>
  <c r="F33" i="1" s="1"/>
  <c r="H27" i="1"/>
  <c r="H28" i="1" s="1"/>
  <c r="H31" i="1" s="1"/>
  <c r="D27" i="1"/>
  <c r="D28" i="1" s="1"/>
  <c r="D31" i="1" s="1"/>
  <c r="D33" i="1" s="1"/>
  <c r="I28" i="1"/>
  <c r="I31" i="1" s="1"/>
  <c r="I33" i="1" l="1"/>
  <c r="I24" i="6" s="1"/>
  <c r="G33" i="1"/>
  <c r="D188" i="6"/>
  <c r="F188" i="6"/>
  <c r="F202" i="6" s="1"/>
  <c r="F203" i="6" s="1"/>
  <c r="F204" i="6" s="1"/>
  <c r="F208" i="6" s="1"/>
  <c r="F88" i="17" s="1"/>
  <c r="F17" i="17" s="1"/>
  <c r="I202" i="6"/>
  <c r="H33" i="1"/>
  <c r="H188" i="6"/>
  <c r="H202" i="6" s="1"/>
  <c r="E188" i="6"/>
  <c r="E202" i="6" s="1"/>
  <c r="E203" i="6" s="1"/>
  <c r="E204" i="6" s="1"/>
  <c r="E208" i="6" s="1"/>
  <c r="E88" i="17" s="1"/>
  <c r="E17" i="17" s="1"/>
  <c r="E33" i="1"/>
  <c r="G188" i="6"/>
  <c r="G202" i="6" s="1"/>
  <c r="G203" i="6" s="1"/>
  <c r="G204" i="6" s="1"/>
  <c r="G208" i="6" s="1"/>
  <c r="G88" i="17" s="1"/>
  <c r="G17" i="17" s="1"/>
  <c r="I203" i="6" l="1"/>
  <c r="I204" i="6" s="1"/>
  <c r="I208" i="6" s="1"/>
  <c r="I88" i="17" s="1"/>
  <c r="I17" i="17" s="1"/>
  <c r="J17" i="17" s="1"/>
  <c r="K17" i="17" s="1"/>
  <c r="D202" i="6"/>
  <c r="D203" i="6" s="1"/>
  <c r="D204" i="6" s="1"/>
  <c r="H203" i="6"/>
  <c r="H204" i="6" s="1"/>
  <c r="H208" i="6" s="1"/>
  <c r="H88" i="17" s="1"/>
  <c r="H17" i="17" s="1"/>
  <c r="F189" i="6"/>
  <c r="F190" i="6" s="1"/>
  <c r="E189" i="6"/>
  <c r="E190" i="6" s="1"/>
  <c r="G189" i="6"/>
  <c r="G190" i="6" s="1"/>
  <c r="D189" i="6"/>
  <c r="D190" i="6" s="1"/>
  <c r="H189" i="6"/>
  <c r="H190" i="6" s="1"/>
  <c r="G34" i="17"/>
  <c r="F34" i="17"/>
  <c r="G24" i="6"/>
  <c r="G32" i="6" s="1"/>
  <c r="G75" i="6" s="1"/>
  <c r="E34" i="17"/>
  <c r="I34" i="17"/>
  <c r="J34" i="17" s="1"/>
  <c r="K34" i="17" s="1"/>
  <c r="H34" i="17"/>
  <c r="F24" i="6"/>
  <c r="F32" i="6" s="1"/>
  <c r="F75" i="6" s="1"/>
  <c r="D34" i="17"/>
  <c r="D24" i="6"/>
  <c r="D29" i="6" s="1"/>
  <c r="D54" i="6" s="1"/>
  <c r="E24" i="6"/>
  <c r="H24" i="6"/>
  <c r="I35" i="6"/>
  <c r="I78" i="6" s="1"/>
  <c r="I32" i="6"/>
  <c r="I75" i="6" s="1"/>
  <c r="I29" i="6"/>
  <c r="I54" i="6" s="1"/>
  <c r="D207" i="6" l="1"/>
  <c r="D208" i="6"/>
  <c r="D88" i="17" s="1"/>
  <c r="D17" i="17" s="1"/>
  <c r="F87" i="17"/>
  <c r="F207" i="6"/>
  <c r="D87" i="17"/>
  <c r="D16" i="17" s="1"/>
  <c r="G87" i="17"/>
  <c r="G16" i="17" s="1"/>
  <c r="G207" i="6"/>
  <c r="E87" i="17"/>
  <c r="E16" i="17" s="1"/>
  <c r="E207" i="6"/>
  <c r="H87" i="17"/>
  <c r="H16" i="17" s="1"/>
  <c r="H207" i="6"/>
  <c r="I87" i="17"/>
  <c r="I207" i="6"/>
  <c r="G107" i="6"/>
  <c r="G129" i="6" s="1"/>
  <c r="I72" i="6"/>
  <c r="I107" i="6"/>
  <c r="D72" i="6"/>
  <c r="F107" i="6"/>
  <c r="F129" i="6" s="1"/>
  <c r="I110" i="6"/>
  <c r="F35" i="6"/>
  <c r="F29" i="6"/>
  <c r="F54" i="6" s="1"/>
  <c r="G29" i="6"/>
  <c r="G54" i="6" s="1"/>
  <c r="G35" i="6"/>
  <c r="G78" i="6" s="1"/>
  <c r="D35" i="6"/>
  <c r="D78" i="6" s="1"/>
  <c r="D32" i="6"/>
  <c r="D75" i="6" s="1"/>
  <c r="E35" i="6"/>
  <c r="E78" i="6" s="1"/>
  <c r="E32" i="6"/>
  <c r="E75" i="6" s="1"/>
  <c r="E29" i="6"/>
  <c r="E54" i="6" s="1"/>
  <c r="H32" i="6"/>
  <c r="H75" i="6" s="1"/>
  <c r="H29" i="6"/>
  <c r="H54" i="6" s="1"/>
  <c r="H35" i="6"/>
  <c r="H78" i="6" s="1"/>
  <c r="F78" i="6" l="1"/>
  <c r="F110" i="6"/>
  <c r="I129" i="6"/>
  <c r="I132" i="6"/>
  <c r="I150" i="6" s="1"/>
  <c r="I152" i="6" s="1"/>
  <c r="H110" i="6"/>
  <c r="H132" i="6" s="1"/>
  <c r="H72" i="6"/>
  <c r="F72" i="6"/>
  <c r="D107" i="6"/>
  <c r="D129" i="6" s="1"/>
  <c r="D110" i="6"/>
  <c r="H107" i="6"/>
  <c r="H129" i="6" s="1"/>
  <c r="E72" i="6"/>
  <c r="E107" i="6"/>
  <c r="E129" i="6" s="1"/>
  <c r="G110" i="6"/>
  <c r="G132" i="6" s="1"/>
  <c r="G72" i="6"/>
  <c r="E110" i="6"/>
  <c r="F16" i="17"/>
  <c r="I16" i="17"/>
  <c r="J16" i="17" s="1"/>
  <c r="K16" i="17" s="1"/>
  <c r="I126" i="6" l="1"/>
  <c r="I69" i="7" s="1"/>
  <c r="I70" i="7" s="1"/>
  <c r="I155" i="6" s="1"/>
  <c r="I17" i="7" s="1"/>
  <c r="H126" i="6"/>
  <c r="E132" i="6"/>
  <c r="F132" i="6"/>
  <c r="F126" i="6" s="1"/>
  <c r="F69" i="7" s="1"/>
  <c r="F71" i="7" s="1"/>
  <c r="F156" i="6" s="1"/>
  <c r="F18" i="7" s="1"/>
  <c r="G126" i="6"/>
  <c r="G69" i="7" s="1"/>
  <c r="G71" i="7" s="1"/>
  <c r="G156" i="6" s="1"/>
  <c r="G18" i="7" s="1"/>
  <c r="D132" i="6"/>
  <c r="D126" i="6" s="1"/>
  <c r="D69" i="7" s="1"/>
  <c r="D70" i="7" s="1"/>
  <c r="I153" i="6"/>
  <c r="I159" i="6" s="1"/>
  <c r="I89" i="17" s="1"/>
  <c r="I18" i="17" s="1"/>
  <c r="J18" i="17" s="1"/>
  <c r="K18" i="17" s="1"/>
  <c r="D41" i="7"/>
  <c r="D41" i="1"/>
  <c r="E8" i="2" s="1"/>
  <c r="E23" i="2" s="1"/>
  <c r="E46" i="2" s="1"/>
  <c r="E9" i="2"/>
  <c r="D40" i="1"/>
  <c r="D56" i="14" l="1"/>
  <c r="D55" i="14"/>
  <c r="D46" i="7"/>
  <c r="D45" i="7"/>
  <c r="D47" i="7" s="1"/>
  <c r="H69" i="7"/>
  <c r="I72" i="7"/>
  <c r="I73" i="7" s="1"/>
  <c r="I71" i="7"/>
  <c r="I156" i="6" s="1"/>
  <c r="I18" i="7" s="1"/>
  <c r="F70" i="7"/>
  <c r="F155" i="6" s="1"/>
  <c r="F17" i="7" s="1"/>
  <c r="G70" i="7"/>
  <c r="D71" i="7"/>
  <c r="D156" i="6" s="1"/>
  <c r="D18" i="7" s="1"/>
  <c r="D155" i="6"/>
  <c r="D17" i="7" s="1"/>
  <c r="I160" i="6"/>
  <c r="I90" i="17" s="1"/>
  <c r="I19" i="17" s="1"/>
  <c r="J19" i="17" s="1"/>
  <c r="K19" i="17" s="1"/>
  <c r="E126" i="6"/>
  <c r="E69" i="7" s="1"/>
  <c r="E70" i="7" s="1"/>
  <c r="E38" i="2"/>
  <c r="E30" i="2"/>
  <c r="E20" i="2"/>
  <c r="E27" i="2" s="1"/>
  <c r="E22" i="2"/>
  <c r="D176" i="6" s="1"/>
  <c r="E21" i="2"/>
  <c r="G155" i="6" l="1"/>
  <c r="G17" i="7" s="1"/>
  <c r="H71" i="7"/>
  <c r="H156" i="6" s="1"/>
  <c r="H18" i="7" s="1"/>
  <c r="H70" i="7"/>
  <c r="H155" i="6" s="1"/>
  <c r="H17" i="7" s="1"/>
  <c r="D175" i="6"/>
  <c r="D177" i="6" s="1"/>
  <c r="D48" i="7"/>
  <c r="D50" i="7" s="1"/>
  <c r="D51" i="7" s="1"/>
  <c r="D52" i="7"/>
  <c r="D74" i="7" s="1"/>
  <c r="E18" i="10" s="1"/>
  <c r="E71" i="7"/>
  <c r="E156" i="6" s="1"/>
  <c r="E18" i="7" s="1"/>
  <c r="E155" i="6"/>
  <c r="E17" i="7" s="1"/>
  <c r="E36" i="2"/>
  <c r="E28" i="2"/>
  <c r="E44" i="2"/>
  <c r="E45" i="2"/>
  <c r="E37" i="2"/>
  <c r="E29" i="2"/>
  <c r="E43" i="2"/>
  <c r="E35" i="2"/>
  <c r="E78" i="10" l="1"/>
  <c r="E79" i="10" s="1"/>
  <c r="E53" i="10"/>
  <c r="E54" i="10" s="1"/>
  <c r="E103" i="10"/>
  <c r="E104" i="10" s="1"/>
  <c r="D86" i="17"/>
  <c r="D15" i="17" s="1"/>
  <c r="D46" i="17" s="1"/>
  <c r="D65" i="17" s="1"/>
  <c r="E31" i="2"/>
  <c r="D25" i="6" s="1"/>
  <c r="D36" i="6" s="1"/>
  <c r="D140" i="6" s="1"/>
  <c r="E39" i="2"/>
  <c r="D32" i="1" s="1"/>
  <c r="D34" i="1" s="1"/>
  <c r="E47" i="2"/>
  <c r="E10" i="15" s="1"/>
  <c r="E20" i="15" s="1"/>
  <c r="E16" i="15"/>
  <c r="E26" i="15" s="1"/>
  <c r="E13" i="15"/>
  <c r="E23" i="15" s="1"/>
  <c r="E15" i="15"/>
  <c r="E25" i="15" s="1"/>
  <c r="E12" i="15"/>
  <c r="E22" i="15" s="1"/>
  <c r="E11" i="15"/>
  <c r="E14" i="15"/>
  <c r="E24" i="15" s="1"/>
  <c r="Z21" i="15" l="1"/>
  <c r="P21" i="15"/>
  <c r="Z12" i="15"/>
  <c r="P12" i="15"/>
  <c r="Z25" i="15"/>
  <c r="P16" i="15"/>
  <c r="P25" i="15"/>
  <c r="Z16" i="15"/>
  <c r="P19" i="15"/>
  <c r="Z19" i="15"/>
  <c r="Z10" i="15"/>
  <c r="P10" i="15"/>
  <c r="P15" i="15"/>
  <c r="Z24" i="15"/>
  <c r="Z15" i="15"/>
  <c r="P24" i="15"/>
  <c r="P13" i="15"/>
  <c r="Z22" i="15"/>
  <c r="Z13" i="15"/>
  <c r="P22" i="15"/>
  <c r="Z14" i="15"/>
  <c r="P23" i="15"/>
  <c r="P14" i="15"/>
  <c r="Z23" i="15"/>
  <c r="D61" i="5"/>
  <c r="D77" i="5" s="1"/>
  <c r="D111" i="6"/>
  <c r="D79" i="6"/>
  <c r="D144" i="6"/>
  <c r="D148" i="6" s="1"/>
  <c r="D33" i="6"/>
  <c r="D30" i="6"/>
  <c r="D54" i="5"/>
  <c r="D70" i="5" s="1"/>
  <c r="D53" i="5"/>
  <c r="D69" i="5" s="1"/>
  <c r="D95" i="5" s="1"/>
  <c r="D117" i="5" s="1"/>
  <c r="D181" i="5" s="1"/>
  <c r="D203" i="5" s="1"/>
  <c r="D56" i="5"/>
  <c r="D72" i="5" s="1"/>
  <c r="D98" i="5" s="1"/>
  <c r="D120" i="5" s="1"/>
  <c r="D184" i="5" s="1"/>
  <c r="D52" i="5"/>
  <c r="D68" i="5" s="1"/>
  <c r="D94" i="5" s="1"/>
  <c r="D116" i="5" s="1"/>
  <c r="D180" i="5" s="1"/>
  <c r="D202" i="5" s="1"/>
  <c r="E21" i="15"/>
  <c r="E17" i="15"/>
  <c r="E44" i="15" s="1"/>
  <c r="E27" i="15" l="1"/>
  <c r="E28" i="15" s="1"/>
  <c r="E31" i="15" s="1"/>
  <c r="P11" i="15"/>
  <c r="Z20" i="15"/>
  <c r="Z11" i="15"/>
  <c r="P20" i="15"/>
  <c r="D96" i="5"/>
  <c r="D118" i="5" s="1"/>
  <c r="D103" i="5"/>
  <c r="D125" i="5" s="1"/>
  <c r="D236" i="5"/>
  <c r="D262" i="5" s="1"/>
  <c r="D86" i="7" s="1"/>
  <c r="D96" i="7" s="1"/>
  <c r="D206" i="5"/>
  <c r="D239" i="5" s="1"/>
  <c r="D133" i="6"/>
  <c r="D150" i="6" s="1"/>
  <c r="D152" i="6" s="1"/>
  <c r="D55" i="6"/>
  <c r="D73" i="6" s="1"/>
  <c r="D138" i="6"/>
  <c r="D139" i="6"/>
  <c r="D143" i="6" s="1"/>
  <c r="D147" i="6" s="1"/>
  <c r="D76" i="6"/>
  <c r="D108" i="6"/>
  <c r="D113" i="17"/>
  <c r="D42" i="17" s="1"/>
  <c r="E18" i="15"/>
  <c r="E32" i="15" l="1"/>
  <c r="E38" i="15"/>
  <c r="D31" i="5" s="1"/>
  <c r="D79" i="5" s="1"/>
  <c r="D213" i="5" s="1"/>
  <c r="E37" i="15"/>
  <c r="D30" i="5" s="1"/>
  <c r="D78" i="5" s="1"/>
  <c r="E33" i="15"/>
  <c r="E30" i="15"/>
  <c r="D121" i="5"/>
  <c r="D138" i="5" s="1"/>
  <c r="D185" i="5" s="1"/>
  <c r="D208" i="5"/>
  <c r="D241" i="5" s="1"/>
  <c r="D267" i="5" s="1"/>
  <c r="D182" i="5"/>
  <c r="D204" i="5" s="1"/>
  <c r="D189" i="5"/>
  <c r="D211" i="5" s="1"/>
  <c r="D244" i="5" s="1"/>
  <c r="D270" i="5" s="1"/>
  <c r="D113" i="7" s="1"/>
  <c r="D102" i="17" s="1"/>
  <c r="D31" i="17" s="1"/>
  <c r="D235" i="5"/>
  <c r="D261" i="5" s="1"/>
  <c r="D85" i="7" s="1"/>
  <c r="D95" i="7" s="1"/>
  <c r="D130" i="6"/>
  <c r="D127" i="6" s="1"/>
  <c r="D142" i="6"/>
  <c r="D146" i="6" s="1"/>
  <c r="D153" i="6"/>
  <c r="P29" i="15"/>
  <c r="D52" i="17"/>
  <c r="P30" i="15" l="1"/>
  <c r="D108" i="17" s="1"/>
  <c r="D37" i="17" s="1"/>
  <c r="D282" i="5"/>
  <c r="D214" i="5"/>
  <c r="D207" i="5"/>
  <c r="D240" i="5" s="1"/>
  <c r="D266" i="5" s="1"/>
  <c r="D90" i="7" s="1"/>
  <c r="D100" i="7" s="1"/>
  <c r="D183" i="5"/>
  <c r="D157" i="6"/>
  <c r="D160" i="6"/>
  <c r="D90" i="17" s="1"/>
  <c r="D19" i="17" s="1"/>
  <c r="D159" i="6"/>
  <c r="D89" i="17" s="1"/>
  <c r="D18" i="17" s="1"/>
  <c r="D246" i="5"/>
  <c r="D272" i="5"/>
  <c r="D92" i="7" s="1"/>
  <c r="D102" i="7" s="1"/>
  <c r="D271" i="5"/>
  <c r="D212" i="5"/>
  <c r="D205" i="5" l="1"/>
  <c r="D158" i="6"/>
  <c r="D19" i="7"/>
  <c r="D91" i="7"/>
  <c r="D101" i="7" s="1"/>
  <c r="F218" i="5" l="1"/>
  <c r="H218" i="5" l="1"/>
  <c r="E218" i="5"/>
  <c r="G218" i="5"/>
  <c r="D218" i="5" l="1"/>
  <c r="D245" i="5" l="1"/>
  <c r="D238" i="5"/>
  <c r="D264" i="5" s="1"/>
  <c r="D88" i="7" s="1"/>
  <c r="D98" i="7" s="1"/>
  <c r="D237" i="5"/>
  <c r="D263" i="5" s="1"/>
  <c r="D247" i="5" l="1"/>
  <c r="D273" i="5" s="1"/>
  <c r="D278" i="5"/>
  <c r="D87" i="7"/>
  <c r="D265" i="5"/>
  <c r="D97" i="7" l="1"/>
  <c r="D109" i="7" s="1"/>
  <c r="D98" i="17" s="1"/>
  <c r="D27" i="17" s="1"/>
  <c r="D283" i="5"/>
  <c r="D20" i="7" s="1"/>
  <c r="D21" i="7" s="1"/>
  <c r="D24" i="7" s="1"/>
  <c r="E25" i="10" s="1"/>
  <c r="D89" i="7"/>
  <c r="D279" i="5"/>
  <c r="D103" i="7" l="1"/>
  <c r="D114" i="7" s="1"/>
  <c r="D103" i="17" s="1"/>
  <c r="D32" i="17" s="1"/>
  <c r="D99" i="7"/>
  <c r="D110" i="7" s="1"/>
  <c r="D99" i="17" s="1"/>
  <c r="D28" i="17" s="1"/>
  <c r="E33" i="10"/>
  <c r="E12" i="10" s="1"/>
  <c r="E31" i="10"/>
  <c r="D104" i="7" l="1"/>
  <c r="D115" i="7" s="1"/>
  <c r="D104" i="17" s="1"/>
  <c r="D33" i="17" s="1"/>
  <c r="E13" i="10"/>
  <c r="E19" i="10" s="1"/>
  <c r="E34" i="15"/>
  <c r="Z28" i="15" s="1"/>
  <c r="E41" i="7"/>
  <c r="F9" i="2"/>
  <c r="E41" i="1"/>
  <c r="F8" i="2" s="1"/>
  <c r="E40" i="1"/>
  <c r="E55" i="14" l="1"/>
  <c r="E56" i="14"/>
  <c r="F23" i="2"/>
  <c r="F46" i="2" s="1"/>
  <c r="E46" i="7"/>
  <c r="E45" i="7"/>
  <c r="E47" i="7" s="1"/>
  <c r="E21" i="10"/>
  <c r="E22" i="10"/>
  <c r="E52" i="10"/>
  <c r="E50" i="10"/>
  <c r="E77" i="10"/>
  <c r="E75" i="10"/>
  <c r="E15" i="10"/>
  <c r="E17" i="10" s="1"/>
  <c r="E100" i="10"/>
  <c r="E102" i="10"/>
  <c r="Z29" i="15"/>
  <c r="F38" i="2"/>
  <c r="F22" i="2"/>
  <c r="F20" i="2"/>
  <c r="F21" i="2"/>
  <c r="F30" i="2" l="1"/>
  <c r="Z32" i="15"/>
  <c r="D109" i="17" s="1"/>
  <c r="D38" i="17" s="1"/>
  <c r="D50" i="17" s="1"/>
  <c r="D66" i="17" s="1"/>
  <c r="D67" i="17" s="1"/>
  <c r="Q27" i="10"/>
  <c r="D30" i="7" s="1"/>
  <c r="D97" i="17" s="1"/>
  <c r="D26" i="17" s="1"/>
  <c r="E48" i="7"/>
  <c r="E50" i="7" s="1"/>
  <c r="E51" i="7" s="1"/>
  <c r="E52" i="7"/>
  <c r="F36" i="2"/>
  <c r="F44" i="2"/>
  <c r="F28" i="2"/>
  <c r="F35" i="2"/>
  <c r="E175" i="6"/>
  <c r="F43" i="2"/>
  <c r="F27" i="2"/>
  <c r="F45" i="2"/>
  <c r="E176" i="6"/>
  <c r="F37" i="2"/>
  <c r="F29" i="2"/>
  <c r="E74" i="7" l="1"/>
  <c r="F18" i="10" s="1"/>
  <c r="F53" i="10"/>
  <c r="D28" i="7"/>
  <c r="D95" i="17" s="1"/>
  <c r="D24" i="17" s="1"/>
  <c r="D27" i="7"/>
  <c r="D94" i="17" s="1"/>
  <c r="D23" i="17" s="1"/>
  <c r="D29" i="7"/>
  <c r="D96" i="17" s="1"/>
  <c r="D25" i="17" s="1"/>
  <c r="F54" i="10"/>
  <c r="F103" i="10"/>
  <c r="F104" i="10" s="1"/>
  <c r="F78" i="10"/>
  <c r="F79" i="10" s="1"/>
  <c r="F12" i="15"/>
  <c r="F22" i="15" s="1"/>
  <c r="F13" i="15"/>
  <c r="F23" i="15" s="1"/>
  <c r="F11" i="15"/>
  <c r="F21" i="15" s="1"/>
  <c r="F14" i="15"/>
  <c r="F24" i="15" s="1"/>
  <c r="F16" i="15"/>
  <c r="F26" i="15" s="1"/>
  <c r="F15" i="15"/>
  <c r="F25" i="15" s="1"/>
  <c r="F31" i="2"/>
  <c r="E25" i="6" s="1"/>
  <c r="F47" i="2"/>
  <c r="F10" i="15" s="1"/>
  <c r="E177" i="6"/>
  <c r="E86" i="17" s="1"/>
  <c r="E15" i="17" s="1"/>
  <c r="E46" i="17" s="1"/>
  <c r="E65" i="17" s="1"/>
  <c r="F39" i="2"/>
  <c r="AA14" i="15" l="1"/>
  <c r="AA23" i="15"/>
  <c r="Q14" i="15"/>
  <c r="Q23" i="15"/>
  <c r="AA20" i="15"/>
  <c r="AA11" i="15"/>
  <c r="Q11" i="15"/>
  <c r="Q20" i="15"/>
  <c r="AA13" i="15"/>
  <c r="AA22" i="15"/>
  <c r="Q22" i="15"/>
  <c r="Q13" i="15"/>
  <c r="Q21" i="15"/>
  <c r="AA21" i="15"/>
  <c r="AA12" i="15"/>
  <c r="Q12" i="15"/>
  <c r="AA15" i="15"/>
  <c r="Q15" i="15"/>
  <c r="Q24" i="15"/>
  <c r="AA24" i="15"/>
  <c r="AA25" i="15"/>
  <c r="AA16" i="15"/>
  <c r="Q16" i="15"/>
  <c r="Q25" i="15"/>
  <c r="D47" i="17"/>
  <c r="E32" i="1"/>
  <c r="E34" i="1" s="1"/>
  <c r="E52" i="5"/>
  <c r="E68" i="5" s="1"/>
  <c r="E94" i="5" s="1"/>
  <c r="E116" i="5" s="1"/>
  <c r="E180" i="5" s="1"/>
  <c r="E202" i="5" s="1"/>
  <c r="E53" i="5"/>
  <c r="E69" i="5" s="1"/>
  <c r="E95" i="5" s="1"/>
  <c r="E117" i="5" s="1"/>
  <c r="E181" i="5" s="1"/>
  <c r="E203" i="5" s="1"/>
  <c r="E56" i="5"/>
  <c r="E72" i="5" s="1"/>
  <c r="E98" i="5" s="1"/>
  <c r="E120" i="5" s="1"/>
  <c r="E61" i="5"/>
  <c r="E77" i="5" s="1"/>
  <c r="E103" i="5" s="1"/>
  <c r="E54" i="5"/>
  <c r="E70" i="5" s="1"/>
  <c r="E96" i="5" s="1"/>
  <c r="E118" i="5" s="1"/>
  <c r="F17" i="15"/>
  <c r="F20" i="15"/>
  <c r="E30" i="6"/>
  <c r="E36" i="6"/>
  <c r="E140" i="6" s="1"/>
  <c r="E33" i="6"/>
  <c r="AA19" i="15" l="1"/>
  <c r="AA10" i="15"/>
  <c r="Q10" i="15"/>
  <c r="Q19" i="15"/>
  <c r="E236" i="5"/>
  <c r="E262" i="5" s="1"/>
  <c r="E86" i="7" s="1"/>
  <c r="E184" i="5"/>
  <c r="E206" i="5" s="1"/>
  <c r="E138" i="6"/>
  <c r="E55" i="6"/>
  <c r="E139" i="6"/>
  <c r="E143" i="6" s="1"/>
  <c r="E147" i="6" s="1"/>
  <c r="E76" i="6"/>
  <c r="E79" i="6"/>
  <c r="E144" i="6"/>
  <c r="E148" i="6" s="1"/>
  <c r="E111" i="6"/>
  <c r="E108" i="6"/>
  <c r="F27" i="15"/>
  <c r="F28" i="15" s="1"/>
  <c r="F44" i="15"/>
  <c r="E113" i="17" s="1"/>
  <c r="E42" i="17" s="1"/>
  <c r="F18" i="15"/>
  <c r="E182" i="5"/>
  <c r="E121" i="5"/>
  <c r="E138" i="5" s="1"/>
  <c r="E185" i="5" s="1"/>
  <c r="E125" i="5"/>
  <c r="E189" i="5"/>
  <c r="E211" i="5" s="1"/>
  <c r="E244" i="5" s="1"/>
  <c r="E270" i="5" s="1"/>
  <c r="F38" i="15" l="1"/>
  <c r="F37" i="15"/>
  <c r="E239" i="5"/>
  <c r="E265" i="5" s="1"/>
  <c r="E89" i="7" s="1"/>
  <c r="E99" i="7" s="1"/>
  <c r="E130" i="6"/>
  <c r="E142" i="6"/>
  <c r="E146" i="6" s="1"/>
  <c r="E73" i="6"/>
  <c r="E133" i="6"/>
  <c r="E150" i="6" s="1"/>
  <c r="E152" i="6" s="1"/>
  <c r="E235" i="5"/>
  <c r="E261" i="5" s="1"/>
  <c r="E96" i="7"/>
  <c r="E282" i="5"/>
  <c r="E113" i="7"/>
  <c r="E102" i="17" s="1"/>
  <c r="E31" i="17" s="1"/>
  <c r="E208" i="5"/>
  <c r="E241" i="5" s="1"/>
  <c r="E267" i="5" s="1"/>
  <c r="E183" i="5"/>
  <c r="E207" i="5"/>
  <c r="E240" i="5" s="1"/>
  <c r="E266" i="5" s="1"/>
  <c r="E90" i="7" s="1"/>
  <c r="E100" i="7" s="1"/>
  <c r="E204" i="5"/>
  <c r="E237" i="5" s="1"/>
  <c r="E52" i="17"/>
  <c r="F31" i="15"/>
  <c r="F32" i="15"/>
  <c r="F33" i="15"/>
  <c r="F30" i="15"/>
  <c r="Q29" i="15"/>
  <c r="F34" i="15" l="1"/>
  <c r="Q30" i="15"/>
  <c r="E108" i="17" s="1"/>
  <c r="E37" i="17" s="1"/>
  <c r="E153" i="6"/>
  <c r="E159" i="6" s="1"/>
  <c r="E89" i="17" s="1"/>
  <c r="E127" i="6"/>
  <c r="E157" i="6" s="1"/>
  <c r="E31" i="5"/>
  <c r="E79" i="5" s="1"/>
  <c r="E30" i="5"/>
  <c r="E78" i="5" s="1"/>
  <c r="E263" i="5"/>
  <c r="E87" i="7" s="1"/>
  <c r="E97" i="7" s="1"/>
  <c r="E205" i="5"/>
  <c r="E238" i="5" s="1"/>
  <c r="E85" i="7"/>
  <c r="E158" i="6" l="1"/>
  <c r="E19" i="7"/>
  <c r="E160" i="6"/>
  <c r="E90" i="17" s="1"/>
  <c r="E19" i="17" s="1"/>
  <c r="E95" i="7"/>
  <c r="E264" i="5"/>
  <c r="E271" i="5"/>
  <c r="E91" i="7" s="1"/>
  <c r="E101" i="7" s="1"/>
  <c r="E212" i="5"/>
  <c r="E245" i="5" s="1"/>
  <c r="E272" i="5"/>
  <c r="E213" i="5"/>
  <c r="E246" i="5" s="1"/>
  <c r="E18" i="17"/>
  <c r="E214" i="5" l="1"/>
  <c r="E92" i="7"/>
  <c r="E278" i="5"/>
  <c r="E247" i="5"/>
  <c r="E273" i="5" s="1"/>
  <c r="E88" i="7"/>
  <c r="E279" i="5"/>
  <c r="E98" i="7" l="1"/>
  <c r="E110" i="7" s="1"/>
  <c r="E99" i="17" s="1"/>
  <c r="E28" i="17" s="1"/>
  <c r="E283" i="5"/>
  <c r="E20" i="7" s="1"/>
  <c r="E21" i="7" s="1"/>
  <c r="E24" i="7" s="1"/>
  <c r="F25" i="10" s="1"/>
  <c r="E102" i="7"/>
  <c r="E109" i="7" s="1"/>
  <c r="E98" i="17" s="1"/>
  <c r="E27" i="17" s="1"/>
  <c r="E104" i="7" l="1"/>
  <c r="E115" i="7" s="1"/>
  <c r="E104" i="17" s="1"/>
  <c r="E33" i="17" s="1"/>
  <c r="E103" i="7"/>
  <c r="E114" i="7" s="1"/>
  <c r="E103" i="17" s="1"/>
  <c r="E32" i="17" s="1"/>
  <c r="F33" i="10" l="1"/>
  <c r="F12" i="10" s="1"/>
  <c r="F13" i="10" s="1"/>
  <c r="F19" i="10" s="1"/>
  <c r="F31" i="10"/>
  <c r="F22" i="10" l="1"/>
  <c r="F21" i="10"/>
  <c r="F15" i="10"/>
  <c r="F17" i="10" s="1"/>
  <c r="F50" i="10"/>
  <c r="F100" i="10"/>
  <c r="F102" i="10"/>
  <c r="F75" i="10"/>
  <c r="F52" i="10"/>
  <c r="F77" i="10"/>
  <c r="R27" i="10" l="1"/>
  <c r="E28" i="7" l="1"/>
  <c r="E95" i="17" s="1"/>
  <c r="E24" i="17" s="1"/>
  <c r="E27" i="7"/>
  <c r="E94" i="17" s="1"/>
  <c r="E23" i="17" s="1"/>
  <c r="E29" i="7"/>
  <c r="E96" i="17" s="1"/>
  <c r="E25" i="17" s="1"/>
  <c r="E30" i="7"/>
  <c r="E97" i="17" s="1"/>
  <c r="E26" i="17" s="1"/>
  <c r="E47" i="17" l="1"/>
  <c r="AA28" i="15"/>
  <c r="G9" i="2"/>
  <c r="F41" i="7"/>
  <c r="F41" i="1"/>
  <c r="G8" i="2" s="1"/>
  <c r="G23" i="2" s="1"/>
  <c r="G30" i="2" s="1"/>
  <c r="F40" i="1"/>
  <c r="F55" i="14" l="1"/>
  <c r="F56" i="14"/>
  <c r="F46" i="7"/>
  <c r="F45" i="7"/>
  <c r="F47" i="7" s="1"/>
  <c r="AA29" i="15"/>
  <c r="G38" i="2"/>
  <c r="G46" i="2"/>
  <c r="G20" i="2"/>
  <c r="G22" i="2"/>
  <c r="G21" i="2"/>
  <c r="AA32" i="15" l="1"/>
  <c r="E109" i="17" s="1"/>
  <c r="E38" i="17" s="1"/>
  <c r="E50" i="17" s="1"/>
  <c r="E66" i="17" s="1"/>
  <c r="E67" i="17" s="1"/>
  <c r="F48" i="7"/>
  <c r="F50" i="7" s="1"/>
  <c r="F51" i="7" s="1"/>
  <c r="F52" i="7"/>
  <c r="G44" i="2"/>
  <c r="G36" i="2"/>
  <c r="G28" i="2"/>
  <c r="G45" i="2"/>
  <c r="G12" i="15" s="1"/>
  <c r="G22" i="15" s="1"/>
  <c r="F176" i="6"/>
  <c r="G37" i="2"/>
  <c r="G29" i="2"/>
  <c r="G35" i="2"/>
  <c r="G43" i="2"/>
  <c r="G27" i="2"/>
  <c r="F175" i="6"/>
  <c r="R12" i="15" l="1"/>
  <c r="R21" i="15"/>
  <c r="AB21" i="15"/>
  <c r="AB12" i="15"/>
  <c r="F177" i="6"/>
  <c r="F86" i="17" s="1"/>
  <c r="F15" i="17" s="1"/>
  <c r="F46" i="17" s="1"/>
  <c r="F65" i="17" s="1"/>
  <c r="G31" i="2"/>
  <c r="F25" i="6" s="1"/>
  <c r="F36" i="6" s="1"/>
  <c r="F140" i="6" s="1"/>
  <c r="G39" i="2"/>
  <c r="G47" i="2"/>
  <c r="G10" i="15" s="1"/>
  <c r="G20" i="15" s="1"/>
  <c r="F74" i="7"/>
  <c r="G18" i="10" s="1"/>
  <c r="G53" i="10"/>
  <c r="G54" i="10" s="1"/>
  <c r="G103" i="10"/>
  <c r="G104" i="10" s="1"/>
  <c r="G78" i="10"/>
  <c r="G79" i="10" s="1"/>
  <c r="G14" i="15"/>
  <c r="G24" i="15" s="1"/>
  <c r="G16" i="15"/>
  <c r="G26" i="15" s="1"/>
  <c r="G15" i="15"/>
  <c r="G25" i="15" s="1"/>
  <c r="G11" i="15"/>
  <c r="G13" i="15"/>
  <c r="G23" i="15" s="1"/>
  <c r="AB19" i="15" l="1"/>
  <c r="AB10" i="15"/>
  <c r="R10" i="15"/>
  <c r="R19" i="15"/>
  <c r="AB22" i="15"/>
  <c r="AB13" i="15"/>
  <c r="R22" i="15"/>
  <c r="R13" i="15"/>
  <c r="R15" i="15"/>
  <c r="AB24" i="15"/>
  <c r="R24" i="15"/>
  <c r="AB15" i="15"/>
  <c r="AB25" i="15"/>
  <c r="AB16" i="15"/>
  <c r="R16" i="15"/>
  <c r="R25" i="15"/>
  <c r="AB23" i="15"/>
  <c r="AB14" i="15"/>
  <c r="R14" i="15"/>
  <c r="R23" i="15"/>
  <c r="F53" i="5"/>
  <c r="F69" i="5" s="1"/>
  <c r="F95" i="5" s="1"/>
  <c r="F117" i="5" s="1"/>
  <c r="F181" i="5" s="1"/>
  <c r="F203" i="5" s="1"/>
  <c r="F52" i="5"/>
  <c r="F30" i="6"/>
  <c r="F138" i="6" s="1"/>
  <c r="F33" i="6"/>
  <c r="F76" i="6" s="1"/>
  <c r="F79" i="6"/>
  <c r="F144" i="6"/>
  <c r="F148" i="6" s="1"/>
  <c r="F111" i="6"/>
  <c r="F61" i="5"/>
  <c r="F77" i="5" s="1"/>
  <c r="F56" i="5"/>
  <c r="F72" i="5" s="1"/>
  <c r="F98" i="5" s="1"/>
  <c r="F120" i="5" s="1"/>
  <c r="F32" i="1"/>
  <c r="F34" i="1" s="1"/>
  <c r="F54" i="5"/>
  <c r="F70" i="5" s="1"/>
  <c r="F96" i="5" s="1"/>
  <c r="F118" i="5" s="1"/>
  <c r="G21" i="15"/>
  <c r="G17" i="15"/>
  <c r="G27" i="15" l="1"/>
  <c r="G28" i="15" s="1"/>
  <c r="G31" i="15" s="1"/>
  <c r="AB20" i="15"/>
  <c r="AB11" i="15"/>
  <c r="R11" i="15"/>
  <c r="R20" i="15"/>
  <c r="F103" i="5"/>
  <c r="F189" i="5" s="1"/>
  <c r="F211" i="5" s="1"/>
  <c r="F244" i="5" s="1"/>
  <c r="F270" i="5" s="1"/>
  <c r="F108" i="6"/>
  <c r="F130" i="6" s="1"/>
  <c r="F236" i="5"/>
  <c r="F262" i="5" s="1"/>
  <c r="F86" i="7" s="1"/>
  <c r="F96" i="7" s="1"/>
  <c r="F184" i="5"/>
  <c r="F206" i="5" s="1"/>
  <c r="F121" i="5"/>
  <c r="F138" i="5" s="1"/>
  <c r="F185" i="5" s="1"/>
  <c r="F68" i="5"/>
  <c r="F94" i="5" s="1"/>
  <c r="F116" i="5" s="1"/>
  <c r="F55" i="6"/>
  <c r="F73" i="6" s="1"/>
  <c r="F139" i="6"/>
  <c r="F143" i="6" s="1"/>
  <c r="F147" i="6" s="1"/>
  <c r="F133" i="6"/>
  <c r="F150" i="6" s="1"/>
  <c r="F152" i="6" s="1"/>
  <c r="F182" i="5"/>
  <c r="G44" i="15"/>
  <c r="F113" i="17" s="1"/>
  <c r="F42" i="17" s="1"/>
  <c r="G18" i="15"/>
  <c r="G32" i="15" l="1"/>
  <c r="G38" i="15"/>
  <c r="F31" i="5" s="1"/>
  <c r="F79" i="5" s="1"/>
  <c r="G30" i="15"/>
  <c r="G33" i="15"/>
  <c r="G37" i="15"/>
  <c r="F30" i="5" s="1"/>
  <c r="F78" i="5" s="1"/>
  <c r="F125" i="5"/>
  <c r="F282" i="5"/>
  <c r="F113" i="7"/>
  <c r="F102" i="17" s="1"/>
  <c r="F31" i="17" s="1"/>
  <c r="F239" i="5"/>
  <c r="F265" i="5" s="1"/>
  <c r="F89" i="7" s="1"/>
  <c r="F99" i="7" s="1"/>
  <c r="F180" i="5"/>
  <c r="F207" i="5"/>
  <c r="F240" i="5" s="1"/>
  <c r="F266" i="5" s="1"/>
  <c r="F90" i="7" s="1"/>
  <c r="F100" i="7" s="1"/>
  <c r="F208" i="5"/>
  <c r="F241" i="5" s="1"/>
  <c r="F267" i="5" s="1"/>
  <c r="F183" i="5"/>
  <c r="F205" i="5" s="1"/>
  <c r="F238" i="5" s="1"/>
  <c r="F142" i="6"/>
  <c r="F146" i="6" s="1"/>
  <c r="F204" i="5"/>
  <c r="F237" i="5" s="1"/>
  <c r="F263" i="5" s="1"/>
  <c r="F87" i="7" s="1"/>
  <c r="F127" i="6"/>
  <c r="F153" i="6"/>
  <c r="F159" i="6" s="1"/>
  <c r="F89" i="17" s="1"/>
  <c r="R29" i="15"/>
  <c r="F52" i="17"/>
  <c r="R30" i="15" l="1"/>
  <c r="F108" i="17" s="1"/>
  <c r="F37" i="17" s="1"/>
  <c r="F97" i="7"/>
  <c r="F202" i="5"/>
  <c r="F235" i="5" s="1"/>
  <c r="F261" i="5" s="1"/>
  <c r="F85" i="7" s="1"/>
  <c r="F95" i="7" s="1"/>
  <c r="F157" i="6"/>
  <c r="F158" i="6" s="1"/>
  <c r="F160" i="6"/>
  <c r="F90" i="17" s="1"/>
  <c r="F19" i="17" s="1"/>
  <c r="F18" i="17"/>
  <c r="F271" i="5"/>
  <c r="F91" i="7" s="1"/>
  <c r="F101" i="7" s="1"/>
  <c r="F212" i="5"/>
  <c r="F245" i="5" s="1"/>
  <c r="F272" i="5"/>
  <c r="F213" i="5"/>
  <c r="F246" i="5" s="1"/>
  <c r="F264" i="5"/>
  <c r="F19" i="7" l="1"/>
  <c r="F247" i="5"/>
  <c r="F273" i="5" s="1"/>
  <c r="F214" i="5"/>
  <c r="F88" i="7"/>
  <c r="F279" i="5"/>
  <c r="F92" i="7"/>
  <c r="F278" i="5"/>
  <c r="F283" i="5" l="1"/>
  <c r="F20" i="7" s="1"/>
  <c r="F21" i="7" s="1"/>
  <c r="F102" i="7"/>
  <c r="F109" i="7" s="1"/>
  <c r="F98" i="17" s="1"/>
  <c r="F27" i="17" s="1"/>
  <c r="F98" i="7"/>
  <c r="F110" i="7" s="1"/>
  <c r="F99" i="17" s="1"/>
  <c r="F28" i="17" s="1"/>
  <c r="F103" i="7" l="1"/>
  <c r="F114" i="7" s="1"/>
  <c r="F103" i="17" s="1"/>
  <c r="F32" i="17" s="1"/>
  <c r="F104" i="7"/>
  <c r="F115" i="7" s="1"/>
  <c r="F104" i="17" s="1"/>
  <c r="F33" i="17" s="1"/>
  <c r="F24" i="7"/>
  <c r="G25" i="10" s="1"/>
  <c r="G33" i="10" l="1"/>
  <c r="G12" i="10" s="1"/>
  <c r="G13" i="10" s="1"/>
  <c r="G19" i="10" s="1"/>
  <c r="G31" i="10"/>
  <c r="G21" i="10" l="1"/>
  <c r="G22" i="10"/>
  <c r="G15" i="10"/>
  <c r="G17" i="10" s="1"/>
  <c r="G52" i="10"/>
  <c r="G50" i="10"/>
  <c r="G102" i="10"/>
  <c r="G100" i="10"/>
  <c r="G75" i="10"/>
  <c r="G77" i="10"/>
  <c r="S27" i="10" l="1"/>
  <c r="F28" i="7" l="1"/>
  <c r="F95" i="17" s="1"/>
  <c r="F24" i="17" s="1"/>
  <c r="F27" i="7"/>
  <c r="F94" i="17" s="1"/>
  <c r="F23" i="17" s="1"/>
  <c r="F29" i="7"/>
  <c r="F96" i="17" s="1"/>
  <c r="F25" i="17" s="1"/>
  <c r="F30" i="7"/>
  <c r="F97" i="17" s="1"/>
  <c r="F26" i="17" s="1"/>
  <c r="F47" i="17" l="1"/>
  <c r="G34" i="15"/>
  <c r="AB29" i="15" s="1"/>
  <c r="AB28" i="15" l="1"/>
  <c r="AB32" i="15" l="1"/>
  <c r="F109" i="17" s="1"/>
  <c r="F38" i="17" s="1"/>
  <c r="F50" i="17" s="1"/>
  <c r="F66" i="17" s="1"/>
  <c r="F67" i="17" s="1"/>
  <c r="I9" i="2"/>
  <c r="H9" i="2"/>
  <c r="G41" i="7"/>
  <c r="I46" i="7"/>
  <c r="J9" i="2"/>
  <c r="G40" i="1"/>
  <c r="G41" i="1"/>
  <c r="H8" i="2" s="1"/>
  <c r="H41" i="1"/>
  <c r="I8" i="2" s="1"/>
  <c r="I20" i="2" s="1"/>
  <c r="I40" i="1"/>
  <c r="H40" i="1"/>
  <c r="H41" i="7"/>
  <c r="G56" i="14" l="1"/>
  <c r="G55" i="14"/>
  <c r="H56" i="14"/>
  <c r="H55" i="14"/>
  <c r="I55" i="14"/>
  <c r="I56" i="14"/>
  <c r="H46" i="7"/>
  <c r="H45" i="7"/>
  <c r="H47" i="7" s="1"/>
  <c r="G45" i="7"/>
  <c r="G47" i="7" s="1"/>
  <c r="J38" i="2"/>
  <c r="I175" i="6"/>
  <c r="I176" i="6"/>
  <c r="H23" i="2"/>
  <c r="H20" i="2"/>
  <c r="H21" i="2"/>
  <c r="H22" i="2"/>
  <c r="I35" i="2"/>
  <c r="I27" i="2"/>
  <c r="I43" i="2"/>
  <c r="J35" i="2"/>
  <c r="I23" i="2"/>
  <c r="I47" i="7"/>
  <c r="J37" i="2"/>
  <c r="J36" i="2"/>
  <c r="I21" i="2"/>
  <c r="I22" i="2"/>
  <c r="G46" i="7"/>
  <c r="G52" i="7" l="1"/>
  <c r="H103" i="10" s="1"/>
  <c r="H104" i="10" s="1"/>
  <c r="G48" i="7"/>
  <c r="G50" i="7" s="1"/>
  <c r="G51" i="7" s="1"/>
  <c r="I177" i="6"/>
  <c r="I86" i="17" s="1"/>
  <c r="I15" i="17" s="1"/>
  <c r="I36" i="2"/>
  <c r="I28" i="2"/>
  <c r="I44" i="2"/>
  <c r="H175" i="6"/>
  <c r="I52" i="7"/>
  <c r="I74" i="7" s="1"/>
  <c r="I48" i="7"/>
  <c r="H37" i="2"/>
  <c r="G176" i="6"/>
  <c r="H29" i="2"/>
  <c r="H45" i="2"/>
  <c r="H176" i="6"/>
  <c r="I45" i="2"/>
  <c r="I37" i="2"/>
  <c r="I29" i="2"/>
  <c r="I38" i="2"/>
  <c r="I30" i="2"/>
  <c r="I46" i="2"/>
  <c r="H28" i="2"/>
  <c r="H44" i="2"/>
  <c r="H36" i="2"/>
  <c r="G175" i="6"/>
  <c r="H35" i="2"/>
  <c r="H43" i="2"/>
  <c r="H27" i="2"/>
  <c r="H48" i="7"/>
  <c r="H52" i="7"/>
  <c r="J39" i="2"/>
  <c r="H46" i="2"/>
  <c r="H30" i="2"/>
  <c r="H38" i="2"/>
  <c r="H53" i="10" l="1"/>
  <c r="H54" i="10" s="1"/>
  <c r="H78" i="10"/>
  <c r="H79" i="10" s="1"/>
  <c r="G74" i="7"/>
  <c r="H18" i="10" s="1"/>
  <c r="J15" i="17"/>
  <c r="K15" i="17" s="1"/>
  <c r="I46" i="17"/>
  <c r="G177" i="6"/>
  <c r="G86" i="17" s="1"/>
  <c r="G15" i="17" s="1"/>
  <c r="G46" i="17" s="1"/>
  <c r="G65" i="17" s="1"/>
  <c r="I31" i="2"/>
  <c r="H25" i="6" s="1"/>
  <c r="H33" i="6" s="1"/>
  <c r="I39" i="2"/>
  <c r="H52" i="5" s="1"/>
  <c r="H68" i="5" s="1"/>
  <c r="H94" i="5" s="1"/>
  <c r="H116" i="5" s="1"/>
  <c r="H180" i="5" s="1"/>
  <c r="H202" i="5" s="1"/>
  <c r="I47" i="2"/>
  <c r="I10" i="15" s="1"/>
  <c r="I20" i="15" s="1"/>
  <c r="I52" i="5"/>
  <c r="I68" i="5" s="1"/>
  <c r="I94" i="5" s="1"/>
  <c r="I61" i="5"/>
  <c r="I77" i="5" s="1"/>
  <c r="I103" i="5" s="1"/>
  <c r="I53" i="5"/>
  <c r="I69" i="5" s="1"/>
  <c r="I95" i="5" s="1"/>
  <c r="I117" i="5" s="1"/>
  <c r="I181" i="5" s="1"/>
  <c r="I56" i="5"/>
  <c r="I72" i="5" s="1"/>
  <c r="I98" i="5" s="1"/>
  <c r="I120" i="5" s="1"/>
  <c r="I184" i="5" s="1"/>
  <c r="I54" i="5"/>
  <c r="I70" i="5" s="1"/>
  <c r="I96" i="5" s="1"/>
  <c r="I118" i="5" s="1"/>
  <c r="I32" i="1"/>
  <c r="I34" i="1" s="1"/>
  <c r="I50" i="7"/>
  <c r="I158" i="6" s="1"/>
  <c r="H50" i="7"/>
  <c r="H51" i="7" s="1"/>
  <c r="J18" i="10"/>
  <c r="J78" i="10"/>
  <c r="J79" i="10" s="1"/>
  <c r="J103" i="10"/>
  <c r="J104" i="10" s="1"/>
  <c r="J53" i="10"/>
  <c r="J54" i="10" s="1"/>
  <c r="I14" i="15"/>
  <c r="I24" i="15" s="1"/>
  <c r="I12" i="15"/>
  <c r="I22" i="15" s="1"/>
  <c r="I15" i="15"/>
  <c r="I25" i="15" s="1"/>
  <c r="I11" i="15"/>
  <c r="I21" i="15" s="1"/>
  <c r="I16" i="15"/>
  <c r="I26" i="15" s="1"/>
  <c r="I13" i="15"/>
  <c r="I23" i="15" s="1"/>
  <c r="I78" i="10"/>
  <c r="I79" i="10" s="1"/>
  <c r="I53" i="10"/>
  <c r="I54" i="10" s="1"/>
  <c r="I103" i="10"/>
  <c r="I104" i="10" s="1"/>
  <c r="H74" i="7"/>
  <c r="I18" i="10" s="1"/>
  <c r="H31" i="2"/>
  <c r="G25" i="6" s="1"/>
  <c r="H47" i="2"/>
  <c r="H10" i="15" s="1"/>
  <c r="H39" i="2"/>
  <c r="H16" i="15"/>
  <c r="H26" i="15" s="1"/>
  <c r="H12" i="15"/>
  <c r="H22" i="15" s="1"/>
  <c r="H14" i="15"/>
  <c r="H24" i="15" s="1"/>
  <c r="H15" i="15"/>
  <c r="H25" i="15" s="1"/>
  <c r="H11" i="15"/>
  <c r="H21" i="15" s="1"/>
  <c r="H13" i="15"/>
  <c r="H23" i="15" s="1"/>
  <c r="H177" i="6"/>
  <c r="H86" i="17" s="1"/>
  <c r="H15" i="17" s="1"/>
  <c r="H46" i="17" s="1"/>
  <c r="H65" i="17" s="1"/>
  <c r="S21" i="15" l="1"/>
  <c r="S12" i="15"/>
  <c r="AC21" i="15"/>
  <c r="AC12" i="15"/>
  <c r="T15" i="15"/>
  <c r="T24" i="15"/>
  <c r="AD24" i="15"/>
  <c r="AD15" i="15"/>
  <c r="T12" i="15"/>
  <c r="AD12" i="15"/>
  <c r="AD21" i="15"/>
  <c r="T21" i="15"/>
  <c r="S25" i="15"/>
  <c r="AC25" i="15"/>
  <c r="AC16" i="15"/>
  <c r="S16" i="15"/>
  <c r="T14" i="15"/>
  <c r="T23" i="15"/>
  <c r="AD14" i="15"/>
  <c r="AD23" i="15"/>
  <c r="AD10" i="15"/>
  <c r="AD19" i="15"/>
  <c r="T10" i="15"/>
  <c r="T19" i="15"/>
  <c r="S22" i="15"/>
  <c r="S13" i="15"/>
  <c r="AC22" i="15"/>
  <c r="AC13" i="15"/>
  <c r="S20" i="15"/>
  <c r="AC20" i="15"/>
  <c r="AC11" i="15"/>
  <c r="S11" i="15"/>
  <c r="AD13" i="15"/>
  <c r="T13" i="15"/>
  <c r="AD22" i="15"/>
  <c r="T22" i="15"/>
  <c r="S15" i="15"/>
  <c r="S24" i="15"/>
  <c r="AC24" i="15"/>
  <c r="AC15" i="15"/>
  <c r="AD16" i="15"/>
  <c r="AD25" i="15"/>
  <c r="T16" i="15"/>
  <c r="T25" i="15"/>
  <c r="AC23" i="15"/>
  <c r="AC14" i="15"/>
  <c r="S14" i="15"/>
  <c r="S23" i="15"/>
  <c r="AD11" i="15"/>
  <c r="T20" i="15"/>
  <c r="T11" i="15"/>
  <c r="AD20" i="15"/>
  <c r="I65" i="17"/>
  <c r="J65" i="17" s="1"/>
  <c r="K65" i="17" s="1"/>
  <c r="I206" i="5"/>
  <c r="I203" i="5"/>
  <c r="I236" i="5" s="1"/>
  <c r="J46" i="17"/>
  <c r="K46" i="17" s="1"/>
  <c r="I116" i="5"/>
  <c r="I180" i="5" s="1"/>
  <c r="H61" i="5"/>
  <c r="H77" i="5" s="1"/>
  <c r="H32" i="1"/>
  <c r="H34" i="1" s="1"/>
  <c r="H139" i="6"/>
  <c r="H143" i="6" s="1"/>
  <c r="H147" i="6" s="1"/>
  <c r="H76" i="6"/>
  <c r="H108" i="6"/>
  <c r="H36" i="6"/>
  <c r="H140" i="6" s="1"/>
  <c r="H53" i="5"/>
  <c r="H69" i="5" s="1"/>
  <c r="H95" i="5" s="1"/>
  <c r="H117" i="5" s="1"/>
  <c r="H181" i="5" s="1"/>
  <c r="H56" i="5"/>
  <c r="H72" i="5" s="1"/>
  <c r="H98" i="5" s="1"/>
  <c r="H120" i="5" s="1"/>
  <c r="H184" i="5" s="1"/>
  <c r="H206" i="5" s="1"/>
  <c r="H54" i="5"/>
  <c r="H70" i="5" s="1"/>
  <c r="H96" i="5" s="1"/>
  <c r="H30" i="6"/>
  <c r="I182" i="5"/>
  <c r="I125" i="5"/>
  <c r="I189" i="5"/>
  <c r="I211" i="5" s="1"/>
  <c r="I244" i="5" s="1"/>
  <c r="I270" i="5" s="1"/>
  <c r="G32" i="1"/>
  <c r="G34" i="1" s="1"/>
  <c r="G52" i="5"/>
  <c r="G68" i="5" s="1"/>
  <c r="G94" i="5" s="1"/>
  <c r="G116" i="5" s="1"/>
  <c r="G180" i="5" s="1"/>
  <c r="G202" i="5" s="1"/>
  <c r="G61" i="5"/>
  <c r="G77" i="5" s="1"/>
  <c r="G103" i="5" s="1"/>
  <c r="G56" i="5"/>
  <c r="G72" i="5" s="1"/>
  <c r="G98" i="5" s="1"/>
  <c r="G120" i="5" s="1"/>
  <c r="G184" i="5" s="1"/>
  <c r="G206" i="5" s="1"/>
  <c r="G53" i="5"/>
  <c r="G69" i="5" s="1"/>
  <c r="G95" i="5" s="1"/>
  <c r="G117" i="5" s="1"/>
  <c r="G181" i="5" s="1"/>
  <c r="G203" i="5" s="1"/>
  <c r="G54" i="5"/>
  <c r="G70" i="5" s="1"/>
  <c r="G96" i="5" s="1"/>
  <c r="G118" i="5" s="1"/>
  <c r="G30" i="6"/>
  <c r="G33" i="6"/>
  <c r="G36" i="6"/>
  <c r="G140" i="6" s="1"/>
  <c r="I51" i="7"/>
  <c r="H235" i="5"/>
  <c r="H261" i="5" s="1"/>
  <c r="I17" i="15"/>
  <c r="H17" i="15"/>
  <c r="H20" i="15"/>
  <c r="AC19" i="15" l="1"/>
  <c r="S10" i="15"/>
  <c r="AC10" i="15"/>
  <c r="S19" i="15"/>
  <c r="H121" i="5"/>
  <c r="H138" i="5" s="1"/>
  <c r="H185" i="5" s="1"/>
  <c r="H118" i="5"/>
  <c r="I208" i="5"/>
  <c r="I241" i="5" s="1"/>
  <c r="I267" i="5" s="1"/>
  <c r="H103" i="5"/>
  <c r="H125" i="5" s="1"/>
  <c r="I239" i="5"/>
  <c r="I265" i="5" s="1"/>
  <c r="I89" i="7" s="1"/>
  <c r="I99" i="7" s="1"/>
  <c r="I262" i="5"/>
  <c r="I86" i="7" s="1"/>
  <c r="I96" i="7" s="1"/>
  <c r="I202" i="5"/>
  <c r="G239" i="5"/>
  <c r="G265" i="5" s="1"/>
  <c r="G89" i="7" s="1"/>
  <c r="G99" i="7" s="1"/>
  <c r="H239" i="5"/>
  <c r="H265" i="5" s="1"/>
  <c r="H89" i="7" s="1"/>
  <c r="H99" i="7" s="1"/>
  <c r="H203" i="5"/>
  <c r="G236" i="5"/>
  <c r="G262" i="5" s="1"/>
  <c r="G86" i="7" s="1"/>
  <c r="H130" i="6"/>
  <c r="G138" i="6"/>
  <c r="G55" i="6"/>
  <c r="H138" i="6"/>
  <c r="H55" i="6"/>
  <c r="H182" i="5"/>
  <c r="H204" i="5" s="1"/>
  <c r="H237" i="5" s="1"/>
  <c r="G139" i="6"/>
  <c r="G143" i="6" s="1"/>
  <c r="G147" i="6" s="1"/>
  <c r="G76" i="6"/>
  <c r="G144" i="6"/>
  <c r="G148" i="6" s="1"/>
  <c r="G111" i="6"/>
  <c r="G79" i="6"/>
  <c r="G108" i="6"/>
  <c r="H144" i="6"/>
  <c r="H148" i="6" s="1"/>
  <c r="H111" i="6"/>
  <c r="H79" i="6"/>
  <c r="G121" i="5"/>
  <c r="G138" i="5" s="1"/>
  <c r="G185" i="5" s="1"/>
  <c r="G182" i="5"/>
  <c r="I204" i="5"/>
  <c r="I237" i="5" s="1"/>
  <c r="I18" i="15"/>
  <c r="I44" i="15"/>
  <c r="H113" i="17" s="1"/>
  <c r="H42" i="17" s="1"/>
  <c r="G125" i="5"/>
  <c r="G189" i="5"/>
  <c r="G211" i="5" s="1"/>
  <c r="G244" i="5" s="1"/>
  <c r="G270" i="5" s="1"/>
  <c r="G235" i="5"/>
  <c r="G261" i="5" s="1"/>
  <c r="H27" i="15"/>
  <c r="H28" i="15" s="1"/>
  <c r="H18" i="15"/>
  <c r="H44" i="15"/>
  <c r="G113" i="17" s="1"/>
  <c r="G42" i="17" s="1"/>
  <c r="H85" i="7"/>
  <c r="H183" i="5"/>
  <c r="H208" i="5"/>
  <c r="H241" i="5" s="1"/>
  <c r="H267" i="5" s="1"/>
  <c r="I282" i="5"/>
  <c r="I113" i="7"/>
  <c r="I102" i="17" s="1"/>
  <c r="I31" i="17" s="1"/>
  <c r="I207" i="5"/>
  <c r="I240" i="5" s="1"/>
  <c r="I266" i="5" s="1"/>
  <c r="I90" i="7" s="1"/>
  <c r="I100" i="7" s="1"/>
  <c r="I183" i="5"/>
  <c r="H207" i="5" l="1"/>
  <c r="H240" i="5" s="1"/>
  <c r="H266" i="5" s="1"/>
  <c r="H90" i="7" s="1"/>
  <c r="H100" i="7" s="1"/>
  <c r="H189" i="5"/>
  <c r="H211" i="5" s="1"/>
  <c r="H244" i="5" s="1"/>
  <c r="H270" i="5" s="1"/>
  <c r="H282" i="5" s="1"/>
  <c r="H38" i="15"/>
  <c r="H37" i="15"/>
  <c r="I235" i="5"/>
  <c r="I261" i="5" s="1"/>
  <c r="I85" i="7" s="1"/>
  <c r="I95" i="7" s="1"/>
  <c r="H236" i="5"/>
  <c r="H262" i="5" s="1"/>
  <c r="H86" i="7" s="1"/>
  <c r="H96" i="7" s="1"/>
  <c r="I263" i="5"/>
  <c r="I87" i="7" s="1"/>
  <c r="I97" i="7" s="1"/>
  <c r="J31" i="17"/>
  <c r="K31" i="17" s="1"/>
  <c r="H263" i="5"/>
  <c r="H87" i="7" s="1"/>
  <c r="H97" i="7" s="1"/>
  <c r="G130" i="6"/>
  <c r="G142" i="6"/>
  <c r="G146" i="6" s="1"/>
  <c r="G133" i="6"/>
  <c r="G150" i="6" s="1"/>
  <c r="G152" i="6" s="1"/>
  <c r="G153" i="6" s="1"/>
  <c r="H133" i="6"/>
  <c r="H150" i="6" s="1"/>
  <c r="H152" i="6" s="1"/>
  <c r="H153" i="6" s="1"/>
  <c r="H159" i="6" s="1"/>
  <c r="H89" i="17" s="1"/>
  <c r="H18" i="17" s="1"/>
  <c r="H142" i="6"/>
  <c r="H146" i="6" s="1"/>
  <c r="G73" i="6"/>
  <c r="H73" i="6"/>
  <c r="I205" i="5"/>
  <c r="I238" i="5" s="1"/>
  <c r="I264" i="5" s="1"/>
  <c r="G282" i="5"/>
  <c r="G113" i="7"/>
  <c r="G102" i="17" s="1"/>
  <c r="G31" i="17" s="1"/>
  <c r="H95" i="7"/>
  <c r="G96" i="7"/>
  <c r="G204" i="5"/>
  <c r="G237" i="5" s="1"/>
  <c r="G263" i="5" s="1"/>
  <c r="G87" i="7" s="1"/>
  <c r="G97" i="7" s="1"/>
  <c r="G52" i="17"/>
  <c r="H30" i="15"/>
  <c r="H33" i="15"/>
  <c r="H31" i="15"/>
  <c r="H32" i="15"/>
  <c r="G208" i="5"/>
  <c r="G241" i="5" s="1"/>
  <c r="G267" i="5" s="1"/>
  <c r="G207" i="5"/>
  <c r="G240" i="5" s="1"/>
  <c r="G266" i="5" s="1"/>
  <c r="G90" i="7" s="1"/>
  <c r="G100" i="7" s="1"/>
  <c r="G183" i="5"/>
  <c r="H52" i="17"/>
  <c r="S29" i="15"/>
  <c r="H205" i="5"/>
  <c r="H238" i="5" s="1"/>
  <c r="H264" i="5" s="1"/>
  <c r="G85" i="7"/>
  <c r="S30" i="15" l="1"/>
  <c r="G108" i="17" s="1"/>
  <c r="G37" i="17" s="1"/>
  <c r="H113" i="7"/>
  <c r="H102" i="17" s="1"/>
  <c r="H31" i="17" s="1"/>
  <c r="H34" i="15"/>
  <c r="H127" i="6"/>
  <c r="H157" i="6" s="1"/>
  <c r="H158" i="6" s="1"/>
  <c r="G127" i="6"/>
  <c r="G157" i="6" s="1"/>
  <c r="G158" i="6" s="1"/>
  <c r="G159" i="6"/>
  <c r="G89" i="17" s="1"/>
  <c r="G18" i="17" s="1"/>
  <c r="G160" i="6"/>
  <c r="G90" i="17" s="1"/>
  <c r="G19" i="17" s="1"/>
  <c r="H160" i="6"/>
  <c r="H90" i="17" s="1"/>
  <c r="H19" i="17" s="1"/>
  <c r="G30" i="5"/>
  <c r="G78" i="5" s="1"/>
  <c r="G95" i="7"/>
  <c r="I88" i="7"/>
  <c r="H88" i="7"/>
  <c r="G31" i="5"/>
  <c r="G79" i="5" s="1"/>
  <c r="G205" i="5"/>
  <c r="G238" i="5" s="1"/>
  <c r="G19" i="7" l="1"/>
  <c r="H19" i="7"/>
  <c r="I98" i="7"/>
  <c r="G271" i="5"/>
  <c r="G91" i="7" s="1"/>
  <c r="G101" i="7" s="1"/>
  <c r="G212" i="5"/>
  <c r="G245" i="5" s="1"/>
  <c r="G264" i="5"/>
  <c r="H98" i="7"/>
  <c r="G213" i="5"/>
  <c r="G246" i="5" s="1"/>
  <c r="G272" i="5"/>
  <c r="AC28" i="15"/>
  <c r="AC29" i="15"/>
  <c r="AC32" i="15" l="1"/>
  <c r="G109" i="17" s="1"/>
  <c r="G38" i="17" s="1"/>
  <c r="G50" i="17" s="1"/>
  <c r="G214" i="5"/>
  <c r="G92" i="7"/>
  <c r="G278" i="5"/>
  <c r="G247" i="5"/>
  <c r="G273" i="5" s="1"/>
  <c r="G88" i="7"/>
  <c r="G279" i="5"/>
  <c r="G66" i="17" l="1"/>
  <c r="G67" i="17" s="1"/>
  <c r="G98" i="7"/>
  <c r="G110" i="7" s="1"/>
  <c r="G99" i="17" s="1"/>
  <c r="G28" i="17" s="1"/>
  <c r="G283" i="5"/>
  <c r="G20" i="7" s="1"/>
  <c r="G21" i="7" s="1"/>
  <c r="G102" i="7"/>
  <c r="G109" i="7" s="1"/>
  <c r="G98" i="17" s="1"/>
  <c r="G27" i="17" s="1"/>
  <c r="G103" i="7" l="1"/>
  <c r="G114" i="7" s="1"/>
  <c r="G103" i="17" s="1"/>
  <c r="G32" i="17" s="1"/>
  <c r="G24" i="7"/>
  <c r="H25" i="10" s="1"/>
  <c r="G104" i="7"/>
  <c r="G115" i="7" s="1"/>
  <c r="G104" i="17" s="1"/>
  <c r="G33" i="17" s="1"/>
  <c r="H31" i="10" l="1"/>
  <c r="H33" i="10"/>
  <c r="H12" i="10" s="1"/>
  <c r="H13" i="10" l="1"/>
  <c r="H19" i="10" s="1"/>
  <c r="H75" i="10" l="1"/>
  <c r="H15" i="10"/>
  <c r="H50" i="10"/>
  <c r="H52" i="10"/>
  <c r="H100" i="10"/>
  <c r="H77" i="10"/>
  <c r="H102" i="10"/>
  <c r="H22" i="10"/>
  <c r="H21" i="10"/>
  <c r="H17" i="10" l="1"/>
  <c r="T27" i="10" s="1"/>
  <c r="G29" i="7" s="1"/>
  <c r="G28" i="7" l="1"/>
  <c r="G95" i="17" s="1"/>
  <c r="G24" i="17" s="1"/>
  <c r="G27" i="7"/>
  <c r="G94" i="17" s="1"/>
  <c r="G23" i="17" s="1"/>
  <c r="G96" i="17"/>
  <c r="G25" i="17" s="1"/>
  <c r="G30" i="7"/>
  <c r="G97" i="17" s="1"/>
  <c r="G26" i="17" s="1"/>
  <c r="G47" i="17" l="1"/>
  <c r="E43" i="5" l="1"/>
  <c r="E59" i="5" s="1"/>
  <c r="E75" i="5" s="1"/>
  <c r="E101" i="5" s="1"/>
  <c r="I43" i="5"/>
  <c r="I59" i="5" s="1"/>
  <c r="I75" i="5" s="1"/>
  <c r="I101" i="5" s="1"/>
  <c r="D43" i="5"/>
  <c r="D59" i="5" s="1"/>
  <c r="D75" i="5" s="1"/>
  <c r="D101" i="5" s="1"/>
  <c r="G43" i="5"/>
  <c r="G59" i="5" s="1"/>
  <c r="G75" i="5" s="1"/>
  <c r="G101" i="5" s="1"/>
  <c r="H43" i="5"/>
  <c r="H59" i="5" s="1"/>
  <c r="H75" i="5" s="1"/>
  <c r="H101" i="5" s="1"/>
  <c r="F43" i="5"/>
  <c r="F59" i="5" s="1"/>
  <c r="F75" i="5" s="1"/>
  <c r="F101" i="5" s="1"/>
  <c r="C43" i="5"/>
  <c r="C59" i="5" s="1"/>
  <c r="C75" i="5" s="1"/>
  <c r="C101" i="5" s="1"/>
  <c r="G123" i="5" l="1"/>
  <c r="G187" i="5"/>
  <c r="G209" i="5" s="1"/>
  <c r="G242" i="5" s="1"/>
  <c r="G268" i="5" s="1"/>
  <c r="I187" i="5"/>
  <c r="I209" i="5" s="1"/>
  <c r="I123" i="5"/>
  <c r="F187" i="5"/>
  <c r="F209" i="5" s="1"/>
  <c r="F242" i="5" s="1"/>
  <c r="F268" i="5" s="1"/>
  <c r="F123" i="5"/>
  <c r="D123" i="5"/>
  <c r="D187" i="5"/>
  <c r="D209" i="5" s="1"/>
  <c r="D242" i="5" s="1"/>
  <c r="D268" i="5" s="1"/>
  <c r="E187" i="5"/>
  <c r="E209" i="5" s="1"/>
  <c r="E242" i="5" s="1"/>
  <c r="E268" i="5" s="1"/>
  <c r="E123" i="5"/>
  <c r="H187" i="5"/>
  <c r="H209" i="5" s="1"/>
  <c r="H242" i="5" s="1"/>
  <c r="H268" i="5" s="1"/>
  <c r="H123" i="5"/>
  <c r="C187" i="5"/>
  <c r="C209" i="5" s="1"/>
  <c r="C242" i="5" s="1"/>
  <c r="C268" i="5" s="1"/>
  <c r="C123" i="5"/>
  <c r="I242" i="5" l="1"/>
  <c r="I268" i="5" s="1"/>
  <c r="E111" i="7"/>
  <c r="E100" i="17" s="1"/>
  <c r="E29" i="17" s="1"/>
  <c r="E48" i="17" s="1"/>
  <c r="E280" i="5"/>
  <c r="D111" i="7"/>
  <c r="D100" i="17" s="1"/>
  <c r="D29" i="17" s="1"/>
  <c r="D48" i="17" s="1"/>
  <c r="D280" i="5"/>
  <c r="G111" i="7"/>
  <c r="G100" i="17" s="1"/>
  <c r="G29" i="17" s="1"/>
  <c r="G48" i="17" s="1"/>
  <c r="G280" i="5"/>
  <c r="H280" i="5"/>
  <c r="H111" i="7"/>
  <c r="H100" i="17" s="1"/>
  <c r="H29" i="17" s="1"/>
  <c r="F111" i="7"/>
  <c r="F100" i="17" s="1"/>
  <c r="F29" i="17" s="1"/>
  <c r="F48" i="17" s="1"/>
  <c r="F280" i="5"/>
  <c r="C280" i="5"/>
  <c r="C111" i="7"/>
  <c r="C100" i="17" s="1"/>
  <c r="C29" i="17" l="1"/>
  <c r="M26" i="22"/>
  <c r="R26" i="22" s="1"/>
  <c r="I111" i="7"/>
  <c r="I100" i="17" s="1"/>
  <c r="I29" i="17" s="1"/>
  <c r="I280" i="5"/>
  <c r="F51" i="17"/>
  <c r="F39" i="17"/>
  <c r="F43" i="17" s="1"/>
  <c r="G39" i="17"/>
  <c r="G43" i="17" s="1"/>
  <c r="G51" i="17"/>
  <c r="D51" i="17"/>
  <c r="D39" i="17"/>
  <c r="D43" i="17" s="1"/>
  <c r="E39" i="17"/>
  <c r="E43" i="17" s="1"/>
  <c r="E51" i="17"/>
  <c r="C48" i="17" l="1"/>
  <c r="C45" i="22" s="1"/>
  <c r="F45" i="22" s="1"/>
  <c r="C39" i="17"/>
  <c r="C36" i="22" s="1"/>
  <c r="F36" i="22" s="1"/>
  <c r="J29" i="17"/>
  <c r="K29" i="17" s="1"/>
  <c r="C26" i="22"/>
  <c r="F26" i="22" s="1"/>
  <c r="D53" i="17"/>
  <c r="D72" i="17"/>
  <c r="G72" i="17"/>
  <c r="G53" i="17"/>
  <c r="F53" i="17"/>
  <c r="F72" i="17"/>
  <c r="E72" i="17"/>
  <c r="E53" i="17"/>
  <c r="C51" i="17" l="1"/>
  <c r="C53" i="17" s="1"/>
  <c r="C43" i="17"/>
  <c r="C40" i="22" s="1"/>
  <c r="F40" i="22" s="1"/>
  <c r="D54" i="17"/>
  <c r="G54" i="17"/>
  <c r="E73" i="17"/>
  <c r="F73" i="17"/>
  <c r="D73" i="17"/>
  <c r="F54" i="17"/>
  <c r="G73" i="17"/>
  <c r="E54" i="17"/>
  <c r="C48" i="22" l="1"/>
  <c r="F48" i="22" s="1"/>
  <c r="C72" i="17"/>
  <c r="C54" i="17"/>
  <c r="C50" i="22"/>
  <c r="F50" i="22" s="1"/>
  <c r="C58" i="17"/>
  <c r="C73" i="17"/>
  <c r="C78" i="17" l="1"/>
  <c r="I30" i="5" l="1"/>
  <c r="I78" i="5" s="1"/>
  <c r="I271" i="5" s="1"/>
  <c r="I212" i="5" l="1"/>
  <c r="I245" i="5" s="1"/>
  <c r="I247" i="5" s="1"/>
  <c r="I273" i="5" s="1"/>
  <c r="I91" i="7"/>
  <c r="I279" i="5"/>
  <c r="I101" i="7" l="1"/>
  <c r="I110" i="7" s="1"/>
  <c r="I99" i="17" s="1"/>
  <c r="I28" i="17" s="1"/>
  <c r="J28" i="17" s="1"/>
  <c r="K28" i="17" s="1"/>
  <c r="I31" i="5"/>
  <c r="I79" i="5" s="1"/>
  <c r="I104" i="7" l="1"/>
  <c r="I115" i="7" s="1"/>
  <c r="I104" i="17" s="1"/>
  <c r="I33" i="17" s="1"/>
  <c r="J33" i="17" s="1"/>
  <c r="K33" i="17" s="1"/>
  <c r="I213" i="5"/>
  <c r="I246" i="5" s="1"/>
  <c r="I272" i="5"/>
  <c r="I92" i="7" l="1"/>
  <c r="I278" i="5"/>
  <c r="I214" i="5"/>
  <c r="I283" i="5" s="1"/>
  <c r="I20" i="7" l="1"/>
  <c r="I21" i="7" s="1"/>
  <c r="I102" i="7"/>
  <c r="I109" i="7" s="1"/>
  <c r="I98" i="17" s="1"/>
  <c r="I27" i="17" s="1"/>
  <c r="J27" i="17" s="1"/>
  <c r="K27" i="17" s="1"/>
  <c r="I103" i="7" l="1"/>
  <c r="I114" i="7" s="1"/>
  <c r="I103" i="17" s="1"/>
  <c r="I32" i="17" s="1"/>
  <c r="J32" i="17" s="1"/>
  <c r="K32" i="17" s="1"/>
  <c r="I27" i="15"/>
  <c r="I28" i="15" s="1"/>
  <c r="I24" i="7"/>
  <c r="J25" i="10" s="1"/>
  <c r="T29" i="15" l="1"/>
  <c r="I38" i="15"/>
  <c r="H31" i="5" s="1"/>
  <c r="H79" i="5" s="1"/>
  <c r="I33" i="15"/>
  <c r="J33" i="15" s="1"/>
  <c r="I31" i="15"/>
  <c r="J31" i="15" s="1"/>
  <c r="I37" i="15"/>
  <c r="H30" i="5" s="1"/>
  <c r="H78" i="5" s="1"/>
  <c r="I32" i="15"/>
  <c r="J32" i="15" s="1"/>
  <c r="I30" i="15"/>
  <c r="J31" i="10"/>
  <c r="J33" i="10"/>
  <c r="J12" i="10" s="1"/>
  <c r="T30" i="15" l="1"/>
  <c r="H108" i="17" s="1"/>
  <c r="H37" i="17" s="1"/>
  <c r="I34" i="15"/>
  <c r="AD28" i="15" s="1"/>
  <c r="J34" i="15"/>
  <c r="AE29" i="15" s="1"/>
  <c r="J13" i="10"/>
  <c r="J19" i="10" s="1"/>
  <c r="H213" i="5"/>
  <c r="H246" i="5" s="1"/>
  <c r="H272" i="5"/>
  <c r="H271" i="5"/>
  <c r="H212" i="5"/>
  <c r="AD29" i="15" l="1"/>
  <c r="AE28" i="15"/>
  <c r="H214" i="5"/>
  <c r="J75" i="10"/>
  <c r="J102" i="10"/>
  <c r="J52" i="10"/>
  <c r="J50" i="10"/>
  <c r="J100" i="10"/>
  <c r="J77" i="10"/>
  <c r="J15" i="10"/>
  <c r="J22" i="10"/>
  <c r="J21" i="10"/>
  <c r="H278" i="5"/>
  <c r="H92" i="7"/>
  <c r="H245" i="5"/>
  <c r="H247" i="5" s="1"/>
  <c r="H273" i="5" s="1"/>
  <c r="H279" i="5"/>
  <c r="H91" i="7"/>
  <c r="AD32" i="15" l="1"/>
  <c r="H109" i="17" s="1"/>
  <c r="H38" i="17" s="1"/>
  <c r="H50" i="17" s="1"/>
  <c r="H66" i="17" s="1"/>
  <c r="H67" i="17" s="1"/>
  <c r="AE32" i="15"/>
  <c r="I109" i="17" s="1"/>
  <c r="I38" i="17" s="1"/>
  <c r="H283" i="5"/>
  <c r="H20" i="7" s="1"/>
  <c r="H21" i="7" s="1"/>
  <c r="H24" i="7" s="1"/>
  <c r="I25" i="10" s="1"/>
  <c r="H101" i="7"/>
  <c r="H110" i="7" s="1"/>
  <c r="H99" i="17" s="1"/>
  <c r="H28" i="17" s="1"/>
  <c r="J17" i="10"/>
  <c r="V27" i="10" s="1"/>
  <c r="I27" i="7" s="1"/>
  <c r="H102" i="7"/>
  <c r="H109" i="7" s="1"/>
  <c r="H98" i="17" s="1"/>
  <c r="H27" i="17" s="1"/>
  <c r="I50" i="17" l="1"/>
  <c r="J38" i="17"/>
  <c r="K38" i="17" s="1"/>
  <c r="H103" i="7"/>
  <c r="H114" i="7" s="1"/>
  <c r="H103" i="17" s="1"/>
  <c r="H32" i="17" s="1"/>
  <c r="H104" i="7"/>
  <c r="H115" i="7" s="1"/>
  <c r="H104" i="17" s="1"/>
  <c r="H33" i="17" s="1"/>
  <c r="I33" i="10"/>
  <c r="I12" i="10" s="1"/>
  <c r="I31" i="10"/>
  <c r="I29" i="7"/>
  <c r="I96" i="17" s="1"/>
  <c r="I25" i="17" s="1"/>
  <c r="J25" i="17" s="1"/>
  <c r="K25" i="17" s="1"/>
  <c r="I28" i="7"/>
  <c r="I95" i="17" s="1"/>
  <c r="I24" i="17" s="1"/>
  <c r="J24" i="17" s="1"/>
  <c r="K24" i="17" s="1"/>
  <c r="I94" i="17"/>
  <c r="I23" i="17" s="1"/>
  <c r="I30" i="7"/>
  <c r="I97" i="17" s="1"/>
  <c r="I26" i="17" s="1"/>
  <c r="I48" i="17" s="1"/>
  <c r="I66" i="17" l="1"/>
  <c r="J50" i="17"/>
  <c r="K50" i="17" s="1"/>
  <c r="J48" i="17"/>
  <c r="K48" i="17" s="1"/>
  <c r="J26" i="17"/>
  <c r="K26" i="17" s="1"/>
  <c r="I47" i="17"/>
  <c r="I51" i="17" s="1"/>
  <c r="I53" i="17" s="1"/>
  <c r="I39" i="17"/>
  <c r="J23" i="17"/>
  <c r="K23" i="17" s="1"/>
  <c r="I13" i="10"/>
  <c r="I19" i="10" s="1"/>
  <c r="I67" i="17" l="1"/>
  <c r="J67" i="17" s="1"/>
  <c r="K67" i="17" s="1"/>
  <c r="J66" i="17"/>
  <c r="K66" i="17" s="1"/>
  <c r="I22" i="10"/>
  <c r="I15" i="10"/>
  <c r="I17" i="10" s="1"/>
  <c r="I75" i="10"/>
  <c r="I100" i="10"/>
  <c r="I52" i="10"/>
  <c r="I50" i="10"/>
  <c r="I102" i="10"/>
  <c r="I77" i="10"/>
  <c r="J47" i="17"/>
  <c r="K47" i="17" s="1"/>
  <c r="I21" i="10"/>
  <c r="J39" i="17"/>
  <c r="K39" i="17" s="1"/>
  <c r="I43" i="17"/>
  <c r="I72" i="17" l="1"/>
  <c r="J72" i="17" s="1"/>
  <c r="K72" i="17" s="1"/>
  <c r="J51" i="17"/>
  <c r="K51" i="17" s="1"/>
  <c r="U27" i="10"/>
  <c r="J43" i="17"/>
  <c r="K43" i="17" s="1"/>
  <c r="I54" i="17" l="1"/>
  <c r="H27" i="7"/>
  <c r="H94" i="17" s="1"/>
  <c r="H23" i="17" s="1"/>
  <c r="H28" i="7"/>
  <c r="H95" i="17" s="1"/>
  <c r="H24" i="17" s="1"/>
  <c r="H29" i="7"/>
  <c r="H96" i="17" s="1"/>
  <c r="H25" i="17" s="1"/>
  <c r="H30" i="7"/>
  <c r="H97" i="17" s="1"/>
  <c r="H26" i="17" s="1"/>
  <c r="H48" i="17" s="1"/>
  <c r="J53" i="17"/>
  <c r="K53" i="17" s="1"/>
  <c r="I57" i="17"/>
  <c r="D57" i="17" s="1"/>
  <c r="I73" i="17"/>
  <c r="D58" i="17" l="1"/>
  <c r="E57" i="17"/>
  <c r="I58" i="17"/>
  <c r="I77" i="17"/>
  <c r="D77" i="17" s="1"/>
  <c r="J73" i="17"/>
  <c r="K73" i="17" s="1"/>
  <c r="H47" i="17"/>
  <c r="H51" i="17" s="1"/>
  <c r="H39" i="17"/>
  <c r="H43" i="17" s="1"/>
  <c r="D78" i="17" l="1"/>
  <c r="E77" i="17"/>
  <c r="H53" i="17"/>
  <c r="H72" i="17"/>
  <c r="I78" i="17"/>
  <c r="F57" i="17"/>
  <c r="E58" i="17"/>
  <c r="H54" i="17" l="1"/>
  <c r="F58" i="17"/>
  <c r="G57" i="17"/>
  <c r="H73" i="17"/>
  <c r="E78" i="17"/>
  <c r="F77" i="17"/>
  <c r="G77" i="17" l="1"/>
  <c r="F78" i="17"/>
  <c r="H57" i="17"/>
  <c r="H58" i="17" s="1"/>
  <c r="G58" i="17"/>
  <c r="H77" i="17" l="1"/>
  <c r="H78" i="17" s="1"/>
  <c r="G78"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tc={C5F48987-A786-496A-B205-0AA0744FFB32}</author>
  </authors>
  <commentList>
    <comment ref="B52" authorId="0" shapeId="0" xr:uid="{C5F48987-A786-496A-B205-0AA0744FFB32}">
      <text>
        <t>[Threaded comment]
Your version of Excel allows you to read this threaded comment; however, any edits to it will get removed if the file is opened in a newer version of Excel. Learn more: https://go.microsoft.com/fwlink/?linkid=870924
Comment:
    Alpha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tc={176BFC9D-77B2-4E96-AC3E-C5A72762BE2B}</author>
  </authors>
  <commentList>
    <comment ref="I72" authorId="0" shapeId="0" xr:uid="{176BFC9D-77B2-4E96-AC3E-C5A72762BE2B}">
      <text>
        <t>[Threaded comment]
Your version of Excel allows you to read this threaded comment; however, any edits to it will get removed if the file is opened in a newer version of Excel. Learn more: https://go.microsoft.com/fwlink/?linkid=870924
Comment:
    Assumed that any excess is exported outside city and that the freight emissions are (more than) offset by heating emission reductions. In any case, these are out of scope once exported.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tc={9352A151-7FD2-47DC-A693-47858FA0B1A0}</author>
    <author>tc={FD244107-ED54-4527-8766-6E6987371068}</author>
  </authors>
  <commentList>
    <comment ref="B47" authorId="0" shapeId="0" xr:uid="{9352A151-7FD2-47DC-A693-47858FA0B1A0}">
      <text>
        <t>[Threaded comment]
Your version of Excel allows you to read this threaded comment; however, any edits to it will get removed if the file is opened in a newer version of Excel. Learn more: https://go.microsoft.com/fwlink/?linkid=870924
Comment:
    Alpha</t>
      </text>
    </comment>
    <comment ref="I64" authorId="1" shapeId="0" xr:uid="{FD244107-ED54-4527-8766-6E6987371068}">
      <text>
        <t>[Threaded comment]
Your version of Excel allows you to read this threaded comment; however, any edits to it will get removed if the file is opened in a newer version of Excel. Learn more: https://go.microsoft.com/fwlink/?linkid=870924
Comment:
    100%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tc={93BAF3C9-DFA8-412E-BB4D-A50481455FA1}</author>
  </authors>
  <commentList>
    <comment ref="C47" authorId="0" shapeId="0" xr:uid="{93BAF3C9-DFA8-412E-BB4D-A50481455FA1}">
      <text>
        <t>[Threaded comment]
Your version of Excel allows you to read this threaded comment; however, any edits to it will get removed if the file is opened in a newer version of Excel. Learn more: https://go.microsoft.com/fwlink/?linkid=870924
Comment:
    Includes positive emissions resulting from harvesting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Phaveethra Manohar</author>
  </authors>
  <commentList>
    <comment ref="E60" authorId="0" shapeId="0" xr:uid="{8BC97709-48F1-41C3-9945-E01D42758D9B}">
      <text>
        <r>
          <rPr>
            <b/>
            <sz val="9"/>
            <color indexed="81"/>
            <rFont val="Tahoma"/>
            <family val="2"/>
          </rPr>
          <t>Phaveethra Manohar:</t>
        </r>
        <r>
          <rPr>
            <sz val="9"/>
            <color indexed="81"/>
            <rFont val="Tahoma"/>
            <family val="2"/>
          </rPr>
          <t xml:space="preserve">
Placeholder Value</t>
        </r>
      </text>
    </comment>
    <comment ref="E85" authorId="0" shapeId="0" xr:uid="{FD5CCB6F-32F6-45EE-874E-ACB7DF58B11C}">
      <text>
        <r>
          <rPr>
            <b/>
            <sz val="9"/>
            <color indexed="81"/>
            <rFont val="Tahoma"/>
            <family val="2"/>
          </rPr>
          <t>Phaveethra Manohar:</t>
        </r>
        <r>
          <rPr>
            <sz val="9"/>
            <color indexed="81"/>
            <rFont val="Tahoma"/>
            <family val="2"/>
          </rPr>
          <t xml:space="preserve">
Placeholder Value</t>
        </r>
      </text>
    </comment>
    <comment ref="E110" authorId="0" shapeId="0" xr:uid="{AA93B445-0534-4609-830F-A799C4EF19CD}">
      <text>
        <r>
          <rPr>
            <b/>
            <sz val="9"/>
            <color indexed="81"/>
            <rFont val="Tahoma"/>
            <family val="2"/>
          </rPr>
          <t>Phaveethra Manohar:</t>
        </r>
        <r>
          <rPr>
            <sz val="9"/>
            <color indexed="81"/>
            <rFont val="Tahoma"/>
            <family val="2"/>
          </rPr>
          <t xml:space="preserve">
Placeholder Value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tc={2AA378B8-89B9-4094-913E-B87DC7D6CC1A}</author>
    <author>tc={C08DF878-34E0-444B-AE91-08C294D662E3}</author>
  </authors>
  <commentList>
    <comment ref="E47" authorId="0" shapeId="0" xr:uid="{2AA378B8-89B9-4094-913E-B87DC7D6CC1A}">
      <text>
        <t>[Threaded comment]
Your version of Excel allows you to read this threaded comment; however, any edits to it will get removed if the file is opened in a newer version of Excel. Learn more: https://go.microsoft.com/fwlink/?linkid=870924
Comment:
    e.g. 100%</t>
      </text>
    </comment>
    <comment ref="B102" authorId="1" shapeId="0" xr:uid="{C08DF878-34E0-444B-AE91-08C294D662E3}">
      <text>
        <t>[Threaded comment]
Your version of Excel allows you to read this threaded comment; however, any edits to it will get removed if the file is opened in a newer version of Excel. Learn more: https://go.microsoft.com/fwlink/?linkid=870924
Comment:
    Thanks to Rick Zwann from DCC for this update</t>
      </text>
    </comment>
  </commentList>
</comments>
</file>

<file path=xl/sharedStrings.xml><?xml version="1.0" encoding="utf-8"?>
<sst xmlns="http://schemas.openxmlformats.org/spreadsheetml/2006/main" count="2961" uniqueCount="1023">
  <si>
    <t>Welcome to the Sub-National Carbon Model</t>
  </si>
  <si>
    <t>This work is licensed under a Creative Commons Attribution 4.0 International License.</t>
  </si>
  <si>
    <t>This model takes a sub-national greenhouse gas emissions inventory and other local data as input (e.g. for a city, district, or region), and projects emissions to 2050.</t>
  </si>
  <si>
    <t>Users can adjust different interrelated policy levers/secular trends and see how this affects emissions over time.</t>
  </si>
  <si>
    <t>The goals of this model are to:</t>
  </si>
  <si>
    <t>1. Help users understand the area's greenhouse gas emissions in context</t>
  </si>
  <si>
    <t>2. Examine the relative impact of different technologies/scenarios, and how these interrelate (e.g. Solar PV won't fix everything)</t>
  </si>
  <si>
    <t>3. Gather the views of the public on which scenarios they support or consider most likely</t>
  </si>
  <si>
    <t>4. Use this data to inform the subsequent development of a 'low carbon roadmap' for the city</t>
  </si>
  <si>
    <t>The model does not:</t>
  </si>
  <si>
    <t xml:space="preserve"> - Predict what the impact of a particular policy will be on an emissions activity (e.g. congestion pricing on travel demand)</t>
  </si>
  <si>
    <t xml:space="preserve"> - Claim any particular validity of the default scenario options, or projected emissions</t>
  </si>
  <si>
    <t>This model was designed by:</t>
  </si>
  <si>
    <t>Adam Jarvis, Principal Climate Change Advisor, Palmerston North City Council</t>
  </si>
  <si>
    <t>Please direct any questions or comments to Adam.Jarvis@pncc.govt.nz</t>
  </si>
  <si>
    <t>Worksheet key:</t>
  </si>
  <si>
    <t>Yellow tabs are the output tabs showing the result of chosen scenarios</t>
  </si>
  <si>
    <t>Green tabs are the scenario choice tabs that determine changes to emissions over time</t>
  </si>
  <si>
    <t>Peach tabs are the user input data tabs</t>
  </si>
  <si>
    <t>How to use</t>
  </si>
  <si>
    <t>Input data specific to your area:</t>
  </si>
  <si>
    <t>2. Input cells are highlighted in peach - input as much data as you can. For some inputs generic data can be used (noted beside the input)</t>
  </si>
  <si>
    <t xml:space="preserve"> - Note that differences to externally calculated GHG emissions are expected. Methodology, emission factors and global warming potentials will all affect GHG emission calculations. Alignment should be within a reasonable range of reported GHG emissions for your area.</t>
  </si>
  <si>
    <t>Adjust the scenarios to model future emissions based on the scenarios:</t>
  </si>
  <si>
    <t>5. You'll see a range of baseline data at the top, followed by a section that looks like the example scenario tables below.</t>
  </si>
  <si>
    <t xml:space="preserve"> - The section in green is the 'policy' that the user is asked to select a scenario for</t>
  </si>
  <si>
    <t xml:space="preserve"> - The section immediately below is the emission source data that the policy affects</t>
  </si>
  <si>
    <t>6. To model the impact of different scenarios, adjust the number highlighted in orange</t>
  </si>
  <si>
    <t xml:space="preserve"> - Note that scenario selections made in one scenario will tend to affect how impactful another is. E.g. More active transport will reduce the impact of electric vehicles, while more renewable electricity generation will increase their impact</t>
  </si>
  <si>
    <t>Examine the impact of scenarios chosen on modelled emissions</t>
  </si>
  <si>
    <t>7. Navigate to the yellow Modelled Results tab to explore the modelled results based on the scenarios chosen</t>
  </si>
  <si>
    <t>Example scenario:</t>
  </si>
  <si>
    <t>Lighting and appliances (Residential, industrial, and commercial)</t>
  </si>
  <si>
    <t>Scenario</t>
  </si>
  <si>
    <t>LIVE</t>
  </si>
  <si>
    <t>No change</t>
  </si>
  <si>
    <t xml:space="preserve">All lighting upgraded to LED (20% less intensive by 2050) </t>
  </si>
  <si>
    <t xml:space="preserve">All lighting LED + dramatic improvements to appliance efficiency (40% less intensive by 2050) </t>
  </si>
  <si>
    <t xml:space="preserve">All lighting LED + significant improvements to appliance efficiency (66% less intensive by 2050) </t>
  </si>
  <si>
    <t>Emissions Source</t>
  </si>
  <si>
    <t>Industry Electrical</t>
  </si>
  <si>
    <t>kwh</t>
  </si>
  <si>
    <t>Commercial Electrical</t>
  </si>
  <si>
    <t>Residential Electricity</t>
  </si>
  <si>
    <t>Sub-National Carbon Modelling</t>
  </si>
  <si>
    <t>Modelled Results</t>
  </si>
  <si>
    <t>Example City/District/Region</t>
  </si>
  <si>
    <t>Notes:</t>
  </si>
  <si>
    <t>This sheet presents the annual modelled emissions to 2050 following user input in the PEACH tabs, and chosen scenarios in the GREEN tabs</t>
  </si>
  <si>
    <t>All emissions are presented as tonnes of carbon dioxide equivalent units (tCO2e)</t>
  </si>
  <si>
    <t>The modelled input data (activity data) is provided at the bottom of this page for reference</t>
  </si>
  <si>
    <t>Biogenic methane emissions have also be separated from the total in line with the national split-gas emissions reduction approach</t>
  </si>
  <si>
    <t>The additional emissions reductions and/or sequestration required to achieve net zero emissions in 2050 beyond the modelled scenarios have also been calculated</t>
  </si>
  <si>
    <t>Total Net Emissions</t>
  </si>
  <si>
    <t>Emissions by Source (tCO2e)</t>
  </si>
  <si>
    <t>Change in annual emissions to 2050 (tCO2e)</t>
  </si>
  <si>
    <t>Percentage Change to 2050 (%)</t>
  </si>
  <si>
    <t>Wastewater</t>
  </si>
  <si>
    <t>Solid Waste</t>
  </si>
  <si>
    <t>Composting</t>
  </si>
  <si>
    <t>Natural Gas</t>
  </si>
  <si>
    <t>Coal</t>
  </si>
  <si>
    <t>Stationary Diesel</t>
  </si>
  <si>
    <t>Stationary Petrol</t>
  </si>
  <si>
    <t>Stationary LPG</t>
  </si>
  <si>
    <t>Industrial Electricity</t>
  </si>
  <si>
    <t>Commercial Electricity</t>
  </si>
  <si>
    <t>Transport Electricity</t>
  </si>
  <si>
    <t>Petrol</t>
  </si>
  <si>
    <t>Diesel</t>
  </si>
  <si>
    <t>Jet Kerosene</t>
  </si>
  <si>
    <t>Aviation Gas</t>
  </si>
  <si>
    <t>LPG</t>
  </si>
  <si>
    <t>Bioethanol</t>
  </si>
  <si>
    <t>Biodiesel</t>
  </si>
  <si>
    <t>Light Marine</t>
  </si>
  <si>
    <t>Heavy Marine</t>
  </si>
  <si>
    <t>Industrial Processes and Product Use (IPPU)</t>
  </si>
  <si>
    <t>Agriculture - Methane</t>
  </si>
  <si>
    <t>Agriculture - Nitrous Oxide</t>
  </si>
  <si>
    <t>Gross Emissions</t>
  </si>
  <si>
    <t>Native Regen</t>
  </si>
  <si>
    <t>N/A</t>
  </si>
  <si>
    <t>Exotic Commercial</t>
  </si>
  <si>
    <t>Soil Sequestration</t>
  </si>
  <si>
    <t>Net Emissions</t>
  </si>
  <si>
    <t>Emissions by Sector (tCO2e)</t>
  </si>
  <si>
    <t>Waste</t>
  </si>
  <si>
    <t>Stationary Energy</t>
  </si>
  <si>
    <t>Transport</t>
  </si>
  <si>
    <t>Agriculture</t>
  </si>
  <si>
    <t>Sequestration</t>
  </si>
  <si>
    <t>Additional reduction required for 2050 Net Zero</t>
  </si>
  <si>
    <t>Additional Net Reduction Required</t>
  </si>
  <si>
    <t>Net Emissions (w/ additional reduction)</t>
  </si>
  <si>
    <t>Modelled Biogenic Methane Emissions (waste and agriculture methane)</t>
  </si>
  <si>
    <t>Total Biogenic Methane</t>
  </si>
  <si>
    <t>Net emissions excl biogenic methane (waste &amp; agriculture methane)</t>
  </si>
  <si>
    <t>Gross Emissions excl biogenic methane</t>
  </si>
  <si>
    <t>Net Emissions excl biogenic methane</t>
  </si>
  <si>
    <t>Additional reduction required for 2050 Net Zero (excl biogenic methane)</t>
  </si>
  <si>
    <t>Additional Net Reduction</t>
  </si>
  <si>
    <t>Net Emissions excl biogenic methane (w/ additional reduction)</t>
  </si>
  <si>
    <t>Modelled Input Data</t>
  </si>
  <si>
    <t>Activity data</t>
  </si>
  <si>
    <t>Modelled Activity Data</t>
  </si>
  <si>
    <t>Emission Source Type</t>
  </si>
  <si>
    <t>Unit</t>
  </si>
  <si>
    <t>Chapter Category</t>
  </si>
  <si>
    <t>Sector Category</t>
  </si>
  <si>
    <t>Source Category</t>
  </si>
  <si>
    <t>WW Total</t>
  </si>
  <si>
    <t>Direct</t>
  </si>
  <si>
    <t>tCO2e</t>
  </si>
  <si>
    <t>Buildings</t>
  </si>
  <si>
    <t>Residual MSW</t>
  </si>
  <si>
    <t>tMSW</t>
  </si>
  <si>
    <t>t</t>
  </si>
  <si>
    <t>Gas</t>
  </si>
  <si>
    <t>Natural Gas Total</t>
  </si>
  <si>
    <t>GJ</t>
  </si>
  <si>
    <t>Energy</t>
  </si>
  <si>
    <t>L</t>
  </si>
  <si>
    <t>Industry</t>
  </si>
  <si>
    <t>Electricity</t>
  </si>
  <si>
    <t>Air Travel</t>
  </si>
  <si>
    <t>Jet Fuel</t>
  </si>
  <si>
    <t>Av Gas</t>
  </si>
  <si>
    <t>Biofuels</t>
  </si>
  <si>
    <t>Light Fuel Oil (Marine)</t>
  </si>
  <si>
    <t>Marine</t>
  </si>
  <si>
    <t>Fuel Oil</t>
  </si>
  <si>
    <t>Heavy Fuel Oil (Marine)</t>
  </si>
  <si>
    <t>Industrial Processes</t>
  </si>
  <si>
    <t>Methane</t>
  </si>
  <si>
    <t>tCH4</t>
  </si>
  <si>
    <t>Landuse</t>
  </si>
  <si>
    <t>Nitrous Oxide</t>
  </si>
  <si>
    <t>tN2O</t>
  </si>
  <si>
    <t>Native Extent</t>
  </si>
  <si>
    <t>ha</t>
  </si>
  <si>
    <t>Exotic Extent</t>
  </si>
  <si>
    <t>Modelled Scenarios</t>
  </si>
  <si>
    <t>This table presents the chosen scenarios used with the modelling</t>
  </si>
  <si>
    <t>To change the chosen scenarios, use the GREEN scenario tabs</t>
  </si>
  <si>
    <t>Sector/Source</t>
  </si>
  <si>
    <t>Scenario Description</t>
  </si>
  <si>
    <t>Base-Year Emissions Alignment Check</t>
  </si>
  <si>
    <t>This table presents the modelled 'base-year' GHG emissions, and enables comparison to the modelled city/region emissions inventory results.</t>
  </si>
  <si>
    <t>*input values below from your city/region emissions inventory to check similarity to modelled base-year emissions</t>
  </si>
  <si>
    <t>*input values below from your city/region emissions inventory to check similarity to modelled base-year activity data</t>
  </si>
  <si>
    <t>Emissions Inventory (same year)</t>
  </si>
  <si>
    <t>Percentage Difference</t>
  </si>
  <si>
    <t>Comments</t>
  </si>
  <si>
    <t>Land-use Scenarios</t>
  </si>
  <si>
    <t>Use the numbers in the orange cells (from 1 to 4) to adjust the scenarios in the green boxes. This will effect the modelled results for your city/region.</t>
  </si>
  <si>
    <t>All numbers in grey boxes are related to the calculations and are shown for reference only.</t>
  </si>
  <si>
    <t>Type</t>
  </si>
  <si>
    <t>Housing Growth (% of new housing)</t>
  </si>
  <si>
    <t>Housing Type</t>
  </si>
  <si>
    <t>Greenfield Detached</t>
  </si>
  <si>
    <t>Infill Detached</t>
  </si>
  <si>
    <t>Rural Lifestyle</t>
  </si>
  <si>
    <t>Medium/High Density</t>
  </si>
  <si>
    <t>Majority of growth is low density, greenfield development</t>
  </si>
  <si>
    <t>Status quo</t>
  </si>
  <si>
    <t>Increased medium density</t>
  </si>
  <si>
    <t>Majority of growth is medium/high density</t>
  </si>
  <si>
    <t>Forestry Growth (Native and Exotic)</t>
  </si>
  <si>
    <t xml:space="preserve">Status quo (no change) </t>
  </si>
  <si>
    <t>20% increase by 2050</t>
  </si>
  <si>
    <t>50% increase by 2050</t>
  </si>
  <si>
    <t>Forest area doubled by 2050</t>
  </si>
  <si>
    <t>Forestry</t>
  </si>
  <si>
    <t>Total Forestry</t>
  </si>
  <si>
    <t>Change in total extent</t>
  </si>
  <si>
    <t>Native/Exotic Forestry (New Forests)</t>
  </si>
  <si>
    <t>New forest is 100% exotic</t>
  </si>
  <si>
    <t>New forest is 80%/20% Exotic/Native (Some biodiversity plantings, but majority commercial forestry)</t>
  </si>
  <si>
    <t>New forest is 50%/50% native and exotic</t>
  </si>
  <si>
    <t>New forest is 100% native</t>
  </si>
  <si>
    <t>Residual Biomass from Forestry (for heating)</t>
  </si>
  <si>
    <t>Assuming wood chip boilers unlikely to replace electrified heat pumps etc., or small scale gas heaters</t>
  </si>
  <si>
    <t>All forestry residual biomass wood left on-site to rot</t>
  </si>
  <si>
    <t>20% of available forestry residual biomass used for heating by 2050</t>
  </si>
  <si>
    <t>50% of available forestry residual biomass used for heating by 2050</t>
  </si>
  <si>
    <t>All available forestry residual biomass used for heating by 2050</t>
  </si>
  <si>
    <t>Biomass Offset</t>
  </si>
  <si>
    <t>Biomass</t>
  </si>
  <si>
    <t>Heat Generation</t>
  </si>
  <si>
    <t>Additional Diesel (trucking)</t>
  </si>
  <si>
    <t>Chipper Electricity</t>
  </si>
  <si>
    <t>kWh</t>
  </si>
  <si>
    <t>Experimental Land Management Practices</t>
  </si>
  <si>
    <t>No experimental land management practices</t>
  </si>
  <si>
    <t>Methane Inoculation</t>
  </si>
  <si>
    <t>both</t>
  </si>
  <si>
    <t>Methane Inoculation and Soil Sequestration</t>
  </si>
  <si>
    <t>See Landuse a. Agriculture for results</t>
  </si>
  <si>
    <t>Industry Scenarios</t>
  </si>
  <si>
    <t>Source (solvents etc.)</t>
  </si>
  <si>
    <t>Source (transport)</t>
  </si>
  <si>
    <t>Source (stationary energy)</t>
  </si>
  <si>
    <t>Refrigerants</t>
  </si>
  <si>
    <t>Heavy Petrol</t>
  </si>
  <si>
    <t>Process Electricity</t>
  </si>
  <si>
    <t>Foam Blowing</t>
  </si>
  <si>
    <t>Heavy Diesel</t>
  </si>
  <si>
    <t>Process Gas</t>
  </si>
  <si>
    <t>Fire extinguishers</t>
  </si>
  <si>
    <t>Rail Diesel</t>
  </si>
  <si>
    <t>Process Coal</t>
  </si>
  <si>
    <t>Aerosols &amp; MDI*</t>
  </si>
  <si>
    <t>Rail Electricity</t>
  </si>
  <si>
    <t>Total</t>
  </si>
  <si>
    <t>Local/Transit Freight Proportion</t>
  </si>
  <si>
    <t>t/t</t>
  </si>
  <si>
    <t>Industry Growth (i.e. GDP growth excluding forestry and agriculture)</t>
  </si>
  <si>
    <t>*General comment on the link between GPD and each of these emission sources - this could be a pretty flawed assumption, especially when it makes such a big difference to the results</t>
  </si>
  <si>
    <t>No change in industry GDP</t>
  </si>
  <si>
    <t>Low GDP growth rate (+1.5%pa)</t>
  </si>
  <si>
    <t>In line with current national GDP growth (+3%pa)</t>
  </si>
  <si>
    <t>High GDP growth scenario, (+4%pa)</t>
  </si>
  <si>
    <t>Emission Source</t>
  </si>
  <si>
    <t>Solvents etc.</t>
  </si>
  <si>
    <t>Industrial Process Efficiency Improvements</t>
  </si>
  <si>
    <t xml:space="preserve">Minor efficiency improvements (5% more efficient by 2050) </t>
  </si>
  <si>
    <t xml:space="preserve">Minor efficiency improvements + Significant programme including reduce refrigerant leaks and minimise aerosol usage (20% more efficient by 2050) </t>
  </si>
  <si>
    <t xml:space="preserve">Major efficiency improvements. Goods significantly less energy intensive to produce (40% more efficient by 2050) </t>
  </si>
  <si>
    <t>Industrial Growth Factor</t>
  </si>
  <si>
    <t>Non-Process</t>
  </si>
  <si>
    <t>Process</t>
  </si>
  <si>
    <t>Freight Volume Growth</t>
  </si>
  <si>
    <t>Slight decline of freight volume (6% decrease by 2050)</t>
  </si>
  <si>
    <t>Modest increase (20% increase in freight by 2050)</t>
  </si>
  <si>
    <t>Doubling of freight volume by 2050</t>
  </si>
  <si>
    <t>Location becomes primary freight hub of North/South island by 2050</t>
  </si>
  <si>
    <t>Population Growth</t>
  </si>
  <si>
    <t>Proportion of baseline</t>
  </si>
  <si>
    <t xml:space="preserve"> </t>
  </si>
  <si>
    <t>Tourism Growth</t>
  </si>
  <si>
    <t>Current levels (per capita decline)</t>
  </si>
  <si>
    <t>Modest Growth (20%)</t>
  </si>
  <si>
    <t>Doubled by 2050 (in line with national tourism growth)</t>
  </si>
  <si>
    <t>3x increase in tourists by 2050 (major tourism hotspot)</t>
  </si>
  <si>
    <t>Tourist Growth</t>
  </si>
  <si>
    <t>Transport Scenarios</t>
  </si>
  <si>
    <t>Fuel Type (Baseline)</t>
  </si>
  <si>
    <t>Light vehicle petrol</t>
  </si>
  <si>
    <t>Light vehicle diesel</t>
  </si>
  <si>
    <t>Heavy vehicle petrol</t>
  </si>
  <si>
    <t>Heavy vehicle diesel</t>
  </si>
  <si>
    <t>Bus diesel</t>
  </si>
  <si>
    <t>Off-road diesel</t>
  </si>
  <si>
    <t>Off-road petrol</t>
  </si>
  <si>
    <t>Road Vehicle Distance Travelled</t>
  </si>
  <si>
    <t>vkt</t>
  </si>
  <si>
    <t>Agriculture Projections</t>
  </si>
  <si>
    <t>Industry Projections</t>
  </si>
  <si>
    <t>Population Projections</t>
  </si>
  <si>
    <t>Sum Projections</t>
  </si>
  <si>
    <t>Travel Demand (excl freight)</t>
  </si>
  <si>
    <t>Current trend (10% increase in travel demand by 2050)</t>
  </si>
  <si>
    <t>Modest decline (-10% by 2050)</t>
  </si>
  <si>
    <t>Significant decline (-40% by 2050)</t>
  </si>
  <si>
    <t>Land Freight Mode Shift (relative to base-year)</t>
  </si>
  <si>
    <t>Proportions unchanged</t>
  </si>
  <si>
    <t>Long distance road freight shift towards rail (-20% by 2050)</t>
  </si>
  <si>
    <t>Long distance road freight shift towards rail (-50% by 2050)</t>
  </si>
  <si>
    <t>All long distance road freight by rail by 2050</t>
  </si>
  <si>
    <t>30% of rail electrified by 2050</t>
  </si>
  <si>
    <t>50% of rail electrified by 2050</t>
  </si>
  <si>
    <t>100% electrification of rail by 2050</t>
  </si>
  <si>
    <t>Status quo (no change)</t>
  </si>
  <si>
    <t xml:space="preserve">Doubling of cycling numbers </t>
  </si>
  <si>
    <t>10% of trips are cycled by 2050</t>
  </si>
  <si>
    <t xml:space="preserve">Culture of biking (over 8x increase in cycling) </t>
  </si>
  <si>
    <t>Walking more popular (up 50%), higher quality footpaths/road crossings</t>
  </si>
  <si>
    <t>Doubling; more destinations are within walking distance etc.</t>
  </si>
  <si>
    <t>Highly active city (walking represents 25% of all trips by 2050)</t>
  </si>
  <si>
    <t>Active Distance Share</t>
  </si>
  <si>
    <t>Cycling</t>
  </si>
  <si>
    <t>Walking</t>
  </si>
  <si>
    <t>Active Transport Total</t>
  </si>
  <si>
    <t>Doubling of public transport use</t>
  </si>
  <si>
    <t>Significant investment and system changes (15% of all trips by 2050)</t>
  </si>
  <si>
    <t>Metro city (25% of all trips by 2050)</t>
  </si>
  <si>
    <t>Public Transport Distance Share</t>
  </si>
  <si>
    <t>PT Total</t>
  </si>
  <si>
    <t>Electrification of Light Vehicles</t>
  </si>
  <si>
    <t>Niche (5% of light vehicle trips completed by EV's by 2050)</t>
  </si>
  <si>
    <t>30% of light vehicle trips completed by EV's by 2050</t>
  </si>
  <si>
    <t>60% of light vehicle trips completed by EV's by 2050</t>
  </si>
  <si>
    <t>100% of light vehicle trips completed by EV's by 2050</t>
  </si>
  <si>
    <t>Additional Electricity Demand (kWh)</t>
  </si>
  <si>
    <t>Heavy Vehicle (excl bus) Electrification</t>
  </si>
  <si>
    <t>Heavy EV's remain uneconomic outside of highly specialised applications (only 1% of trips by heavy vehicles are electrified by 2050)</t>
  </si>
  <si>
    <t>20% of heavy vehicle trips are EV's by 2050 (e.g. garbage trucks, and other niche applications)</t>
  </si>
  <si>
    <t>50% of heavy vehicle trips are EV's by 2050</t>
  </si>
  <si>
    <t>75% electric by 2050, requiring Hydrogen Fuel cells or significant advances in battery technology</t>
  </si>
  <si>
    <t>Bus Electrification</t>
  </si>
  <si>
    <t>No significant change (1.5% increase by 2050)</t>
  </si>
  <si>
    <t>Busses 100% electrified by 2050</t>
  </si>
  <si>
    <t>Busses 100% electrified by 2040</t>
  </si>
  <si>
    <t>Busses 100% electrified by 2030</t>
  </si>
  <si>
    <t>Bus Diesel</t>
  </si>
  <si>
    <t>Vehicle Fuel Efficiencies</t>
  </si>
  <si>
    <t>Modest improvements (+5% by 2050)</t>
  </si>
  <si>
    <t>Current trend (+10% by 2050)</t>
  </si>
  <si>
    <t>Extreme scenario (+40% by 2050)</t>
  </si>
  <si>
    <t>Summary Results</t>
  </si>
  <si>
    <t>Electricity (new) kWh</t>
  </si>
  <si>
    <t>Marine Efficiencies</t>
  </si>
  <si>
    <t>20% reduction in fuel use per tkm by 2050</t>
  </si>
  <si>
    <t>40% reduction in fuel use per tkm by 2050</t>
  </si>
  <si>
    <t>60% reduction in fuel use per tkm by 2050</t>
  </si>
  <si>
    <t>Buildings Scenarios</t>
  </si>
  <si>
    <t>Category</t>
  </si>
  <si>
    <t>Electricity Demand</t>
  </si>
  <si>
    <t>Non-rail</t>
  </si>
  <si>
    <t>Natural Gas Consumption</t>
  </si>
  <si>
    <t>Solid Waste Production</t>
  </si>
  <si>
    <t>kgMSW/p/yr</t>
  </si>
  <si>
    <t>Rail</t>
  </si>
  <si>
    <t>kgMSW</t>
  </si>
  <si>
    <t>Commercial</t>
  </si>
  <si>
    <t>Residential</t>
  </si>
  <si>
    <t>Urban</t>
  </si>
  <si>
    <t>Coal Consumption</t>
  </si>
  <si>
    <t>Rural</t>
  </si>
  <si>
    <t>Total Building Energy Demand</t>
  </si>
  <si>
    <t>Baseline Growth Factor</t>
  </si>
  <si>
    <t>Industry Non-Process</t>
  </si>
  <si>
    <t>Initial Electricity Demand</t>
  </si>
  <si>
    <t>Heating Energy Use</t>
  </si>
  <si>
    <t>Source</t>
  </si>
  <si>
    <t>Use</t>
  </si>
  <si>
    <t>% of source</t>
  </si>
  <si>
    <t>% of heating</t>
  </si>
  <si>
    <t>% Nat gas/coal</t>
  </si>
  <si>
    <t>Electrical</t>
  </si>
  <si>
    <t>Nat Gas</t>
  </si>
  <si>
    <t>Industrial Process Energy</t>
  </si>
  <si>
    <t>Stationary Liquid Fuels</t>
  </si>
  <si>
    <t>Space Heating</t>
  </si>
  <si>
    <t>Water Heating</t>
  </si>
  <si>
    <t>Heating Sum</t>
  </si>
  <si>
    <t>Else</t>
  </si>
  <si>
    <t>Household Energy Use %</t>
  </si>
  <si>
    <t>End Use</t>
  </si>
  <si>
    <t>Refrigeration</t>
  </si>
  <si>
    <t>Electronics</t>
  </si>
  <si>
    <t>Space Heating Proportion</t>
  </si>
  <si>
    <t>Lighting</t>
  </si>
  <si>
    <t>Cooking</t>
  </si>
  <si>
    <t>Clothes Drying</t>
  </si>
  <si>
    <t>Heating Total</t>
  </si>
  <si>
    <t>Space Heating Demand (Residential, industrial, and commercial)</t>
  </si>
  <si>
    <t>i.e. better insulation, more efficient heaters, sustainable wood burners</t>
  </si>
  <si>
    <t>Commercial Energy Use %</t>
  </si>
  <si>
    <t>Electronics and Other Electrical Uses</t>
  </si>
  <si>
    <t>Intermediate Heat (100-300 C), Cooking</t>
  </si>
  <si>
    <t xml:space="preserve">Lifting current housing stock to minimum standards (10% decrease by 2050) </t>
  </si>
  <si>
    <t>Intermediate Heat (100-300 C), Process req</t>
  </si>
  <si>
    <t>Widespread adoption of higher insulation standards/design (30% decrease by 2050)</t>
  </si>
  <si>
    <t xml:space="preserve">Estimated maximum (50% decrease by 2050) </t>
  </si>
  <si>
    <t>Low Temperature Heat (&lt;100 C), Space Heating</t>
  </si>
  <si>
    <t>Low Temperature Heat (&lt;100 C), Water Heating</t>
  </si>
  <si>
    <t>Space Cooling</t>
  </si>
  <si>
    <t>Motive Power, Stationary</t>
  </si>
  <si>
    <t>Residential Electrical</t>
  </si>
  <si>
    <t>Pumping</t>
  </si>
  <si>
    <t>Industry Gas</t>
  </si>
  <si>
    <t>Commercial Gas</t>
  </si>
  <si>
    <t>Residential Gas</t>
  </si>
  <si>
    <t>Industry Coal</t>
  </si>
  <si>
    <t>Commercial Coal</t>
  </si>
  <si>
    <t>Industrial Energy Use %</t>
  </si>
  <si>
    <t>Residential Coal</t>
  </si>
  <si>
    <t>Low Temperature Heat (&lt;100 C), Process req</t>
  </si>
  <si>
    <t>Space Heating proportion</t>
  </si>
  <si>
    <t>High Temperature Heat (&gt;300 C), Process req</t>
  </si>
  <si>
    <t>Non-Process Total</t>
  </si>
  <si>
    <t>Process Total</t>
  </si>
  <si>
    <t>Total Heating proportion</t>
  </si>
  <si>
    <t>Heatpump Efficiency Factor</t>
  </si>
  <si>
    <t>Flued Gas Efficiency Factor</t>
  </si>
  <si>
    <t>Coal Fireplace Efficiency Factor</t>
  </si>
  <si>
    <t>Electric vs Coal/Gas/Liquid Fuels Process Heat Efficiency Factor</t>
  </si>
  <si>
    <t>Non Heating Use</t>
  </si>
  <si>
    <t>Heating electrification (Residential, industrial, and commercial)</t>
  </si>
  <si>
    <t>Extrapolation of current trend towards heat pumps (50% electric heating by 2050)</t>
  </si>
  <si>
    <t>Majority of heating electrified (75% by 2050)</t>
  </si>
  <si>
    <t>All heating electrified by 2040</t>
  </si>
  <si>
    <t>Residential Hot Water Initial</t>
  </si>
  <si>
    <t>Electrified Residential Hot Water</t>
  </si>
  <si>
    <t>Solar Hotwater Offset</t>
  </si>
  <si>
    <t>Biomass Heating Offset</t>
  </si>
  <si>
    <t>Offset</t>
  </si>
  <si>
    <t>Gas Offset</t>
  </si>
  <si>
    <t>Energy Demand</t>
  </si>
  <si>
    <t>Offset Industrial Electricity</t>
  </si>
  <si>
    <t>Offset Commercial Electricity</t>
  </si>
  <si>
    <t>Offset Residential</t>
  </si>
  <si>
    <t>Waste Production</t>
  </si>
  <si>
    <t>Per capita waste volumes rise slightly (+10% by 2050)</t>
  </si>
  <si>
    <t xml:space="preserve">Modest reduction (-10% by 2050) </t>
  </si>
  <si>
    <t>Major changes to supply chains, packaging norms, consumption rates etc. (-40% by 2050)</t>
  </si>
  <si>
    <t>Municipal Solid Waste pp</t>
  </si>
  <si>
    <t>kgMSW/p</t>
  </si>
  <si>
    <t>MSW total</t>
  </si>
  <si>
    <t>Wastewater Urban New</t>
  </si>
  <si>
    <t>Wastewater Rural New</t>
  </si>
  <si>
    <t>Recycling (diverted waste)</t>
  </si>
  <si>
    <t>50% decrease in inorganic waste recycling by 2050 (Recycling markets in China etc. closing and no increase within NZ)</t>
  </si>
  <si>
    <t>No change in inorganic waste diversion rates</t>
  </si>
  <si>
    <t>Half of all inorganic waste recycled by 2050</t>
  </si>
  <si>
    <t>75% of inorganic waste recycled by 2050 (all currently divertible waste, plus upstream shift towards recyclable packaging etc.)</t>
  </si>
  <si>
    <t>Inorganic</t>
  </si>
  <si>
    <t>tInorganic</t>
  </si>
  <si>
    <t>Diverted</t>
  </si>
  <si>
    <t>tRecycling</t>
  </si>
  <si>
    <t>Greenwaste Diversion</t>
  </si>
  <si>
    <t xml:space="preserve">25% of greenwaste diverted from landfill by 2050 </t>
  </si>
  <si>
    <t>50% of greenwaste diverted from landfill by 2050</t>
  </si>
  <si>
    <t>100% of greenwaste diverted from landfill by 2050</t>
  </si>
  <si>
    <t>Organic</t>
  </si>
  <si>
    <t>Compost</t>
  </si>
  <si>
    <t>Energy Scenarios</t>
  </si>
  <si>
    <t>National Grid Renewable %</t>
  </si>
  <si>
    <t>Modest rise (4% increase by 2050) as older non-renewable generation plants are replaced with wind/geothermal</t>
  </si>
  <si>
    <t>Current max (94% by 2050), retaining some on-demand non-renewable generation to provide electricity during periods of peak demand, drought etc.</t>
  </si>
  <si>
    <t>All electricity generation renewable by 2035. Significant infrastructure changes and technological advancement required.</t>
  </si>
  <si>
    <t>GWh</t>
  </si>
  <si>
    <t>Transport (new)</t>
  </si>
  <si>
    <t>Implied National Electricity Demand</t>
  </si>
  <si>
    <t>Assumes that whatever changes happen locally are also reflected nationally</t>
  </si>
  <si>
    <t>Final Electricity Emissions</t>
  </si>
  <si>
    <t>Residential Solar PV/Hotwater on North-Facing Rooftops</t>
  </si>
  <si>
    <t xml:space="preserve">Solar remains relatively niche (only 10% of north facing rooftops with solar by 2050) </t>
  </si>
  <si>
    <t xml:space="preserve">Solar installations much more common (25% of north facing rooftops with solar by 2050) </t>
  </si>
  <si>
    <t xml:space="preserve">Solar cost falls to a point where solar rooftop is highly cost-effective for most households (50% of north facing rooftops have solar by 2050) </t>
  </si>
  <si>
    <t>All available north-facing roof area utilised by 2050</t>
  </si>
  <si>
    <t>Additional Generation</t>
  </si>
  <si>
    <t>Residential Installations</t>
  </si>
  <si>
    <t>Generation</t>
  </si>
  <si>
    <t># new PV installations</t>
  </si>
  <si>
    <t># new Hotwater</t>
  </si>
  <si>
    <t>New PV Capacity</t>
  </si>
  <si>
    <t>kW</t>
  </si>
  <si>
    <t>KWh</t>
  </si>
  <si>
    <t>Light EVs</t>
  </si>
  <si>
    <t>To grid</t>
  </si>
  <si>
    <t>Implied National</t>
  </si>
  <si>
    <t>Hotwater Offset Proportion</t>
  </si>
  <si>
    <t>10% of available commercial/industrial rooftop has solar PV by 2050</t>
  </si>
  <si>
    <t>50% of available commercial/industrial rooftop has solar PV by 2050</t>
  </si>
  <si>
    <t>100% of available commercial/industrial rooftop has solar PV by 2050</t>
  </si>
  <si>
    <t>Available roof area</t>
  </si>
  <si>
    <t>m2</t>
  </si>
  <si>
    <t>New Area used</t>
  </si>
  <si>
    <t>New PV capacity</t>
  </si>
  <si>
    <t>Industrial Demand</t>
  </si>
  <si>
    <t>Commercial Demand</t>
  </si>
  <si>
    <t>Offset Industrial Demand</t>
  </si>
  <si>
    <t>Offset Commercial Demand</t>
  </si>
  <si>
    <t>To grid local</t>
  </si>
  <si>
    <t>Implied National (Large Scale)</t>
  </si>
  <si>
    <t>Total National Solar</t>
  </si>
  <si>
    <t>Transport Biofuels</t>
  </si>
  <si>
    <t xml:space="preserve"> Biofuel makes up 5% of all fuel sales by 2030, 15% by 2050 (current practical limit)</t>
  </si>
  <si>
    <t>Pre-biofuel</t>
  </si>
  <si>
    <t>Post-biofuel</t>
  </si>
  <si>
    <t>Off-road Diesel</t>
  </si>
  <si>
    <t>Off-road Petrol</t>
  </si>
  <si>
    <t>Baseline year</t>
  </si>
  <si>
    <t>Increment Year 1</t>
  </si>
  <si>
    <t>Increment Year 2</t>
  </si>
  <si>
    <t>Increment Year 3</t>
  </si>
  <si>
    <t>Increment Year 4</t>
  </si>
  <si>
    <t>Increment Year 5</t>
  </si>
  <si>
    <t>Final Year</t>
  </si>
  <si>
    <t>Population numbers</t>
  </si>
  <si>
    <t>Change in Tourist Numbers</t>
  </si>
  <si>
    <t>Effective Population</t>
  </si>
  <si>
    <t>Transport weighted Population</t>
  </si>
  <si>
    <t>Number of households</t>
  </si>
  <si>
    <t>Average household size</t>
  </si>
  <si>
    <t>New Households</t>
  </si>
  <si>
    <t>Vehicles</t>
  </si>
  <si>
    <t>Light ICE petrol</t>
  </si>
  <si>
    <t>L/100km</t>
  </si>
  <si>
    <t>Light ICE diesel</t>
  </si>
  <si>
    <t>Heavy ICE petrol</t>
  </si>
  <si>
    <t>Heavy ICE diesel</t>
  </si>
  <si>
    <t>Bus ICE diesel</t>
  </si>
  <si>
    <t>Light EV</t>
  </si>
  <si>
    <t>kWh/100km</t>
  </si>
  <si>
    <t>'Medium' EV</t>
  </si>
  <si>
    <t>Heavy (Freight) EV</t>
  </si>
  <si>
    <t>Heavy Hydrogen Cell V</t>
  </si>
  <si>
    <t>Bus EV</t>
  </si>
  <si>
    <t>% Light Fleet km Petrol</t>
  </si>
  <si>
    <t>% Light Fleet km Diesel</t>
  </si>
  <si>
    <t>Rail Diesel efficiency</t>
  </si>
  <si>
    <t>MJ/MJ</t>
  </si>
  <si>
    <t>Rail Electric</t>
  </si>
  <si>
    <t>Diesel Energy Content</t>
  </si>
  <si>
    <t>MJ/L</t>
  </si>
  <si>
    <t>MJ/kwh</t>
  </si>
  <si>
    <t>MJ/kWh</t>
  </si>
  <si>
    <t>Rail Electric/Diesel Ratio</t>
  </si>
  <si>
    <t>kWh/L</t>
  </si>
  <si>
    <t>Diesel Rail/Road Efficiency Ratio</t>
  </si>
  <si>
    <t>L/L</t>
  </si>
  <si>
    <t>Land Use</t>
  </si>
  <si>
    <t>Net Energy Value</t>
  </si>
  <si>
    <t>GJ/t residue</t>
  </si>
  <si>
    <t>Residual wood available</t>
  </si>
  <si>
    <t>%</t>
  </si>
  <si>
    <t>Forest Density</t>
  </si>
  <si>
    <t>stems/ha</t>
  </si>
  <si>
    <t>Wood volume</t>
  </si>
  <si>
    <t>m3/stem</t>
  </si>
  <si>
    <t>Wood mass</t>
  </si>
  <si>
    <t>t/m3</t>
  </si>
  <si>
    <t>Transport Truck Size</t>
  </si>
  <si>
    <t>t/truck</t>
  </si>
  <si>
    <t>Truck Fuel Efficiency</t>
  </si>
  <si>
    <t>L/km/truck</t>
  </si>
  <si>
    <t>km</t>
  </si>
  <si>
    <t>Electricity Use by sector</t>
  </si>
  <si>
    <t>Industrial (incl. agri.)</t>
  </si>
  <si>
    <t>% Organics</t>
  </si>
  <si>
    <t>% Inorganics recycled</t>
  </si>
  <si>
    <t>% greenwaste diverted</t>
  </si>
  <si>
    <t>Industrial Stationary Liquid Fuels by End Use</t>
  </si>
  <si>
    <t>Housing Growth Factors</t>
  </si>
  <si>
    <t>Energy Efficiency Factor</t>
  </si>
  <si>
    <t>Distance (km)</t>
  </si>
  <si>
    <t>Section Size (ha)</t>
  </si>
  <si>
    <t>Rural?</t>
  </si>
  <si>
    <t>Non-commuter factor</t>
  </si>
  <si>
    <t>Wastewater factor</t>
  </si>
  <si>
    <t>Processing</t>
  </si>
  <si>
    <t>Electricity Generation</t>
  </si>
  <si>
    <t>Industrial</t>
  </si>
  <si>
    <t>Other transport inputs</t>
  </si>
  <si>
    <t>% of trips</t>
  </si>
  <si>
    <t>Chipping Energy Use Factor</t>
  </si>
  <si>
    <t>Conversion Factor</t>
  </si>
  <si>
    <t>kWh/GJ</t>
  </si>
  <si>
    <t>Average distance/trip (all modes)</t>
  </si>
  <si>
    <t>km per trip</t>
  </si>
  <si>
    <t>Average distance/trip (cycling)</t>
  </si>
  <si>
    <t>Average distance/trip (ped)</t>
  </si>
  <si>
    <t>Cycling distance/trip ratio</t>
  </si>
  <si>
    <t>Walking distance/trip ratio</t>
  </si>
  <si>
    <t>Average distance/trip (PT)</t>
  </si>
  <si>
    <t>PT distance/trip ratio</t>
  </si>
  <si>
    <t>Freight Proportion (Local/Transit )</t>
  </si>
  <si>
    <t>Road freight contestable by rail (i.e. over 400km)</t>
  </si>
  <si>
    <t>% of freight</t>
  </si>
  <si>
    <t>National estimate (no source)</t>
  </si>
  <si>
    <t>Total Demand</t>
  </si>
  <si>
    <t>Total Solar Supply</t>
  </si>
  <si>
    <t>Baseline Year Solar Installations</t>
  </si>
  <si>
    <t>Baseline Year Solar Capacity (kW)</t>
  </si>
  <si>
    <t>Solar Hotwater Efficiency Factor</t>
  </si>
  <si>
    <t>Residential Supply/Demand alignment factor</t>
  </si>
  <si>
    <t>Residential with EV Supply/Demand alignment factor</t>
  </si>
  <si>
    <t>W/panel</t>
  </si>
  <si>
    <t>m2/panel average (including maintenance tracks etc.)</t>
  </si>
  <si>
    <t>Commercial/Industrial Supply/Demand alignment factor</t>
  </si>
  <si>
    <t>Building heating efficiency factors</t>
  </si>
  <si>
    <t>Value</t>
  </si>
  <si>
    <t>CH4 Emissions</t>
  </si>
  <si>
    <t>N2O Emissions</t>
  </si>
  <si>
    <t>Notes</t>
  </si>
  <si>
    <t>Land Area (ha)</t>
  </si>
  <si>
    <t>Dairy Cattle</t>
  </si>
  <si>
    <t>Sum housing - lifestyle</t>
  </si>
  <si>
    <t>Non-dairy Cattle</t>
  </si>
  <si>
    <t>Lifestyle/Forestry</t>
  </si>
  <si>
    <t>Sheep</t>
  </si>
  <si>
    <t>Horses</t>
  </si>
  <si>
    <t>Up with 1/5 lifestyle</t>
  </si>
  <si>
    <t>Deer</t>
  </si>
  <si>
    <t>Llamas/Alpacas</t>
  </si>
  <si>
    <t>Goats</t>
  </si>
  <si>
    <t>Up with 1/10 lifestyle</t>
  </si>
  <si>
    <t>% of Baseline</t>
  </si>
  <si>
    <t>Soil</t>
  </si>
  <si>
    <t>Fert Direct</t>
  </si>
  <si>
    <t>Stock Numbers</t>
  </si>
  <si>
    <t># Animals</t>
  </si>
  <si>
    <t>Volatilisation</t>
  </si>
  <si>
    <t>Total N2O</t>
  </si>
  <si>
    <t>Total CH4</t>
  </si>
  <si>
    <t>Inoculation Factor</t>
  </si>
  <si>
    <t>% N</t>
  </si>
  <si>
    <t>Reduction</t>
  </si>
  <si>
    <t>Fertiliser Use</t>
  </si>
  <si>
    <t>Urea</t>
  </si>
  <si>
    <t>Diammonium Phosphate</t>
  </si>
  <si>
    <t>Ammonium Sulphate</t>
  </si>
  <si>
    <t>Other N ferts</t>
  </si>
  <si>
    <t>Total N</t>
  </si>
  <si>
    <t>Farm Equipment (baseline)</t>
  </si>
  <si>
    <t>Soil Sequestration (Scenario C,D)</t>
  </si>
  <si>
    <t>Baseline</t>
  </si>
  <si>
    <t>tC/ha</t>
  </si>
  <si>
    <t>CO2/C Conversion</t>
  </si>
  <si>
    <t>tCO2/tC</t>
  </si>
  <si>
    <t>Sequestration Factor</t>
  </si>
  <si>
    <t>/yr</t>
  </si>
  <si>
    <t>tCO2/yr</t>
  </si>
  <si>
    <t>kgN20/kgN</t>
  </si>
  <si>
    <t>N20 Direct</t>
  </si>
  <si>
    <t>N20 volatilisation %</t>
  </si>
  <si>
    <t>kg NH3-N + NOx-N/kg N</t>
  </si>
  <si>
    <t>Cumulative New Houses</t>
  </si>
  <si>
    <t>Total Houses</t>
  </si>
  <si>
    <t>Number of new dwellings</t>
  </si>
  <si>
    <t>Energy growth factor</t>
  </si>
  <si>
    <t>Scenario Sum</t>
  </si>
  <si>
    <t>Weighted Transport Demand Growth (weighted persons)</t>
  </si>
  <si>
    <t>Sum</t>
  </si>
  <si>
    <t>Rural Land Required (ha)</t>
  </si>
  <si>
    <t>Net Generation (GWh) (Supply)</t>
  </si>
  <si>
    <t>Renewable Portion</t>
  </si>
  <si>
    <t>Hydro</t>
  </si>
  <si>
    <t>Geothermal</t>
  </si>
  <si>
    <t>Biogas</t>
  </si>
  <si>
    <t>Wind</t>
  </si>
  <si>
    <t>Solar</t>
  </si>
  <si>
    <t>Renewable 'Remainder'</t>
  </si>
  <si>
    <t>Oil</t>
  </si>
  <si>
    <t>Renewable Share (%)</t>
  </si>
  <si>
    <t>Implied Demand (GWh)</t>
  </si>
  <si>
    <t>Agriculture/ Forestry</t>
  </si>
  <si>
    <t>-</t>
  </si>
  <si>
    <t>Transmission Losses</t>
  </si>
  <si>
    <t>% Losses</t>
  </si>
  <si>
    <t>Total 'Demand'</t>
  </si>
  <si>
    <t>Hard coal</t>
  </si>
  <si>
    <t>Brown coal</t>
  </si>
  <si>
    <t>Fuel oil</t>
  </si>
  <si>
    <t>Other oil</t>
  </si>
  <si>
    <t>CO2 (g/GJ)</t>
  </si>
  <si>
    <t>CO2 (t/GWh)</t>
  </si>
  <si>
    <t>GJ/KWH conversion factor</t>
  </si>
  <si>
    <t>Demand Specific Emission Factors</t>
  </si>
  <si>
    <t>tCO2/GWh</t>
  </si>
  <si>
    <r>
      <t>Net Generation (GWh)</t>
    </r>
    <r>
      <rPr>
        <vertAlign val="superscript"/>
        <sz val="11"/>
        <rFont val="Calibri"/>
        <family val="2"/>
        <scheme val="minor"/>
      </rPr>
      <t>1,2</t>
    </r>
    <r>
      <rPr>
        <sz val="11"/>
        <rFont val="Calibri"/>
        <family val="2"/>
        <scheme val="minor"/>
      </rPr>
      <t xml:space="preserve"> - (Supply)</t>
    </r>
  </si>
  <si>
    <r>
      <t>Solar</t>
    </r>
    <r>
      <rPr>
        <vertAlign val="superscript"/>
        <sz val="11"/>
        <color rgb="FFFF0000"/>
        <rFont val="Calibri"/>
        <family val="2"/>
        <scheme val="minor"/>
      </rPr>
      <t>3</t>
    </r>
  </si>
  <si>
    <t>Renewable Remainder</t>
  </si>
  <si>
    <t>Agriculture/ Forestry/ Fishing</t>
  </si>
  <si>
    <t>Industrial:</t>
  </si>
  <si>
    <t>Commercial (incl. Transport)</t>
  </si>
  <si>
    <t>Losses</t>
  </si>
  <si>
    <t>Electricity Supply</t>
  </si>
  <si>
    <t>tCO2e per</t>
  </si>
  <si>
    <t>Wood</t>
  </si>
  <si>
    <t>Stationary Combustion</t>
  </si>
  <si>
    <t>Coal (by weight)</t>
  </si>
  <si>
    <t>kg</t>
  </si>
  <si>
    <t>MfE 2023</t>
  </si>
  <si>
    <t>Not done</t>
  </si>
  <si>
    <t>Done</t>
  </si>
  <si>
    <t>Natural Gas Direct</t>
  </si>
  <si>
    <t>Natural Gas Transmission Loss</t>
  </si>
  <si>
    <t>Transport Fuels</t>
  </si>
  <si>
    <t>(Liquid Biofuels)</t>
  </si>
  <si>
    <t>ha/yr</t>
  </si>
  <si>
    <t>Without Landfill Gas Recovery</t>
  </si>
  <si>
    <t xml:space="preserve">Done  </t>
  </si>
  <si>
    <t>Wastewater Lifestyle</t>
  </si>
  <si>
    <t>person</t>
  </si>
  <si>
    <t>Wastewater Town System</t>
  </si>
  <si>
    <t>household</t>
  </si>
  <si>
    <t>v0.71</t>
  </si>
  <si>
    <t>Patch notes created</t>
  </si>
  <si>
    <t>v0.8</t>
  </si>
  <si>
    <t>Updated:</t>
  </si>
  <si>
    <t>Buildings:</t>
  </si>
  <si>
    <t xml:space="preserve"> Space Heating, Heating electrification, Recycling.</t>
  </si>
  <si>
    <t>Energy a. Electricity Supply:</t>
  </si>
  <si>
    <t>Scenarios 2-4</t>
  </si>
  <si>
    <t>Transport:</t>
  </si>
  <si>
    <t>Light vehicle electrification: Diesel formula</t>
  </si>
  <si>
    <t>Landuse b. Housing Growth</t>
  </si>
  <si>
    <t>Deleted 'wastewater emissions' section (now covered in Buildings)</t>
  </si>
  <si>
    <t>Emissions Factors</t>
  </si>
  <si>
    <t>Jetfuel, Av Gas emissions factors now account for radiative forcing</t>
  </si>
  <si>
    <t>Landuse a. Agriculture</t>
  </si>
  <si>
    <t>Fixed fertilizer use formula errors</t>
  </si>
  <si>
    <t>Created to do list</t>
  </si>
  <si>
    <t>v0.81</t>
  </si>
  <si>
    <t>Created 'Results' sheet for emissions summary (in progress)</t>
  </si>
  <si>
    <t xml:space="preserve">v0.82 </t>
  </si>
  <si>
    <t>Landuse:</t>
  </si>
  <si>
    <t>Experimental Land Management Policy</t>
  </si>
  <si>
    <t>Fixed methane sum calculation error</t>
  </si>
  <si>
    <t>v0.83</t>
  </si>
  <si>
    <t>9/12/19 Nodero Meeting</t>
  </si>
  <si>
    <t>Updated</t>
  </si>
  <si>
    <t>Fixed AT/PT Scenario 1 formula</t>
  </si>
  <si>
    <t>Clarified Heavy Vehicle Fuel Proportion Input</t>
  </si>
  <si>
    <t>Added Heavy EV Additional Electricity Demand Formula</t>
  </si>
  <si>
    <t>Energy:</t>
  </si>
  <si>
    <t>Updated Additional Generation Transport (new) to account for above</t>
  </si>
  <si>
    <t>Updated Vehicle Fuel Efficiencies to include Electric Rail</t>
  </si>
  <si>
    <t>Fixed Heavy Vehicle Electrification 'Bus A' formula</t>
  </si>
  <si>
    <t>Updated Freight Mode Shift formulae &amp; scenario D</t>
  </si>
  <si>
    <t>v0.84</t>
  </si>
  <si>
    <t>Fixed Forestry Extent formula, policy levels</t>
  </si>
  <si>
    <t>Fixed LPG travel demand formula</t>
  </si>
  <si>
    <t>v0.85</t>
  </si>
  <si>
    <t>Fixed 2023-2043 policy levels</t>
  </si>
  <si>
    <t>Changed 'energy growth' output forumla to 'Energy Growth Factor' to allow direct input into chapter 4. Buildings</t>
  </si>
  <si>
    <t>v0.9</t>
  </si>
  <si>
    <t>Updated local/national electricity demand conversion formula</t>
  </si>
  <si>
    <t>Overhauled all building formulas to account for demand growth as a result of other policy chapters</t>
  </si>
  <si>
    <t xml:space="preserve"> -&gt; and improved modelling of process heat</t>
  </si>
  <si>
    <t>Seperated out process/non-process growth factor to support above</t>
  </si>
  <si>
    <t>Added solar rootops &amp; PV/Hotwater policies and formula</t>
  </si>
  <si>
    <t>v0.91</t>
  </si>
  <si>
    <t>Baseline Statistics:</t>
  </si>
  <si>
    <t>Removed household size formula. Values are now 'hardcoded'.</t>
  </si>
  <si>
    <t>Renamed "2018 Household Number" to "Number of households"</t>
  </si>
  <si>
    <t>v0.92</t>
  </si>
  <si>
    <t>Fixed heating electrification formula to only affect gas/coal heating proportion of energy use</t>
  </si>
  <si>
    <t>Developed formula to account for Solar Hotwater offset (from 5. Energy), and updated Energy Demand formula to include this</t>
  </si>
  <si>
    <t>v0.93</t>
  </si>
  <si>
    <t>Completed Solar PV/Hotwater policies</t>
  </si>
  <si>
    <t>Updated solar generation formula, referencing 5. Energy 'Implied National Generation' figures</t>
  </si>
  <si>
    <t>All.</t>
  </si>
  <si>
    <t>All policy placeholder values are now highlighted yellow</t>
  </si>
  <si>
    <t>v0.94</t>
  </si>
  <si>
    <t>Fixed space heating demand formulas</t>
  </si>
  <si>
    <t>Cleaned up some testing artifacts that weren't contributing to anything</t>
  </si>
  <si>
    <t>Completed 'Large Scale PV' policy</t>
  </si>
  <si>
    <t>Split commercial/industrial from residential electricity in final sum 'Energy Demand'</t>
  </si>
  <si>
    <t>Added 'final' demand figures, including offset from solar PV</t>
  </si>
  <si>
    <t>Further tweaked solar generation formula to include large scale PV generation</t>
  </si>
  <si>
    <t>N.B. Only Scenario 1 is 'fully operational'</t>
  </si>
  <si>
    <t>Renamed "Industrial Process Emissions" to "Industrial Process Energy" and added units</t>
  </si>
  <si>
    <t>Added comments to all policy placeholder values with final value</t>
  </si>
  <si>
    <t>v0.95</t>
  </si>
  <si>
    <t>Removed 'wood' electricity generation entirely (only used for offsetting heat demand in NZ, not electricity generation)</t>
  </si>
  <si>
    <t>Tweaked Transmision Loss/% Losses formulae for better clarity</t>
  </si>
  <si>
    <t>v0.96</t>
  </si>
  <si>
    <t>Added biomass policy formula</t>
  </si>
  <si>
    <t>Adjusted Post-landuse &amp; industry Projections (Scenario 1) Heavy Vehicle Diesel formula to account for diesel used transporting wood chips</t>
  </si>
  <si>
    <t>Added Biomass Heating Offset summary, and adjusted final energy demand figures to account for biomass offset</t>
  </si>
  <si>
    <t>v0.97</t>
  </si>
  <si>
    <t>Added biofuel policy</t>
  </si>
  <si>
    <t>Reordered policies to group forestry related policies sequentially</t>
  </si>
  <si>
    <t>v0.98</t>
  </si>
  <si>
    <t>Welcome:</t>
  </si>
  <si>
    <t>Added welcome sheet to introduce testers to model</t>
  </si>
  <si>
    <t>Added explanatory notes to all policy levels</t>
  </si>
  <si>
    <t>v0.99</t>
  </si>
  <si>
    <t>Results:</t>
  </si>
  <si>
    <t>Collated final emission source results</t>
  </si>
  <si>
    <t>Adjusted Post-landuse &amp; industry Projections (Scenario 1) Diesel and Jet Kerosene formulae to account for Industrial  Policies</t>
  </si>
  <si>
    <t>Fixed exotic extent formula</t>
  </si>
  <si>
    <t>v1.00</t>
  </si>
  <si>
    <t>Added sliders to allow users to easily switch between policies</t>
  </si>
  <si>
    <t>-&gt; To allow sliders to work properly, all policy level are now 1-4. Added comment 'Alpha' for those still intended to be A-D in the final</t>
  </si>
  <si>
    <t>Removed all policy placeholder test values</t>
  </si>
  <si>
    <t>Overhauled Landuse b. &amp; Energy a. to use 'LIVE' figures rather than map each scenario seperately</t>
  </si>
  <si>
    <t>Added graph 'Emissions by Sector'</t>
  </si>
  <si>
    <t>Fixed electricity demand formulae to correctly link through to actual demand</t>
  </si>
  <si>
    <t>Split commercial &amp; industrial from commercial/industrial electricity in final sum 'Energy Demand' (Buildings), Energy, and Results</t>
  </si>
  <si>
    <t>v1.01</t>
  </si>
  <si>
    <t>Removed '(Scenario 1)' text from result tables, and renamed a number of tables</t>
  </si>
  <si>
    <t>Adjusted housing type policy percentages</t>
  </si>
  <si>
    <t>Adjusted innoculation formulae to allow users to select scenario 4</t>
  </si>
  <si>
    <t>Adjusted sequestration formulae to allow users to select scenario 4</t>
  </si>
  <si>
    <t>Added note that Heavy Vehicle Electrification cannot currently be adjusted (also noted on welcome page)</t>
  </si>
  <si>
    <t>v1.03</t>
  </si>
  <si>
    <t>Section now only details live scenario (set by user in 1. Landuse). Updated references through workbook accordingly.</t>
  </si>
  <si>
    <t>Fixed lighting and appliance formula</t>
  </si>
  <si>
    <t>Included Stationary Liquid Fuels (Petrol, Diesel, LPG). Previously only accounted for in 2. Industry.</t>
  </si>
  <si>
    <t>Adjusted light EV, heavy EV, and vehicle fuel efficiency formulae to include off-road petrol and diesel</t>
  </si>
  <si>
    <t>Overhauled Heavy Vehicle Electrification to allow users to select scenarios</t>
  </si>
  <si>
    <t>Fixed Forestry Growth scenario 3 policy levels</t>
  </si>
  <si>
    <t>Adjusted biofuel formulae to include off-road diesel/petrol</t>
  </si>
  <si>
    <t>v1.04</t>
  </si>
  <si>
    <t>Freight mode shift formula updated to no longer affects Jet Kerosene</t>
  </si>
  <si>
    <t>Fixed AT/Public Transport formula to properly account for changes to earlier Freight Mode shift policy</t>
  </si>
  <si>
    <t>Updated lighting and appliance formula to additionally affect residential refridgeration</t>
  </si>
  <si>
    <t>Updated space heating demand formula to properly account for changing space heating demand proportion (because as lighting+appliances proportion falls, space heating rises)</t>
  </si>
  <si>
    <t>Fixed space heating demand formula to properly link through post-lighting and appliance values</t>
  </si>
  <si>
    <t>v1.05</t>
  </si>
  <si>
    <t>Fixed stationary diesel/petrol cell references</t>
  </si>
  <si>
    <t>Industry/Buildings:</t>
  </si>
  <si>
    <t>Overhauled treatment of Stationary Liquid Fuels, such that only the fraction used for industrial processes is affected by that policy, and only the fraction used for heating is affected by the relevant building policies</t>
  </si>
  <si>
    <t>Removed placeholder policies</t>
  </si>
  <si>
    <t>Fixed formula in cell X22</t>
  </si>
  <si>
    <t>Industry:</t>
  </si>
  <si>
    <t>Adjusted Industrial Growth policy levels. All policies in model now follow consistent format of (broadly speaking) 'similar to today -&gt; less similar'</t>
  </si>
  <si>
    <t>Tidied up a few typos and ephemera</t>
  </si>
  <si>
    <t>v1.06</t>
  </si>
  <si>
    <t>Fixed formula in cell I196</t>
  </si>
  <si>
    <t>Fixed policy level in cell I188</t>
  </si>
  <si>
    <t>Fixed additional electricity demand formula (heavy vehicles row 225) to reference fuel cells ('Baseline Statistics'!$D34) for heavy freight diesel conversion</t>
  </si>
  <si>
    <t>v1.07</t>
  </si>
  <si>
    <t>Updated formulae in cells G191 &amp; H191 to be clearer</t>
  </si>
  <si>
    <t>Results 2:</t>
  </si>
  <si>
    <t>Derived floor, default, and maximum carbon values for each chapter. Sum of these values significantly greater than maximum citywide carbon.</t>
  </si>
  <si>
    <t>Updated cells L10:12 to allocate all non-transport electricity emissions to the energy chapter</t>
  </si>
  <si>
    <t>Fixed typo in cells L22:23</t>
  </si>
  <si>
    <t>v1.08</t>
  </si>
  <si>
    <t>Minmax Values:</t>
  </si>
  <si>
    <t>Calculated chapter/city view maximum</t>
  </si>
  <si>
    <t>Adjusted forestry growth scenario 2 &amp; 3 values (Cells D36-I37)</t>
  </si>
  <si>
    <t>v1.10</t>
  </si>
  <si>
    <t>Slightly reduced scenario 4 values to max out at a more plausible 600% growth (Cells C38:I38)</t>
  </si>
  <si>
    <t>Adjusted active transport to also account for assumed increased distance/trip as mode share grows. (Cells C121:I122)</t>
  </si>
  <si>
    <t>v1.11</t>
  </si>
  <si>
    <t>Year references</t>
  </si>
  <si>
    <t>linked all references to years across all sheets to table on 'Baseline Statistics' (cells Q3:W3)</t>
  </si>
  <si>
    <t>Targets</t>
  </si>
  <si>
    <t xml:space="preserve">Added a targets section to 'Baseline Statistics' sheet and linked to results page. Includes ability to set gross, net and split gas targets. Driven by % reductions from baseyear. </t>
  </si>
  <si>
    <t>Results</t>
  </si>
  <si>
    <t>Added target series and overall results sum of net/gross results to results graph</t>
  </si>
  <si>
    <t>v2</t>
  </si>
  <si>
    <t>All years cells are now linked through to the user-input years in the 'Baseline Statistics' tab, which has been shifted slightly to align with the rest of the data</t>
  </si>
  <si>
    <t>Input Consolidation</t>
  </si>
  <si>
    <t>Consolidated the positions of most major inputs into Baseline Statistics/Usage tabs, to allow easier customisation</t>
  </si>
  <si>
    <t>Naming</t>
  </si>
  <si>
    <t>Removed references to 'Palmy', 'Palmerston North', 'PNCC', etc. Tidied up variable names to be more consistent.</t>
  </si>
  <si>
    <t>Protection</t>
  </si>
  <si>
    <t>Protected model structure pending licence agreement</t>
  </si>
  <si>
    <t>Electrical Supply</t>
  </si>
  <si>
    <t>Prevented some generation figures from returning (small) negative numbers under extreme scenarios</t>
  </si>
  <si>
    <t>Overhauled transport model to allow for vehicle efficiencies to change over time</t>
  </si>
  <si>
    <t>Beware of the interactions of the above, and the 'Vehicle Fuel Efficiencies' scenario. You should use one or the other.</t>
  </si>
  <si>
    <t>v3</t>
  </si>
  <si>
    <t>Open Source Licence</t>
  </si>
  <si>
    <t>Now available under a standard Creative Commons Attribution 4.0 International Licence</t>
  </si>
  <si>
    <t>You are free to:</t>
  </si>
  <si>
    <r>
      <t>Share</t>
    </r>
    <r>
      <rPr>
        <sz val="11"/>
        <color theme="1"/>
        <rFont val="Calibri"/>
        <family val="2"/>
        <scheme val="minor"/>
      </rPr>
      <t xml:space="preserve"> — copy and redistribute the material in any medium or format</t>
    </r>
  </si>
  <si>
    <r>
      <t>Adapt</t>
    </r>
    <r>
      <rPr>
        <sz val="11"/>
        <color theme="1"/>
        <rFont val="Calibri"/>
        <family val="2"/>
        <scheme val="minor"/>
      </rPr>
      <t xml:space="preserve"> — remix, transform, and build upon the material</t>
    </r>
  </si>
  <si>
    <t>for any purpose, even commercially.</t>
  </si>
  <si>
    <t>Under the following terms:</t>
  </si>
  <si>
    <r>
      <t>Attribution</t>
    </r>
    <r>
      <rPr>
        <sz val="11"/>
        <color theme="1"/>
        <rFont val="Calibri"/>
        <family val="2"/>
        <scheme val="minor"/>
      </rPr>
      <t xml:space="preserve"> — You must give appropriate credit, provide a link to the license, and indicate if changes were made. You may do so in any reasonable manner, but not in any way that suggests the licensor endorses you or your use. </t>
    </r>
  </si>
  <si>
    <r>
      <rPr>
        <b/>
        <sz val="11"/>
        <color theme="1"/>
        <rFont val="Calibri"/>
        <family val="2"/>
        <scheme val="minor"/>
      </rPr>
      <t>No additional restrictions</t>
    </r>
    <r>
      <rPr>
        <sz val="11"/>
        <color theme="1"/>
        <rFont val="Calibri"/>
        <family val="2"/>
        <scheme val="minor"/>
      </rPr>
      <t xml:space="preserve"> — You may not apply legal terms or technological measures that legally restrict others from doing anything the license permits.</t>
    </r>
  </si>
  <si>
    <t>See here for further information: https://creativecommons.org/licenses/by/4.0/</t>
  </si>
  <si>
    <t>Rooftop solar PV/Water</t>
  </si>
  <si>
    <t>Large Scale PV (Commercial and Industrial) on available roof area</t>
  </si>
  <si>
    <t xml:space="preserve"> Biofuel makes up 50% of all fuel sales by 2050</t>
  </si>
  <si>
    <t xml:space="preserve"> Biofuel makes up 5% of all fuel sales by 2030, 25% by 2050</t>
  </si>
  <si>
    <t>Comment</t>
  </si>
  <si>
    <t>Biomass used for heating</t>
  </si>
  <si>
    <t>Average distance between biomass source and heating plant</t>
  </si>
  <si>
    <t>Effective Population Growth %</t>
  </si>
  <si>
    <t>Transport weighted 'Population' Growth %</t>
  </si>
  <si>
    <t>Tourist numbers</t>
  </si>
  <si>
    <t>Tourists Visitor-days</t>
  </si>
  <si>
    <t>Tourists Visitor-years</t>
  </si>
  <si>
    <t>Adjusted Population</t>
  </si>
  <si>
    <t>Households</t>
  </si>
  <si>
    <t>Enter the 'Baseline' year you will be using for the model - please choose the most recent year you have a sub-national GHG emissions inventory for</t>
  </si>
  <si>
    <t>You can also adjust the other years, but ensure they are at regular intervals between your "Baseline Year" and the "Final Year"</t>
  </si>
  <si>
    <t>Modelled years</t>
  </si>
  <si>
    <t>Modelled Years Notes:</t>
  </si>
  <si>
    <t>Population numbers Notes:</t>
  </si>
  <si>
    <t>Enter Baseline Year population numbers, and projected numbers for each increment year</t>
  </si>
  <si>
    <t>Tourist numbers Notes:</t>
  </si>
  <si>
    <t>Enter Baseline Year tourist visitor days - the rest will auto-calculate</t>
  </si>
  <si>
    <t>Households Notes:</t>
  </si>
  <si>
    <t>Enter Baseline Year  number of households, and average household size for all years - the rest will auto-calculate</t>
  </si>
  <si>
    <t>Enter values for your city/region in each of the peach coloured cells. Darker peach coloured cells REQUIRE input for your city/region, for lighter peach coloured cells the existing value can be used if values are unknown for your city/region.</t>
  </si>
  <si>
    <t>All numbers in white cells are automatically calculated and are shown for reference only.</t>
  </si>
  <si>
    <t>General Notes:</t>
  </si>
  <si>
    <t>Native Forest Total Extent</t>
  </si>
  <si>
    <t>Exotic Forest Total Extent (e.g. commercial forests)</t>
  </si>
  <si>
    <t>Baseline User Input</t>
  </si>
  <si>
    <r>
      <t>Modelled Greenhouse Gas Emissions (tCO</t>
    </r>
    <r>
      <rPr>
        <b/>
        <vertAlign val="subscript"/>
        <sz val="20"/>
        <color theme="1"/>
        <rFont val="Calibri"/>
        <family val="2"/>
        <scheme val="minor"/>
      </rPr>
      <t>2</t>
    </r>
    <r>
      <rPr>
        <b/>
        <sz val="20"/>
        <color theme="1"/>
        <rFont val="Calibri"/>
        <family val="2"/>
        <scheme val="minor"/>
      </rPr>
      <t>e) to 2050</t>
    </r>
  </si>
  <si>
    <r>
      <t>Biogenic Methane (tCO</t>
    </r>
    <r>
      <rPr>
        <b/>
        <vertAlign val="subscript"/>
        <sz val="20"/>
        <color theme="1"/>
        <rFont val="Calibri"/>
        <family val="2"/>
        <scheme val="minor"/>
      </rPr>
      <t>2</t>
    </r>
    <r>
      <rPr>
        <b/>
        <sz val="20"/>
        <color theme="1"/>
        <rFont val="Calibri"/>
        <family val="2"/>
        <scheme val="minor"/>
      </rPr>
      <t>e)</t>
    </r>
  </si>
  <si>
    <r>
      <t>Net Emissions (excl biogenic methane) (tCO</t>
    </r>
    <r>
      <rPr>
        <b/>
        <vertAlign val="subscript"/>
        <sz val="20"/>
        <color theme="1"/>
        <rFont val="Calibri"/>
        <family val="2"/>
        <scheme val="minor"/>
      </rPr>
      <t>2</t>
    </r>
    <r>
      <rPr>
        <b/>
        <sz val="20"/>
        <color theme="1"/>
        <rFont val="Calibri"/>
        <family val="2"/>
        <scheme val="minor"/>
      </rPr>
      <t>e)</t>
    </r>
  </si>
  <si>
    <r>
      <t>Emissions by Source (tCO</t>
    </r>
    <r>
      <rPr>
        <b/>
        <vertAlign val="subscript"/>
        <sz val="11"/>
        <color theme="1"/>
        <rFont val="Calibri"/>
        <family val="2"/>
        <scheme val="minor"/>
      </rPr>
      <t>2</t>
    </r>
    <r>
      <rPr>
        <b/>
        <sz val="11"/>
        <color theme="1"/>
        <rFont val="Calibri"/>
        <family val="2"/>
        <scheme val="minor"/>
      </rPr>
      <t>e)</t>
    </r>
  </si>
  <si>
    <r>
      <t>t CO</t>
    </r>
    <r>
      <rPr>
        <vertAlign val="subscript"/>
        <sz val="11"/>
        <color theme="1"/>
        <rFont val="Calibri"/>
        <family val="2"/>
        <scheme val="minor"/>
      </rPr>
      <t>2</t>
    </r>
    <r>
      <rPr>
        <sz val="11"/>
        <color theme="1"/>
        <rFont val="Calibri"/>
        <family val="2"/>
        <scheme val="minor"/>
      </rPr>
      <t>e</t>
    </r>
  </si>
  <si>
    <r>
      <t>SF</t>
    </r>
    <r>
      <rPr>
        <vertAlign val="subscript"/>
        <sz val="11"/>
        <rFont val="Calibri"/>
        <family val="2"/>
        <scheme val="minor"/>
      </rPr>
      <t>6</t>
    </r>
  </si>
  <si>
    <r>
      <t>t CO</t>
    </r>
    <r>
      <rPr>
        <b/>
        <vertAlign val="subscript"/>
        <sz val="11"/>
        <color theme="1"/>
        <rFont val="Calibri"/>
        <family val="2"/>
        <scheme val="minor"/>
      </rPr>
      <t>2</t>
    </r>
    <r>
      <rPr>
        <b/>
        <sz val="11"/>
        <color theme="1"/>
        <rFont val="Calibri"/>
        <family val="2"/>
        <scheme val="minor"/>
      </rPr>
      <t>e</t>
    </r>
  </si>
  <si>
    <t>Marine Light Fuel Oil</t>
  </si>
  <si>
    <t>Marine Heavy Fuel Oil</t>
  </si>
  <si>
    <t>If your data is not in the required units, please convert into the required units and enter.</t>
  </si>
  <si>
    <t>If your data is not in the required categories (e.g. light vehicle petrol and heavy vehicles petrol), please use local or national values to adjust your data into these categories</t>
  </si>
  <si>
    <t>Fuel Type</t>
  </si>
  <si>
    <t>Main Transport Inputs:</t>
  </si>
  <si>
    <t>Other Transport Inputs</t>
  </si>
  <si>
    <t>Natural Gas Use by sector</t>
  </si>
  <si>
    <t>Coal Use by sector</t>
  </si>
  <si>
    <t>Stationary Liquid Use by Sector</t>
  </si>
  <si>
    <t>Total Tonnes</t>
  </si>
  <si>
    <t>Total Litres</t>
  </si>
  <si>
    <t>LPG Use by Sector</t>
  </si>
  <si>
    <t>Baseline year % households with solar</t>
  </si>
  <si>
    <t>Solar Hotwater and Solar PV</t>
  </si>
  <si>
    <t>Baseline year Nationwide Electricity</t>
  </si>
  <si>
    <t>Municipal Solid Waste</t>
  </si>
  <si>
    <t>Municipal Solid Waste Per Capita</t>
  </si>
  <si>
    <t>Wastewater Treatment Plant Emissions</t>
  </si>
  <si>
    <t>Septic Tank Emissions</t>
  </si>
  <si>
    <t>Wastewater Treatment Plant Emissions per capita (urban)</t>
  </si>
  <si>
    <t>Septic Tank Emissions per capita (rural)</t>
  </si>
  <si>
    <t>Industrial Product Use (solvents etc.)</t>
  </si>
  <si>
    <t>#</t>
  </si>
  <si>
    <t>Farm Equipment Fuel Use</t>
  </si>
  <si>
    <t>Background Calculations - Agriculture</t>
  </si>
  <si>
    <r>
      <t xml:space="preserve">Grey tabs are the 'under the hood' calculation tabs - </t>
    </r>
    <r>
      <rPr>
        <i/>
        <sz val="11"/>
        <rFont val="Calibri"/>
        <family val="2"/>
        <scheme val="minor"/>
      </rPr>
      <t>no user inputs are required here</t>
    </r>
  </si>
  <si>
    <t>Blue tabs are the emission factors used</t>
  </si>
  <si>
    <t>Energy Conversion Factors</t>
  </si>
  <si>
    <t>The Physics Factbook: Fisher, Juliya (2003). "Energy Density of Coal"</t>
  </si>
  <si>
    <t>Uses Residential value</t>
  </si>
  <si>
    <t>https://www.flogas.co.uk/</t>
  </si>
  <si>
    <t>Regular Petrol</t>
  </si>
  <si>
    <t>Uses Residential value - converted to GJ</t>
  </si>
  <si>
    <t>Uses Commercial value - Converted from kg to litres</t>
  </si>
  <si>
    <t>Uses Commercial value</t>
  </si>
  <si>
    <t>Excludes biogenic CO2</t>
  </si>
  <si>
    <t>Excludes biogenic CO3</t>
  </si>
  <si>
    <t>Average of pre-1989, and post-1990 emission factors</t>
  </si>
  <si>
    <t>Pinus radiata</t>
  </si>
  <si>
    <t>General waste with gas recovery</t>
  </si>
  <si>
    <t>General waste without gas recovery</t>
  </si>
  <si>
    <t>Wastewater - Septic Tanks</t>
  </si>
  <si>
    <t>Wastewater Treatment Plants</t>
  </si>
  <si>
    <t>Global Warming Potential (GWP) factors</t>
  </si>
  <si>
    <t>IPCC, 2014, Fifth Assessment Report</t>
  </si>
  <si>
    <t>*Haven't updated - doesn't seem to be used anyway</t>
  </si>
  <si>
    <t>General Emission Factors</t>
  </si>
  <si>
    <t>Transport Efficiencies</t>
  </si>
  <si>
    <t>Agriculture Emission Factors</t>
  </si>
  <si>
    <t>Manure Management (CH4)</t>
  </si>
  <si>
    <t>Manure Management (N2O)</t>
  </si>
  <si>
    <t>Agricultural soils (live stock) (N2O)</t>
  </si>
  <si>
    <t>Enteric Fermentation (CH4)</t>
  </si>
  <si>
    <t>kg CO2e/yr</t>
  </si>
  <si>
    <t>kg CO2e/head/yr</t>
  </si>
  <si>
    <t>N2O to N</t>
  </si>
  <si>
    <t>Fertilisers</t>
  </si>
  <si>
    <t>Haven't updated/checked this</t>
  </si>
  <si>
    <t>General value</t>
  </si>
  <si>
    <t>General value - open fireplace</t>
  </si>
  <si>
    <t>Estimated commercial/industrial roof area available</t>
  </si>
  <si>
    <t>(not including area required for other uses)</t>
  </si>
  <si>
    <t>*Don't know what this is</t>
  </si>
  <si>
    <t>m2/panel</t>
  </si>
  <si>
    <t>Large Scale Solar PV and Solar Hotwater</t>
  </si>
  <si>
    <t xml:space="preserve">Average Solar Generation Factor </t>
  </si>
  <si>
    <t>kWh/kW/yr</t>
  </si>
  <si>
    <t>Average new PV power</t>
  </si>
  <si>
    <t>https://www.researchgate.net/publication/323265153_Throughput_Rate_and_Energy_Consumption_During_Wood_Chip_Production_in_Relation_to_Raw_Material_Chipper_Type_and_Machine_Setting</t>
  </si>
  <si>
    <t>Woodchip Energy</t>
  </si>
  <si>
    <t>Ministry of Transport, Annual fleet statistics</t>
  </si>
  <si>
    <t>MBIE 2023</t>
  </si>
  <si>
    <t>Derived from reported generation and reported emissions for 2021</t>
  </si>
  <si>
    <t>NZ Geothermal Association, 2020 Annual Review</t>
  </si>
  <si>
    <t>None</t>
  </si>
  <si>
    <t xml:space="preserve"> - this scenario has a big impact on results- with increasing electrification resulting in higher emissions</t>
  </si>
  <si>
    <t>LCR 2008</t>
  </si>
  <si>
    <t>Solid fertiliser - proportion N in fertiliser</t>
  </si>
  <si>
    <t>Emission factors have been entered into the base-year, and copied for each of the modelled years</t>
  </si>
  <si>
    <t>Emission factors have been checked and updated in March 2024</t>
  </si>
  <si>
    <t>Emission factors are from the Ministry for the Environment (MfE 2023) in the first instance.</t>
  </si>
  <si>
    <t>IPCC AR5 global warming potential (GWP) values have been used, aligning with the MfE 2023 emission factors.</t>
  </si>
  <si>
    <t>Electricity Generation emission factors (per source)</t>
  </si>
  <si>
    <t>Emission Factors, Standard Calculation Values, and Conversion Units</t>
  </si>
  <si>
    <t>Scenario Description (chosen in 1. Landuse sheet):</t>
  </si>
  <si>
    <t xml:space="preserve">These are background calculations and should not be adjusted by the user </t>
  </si>
  <si>
    <t>Background Calculations - Housing and Land Use</t>
  </si>
  <si>
    <t>Background Calculations - Electricity</t>
  </si>
  <si>
    <r>
      <t>Net Generation (GWh)</t>
    </r>
    <r>
      <rPr>
        <b/>
        <vertAlign val="superscript"/>
        <sz val="11"/>
        <rFont val="Calibri"/>
        <family val="2"/>
        <scheme val="minor"/>
      </rPr>
      <t>1,2</t>
    </r>
    <r>
      <rPr>
        <b/>
        <sz val="11"/>
        <rFont val="Calibri"/>
        <family val="2"/>
        <scheme val="minor"/>
      </rPr>
      <t xml:space="preserve"> - (Supply)</t>
    </r>
  </si>
  <si>
    <r>
      <t>Consumption (GWh)</t>
    </r>
    <r>
      <rPr>
        <b/>
        <vertAlign val="superscript"/>
        <sz val="11"/>
        <color theme="1"/>
        <rFont val="Calibri"/>
        <family val="2"/>
        <scheme val="minor"/>
      </rPr>
      <t xml:space="preserve">5  </t>
    </r>
    <r>
      <rPr>
        <b/>
        <sz val="11"/>
        <color theme="1"/>
        <rFont val="Arial"/>
        <family val="2"/>
      </rPr>
      <t>̶</t>
    </r>
    <r>
      <rPr>
        <b/>
        <sz val="11"/>
        <color theme="1"/>
        <rFont val="Calibri"/>
        <family val="2"/>
        <scheme val="minor"/>
      </rPr>
      <t xml:space="preserve">   Sector Wise (Demand)</t>
    </r>
  </si>
  <si>
    <r>
      <t>Consumption (GWh)</t>
    </r>
    <r>
      <rPr>
        <b/>
        <vertAlign val="superscript"/>
        <sz val="11"/>
        <color theme="1"/>
        <rFont val="Calibri"/>
        <family val="2"/>
        <scheme val="minor"/>
      </rPr>
      <t xml:space="preserve">5  </t>
    </r>
    <r>
      <rPr>
        <b/>
        <sz val="11"/>
        <color theme="1"/>
        <rFont val="Arial"/>
        <family val="2"/>
      </rPr>
      <t>̶</t>
    </r>
    <r>
      <rPr>
        <b/>
        <sz val="11"/>
        <color theme="1"/>
        <rFont val="Calibri"/>
        <family val="2"/>
        <scheme val="minor"/>
      </rPr>
      <t xml:space="preserve">  Sector Wise (Demand)</t>
    </r>
  </si>
  <si>
    <t>Re-think section - this has a VERY LARGE impact on the results</t>
  </si>
  <si>
    <t>NZ Census 2018</t>
  </si>
  <si>
    <t>NZ Average is 2.7 (2018 Census)</t>
  </si>
  <si>
    <t>Household Trip Share: Cycling (includes other micro mobility)</t>
  </si>
  <si>
    <t>Household Trip Share: Walking</t>
  </si>
  <si>
    <t>Household Trip Share: Public Transport</t>
  </si>
  <si>
    <t>Household Trip Share: Cycling</t>
  </si>
  <si>
    <t>2015–2018 Ministry of Transport Household Travel Survey</t>
  </si>
  <si>
    <t>NZ Average 2%</t>
  </si>
  <si>
    <t>NZ Average 10%</t>
  </si>
  <si>
    <t>NZ Average 4%</t>
  </si>
  <si>
    <t>MBIE 2022</t>
  </si>
  <si>
    <t>NZ average 41% (MBIE 2022)</t>
  </si>
  <si>
    <t>NZ average 25% (MBIE 2022)</t>
  </si>
  <si>
    <t>NZ average 34% (MBIE 2022)</t>
  </si>
  <si>
    <t>NZ average 78% (MBIE 2022)</t>
  </si>
  <si>
    <t>NZ average 11% (MBIE 2022)</t>
  </si>
  <si>
    <t>NZ average 19% (MBIE 2022)</t>
  </si>
  <si>
    <t>NZ average 40% (MBIE 2022)</t>
  </si>
  <si>
    <t>NZ average 97% (MBIE 2022)</t>
  </si>
  <si>
    <t>NZ average 2% (MBIE 2022)</t>
  </si>
  <si>
    <t>NZ average 1% (MBIE 2022)</t>
  </si>
  <si>
    <t>EA (for 2022)</t>
  </si>
  <si>
    <t>MBIE (for 2022)</t>
  </si>
  <si>
    <t>EECA Energy End Use Database 2022</t>
  </si>
  <si>
    <t>*Assumed from this source</t>
  </si>
  <si>
    <t>*Are users supposed to know this?</t>
  </si>
  <si>
    <t>1. Navigate to the 'Baseline Statistics' &amp; 'Baseline Usage' tabs</t>
  </si>
  <si>
    <t>In this model, Scenario '1' generally represents continuation of the status quo, and scenario '4' generally represents the most extreme scenario (however this is not always the case)</t>
  </si>
  <si>
    <t>4. Navigate to each of the green tabs (e.g. '1. Landuse')</t>
  </si>
  <si>
    <t xml:space="preserve">3. Review the modelled emissions for your base year in the yellow 'Base Year' tab (you can input your area's emissions inventory here to check the base year results). Ensure they generally align with your known GHG emissions inventory. </t>
  </si>
  <si>
    <t>Use this page to check the modelled results for the base year following user input in the 'Baseline Statistics' and 'Baseline User Input' tabs. You can enter you city/region's base year emissions inventory results in the peach cells to check comparability.</t>
  </si>
  <si>
    <t xml:space="preserve"> - Differences may be due to differences in inputs, calculation methodologies, emission factors, global warming potential values, emission source inclusions/exclusions, or grouping of emissions. Reasonable variations are to be expected.</t>
  </si>
  <si>
    <t>*I can't figure out where the 31% is from (heating electrification). Can you link it to something?</t>
  </si>
  <si>
    <t>Electrification of Rail</t>
  </si>
  <si>
    <t>No additional electrification (18% of rail electrified)</t>
  </si>
  <si>
    <t>Some areas of new Zealand might realistically expect a fall in industrial activity, with an economic shift towards services/tourism/etc (while still experiencing GDP growth)</t>
  </si>
  <si>
    <r>
      <t xml:space="preserve">*Assumes </t>
    </r>
    <r>
      <rPr>
        <b/>
        <i/>
        <sz val="11"/>
        <color rgb="FFFF0000"/>
        <rFont val="Calibri"/>
        <family val="2"/>
        <scheme val="minor"/>
      </rPr>
      <t>all</t>
    </r>
    <r>
      <rPr>
        <b/>
        <sz val="11"/>
        <color rgb="FFFF0000"/>
        <rFont val="Calibri"/>
        <family val="2"/>
        <scheme val="minor"/>
      </rPr>
      <t xml:space="preserve"> off-road petrol/diesel is farm equipment? - therefore off-road petrol/diesel only impacted by changes to farm-related things (actually more like 25% agricultural use, 15% building and construction, then forestry, industrial, mining, recreational marine)</t>
    </r>
  </si>
  <si>
    <t>*Sense checked the below only - seem reasonable</t>
  </si>
  <si>
    <t>Baseline Scenarios</t>
  </si>
  <si>
    <t>Where any differences are particularly significant, it might be worth checking inputs or calculation methodologies to ensure relevance of the modelling for your city/region.</t>
  </si>
  <si>
    <t>V4 - Produced May 2024 (Reviewed May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</si>
</sst>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8" formatCode="&quot;$&quot;#,##0.00;[Red]\-&quot;$&quot;#,##0.00"/>
    <numFmt numFmtId="41" formatCode="_-* #,##0_-;\-* #,##0_-;_-* &quot;-&quot;_-;_-@_-"/>
    <numFmt numFmtId="43" formatCode="_-* #,##0.00_-;\-* #,##0.00_-;_-* &quot;-&quot;??_-;_-@_-"/>
    <numFmt numFmtId="164" formatCode="_-* #,##0.0000000_-;\-* #,##0.0000000_-;_-* &quot;-&quot;???????_-;_-@_-"/>
    <numFmt numFmtId="165" formatCode="#,##0.0_ ;\-#,##0.0\ "/>
    <numFmt numFmtId="166" formatCode="_-* #,##0_-;\-* #,##0_-;_-* &quot;-&quot;??_-;_-@_-"/>
    <numFmt numFmtId="167" formatCode="0.0"/>
    <numFmt numFmtId="168" formatCode="#,##0.00000"/>
    <numFmt numFmtId="169" formatCode="0.0%"/>
    <numFmt numFmtId="170" formatCode="0.000000000000000%"/>
    <numFmt numFmtId="171" formatCode="0.0000000000"/>
    <numFmt numFmtId="172" formatCode="#,##0.000000000"/>
    <numFmt numFmtId="173" formatCode="_-* #,##0.0_-;\-* #,##0.0_-;_-* &quot;-&quot;??_-;_-@_-"/>
    <numFmt numFmtId="174" formatCode="0.00000000000000%"/>
    <numFmt numFmtId="175" formatCode="_-* #,##0.0000_-;\-* #,##0.0000_-;_-* &quot;-&quot;??_-;_-@_-"/>
    <numFmt numFmtId="176" formatCode="_-* #,##0.00000_-;\-* #,##0.00000_-;_-* &quot;-&quot;??_-;_-@_-"/>
  </numFmts>
  <fonts count="42" x14ac:knownFonts="1">
    <font>
      <sz val="11"/>
      <color theme="1"/>
      <name val="Calibri"/>
      <family val="2"/>
      <scheme val="minor"/>
    </font>
    <font>
      <sz val="10"/>
      <color theme="1"/>
      <name val="Arial"/>
      <family val="2"/>
    </font>
    <font>
      <sz val="11"/>
      <color theme="1"/>
      <name val="Calibri"/>
      <family val="2"/>
      <scheme val="minor"/>
    </font>
    <font>
      <sz val="11"/>
      <color theme="1"/>
      <name val="Arial"/>
      <family val="2"/>
    </font>
    <font>
      <sz val="11"/>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sz val="8"/>
      <name val="Helvetica"/>
      <family val="2"/>
    </font>
    <font>
      <b/>
      <sz val="10"/>
      <name val="Arial"/>
      <family val="2"/>
    </font>
    <font>
      <sz val="10"/>
      <name val="Arial"/>
      <family val="2"/>
    </font>
    <font>
      <sz val="9"/>
      <color indexed="81"/>
      <name val="Tahoma"/>
      <family val="2"/>
    </font>
    <font>
      <sz val="11"/>
      <color rgb="FF9C5700"/>
      <name val="Calibri"/>
      <family val="2"/>
      <scheme val="minor"/>
    </font>
    <font>
      <b/>
      <sz val="11"/>
      <color theme="1"/>
      <name val="Calibri"/>
      <family val="2"/>
      <scheme val="minor"/>
    </font>
    <font>
      <vertAlign val="superscript"/>
      <sz val="11"/>
      <name val="Calibri"/>
      <family val="2"/>
      <scheme val="minor"/>
    </font>
    <font>
      <vertAlign val="superscript"/>
      <sz val="11"/>
      <color rgb="FFFF0000"/>
      <name val="Calibri"/>
      <family val="2"/>
      <scheme val="minor"/>
    </font>
    <font>
      <b/>
      <sz val="9"/>
      <color indexed="81"/>
      <name val="Tahoma"/>
      <family val="2"/>
    </font>
    <font>
      <b/>
      <sz val="10"/>
      <color theme="1"/>
      <name val="Arial"/>
      <family val="2"/>
    </font>
    <font>
      <b/>
      <sz val="11"/>
      <name val="Calibri"/>
      <family val="2"/>
      <scheme val="minor"/>
    </font>
    <font>
      <sz val="8"/>
      <name val="Calibri"/>
      <family val="2"/>
      <scheme val="minor"/>
    </font>
    <font>
      <i/>
      <sz val="11"/>
      <name val="Calibri"/>
      <family val="2"/>
      <scheme val="minor"/>
    </font>
    <font>
      <b/>
      <sz val="13.5"/>
      <color theme="1"/>
      <name val="Calibri"/>
      <family val="2"/>
      <scheme val="minor"/>
    </font>
    <font>
      <b/>
      <sz val="11"/>
      <color rgb="FF006100"/>
      <name val="Calibri"/>
      <family val="2"/>
      <scheme val="minor"/>
    </font>
    <font>
      <i/>
      <sz val="11"/>
      <color theme="1"/>
      <name val="Calibri"/>
      <family val="2"/>
      <scheme val="minor"/>
    </font>
    <font>
      <b/>
      <sz val="18"/>
      <color theme="1"/>
      <name val="Calibri"/>
      <family val="2"/>
      <scheme val="minor"/>
    </font>
    <font>
      <b/>
      <sz val="11"/>
      <color rgb="FFFF0000"/>
      <name val="Calibri"/>
      <family val="2"/>
      <scheme val="minor"/>
    </font>
    <font>
      <sz val="11"/>
      <color rgb="FF00B050"/>
      <name val="Calibri"/>
      <family val="2"/>
      <scheme val="minor"/>
    </font>
    <font>
      <b/>
      <sz val="11"/>
      <color rgb="FF00B050"/>
      <name val="Calibri"/>
      <family val="2"/>
      <scheme val="minor"/>
    </font>
    <font>
      <b/>
      <i/>
      <sz val="11"/>
      <color theme="1"/>
      <name val="Calibri"/>
      <family val="2"/>
      <scheme val="minor"/>
    </font>
    <font>
      <u/>
      <sz val="11"/>
      <color theme="10"/>
      <name val="Calibri"/>
      <family val="2"/>
      <scheme val="minor"/>
    </font>
    <font>
      <sz val="11"/>
      <color theme="9" tint="-0.249977111117893"/>
      <name val="Calibri"/>
      <family val="2"/>
      <scheme val="minor"/>
    </font>
    <font>
      <b/>
      <i/>
      <sz val="11"/>
      <color rgb="FFFF0000"/>
      <name val="Calibri"/>
      <family val="2"/>
      <scheme val="minor"/>
    </font>
    <font>
      <i/>
      <sz val="11"/>
      <color theme="0" tint="-0.14999847407452621"/>
      <name val="Calibri"/>
      <family val="2"/>
      <scheme val="minor"/>
    </font>
    <font>
      <b/>
      <vertAlign val="subscript"/>
      <sz val="11"/>
      <color theme="1"/>
      <name val="Calibri"/>
      <family val="2"/>
      <scheme val="minor"/>
    </font>
    <font>
      <b/>
      <sz val="20"/>
      <color theme="1"/>
      <name val="Calibri"/>
      <family val="2"/>
      <scheme val="minor"/>
    </font>
    <font>
      <b/>
      <vertAlign val="subscript"/>
      <sz val="20"/>
      <color theme="1"/>
      <name val="Calibri"/>
      <family val="2"/>
      <scheme val="minor"/>
    </font>
    <font>
      <vertAlign val="subscript"/>
      <sz val="11"/>
      <color theme="1"/>
      <name val="Calibri"/>
      <family val="2"/>
      <scheme val="minor"/>
    </font>
    <font>
      <vertAlign val="subscript"/>
      <sz val="11"/>
      <name val="Calibri"/>
      <family val="2"/>
      <scheme val="minor"/>
    </font>
    <font>
      <i/>
      <sz val="11"/>
      <color rgb="FFFF0000"/>
      <name val="Calibri"/>
      <family val="2"/>
      <scheme val="minor"/>
    </font>
    <font>
      <b/>
      <vertAlign val="superscript"/>
      <sz val="11"/>
      <name val="Calibri"/>
      <family val="2"/>
      <scheme val="minor"/>
    </font>
    <font>
      <b/>
      <vertAlign val="superscript"/>
      <sz val="11"/>
      <color theme="1"/>
      <name val="Calibri"/>
      <family val="2"/>
      <scheme val="minor"/>
    </font>
    <font>
      <b/>
      <sz val="11"/>
      <color theme="1"/>
      <name val="Arial"/>
      <family val="2"/>
    </font>
  </fonts>
  <fills count="28">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C99"/>
      </patternFill>
    </fill>
    <fill>
      <patternFill patternType="solid">
        <fgColor indexed="22"/>
        <bgColor indexed="31"/>
      </patternFill>
    </fill>
    <fill>
      <patternFill patternType="solid">
        <fgColor theme="0"/>
        <bgColor indexed="47"/>
      </patternFill>
    </fill>
    <fill>
      <patternFill patternType="solid">
        <fgColor theme="0"/>
        <bgColor indexed="27"/>
      </patternFill>
    </fill>
    <fill>
      <patternFill patternType="solid">
        <fgColor rgb="FFFFEB9C"/>
      </patternFill>
    </fill>
    <fill>
      <patternFill patternType="solid">
        <fgColor theme="0" tint="-0.249977111117893"/>
        <bgColor indexed="31"/>
      </patternFill>
    </fill>
    <fill>
      <patternFill patternType="solid">
        <fgColor theme="0" tint="-0.249977111117893"/>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rgb="FFFFC000"/>
        <bgColor indexed="64"/>
      </patternFill>
    </fill>
    <fill>
      <patternFill patternType="solid">
        <fgColor theme="5" tint="0.59999389629810485"/>
        <bgColor indexed="64"/>
      </patternFill>
    </fill>
    <fill>
      <patternFill patternType="solid">
        <fgColor theme="5" tint="0.59999389629810485"/>
        <bgColor indexed="27"/>
      </patternFill>
    </fill>
    <fill>
      <patternFill patternType="solid">
        <fgColor theme="8" tint="0.39997558519241921"/>
        <bgColor indexed="64"/>
      </patternFill>
    </fill>
    <fill>
      <patternFill patternType="solid">
        <fgColor theme="5" tint="0.79998168889431442"/>
        <bgColor indexed="64"/>
      </patternFill>
    </fill>
    <fill>
      <patternFill patternType="solid">
        <fgColor theme="5" tint="0.79998168889431442"/>
        <bgColor indexed="47"/>
      </patternFill>
    </fill>
    <fill>
      <patternFill patternType="solid">
        <fgColor rgb="FFFFFF00"/>
        <bgColor indexed="64"/>
      </patternFill>
    </fill>
    <fill>
      <patternFill patternType="solid">
        <fgColor theme="0" tint="-4.9989318521683403E-2"/>
        <bgColor indexed="64"/>
      </patternFill>
    </fill>
    <fill>
      <patternFill patternType="solid">
        <fgColor theme="7" tint="0.79998168889431442"/>
        <bgColor indexed="47"/>
      </patternFill>
    </fill>
    <fill>
      <patternFill patternType="solid">
        <fgColor theme="7" tint="0.79998168889431442"/>
        <bgColor indexed="27"/>
      </patternFill>
    </fill>
    <fill>
      <patternFill patternType="solid">
        <fgColor theme="6" tint="0.79998168889431442"/>
        <bgColor indexed="64"/>
      </patternFill>
    </fill>
    <fill>
      <patternFill patternType="solid">
        <fgColor theme="5" tint="0.59999389629810485"/>
        <bgColor indexed="47"/>
      </patternFill>
    </fill>
    <fill>
      <patternFill patternType="solid">
        <fgColor theme="7" tint="0.79998168889431442"/>
        <bgColor indexed="64"/>
      </patternFill>
    </fill>
    <fill>
      <patternFill patternType="solid">
        <fgColor theme="4" tint="0.79998168889431442"/>
        <bgColor indexed="31"/>
      </patternFill>
    </fill>
  </fills>
  <borders count="68">
    <border>
      <left/>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style="medium">
        <color indexed="64"/>
      </top>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bottom/>
      <diagonal/>
    </border>
    <border>
      <left/>
      <right/>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thin">
        <color indexed="64"/>
      </top>
      <bottom/>
      <diagonal/>
    </border>
    <border>
      <left style="medium">
        <color auto="1"/>
      </left>
      <right/>
      <top/>
      <bottom style="thin">
        <color indexed="64"/>
      </bottom>
      <diagonal/>
    </border>
    <border>
      <left style="thin">
        <color auto="1"/>
      </left>
      <right/>
      <top/>
      <bottom/>
      <diagonal/>
    </border>
    <border>
      <left style="thin">
        <color indexed="64"/>
      </left>
      <right style="medium">
        <color indexed="64"/>
      </right>
      <top style="medium">
        <color indexed="64"/>
      </top>
      <bottom style="thin">
        <color indexed="64"/>
      </bottom>
      <diagonal/>
    </border>
    <border>
      <left/>
      <right style="thin">
        <color auto="1"/>
      </right>
      <top style="thin">
        <color auto="1"/>
      </top>
      <bottom/>
      <diagonal/>
    </border>
    <border>
      <left/>
      <right style="thin">
        <color indexed="8"/>
      </right>
      <top style="thin">
        <color indexed="64"/>
      </top>
      <bottom/>
      <diagonal/>
    </border>
    <border>
      <left style="thin">
        <color indexed="64"/>
      </left>
      <right style="medium">
        <color indexed="64"/>
      </right>
      <top style="medium">
        <color indexed="64"/>
      </top>
      <bottom/>
      <diagonal/>
    </border>
    <border>
      <left style="thin">
        <color auto="1"/>
      </left>
      <right style="thin">
        <color auto="1"/>
      </right>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auto="1"/>
      </left>
      <right style="thin">
        <color auto="1"/>
      </right>
      <top/>
      <bottom/>
      <diagonal/>
    </border>
    <border>
      <left style="medium">
        <color indexed="64"/>
      </left>
      <right style="thin">
        <color auto="1"/>
      </right>
      <top style="thin">
        <color auto="1"/>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8"/>
      </right>
      <top style="thin">
        <color indexed="8"/>
      </top>
      <bottom/>
      <diagonal/>
    </border>
    <border>
      <left style="thin">
        <color indexed="64"/>
      </left>
      <right style="thin">
        <color indexed="8"/>
      </right>
      <top/>
      <bottom/>
      <diagonal/>
    </border>
    <border>
      <left style="thin">
        <color indexed="64"/>
      </left>
      <right style="thin">
        <color indexed="64"/>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s>
  <cellStyleXfs count="17">
    <xf numFmtId="0" fontId="0" fillId="0" borderId="0"/>
    <xf numFmtId="0" fontId="3" fillId="0" borderId="0"/>
    <xf numFmtId="0" fontId="3" fillId="0" borderId="0"/>
    <xf numFmtId="0" fontId="5" fillId="4" borderId="0" applyNumberFormat="0" applyBorder="0" applyAlignment="0" applyProtection="0"/>
    <xf numFmtId="0" fontId="6" fillId="5" borderId="8" applyNumberFormat="0" applyAlignment="0" applyProtection="0"/>
    <xf numFmtId="43" fontId="2" fillId="0" borderId="0" applyFont="0" applyFill="0" applyBorder="0" applyAlignment="0" applyProtection="0"/>
    <xf numFmtId="0" fontId="8" fillId="0" borderId="0"/>
    <xf numFmtId="0" fontId="10" fillId="0" borderId="0"/>
    <xf numFmtId="9" fontId="2" fillId="0" borderId="0" applyFont="0" applyFill="0" applyBorder="0" applyAlignment="0" applyProtection="0"/>
    <xf numFmtId="0" fontId="12" fillId="9" borderId="0" applyNumberFormat="0" applyBorder="0" applyAlignment="0" applyProtection="0"/>
    <xf numFmtId="0" fontId="3" fillId="0" borderId="0"/>
    <xf numFmtId="0" fontId="10" fillId="0" borderId="0"/>
    <xf numFmtId="43" fontId="10" fillId="0" borderId="0" applyFont="0" applyFill="0" applyBorder="0" applyAlignment="0" applyProtection="0"/>
    <xf numFmtId="9" fontId="10" fillId="0" borderId="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0" fontId="29" fillId="0" borderId="0" applyNumberFormat="0" applyFill="0" applyBorder="0" applyAlignment="0" applyProtection="0"/>
  </cellStyleXfs>
  <cellXfs count="668">
    <xf numFmtId="0" fontId="0" fillId="0" borderId="0" xfId="0"/>
    <xf numFmtId="0" fontId="4" fillId="0" borderId="0" xfId="0" applyFont="1"/>
    <xf numFmtId="0" fontId="0" fillId="0" borderId="0" xfId="0" applyAlignment="1">
      <alignment horizontal="center"/>
    </xf>
    <xf numFmtId="3" fontId="0" fillId="0" borderId="0" xfId="0" applyNumberFormat="1"/>
    <xf numFmtId="0" fontId="13" fillId="0" borderId="0" xfId="0" applyFont="1"/>
    <xf numFmtId="9" fontId="0" fillId="0" borderId="0" xfId="0" applyNumberFormat="1"/>
    <xf numFmtId="0" fontId="0" fillId="3" borderId="0" xfId="0" applyFill="1"/>
    <xf numFmtId="1" fontId="0" fillId="0" borderId="0" xfId="0" applyNumberFormat="1"/>
    <xf numFmtId="41" fontId="0" fillId="0" borderId="0" xfId="0" applyNumberFormat="1"/>
    <xf numFmtId="0" fontId="4" fillId="0" borderId="0" xfId="10" applyFont="1" applyAlignment="1">
      <alignment horizontal="left" indent="1"/>
    </xf>
    <xf numFmtId="169" fontId="0" fillId="0" borderId="0" xfId="0" applyNumberFormat="1"/>
    <xf numFmtId="0" fontId="0" fillId="0" borderId="0" xfId="0" quotePrefix="1"/>
    <xf numFmtId="0" fontId="7" fillId="0" borderId="0" xfId="0" applyFont="1"/>
    <xf numFmtId="0" fontId="4" fillId="15" borderId="0" xfId="0" applyFont="1" applyFill="1"/>
    <xf numFmtId="0" fontId="0" fillId="0" borderId="0" xfId="1" applyFont="1" applyAlignment="1">
      <alignment horizontal="center"/>
    </xf>
    <xf numFmtId="0" fontId="4" fillId="3" borderId="0" xfId="0" applyFont="1" applyFill="1"/>
    <xf numFmtId="0" fontId="4" fillId="17" borderId="0" xfId="0" applyFont="1" applyFill="1"/>
    <xf numFmtId="0" fontId="0" fillId="0" borderId="0" xfId="0" applyAlignment="1">
      <alignment horizontal="left" vertical="center" indent="1"/>
    </xf>
    <xf numFmtId="0" fontId="13" fillId="0" borderId="0" xfId="0" applyFont="1" applyAlignment="1">
      <alignment horizontal="left" vertical="center" indent="1"/>
    </xf>
    <xf numFmtId="0" fontId="13" fillId="0" borderId="0" xfId="0" applyFont="1" applyAlignment="1">
      <alignment horizontal="left" vertical="center"/>
    </xf>
    <xf numFmtId="0" fontId="21" fillId="0" borderId="0" xfId="0" applyFont="1" applyAlignment="1">
      <alignment horizontal="left" vertical="center"/>
    </xf>
    <xf numFmtId="0" fontId="13" fillId="0" borderId="29" xfId="0" applyFont="1" applyBorder="1"/>
    <xf numFmtId="166" fontId="0" fillId="0" borderId="0" xfId="5" applyNumberFormat="1" applyFont="1" applyBorder="1"/>
    <xf numFmtId="0" fontId="22" fillId="4" borderId="4" xfId="3" applyFont="1" applyBorder="1"/>
    <xf numFmtId="0" fontId="13" fillId="0" borderId="10" xfId="0" applyFont="1" applyBorder="1"/>
    <xf numFmtId="166" fontId="0" fillId="0" borderId="0" xfId="5" applyNumberFormat="1" applyFont="1"/>
    <xf numFmtId="166" fontId="0" fillId="0" borderId="22" xfId="5" applyNumberFormat="1" applyFont="1" applyBorder="1"/>
    <xf numFmtId="166" fontId="0" fillId="0" borderId="31" xfId="5" applyNumberFormat="1" applyFont="1" applyBorder="1"/>
    <xf numFmtId="0" fontId="18" fillId="11" borderId="20" xfId="3" applyFont="1" applyFill="1" applyBorder="1" applyAlignment="1">
      <alignment horizontal="center"/>
    </xf>
    <xf numFmtId="0" fontId="18" fillId="11" borderId="15" xfId="3" applyFont="1" applyFill="1" applyBorder="1" applyAlignment="1">
      <alignment horizontal="center" wrapText="1"/>
    </xf>
    <xf numFmtId="166" fontId="0" fillId="0" borderId="37" xfId="5" applyNumberFormat="1" applyFont="1" applyBorder="1"/>
    <xf numFmtId="166" fontId="0" fillId="0" borderId="40" xfId="5" applyNumberFormat="1" applyFont="1" applyBorder="1"/>
    <xf numFmtId="166" fontId="0" fillId="0" borderId="41" xfId="5" applyNumberFormat="1" applyFont="1" applyBorder="1"/>
    <xf numFmtId="166" fontId="0" fillId="0" borderId="42" xfId="5" applyNumberFormat="1" applyFont="1" applyBorder="1"/>
    <xf numFmtId="0" fontId="0" fillId="0" borderId="37" xfId="0" applyBorder="1"/>
    <xf numFmtId="0" fontId="24" fillId="0" borderId="0" xfId="0" applyFont="1"/>
    <xf numFmtId="166" fontId="13" fillId="14" borderId="37" xfId="5" applyNumberFormat="1" applyFont="1" applyFill="1" applyBorder="1"/>
    <xf numFmtId="166" fontId="7" fillId="0" borderId="0" xfId="0" applyNumberFormat="1" applyFont="1"/>
    <xf numFmtId="0" fontId="25" fillId="0" borderId="0" xfId="0" applyFont="1"/>
    <xf numFmtId="0" fontId="23" fillId="0" borderId="0" xfId="0" applyFont="1"/>
    <xf numFmtId="166" fontId="0" fillId="0" borderId="46" xfId="5" applyNumberFormat="1" applyFont="1" applyBorder="1"/>
    <xf numFmtId="166" fontId="13" fillId="14" borderId="46" xfId="5" applyNumberFormat="1" applyFont="1" applyFill="1" applyBorder="1"/>
    <xf numFmtId="0" fontId="18" fillId="14" borderId="39" xfId="3" applyFont="1" applyFill="1" applyBorder="1"/>
    <xf numFmtId="166" fontId="18" fillId="14" borderId="37" xfId="5" applyNumberFormat="1" applyFont="1" applyFill="1" applyBorder="1"/>
    <xf numFmtId="166" fontId="18" fillId="14" borderId="40" xfId="5" applyNumberFormat="1" applyFont="1" applyFill="1" applyBorder="1"/>
    <xf numFmtId="0" fontId="4" fillId="0" borderId="39" xfId="0" applyFont="1" applyBorder="1"/>
    <xf numFmtId="166" fontId="4" fillId="0" borderId="37" xfId="5" applyNumberFormat="1" applyFont="1" applyBorder="1"/>
    <xf numFmtId="166" fontId="4" fillId="0" borderId="40" xfId="5" applyNumberFormat="1" applyFont="1" applyBorder="1"/>
    <xf numFmtId="166" fontId="18" fillId="14" borderId="41" xfId="5" applyNumberFormat="1" applyFont="1" applyFill="1" applyBorder="1"/>
    <xf numFmtId="166" fontId="18" fillId="14" borderId="42" xfId="5" applyNumberFormat="1" applyFont="1" applyFill="1" applyBorder="1"/>
    <xf numFmtId="0" fontId="13" fillId="14" borderId="39" xfId="0" applyFont="1" applyFill="1" applyBorder="1"/>
    <xf numFmtId="166" fontId="13" fillId="14" borderId="40" xfId="5" applyNumberFormat="1" applyFont="1" applyFill="1" applyBorder="1"/>
    <xf numFmtId="166" fontId="13" fillId="14" borderId="41" xfId="5" applyNumberFormat="1" applyFont="1" applyFill="1" applyBorder="1"/>
    <xf numFmtId="166" fontId="13" fillId="14" borderId="42" xfId="5" applyNumberFormat="1" applyFont="1" applyFill="1" applyBorder="1"/>
    <xf numFmtId="0" fontId="26" fillId="0" borderId="0" xfId="0" applyFont="1"/>
    <xf numFmtId="0" fontId="27" fillId="0" borderId="0" xfId="0" applyFont="1"/>
    <xf numFmtId="0" fontId="13" fillId="11" borderId="22" xfId="0" applyFont="1" applyFill="1" applyBorder="1" applyAlignment="1">
      <alignment horizontal="left" wrapText="1"/>
    </xf>
    <xf numFmtId="0" fontId="26" fillId="0" borderId="48" xfId="0" applyFont="1" applyBorder="1"/>
    <xf numFmtId="0" fontId="22" fillId="4" borderId="39" xfId="3" applyFont="1" applyBorder="1" applyAlignment="1">
      <alignment horizontal="center"/>
    </xf>
    <xf numFmtId="9" fontId="22" fillId="4" borderId="37" xfId="3" applyNumberFormat="1" applyFont="1" applyBorder="1"/>
    <xf numFmtId="9" fontId="22" fillId="4" borderId="40" xfId="3" applyNumberFormat="1" applyFont="1" applyBorder="1"/>
    <xf numFmtId="166" fontId="0" fillId="3" borderId="0" xfId="5" applyNumberFormat="1" applyFont="1" applyFill="1"/>
    <xf numFmtId="0" fontId="13" fillId="0" borderId="37" xfId="0" applyFont="1" applyBorder="1"/>
    <xf numFmtId="9" fontId="13" fillId="0" borderId="37" xfId="0" applyNumberFormat="1" applyFont="1" applyBorder="1"/>
    <xf numFmtId="9" fontId="22" fillId="4" borderId="46" xfId="3" applyNumberFormat="1" applyFont="1" applyBorder="1"/>
    <xf numFmtId="9" fontId="22" fillId="4" borderId="43" xfId="3" applyNumberFormat="1" applyFont="1" applyBorder="1"/>
    <xf numFmtId="166" fontId="4" fillId="3" borderId="41" xfId="5" applyNumberFormat="1" applyFont="1" applyFill="1" applyBorder="1"/>
    <xf numFmtId="166" fontId="4" fillId="3" borderId="42" xfId="5" applyNumberFormat="1" applyFont="1" applyFill="1" applyBorder="1"/>
    <xf numFmtId="166" fontId="0" fillId="21" borderId="37" xfId="5" applyNumberFormat="1" applyFont="1" applyFill="1" applyBorder="1"/>
    <xf numFmtId="166" fontId="0" fillId="21" borderId="40" xfId="5" applyNumberFormat="1" applyFont="1" applyFill="1" applyBorder="1"/>
    <xf numFmtId="166" fontId="0" fillId="0" borderId="37" xfId="5" applyNumberFormat="1" applyFont="1" applyFill="1" applyBorder="1"/>
    <xf numFmtId="166" fontId="0" fillId="0" borderId="40" xfId="5" applyNumberFormat="1" applyFont="1" applyFill="1" applyBorder="1"/>
    <xf numFmtId="0" fontId="13" fillId="11" borderId="20" xfId="0" applyFont="1" applyFill="1" applyBorder="1" applyAlignment="1">
      <alignment vertical="center" wrapText="1"/>
    </xf>
    <xf numFmtId="0" fontId="13" fillId="0" borderId="39" xfId="0" applyFont="1" applyBorder="1"/>
    <xf numFmtId="0" fontId="4" fillId="13" borderId="0" xfId="9" applyFont="1" applyFill="1" applyAlignment="1"/>
    <xf numFmtId="0" fontId="4" fillId="4" borderId="0" xfId="3" applyFont="1" applyBorder="1" applyAlignment="1"/>
    <xf numFmtId="0" fontId="28" fillId="0" borderId="0" xfId="0" applyFont="1"/>
    <xf numFmtId="9" fontId="0" fillId="3" borderId="37" xfId="8" applyFont="1" applyFill="1" applyBorder="1"/>
    <xf numFmtId="9" fontId="13" fillId="3" borderId="37" xfId="8" applyFont="1" applyFill="1" applyBorder="1"/>
    <xf numFmtId="0" fontId="7" fillId="0" borderId="0" xfId="0" quotePrefix="1" applyFont="1"/>
    <xf numFmtId="166" fontId="5" fillId="4" borderId="2" xfId="5" applyNumberFormat="1" applyFont="1" applyFill="1" applyBorder="1"/>
    <xf numFmtId="166" fontId="5" fillId="4" borderId="6" xfId="5" applyNumberFormat="1" applyFont="1" applyFill="1" applyBorder="1"/>
    <xf numFmtId="0" fontId="30" fillId="0" borderId="0" xfId="0" applyFont="1"/>
    <xf numFmtId="9" fontId="25" fillId="0" borderId="0" xfId="8" applyFont="1" applyFill="1"/>
    <xf numFmtId="10" fontId="22" fillId="4" borderId="37" xfId="3" applyNumberFormat="1" applyFont="1" applyBorder="1"/>
    <xf numFmtId="9" fontId="22" fillId="4" borderId="46" xfId="3" applyNumberFormat="1" applyFont="1" applyBorder="1" applyAlignment="1">
      <alignment horizontal="right"/>
    </xf>
    <xf numFmtId="9" fontId="22" fillId="4" borderId="43" xfId="3" applyNumberFormat="1" applyFont="1" applyBorder="1" applyAlignment="1">
      <alignment horizontal="right"/>
    </xf>
    <xf numFmtId="9" fontId="22" fillId="4" borderId="37" xfId="3" applyNumberFormat="1" applyFont="1" applyBorder="1" applyAlignment="1">
      <alignment horizontal="right"/>
    </xf>
    <xf numFmtId="9" fontId="22" fillId="4" borderId="40" xfId="3" applyNumberFormat="1" applyFont="1" applyBorder="1" applyAlignment="1">
      <alignment horizontal="right"/>
    </xf>
    <xf numFmtId="0" fontId="7" fillId="20" borderId="0" xfId="0" applyFont="1" applyFill="1"/>
    <xf numFmtId="1" fontId="13" fillId="11" borderId="31" xfId="0" applyNumberFormat="1" applyFont="1" applyFill="1" applyBorder="1" applyAlignment="1">
      <alignment horizontal="left" wrapText="1"/>
    </xf>
    <xf numFmtId="0" fontId="13" fillId="11" borderId="53" xfId="0" applyFont="1" applyFill="1" applyBorder="1" applyAlignment="1">
      <alignment horizontal="left"/>
    </xf>
    <xf numFmtId="0" fontId="13" fillId="0" borderId="45" xfId="0" applyFont="1" applyBorder="1" applyAlignment="1">
      <alignment horizontal="left"/>
    </xf>
    <xf numFmtId="0" fontId="32" fillId="0" borderId="0" xfId="0" applyFont="1"/>
    <xf numFmtId="9" fontId="0" fillId="0" borderId="37" xfId="8" applyFont="1" applyBorder="1"/>
    <xf numFmtId="0" fontId="22" fillId="4" borderId="48" xfId="3" applyFont="1" applyBorder="1"/>
    <xf numFmtId="166" fontId="22" fillId="4" borderId="41" xfId="5" applyNumberFormat="1" applyFont="1" applyFill="1" applyBorder="1" applyAlignment="1">
      <alignment horizontal="right"/>
    </xf>
    <xf numFmtId="166" fontId="22" fillId="4" borderId="42" xfId="5" applyNumberFormat="1" applyFont="1" applyFill="1" applyBorder="1" applyAlignment="1">
      <alignment horizontal="right"/>
    </xf>
    <xf numFmtId="166" fontId="5" fillId="4" borderId="35" xfId="5" applyNumberFormat="1" applyFont="1" applyFill="1" applyBorder="1"/>
    <xf numFmtId="166" fontId="5" fillId="4" borderId="37" xfId="5" applyNumberFormat="1" applyFont="1" applyFill="1" applyBorder="1"/>
    <xf numFmtId="166" fontId="5" fillId="4" borderId="40" xfId="5" applyNumberFormat="1" applyFont="1" applyFill="1" applyBorder="1"/>
    <xf numFmtId="166" fontId="5" fillId="4" borderId="41" xfId="5" applyNumberFormat="1" applyFont="1" applyFill="1" applyBorder="1"/>
    <xf numFmtId="166" fontId="5" fillId="4" borderId="42" xfId="5" applyNumberFormat="1" applyFont="1" applyFill="1" applyBorder="1"/>
    <xf numFmtId="166" fontId="5" fillId="4" borderId="19" xfId="5" applyNumberFormat="1" applyFont="1" applyFill="1" applyBorder="1"/>
    <xf numFmtId="9" fontId="0" fillId="0" borderId="0" xfId="8" applyFont="1"/>
    <xf numFmtId="0" fontId="4" fillId="20" borderId="0" xfId="0" applyFont="1" applyFill="1"/>
    <xf numFmtId="43" fontId="0" fillId="3" borderId="37" xfId="5" applyFont="1" applyFill="1" applyBorder="1"/>
    <xf numFmtId="9" fontId="13" fillId="14" borderId="37" xfId="8" applyFont="1" applyFill="1" applyBorder="1"/>
    <xf numFmtId="0" fontId="18" fillId="14" borderId="49" xfId="3" applyFont="1" applyFill="1" applyBorder="1"/>
    <xf numFmtId="0" fontId="13" fillId="14" borderId="49" xfId="0" applyFont="1" applyFill="1" applyBorder="1"/>
    <xf numFmtId="0" fontId="13" fillId="14" borderId="37" xfId="0" applyFont="1" applyFill="1" applyBorder="1"/>
    <xf numFmtId="0" fontId="4" fillId="0" borderId="37" xfId="3" applyFont="1" applyFill="1" applyBorder="1"/>
    <xf numFmtId="166" fontId="4" fillId="0" borderId="37" xfId="5" applyNumberFormat="1" applyFont="1" applyFill="1" applyBorder="1"/>
    <xf numFmtId="0" fontId="18" fillId="14" borderId="37" xfId="3" applyFont="1" applyFill="1" applyBorder="1"/>
    <xf numFmtId="0" fontId="18" fillId="14" borderId="37" xfId="0" applyFont="1" applyFill="1" applyBorder="1"/>
    <xf numFmtId="166" fontId="13" fillId="0" borderId="37" xfId="5" applyNumberFormat="1" applyFont="1" applyBorder="1"/>
    <xf numFmtId="1" fontId="13" fillId="0" borderId="37" xfId="0" applyNumberFormat="1" applyFont="1" applyBorder="1"/>
    <xf numFmtId="166" fontId="0" fillId="0" borderId="44" xfId="5" applyNumberFormat="1" applyFont="1" applyBorder="1"/>
    <xf numFmtId="9" fontId="0" fillId="0" borderId="44" xfId="8" applyFont="1" applyBorder="1"/>
    <xf numFmtId="0" fontId="13" fillId="0" borderId="44" xfId="0" applyFont="1" applyBorder="1"/>
    <xf numFmtId="166" fontId="13" fillId="0" borderId="44" xfId="5" applyNumberFormat="1" applyFont="1" applyBorder="1"/>
    <xf numFmtId="166" fontId="13" fillId="18" borderId="37" xfId="5" applyNumberFormat="1" applyFont="1" applyFill="1" applyBorder="1" applyAlignment="1">
      <alignment horizontal="center"/>
    </xf>
    <xf numFmtId="9" fontId="13" fillId="0" borderId="44" xfId="8" applyFont="1" applyBorder="1"/>
    <xf numFmtId="0" fontId="22" fillId="4" borderId="1" xfId="3" applyFont="1" applyBorder="1" applyAlignment="1">
      <alignment horizontal="left"/>
    </xf>
    <xf numFmtId="166" fontId="22" fillId="4" borderId="1" xfId="5" applyNumberFormat="1" applyFont="1" applyFill="1" applyBorder="1" applyAlignment="1">
      <alignment horizontal="right"/>
    </xf>
    <xf numFmtId="166" fontId="22" fillId="4" borderId="54" xfId="5" applyNumberFormat="1" applyFont="1" applyFill="1" applyBorder="1" applyAlignment="1">
      <alignment horizontal="right"/>
    </xf>
    <xf numFmtId="166" fontId="0" fillId="0" borderId="39" xfId="5" applyNumberFormat="1" applyFont="1" applyBorder="1"/>
    <xf numFmtId="166" fontId="0" fillId="0" borderId="49" xfId="5" applyNumberFormat="1" applyFont="1" applyBorder="1"/>
    <xf numFmtId="169" fontId="22" fillId="4" borderId="46" xfId="3" applyNumberFormat="1" applyFont="1" applyBorder="1"/>
    <xf numFmtId="9" fontId="0" fillId="0" borderId="40" xfId="8" applyFont="1" applyBorder="1"/>
    <xf numFmtId="9" fontId="0" fillId="0" borderId="41" xfId="8" applyFont="1" applyBorder="1"/>
    <xf numFmtId="9" fontId="0" fillId="0" borderId="42" xfId="8" applyFont="1" applyBorder="1"/>
    <xf numFmtId="169" fontId="22" fillId="4" borderId="43" xfId="3" applyNumberFormat="1" applyFont="1" applyBorder="1"/>
    <xf numFmtId="43" fontId="0" fillId="0" borderId="37" xfId="5" applyFont="1" applyBorder="1"/>
    <xf numFmtId="0" fontId="4" fillId="11" borderId="37" xfId="3" applyFont="1" applyFill="1" applyBorder="1" applyAlignment="1">
      <alignment horizontal="center"/>
    </xf>
    <xf numFmtId="166" fontId="0" fillId="0" borderId="39" xfId="5" applyNumberFormat="1" applyFont="1" applyBorder="1" applyAlignment="1">
      <alignment wrapText="1"/>
    </xf>
    <xf numFmtId="166" fontId="4" fillId="0" borderId="41" xfId="5" applyNumberFormat="1" applyFont="1" applyBorder="1"/>
    <xf numFmtId="166" fontId="4" fillId="0" borderId="42" xfId="5" applyNumberFormat="1" applyFont="1" applyBorder="1"/>
    <xf numFmtId="0" fontId="0" fillId="0" borderId="39" xfId="1" applyFont="1" applyBorder="1"/>
    <xf numFmtId="0" fontId="0" fillId="0" borderId="49" xfId="1" applyFont="1" applyBorder="1"/>
    <xf numFmtId="0" fontId="13" fillId="11" borderId="49" xfId="0" applyFont="1" applyFill="1" applyBorder="1" applyAlignment="1">
      <alignment vertical="center" wrapText="1"/>
    </xf>
    <xf numFmtId="41" fontId="4" fillId="0" borderId="37" xfId="4" applyNumberFormat="1" applyFont="1" applyFill="1" applyBorder="1"/>
    <xf numFmtId="41" fontId="4" fillId="0" borderId="40" xfId="4" applyNumberFormat="1" applyFont="1" applyFill="1" applyBorder="1"/>
    <xf numFmtId="41" fontId="4" fillId="0" borderId="41" xfId="4" applyNumberFormat="1" applyFont="1" applyFill="1" applyBorder="1"/>
    <xf numFmtId="41" fontId="4" fillId="0" borderId="42" xfId="4" applyNumberFormat="1" applyFont="1" applyFill="1" applyBorder="1"/>
    <xf numFmtId="166" fontId="0" fillId="3" borderId="37" xfId="5" applyNumberFormat="1" applyFont="1" applyFill="1" applyBorder="1"/>
    <xf numFmtId="166" fontId="0" fillId="3" borderId="40" xfId="5" applyNumberFormat="1" applyFont="1" applyFill="1" applyBorder="1"/>
    <xf numFmtId="0" fontId="0" fillId="2" borderId="37" xfId="1" applyFont="1" applyFill="1" applyBorder="1"/>
    <xf numFmtId="0" fontId="0" fillId="2" borderId="37" xfId="1" applyFont="1" applyFill="1" applyBorder="1" applyAlignment="1">
      <alignment horizontal="center"/>
    </xf>
    <xf numFmtId="0" fontId="0" fillId="2" borderId="37" xfId="0" applyFill="1" applyBorder="1" applyAlignment="1">
      <alignment horizontal="center"/>
    </xf>
    <xf numFmtId="0" fontId="0" fillId="0" borderId="37" xfId="1" applyFont="1" applyBorder="1" applyAlignment="1">
      <alignment horizontal="left" indent="1"/>
    </xf>
    <xf numFmtId="0" fontId="4" fillId="3" borderId="37" xfId="3" applyFont="1" applyFill="1" applyBorder="1" applyAlignment="1">
      <alignment horizontal="left" indent="1"/>
    </xf>
    <xf numFmtId="41" fontId="4" fillId="3" borderId="37" xfId="3" applyNumberFormat="1" applyFont="1" applyFill="1" applyBorder="1" applyAlignment="1">
      <alignment horizontal="center"/>
    </xf>
    <xf numFmtId="9" fontId="4" fillId="3" borderId="37" xfId="3" applyNumberFormat="1" applyFont="1" applyFill="1" applyBorder="1" applyAlignment="1">
      <alignment horizontal="center"/>
    </xf>
    <xf numFmtId="166" fontId="0" fillId="15" borderId="37" xfId="5" applyNumberFormat="1" applyFont="1" applyFill="1" applyBorder="1" applyAlignment="1">
      <alignment horizontal="center"/>
    </xf>
    <xf numFmtId="164" fontId="0" fillId="0" borderId="37" xfId="1" applyNumberFormat="1" applyFont="1" applyBorder="1" applyAlignment="1">
      <alignment horizontal="center" vertical="center"/>
    </xf>
    <xf numFmtId="0" fontId="0" fillId="0" borderId="37" xfId="1" quotePrefix="1" applyFont="1" applyBorder="1" applyAlignment="1">
      <alignment horizontal="left" indent="1"/>
    </xf>
    <xf numFmtId="0" fontId="0" fillId="2" borderId="37" xfId="1" applyFont="1" applyFill="1" applyBorder="1" applyAlignment="1">
      <alignment horizontal="left" indent="1"/>
    </xf>
    <xf numFmtId="0" fontId="0" fillId="3" borderId="37" xfId="0" applyFill="1" applyBorder="1"/>
    <xf numFmtId="0" fontId="0" fillId="2" borderId="37" xfId="2" applyFont="1" applyFill="1" applyBorder="1" applyAlignment="1">
      <alignment horizontal="center"/>
    </xf>
    <xf numFmtId="0" fontId="0" fillId="0" borderId="37" xfId="0" quotePrefix="1" applyBorder="1"/>
    <xf numFmtId="166" fontId="0" fillId="15" borderId="58" xfId="5" applyNumberFormat="1" applyFont="1" applyFill="1" applyBorder="1"/>
    <xf numFmtId="0" fontId="4" fillId="0" borderId="58" xfId="0" applyFont="1" applyBorder="1"/>
    <xf numFmtId="166" fontId="0" fillId="18" borderId="58" xfId="5" applyNumberFormat="1" applyFont="1" applyFill="1" applyBorder="1"/>
    <xf numFmtId="9" fontId="0" fillId="18" borderId="58" xfId="8" applyFont="1" applyFill="1" applyBorder="1"/>
    <xf numFmtId="0" fontId="0" fillId="3" borderId="58" xfId="0" applyFill="1" applyBorder="1"/>
    <xf numFmtId="0" fontId="4" fillId="0" borderId="58" xfId="0" applyFont="1" applyBorder="1" applyAlignment="1">
      <alignment horizontal="left"/>
    </xf>
    <xf numFmtId="0" fontId="0" fillId="0" borderId="58" xfId="0" applyBorder="1"/>
    <xf numFmtId="166" fontId="0" fillId="3" borderId="58" xfId="5" applyNumberFormat="1" applyFont="1" applyFill="1" applyBorder="1"/>
    <xf numFmtId="43" fontId="0" fillId="18" borderId="58" xfId="5" applyFont="1" applyFill="1" applyBorder="1"/>
    <xf numFmtId="169" fontId="0" fillId="0" borderId="58" xfId="0" applyNumberFormat="1" applyBorder="1"/>
    <xf numFmtId="43" fontId="0" fillId="0" borderId="58" xfId="5" applyFont="1" applyBorder="1"/>
    <xf numFmtId="166" fontId="0" fillId="0" borderId="58" xfId="5" applyNumberFormat="1" applyFont="1" applyBorder="1"/>
    <xf numFmtId="0" fontId="13" fillId="0" borderId="58" xfId="0" applyFont="1" applyBorder="1"/>
    <xf numFmtId="0" fontId="10" fillId="10" borderId="30" xfId="6" applyFont="1" applyFill="1" applyBorder="1" applyAlignment="1" applyProtection="1">
      <alignment horizontal="center" vertical="center" wrapText="1"/>
      <protection locked="0"/>
    </xf>
    <xf numFmtId="166" fontId="0" fillId="12" borderId="58" xfId="5" applyNumberFormat="1" applyFont="1" applyFill="1" applyBorder="1"/>
    <xf numFmtId="0" fontId="1" fillId="10" borderId="7" xfId="6" applyFont="1" applyFill="1" applyBorder="1" applyAlignment="1" applyProtection="1">
      <alignment horizontal="center" vertical="center" wrapText="1"/>
      <protection locked="0"/>
    </xf>
    <xf numFmtId="0" fontId="13" fillId="12" borderId="58" xfId="0" applyFont="1" applyFill="1" applyBorder="1"/>
    <xf numFmtId="166" fontId="13" fillId="12" borderId="58" xfId="5" applyNumberFormat="1" applyFont="1" applyFill="1" applyBorder="1"/>
    <xf numFmtId="166" fontId="18" fillId="12" borderId="58" xfId="5" applyNumberFormat="1" applyFont="1" applyFill="1" applyBorder="1"/>
    <xf numFmtId="166" fontId="4" fillId="15" borderId="58" xfId="5" applyNumberFormat="1" applyFont="1" applyFill="1" applyBorder="1"/>
    <xf numFmtId="166" fontId="13" fillId="0" borderId="58" xfId="5" applyNumberFormat="1" applyFont="1" applyBorder="1"/>
    <xf numFmtId="9" fontId="0" fillId="0" borderId="58" xfId="8" applyFont="1" applyBorder="1"/>
    <xf numFmtId="166" fontId="18" fillId="0" borderId="58" xfId="5" applyNumberFormat="1" applyFont="1" applyFill="1" applyBorder="1"/>
    <xf numFmtId="0" fontId="18" fillId="12" borderId="58" xfId="0" applyFont="1" applyFill="1" applyBorder="1"/>
    <xf numFmtId="1" fontId="6" fillId="0" borderId="58" xfId="4" applyNumberFormat="1" applyFill="1" applyBorder="1"/>
    <xf numFmtId="9" fontId="0" fillId="3" borderId="58" xfId="0" applyNumberFormat="1" applyFill="1" applyBorder="1"/>
    <xf numFmtId="41" fontId="0" fillId="0" borderId="58" xfId="0" applyNumberFormat="1" applyBorder="1"/>
    <xf numFmtId="1" fontId="0" fillId="0" borderId="30" xfId="0" applyNumberFormat="1" applyBorder="1"/>
    <xf numFmtId="0" fontId="0" fillId="2" borderId="58" xfId="0" applyFill="1" applyBorder="1"/>
    <xf numFmtId="0" fontId="4" fillId="2" borderId="58" xfId="10" applyFont="1" applyFill="1" applyBorder="1" applyAlignment="1">
      <alignment horizontal="left" vertical="center" wrapText="1"/>
    </xf>
    <xf numFmtId="0" fontId="4" fillId="0" borderId="58" xfId="10" applyFont="1" applyBorder="1" applyAlignment="1">
      <alignment horizontal="left" indent="1"/>
    </xf>
    <xf numFmtId="1" fontId="0" fillId="2" borderId="58" xfId="0" applyNumberFormat="1" applyFill="1" applyBorder="1"/>
    <xf numFmtId="0" fontId="0" fillId="0" borderId="58" xfId="10" applyFont="1" applyBorder="1" applyAlignment="1">
      <alignment horizontal="left" indent="1"/>
    </xf>
    <xf numFmtId="0" fontId="2" fillId="0" borderId="58" xfId="10" applyFont="1" applyBorder="1" applyAlignment="1">
      <alignment horizontal="left" indent="1"/>
    </xf>
    <xf numFmtId="0" fontId="4" fillId="0" borderId="61" xfId="10" applyFont="1" applyBorder="1" applyAlignment="1">
      <alignment horizontal="left" indent="1"/>
    </xf>
    <xf numFmtId="0" fontId="4" fillId="0" borderId="37" xfId="1" applyFont="1" applyBorder="1" applyAlignment="1">
      <alignment horizontal="left" indent="1"/>
    </xf>
    <xf numFmtId="0" fontId="20" fillId="0" borderId="0" xfId="0" applyFont="1"/>
    <xf numFmtId="0" fontId="0" fillId="11" borderId="58" xfId="0" applyFill="1" applyBorder="1" applyAlignment="1">
      <alignment horizontal="center" vertical="center" wrapText="1"/>
    </xf>
    <xf numFmtId="0" fontId="0" fillId="11" borderId="58" xfId="0" applyFill="1" applyBorder="1" applyAlignment="1">
      <alignment horizontal="left" vertical="center" wrapText="1"/>
    </xf>
    <xf numFmtId="0" fontId="29" fillId="0" borderId="0" xfId="16"/>
    <xf numFmtId="0" fontId="0" fillId="0" borderId="15" xfId="0" applyBorder="1"/>
    <xf numFmtId="0" fontId="0" fillId="0" borderId="3" xfId="0" applyBorder="1"/>
    <xf numFmtId="0" fontId="0" fillId="0" borderId="11" xfId="0" applyBorder="1"/>
    <xf numFmtId="0" fontId="0" fillId="0" borderId="9" xfId="0" applyBorder="1"/>
    <xf numFmtId="0" fontId="0" fillId="0" borderId="12" xfId="0" applyBorder="1"/>
    <xf numFmtId="0" fontId="0" fillId="0" borderId="5" xfId="0" applyBorder="1"/>
    <xf numFmtId="0" fontId="0" fillId="0" borderId="14" xfId="0" applyBorder="1"/>
    <xf numFmtId="0" fontId="0" fillId="0" borderId="13" xfId="0" applyBorder="1"/>
    <xf numFmtId="0" fontId="0" fillId="14" borderId="0" xfId="0" applyFill="1" applyAlignment="1">
      <alignment horizontal="center"/>
    </xf>
    <xf numFmtId="0" fontId="5" fillId="4" borderId="20" xfId="3" applyBorder="1"/>
    <xf numFmtId="0" fontId="5" fillId="4" borderId="21" xfId="3" applyBorder="1" applyAlignment="1">
      <alignment horizontal="center"/>
    </xf>
    <xf numFmtId="0" fontId="5" fillId="4" borderId="37" xfId="3" applyBorder="1" applyAlignment="1">
      <alignment horizontal="center"/>
    </xf>
    <xf numFmtId="0" fontId="5" fillId="4" borderId="40" xfId="3" applyBorder="1" applyAlignment="1">
      <alignment horizontal="center"/>
    </xf>
    <xf numFmtId="0" fontId="5" fillId="4" borderId="39" xfId="3" applyBorder="1" applyAlignment="1">
      <alignment horizontal="center"/>
    </xf>
    <xf numFmtId="9" fontId="5" fillId="4" borderId="46" xfId="3" applyNumberFormat="1" applyBorder="1"/>
    <xf numFmtId="9" fontId="5" fillId="4" borderId="37" xfId="3" applyNumberFormat="1" applyBorder="1"/>
    <xf numFmtId="9" fontId="5" fillId="4" borderId="40" xfId="3" applyNumberFormat="1" applyBorder="1"/>
    <xf numFmtId="9" fontId="5" fillId="4" borderId="43" xfId="3" applyNumberFormat="1" applyBorder="1"/>
    <xf numFmtId="0" fontId="5" fillId="4" borderId="49" xfId="3" applyBorder="1" applyAlignment="1">
      <alignment horizontal="center"/>
    </xf>
    <xf numFmtId="9" fontId="5" fillId="4" borderId="47" xfId="3" applyNumberFormat="1" applyBorder="1"/>
    <xf numFmtId="9" fontId="5" fillId="4" borderId="41" xfId="3" applyNumberFormat="1" applyBorder="1"/>
    <xf numFmtId="9" fontId="5" fillId="4" borderId="42" xfId="3" applyNumberFormat="1" applyBorder="1"/>
    <xf numFmtId="0" fontId="0" fillId="0" borderId="39" xfId="0" applyBorder="1" applyAlignment="1">
      <alignment wrapText="1"/>
    </xf>
    <xf numFmtId="0" fontId="0" fillId="0" borderId="49" xfId="0" applyBorder="1" applyAlignment="1">
      <alignment wrapText="1"/>
    </xf>
    <xf numFmtId="0" fontId="0" fillId="0" borderId="0" xfId="0" applyAlignment="1">
      <alignment vertical="center"/>
    </xf>
    <xf numFmtId="0" fontId="18" fillId="10" borderId="50" xfId="6" applyFont="1" applyFill="1" applyBorder="1" applyAlignment="1" applyProtection="1">
      <alignment horizontal="center" vertical="center" wrapText="1"/>
      <protection locked="0"/>
    </xf>
    <xf numFmtId="0" fontId="18" fillId="10" borderId="51" xfId="6" applyFont="1" applyFill="1" applyBorder="1" applyAlignment="1" applyProtection="1">
      <alignment vertical="center" wrapText="1"/>
      <protection locked="0"/>
    </xf>
    <xf numFmtId="0" fontId="18" fillId="10" borderId="52" xfId="6" applyFont="1" applyFill="1" applyBorder="1" applyAlignment="1" applyProtection="1">
      <alignment vertical="center" wrapText="1"/>
      <protection locked="0"/>
    </xf>
    <xf numFmtId="0" fontId="18" fillId="10" borderId="20" xfId="6" applyFont="1" applyFill="1" applyBorder="1" applyAlignment="1" applyProtection="1">
      <alignment horizontal="center" vertical="center" wrapText="1"/>
      <protection locked="0"/>
    </xf>
    <xf numFmtId="0" fontId="18" fillId="10" borderId="22" xfId="6" applyFont="1" applyFill="1" applyBorder="1" applyAlignment="1" applyProtection="1">
      <alignment vertical="center" wrapText="1"/>
      <protection locked="0"/>
    </xf>
    <xf numFmtId="0" fontId="18" fillId="10" borderId="31" xfId="6" applyFont="1" applyFill="1" applyBorder="1" applyAlignment="1" applyProtection="1">
      <alignment vertical="center" wrapText="1"/>
      <protection locked="0"/>
    </xf>
    <xf numFmtId="0" fontId="18" fillId="10" borderId="46" xfId="6" applyFont="1" applyFill="1" applyBorder="1" applyAlignment="1" applyProtection="1">
      <alignment vertical="center" wrapText="1"/>
      <protection locked="0"/>
    </xf>
    <xf numFmtId="0" fontId="18" fillId="10" borderId="37" xfId="6" applyFont="1" applyFill="1" applyBorder="1" applyAlignment="1" applyProtection="1">
      <alignment horizontal="center" vertical="center" wrapText="1"/>
      <protection locked="0"/>
    </xf>
    <xf numFmtId="0" fontId="0" fillId="0" borderId="39" xfId="0" applyBorder="1"/>
    <xf numFmtId="1" fontId="0" fillId="0" borderId="37" xfId="0" applyNumberFormat="1" applyBorder="1"/>
    <xf numFmtId="1" fontId="0" fillId="0" borderId="40" xfId="0" applyNumberFormat="1" applyBorder="1"/>
    <xf numFmtId="0" fontId="18" fillId="10" borderId="37" xfId="6" applyFont="1" applyFill="1" applyBorder="1" applyAlignment="1" applyProtection="1">
      <alignment vertical="center" wrapText="1"/>
      <protection locked="0"/>
    </xf>
    <xf numFmtId="0" fontId="0" fillId="0" borderId="44" xfId="0" applyBorder="1"/>
    <xf numFmtId="0" fontId="0" fillId="0" borderId="46" xfId="0" applyBorder="1"/>
    <xf numFmtId="0" fontId="34" fillId="0" borderId="0" xfId="0" applyFont="1"/>
    <xf numFmtId="0" fontId="0" fillId="0" borderId="40" xfId="0" applyBorder="1" applyAlignment="1">
      <alignment horizontal="center"/>
    </xf>
    <xf numFmtId="0" fontId="0" fillId="0" borderId="45" xfId="0" applyBorder="1" applyAlignment="1">
      <alignment horizontal="left"/>
    </xf>
    <xf numFmtId="0" fontId="0" fillId="0" borderId="37" xfId="0" applyBorder="1" applyAlignment="1">
      <alignment horizontal="left" wrapText="1"/>
    </xf>
    <xf numFmtId="1" fontId="0" fillId="0" borderId="40" xfId="0" applyNumberFormat="1" applyBorder="1" applyAlignment="1">
      <alignment horizontal="left"/>
    </xf>
    <xf numFmtId="1" fontId="0" fillId="0" borderId="45" xfId="0" applyNumberFormat="1" applyBorder="1" applyAlignment="1">
      <alignment horizontal="left"/>
    </xf>
    <xf numFmtId="9" fontId="0" fillId="0" borderId="45" xfId="0" applyNumberFormat="1" applyBorder="1" applyAlignment="1">
      <alignment horizontal="left"/>
    </xf>
    <xf numFmtId="4" fontId="0" fillId="0" borderId="45" xfId="0" applyNumberFormat="1" applyBorder="1" applyAlignment="1">
      <alignment horizontal="left"/>
    </xf>
    <xf numFmtId="0" fontId="0" fillId="0" borderId="36" xfId="0" applyBorder="1" applyAlignment="1">
      <alignment horizontal="left"/>
    </xf>
    <xf numFmtId="0" fontId="0" fillId="0" borderId="41" xfId="0" applyBorder="1" applyAlignment="1">
      <alignment horizontal="left" wrapText="1"/>
    </xf>
    <xf numFmtId="1" fontId="0" fillId="0" borderId="42" xfId="0" applyNumberFormat="1" applyBorder="1" applyAlignment="1">
      <alignment horizontal="left"/>
    </xf>
    <xf numFmtId="166" fontId="0" fillId="18" borderId="37" xfId="5" applyNumberFormat="1" applyFont="1" applyFill="1" applyBorder="1" applyAlignment="1">
      <alignment horizontal="center"/>
    </xf>
    <xf numFmtId="0" fontId="5" fillId="4" borderId="15" xfId="3" applyBorder="1"/>
    <xf numFmtId="0" fontId="5" fillId="4" borderId="3" xfId="3" applyBorder="1"/>
    <xf numFmtId="0" fontId="5" fillId="4" borderId="48" xfId="3" applyBorder="1" applyAlignment="1">
      <alignment horizontal="left"/>
    </xf>
    <xf numFmtId="0" fontId="5" fillId="4" borderId="48" xfId="3" applyBorder="1"/>
    <xf numFmtId="0" fontId="5" fillId="4" borderId="4" xfId="3" applyBorder="1"/>
    <xf numFmtId="0" fontId="5" fillId="4" borderId="27" xfId="3" applyBorder="1" applyAlignment="1">
      <alignment horizontal="left"/>
    </xf>
    <xf numFmtId="0" fontId="5" fillId="4" borderId="50" xfId="3" applyBorder="1" applyAlignment="1">
      <alignment horizontal="center"/>
    </xf>
    <xf numFmtId="9" fontId="5" fillId="4" borderId="32" xfId="3" applyNumberFormat="1" applyBorder="1"/>
    <xf numFmtId="9" fontId="5" fillId="4" borderId="51" xfId="3" applyNumberFormat="1" applyBorder="1"/>
    <xf numFmtId="9" fontId="5" fillId="4" borderId="52" xfId="3" applyNumberFormat="1" applyBorder="1"/>
    <xf numFmtId="46" fontId="0" fillId="0" borderId="0" xfId="0" applyNumberFormat="1"/>
    <xf numFmtId="0" fontId="0" fillId="0" borderId="49" xfId="0" applyBorder="1"/>
    <xf numFmtId="169" fontId="5" fillId="4" borderId="37" xfId="3" applyNumberFormat="1" applyBorder="1"/>
    <xf numFmtId="169" fontId="5" fillId="4" borderId="40" xfId="3" applyNumberFormat="1" applyBorder="1"/>
    <xf numFmtId="0" fontId="18" fillId="6" borderId="37" xfId="6" applyFont="1" applyFill="1" applyBorder="1" applyAlignment="1" applyProtection="1">
      <alignment horizontal="center" vertical="center" wrapText="1"/>
      <protection locked="0"/>
    </xf>
    <xf numFmtId="8" fontId="0" fillId="0" borderId="0" xfId="0" applyNumberFormat="1"/>
    <xf numFmtId="166" fontId="0" fillId="0" borderId="0" xfId="0" applyNumberFormat="1"/>
    <xf numFmtId="0" fontId="0" fillId="11" borderId="20" xfId="0" applyFill="1" applyBorder="1"/>
    <xf numFmtId="0" fontId="4" fillId="3" borderId="37" xfId="11" applyFont="1" applyFill="1" applyBorder="1" applyAlignment="1" applyProtection="1">
      <alignment horizontal="center" vertical="center" wrapText="1"/>
      <protection locked="0"/>
    </xf>
    <xf numFmtId="166" fontId="0" fillId="7" borderId="37" xfId="5" applyNumberFormat="1" applyFont="1" applyFill="1" applyBorder="1" applyAlignment="1" applyProtection="1">
      <alignment horizontal="center" vertical="center"/>
      <protection locked="0"/>
    </xf>
    <xf numFmtId="3" fontId="0" fillId="8" borderId="37" xfId="6" applyNumberFormat="1" applyFont="1" applyFill="1" applyBorder="1" applyAlignment="1" applyProtection="1">
      <alignment horizontal="center" vertical="center"/>
      <protection locked="0"/>
    </xf>
    <xf numFmtId="3" fontId="0" fillId="3" borderId="37" xfId="6" applyNumberFormat="1" applyFont="1" applyFill="1" applyBorder="1" applyAlignment="1" applyProtection="1">
      <alignment horizontal="center" vertical="center"/>
      <protection locked="0"/>
    </xf>
    <xf numFmtId="0" fontId="13" fillId="3" borderId="37" xfId="0" applyFont="1" applyFill="1" applyBorder="1" applyAlignment="1" applyProtection="1">
      <alignment horizontal="center"/>
      <protection locked="0"/>
    </xf>
    <xf numFmtId="3" fontId="13" fillId="8" borderId="37" xfId="6" applyNumberFormat="1" applyFont="1" applyFill="1" applyBorder="1" applyAlignment="1" applyProtection="1">
      <alignment horizontal="center" vertical="center"/>
      <protection locked="0"/>
    </xf>
    <xf numFmtId="0" fontId="13" fillId="3" borderId="0" xfId="0" applyFont="1" applyFill="1" applyAlignment="1" applyProtection="1">
      <alignment horizontal="center"/>
      <protection locked="0"/>
    </xf>
    <xf numFmtId="166" fontId="0" fillId="7" borderId="0" xfId="5" applyNumberFormat="1" applyFont="1" applyFill="1" applyBorder="1" applyAlignment="1" applyProtection="1">
      <alignment horizontal="center" vertical="center"/>
      <protection locked="0"/>
    </xf>
    <xf numFmtId="3" fontId="13" fillId="8" borderId="0" xfId="6" applyNumberFormat="1" applyFont="1" applyFill="1" applyAlignment="1" applyProtection="1">
      <alignment horizontal="center" vertical="center"/>
      <protection locked="0"/>
    </xf>
    <xf numFmtId="0" fontId="18" fillId="10" borderId="26" xfId="6" applyFont="1" applyFill="1" applyBorder="1" applyAlignment="1" applyProtection="1">
      <alignment horizontal="center" vertical="center" wrapText="1"/>
      <protection locked="0"/>
    </xf>
    <xf numFmtId="0" fontId="18" fillId="10" borderId="27" xfId="6" applyFont="1" applyFill="1" applyBorder="1" applyAlignment="1" applyProtection="1">
      <alignment vertical="center" wrapText="1"/>
      <protection locked="0"/>
    </xf>
    <xf numFmtId="0" fontId="18" fillId="10" borderId="34" xfId="6" applyFont="1" applyFill="1" applyBorder="1" applyAlignment="1" applyProtection="1">
      <alignment vertical="center" wrapText="1"/>
      <protection locked="0"/>
    </xf>
    <xf numFmtId="172" fontId="0" fillId="0" borderId="0" xfId="0" applyNumberFormat="1"/>
    <xf numFmtId="174" fontId="0" fillId="0" borderId="0" xfId="0" applyNumberFormat="1"/>
    <xf numFmtId="10" fontId="5" fillId="4" borderId="46" xfId="3" applyNumberFormat="1" applyBorder="1"/>
    <xf numFmtId="10" fontId="5" fillId="4" borderId="47" xfId="3" applyNumberFormat="1" applyBorder="1"/>
    <xf numFmtId="169" fontId="5" fillId="4" borderId="46" xfId="3" applyNumberFormat="1" applyBorder="1"/>
    <xf numFmtId="169" fontId="5" fillId="4" borderId="47" xfId="3" applyNumberFormat="1" applyBorder="1"/>
    <xf numFmtId="169" fontId="5" fillId="4" borderId="41" xfId="3" applyNumberFormat="1" applyBorder="1"/>
    <xf numFmtId="169" fontId="5" fillId="4" borderId="42" xfId="3" applyNumberFormat="1" applyBorder="1"/>
    <xf numFmtId="3" fontId="0" fillId="0" borderId="37" xfId="0" applyNumberFormat="1" applyBorder="1"/>
    <xf numFmtId="3" fontId="0" fillId="0" borderId="40" xfId="0" applyNumberFormat="1" applyBorder="1"/>
    <xf numFmtId="3" fontId="0" fillId="0" borderId="41" xfId="0" applyNumberFormat="1" applyBorder="1"/>
    <xf numFmtId="3" fontId="0" fillId="0" borderId="42" xfId="0" applyNumberFormat="1" applyBorder="1"/>
    <xf numFmtId="1" fontId="5" fillId="4" borderId="37" xfId="3" applyNumberFormat="1" applyBorder="1" applyAlignment="1">
      <alignment horizontal="center"/>
    </xf>
    <xf numFmtId="1" fontId="5" fillId="4" borderId="40" xfId="3" applyNumberFormat="1" applyBorder="1" applyAlignment="1">
      <alignment horizontal="center"/>
    </xf>
    <xf numFmtId="0" fontId="0" fillId="3" borderId="0" xfId="0" applyFill="1" applyAlignment="1" applyProtection="1">
      <alignment vertical="center"/>
      <protection locked="0"/>
    </xf>
    <xf numFmtId="0" fontId="18" fillId="6" borderId="20" xfId="6" applyFont="1" applyFill="1" applyBorder="1" applyAlignment="1" applyProtection="1">
      <alignment horizontal="center" vertical="center" wrapText="1"/>
      <protection locked="0"/>
    </xf>
    <xf numFmtId="0" fontId="0" fillId="3" borderId="0" xfId="0" applyFill="1" applyAlignment="1" applyProtection="1">
      <alignment horizontal="center" vertical="center"/>
      <protection locked="0"/>
    </xf>
    <xf numFmtId="0" fontId="0" fillId="0" borderId="39" xfId="6" applyFont="1" applyBorder="1" applyAlignment="1" applyProtection="1">
      <alignment vertical="center"/>
      <protection locked="0"/>
    </xf>
    <xf numFmtId="3" fontId="0" fillId="0" borderId="37" xfId="6" applyNumberFormat="1" applyFont="1" applyBorder="1" applyAlignment="1" applyProtection="1">
      <alignment horizontal="right" vertical="center"/>
      <protection locked="0"/>
    </xf>
    <xf numFmtId="3" fontId="0" fillId="0" borderId="40" xfId="6" applyNumberFormat="1" applyFont="1" applyBorder="1" applyAlignment="1" applyProtection="1">
      <alignment horizontal="center" vertical="center"/>
      <protection locked="0"/>
    </xf>
    <xf numFmtId="0" fontId="0" fillId="0" borderId="49" xfId="6" applyFont="1" applyBorder="1" applyAlignment="1" applyProtection="1">
      <alignment vertical="center"/>
      <protection locked="0"/>
    </xf>
    <xf numFmtId="3" fontId="0" fillId="0" borderId="41" xfId="6" applyNumberFormat="1" applyFont="1" applyBorder="1" applyAlignment="1" applyProtection="1">
      <alignment horizontal="right" vertical="center"/>
      <protection locked="0"/>
    </xf>
    <xf numFmtId="3" fontId="0" fillId="0" borderId="42" xfId="6" applyNumberFormat="1" applyFont="1" applyBorder="1" applyAlignment="1" applyProtection="1">
      <alignment horizontal="center" vertical="center"/>
      <protection locked="0"/>
    </xf>
    <xf numFmtId="0" fontId="0" fillId="7" borderId="0" xfId="6" applyFont="1" applyFill="1" applyAlignment="1" applyProtection="1">
      <alignment vertical="center"/>
      <protection locked="0"/>
    </xf>
    <xf numFmtId="3" fontId="0" fillId="8" borderId="0" xfId="6" applyNumberFormat="1" applyFont="1" applyFill="1" applyAlignment="1" applyProtection="1">
      <alignment horizontal="right" vertical="center"/>
      <protection locked="0"/>
    </xf>
    <xf numFmtId="3" fontId="0" fillId="8" borderId="0" xfId="6" applyNumberFormat="1" applyFont="1" applyFill="1" applyAlignment="1" applyProtection="1">
      <alignment horizontal="center" vertical="center"/>
      <protection locked="0"/>
    </xf>
    <xf numFmtId="168" fontId="0" fillId="8" borderId="0" xfId="6" applyNumberFormat="1" applyFont="1" applyFill="1" applyAlignment="1" applyProtection="1">
      <alignment horizontal="center" vertical="center"/>
      <protection locked="0"/>
    </xf>
    <xf numFmtId="0" fontId="0" fillId="3" borderId="0" xfId="0" quotePrefix="1" applyFill="1" applyAlignment="1" applyProtection="1">
      <alignment horizontal="left" vertical="center" wrapText="1"/>
      <protection locked="0"/>
    </xf>
    <xf numFmtId="0" fontId="18" fillId="6" borderId="39" xfId="6" applyFont="1" applyFill="1" applyBorder="1" applyAlignment="1" applyProtection="1">
      <alignment horizontal="center" vertical="center" wrapText="1"/>
      <protection locked="0"/>
    </xf>
    <xf numFmtId="166" fontId="0" fillId="0" borderId="37" xfId="5" applyNumberFormat="1" applyFont="1" applyFill="1" applyBorder="1" applyAlignment="1" applyProtection="1">
      <alignment horizontal="right" vertical="center"/>
      <protection locked="0"/>
    </xf>
    <xf numFmtId="166" fontId="0" fillId="0" borderId="40" xfId="5" applyNumberFormat="1" applyFont="1" applyFill="1" applyBorder="1" applyAlignment="1" applyProtection="1">
      <alignment horizontal="right" vertical="center"/>
      <protection locked="0"/>
    </xf>
    <xf numFmtId="166" fontId="0" fillId="0" borderId="41" xfId="5" applyNumberFormat="1" applyFont="1" applyFill="1" applyBorder="1" applyAlignment="1" applyProtection="1">
      <alignment horizontal="right" vertical="center"/>
      <protection locked="0"/>
    </xf>
    <xf numFmtId="166" fontId="0" fillId="0" borderId="42" xfId="5" applyNumberFormat="1" applyFont="1" applyFill="1" applyBorder="1" applyAlignment="1" applyProtection="1">
      <alignment horizontal="right" vertical="center"/>
      <protection locked="0"/>
    </xf>
    <xf numFmtId="166" fontId="0" fillId="7" borderId="0" xfId="5" applyNumberFormat="1" applyFont="1" applyFill="1" applyBorder="1" applyAlignment="1" applyProtection="1">
      <alignment horizontal="right" vertical="center"/>
      <protection locked="0"/>
    </xf>
    <xf numFmtId="0" fontId="0" fillId="21" borderId="39" xfId="6" applyFont="1" applyFill="1" applyBorder="1" applyAlignment="1" applyProtection="1">
      <alignment vertical="center"/>
      <protection locked="0"/>
    </xf>
    <xf numFmtId="166" fontId="0" fillId="21" borderId="37" xfId="5" applyNumberFormat="1" applyFont="1" applyFill="1" applyBorder="1" applyAlignment="1" applyProtection="1">
      <alignment horizontal="right" vertical="center"/>
      <protection locked="0"/>
    </xf>
    <xf numFmtId="166" fontId="0" fillId="0" borderId="37" xfId="5" applyNumberFormat="1" applyFont="1" applyBorder="1" applyAlignment="1" applyProtection="1">
      <alignment horizontal="right" vertical="center"/>
      <protection locked="0"/>
    </xf>
    <xf numFmtId="0" fontId="0" fillId="21" borderId="50" xfId="6" applyFont="1" applyFill="1" applyBorder="1" applyAlignment="1" applyProtection="1">
      <alignment vertical="center"/>
      <protection locked="0"/>
    </xf>
    <xf numFmtId="166" fontId="0" fillId="21" borderId="51" xfId="5" applyNumberFormat="1" applyFont="1" applyFill="1" applyBorder="1" applyAlignment="1" applyProtection="1">
      <alignment horizontal="right" vertical="center"/>
      <protection locked="0"/>
    </xf>
    <xf numFmtId="166" fontId="0" fillId="0" borderId="39" xfId="5" applyNumberFormat="1" applyFont="1" applyBorder="1" applyAlignment="1" applyProtection="1">
      <alignment vertical="center"/>
      <protection locked="0"/>
    </xf>
    <xf numFmtId="166" fontId="0" fillId="0" borderId="40" xfId="5" applyNumberFormat="1" applyFont="1" applyBorder="1" applyAlignment="1" applyProtection="1">
      <alignment horizontal="right" vertical="center"/>
      <protection locked="0"/>
    </xf>
    <xf numFmtId="166" fontId="4" fillId="0" borderId="37" xfId="5" applyNumberFormat="1" applyFont="1" applyFill="1" applyBorder="1" applyAlignment="1" applyProtection="1">
      <alignment horizontal="right" vertical="center"/>
      <protection locked="0"/>
    </xf>
    <xf numFmtId="166" fontId="0" fillId="0" borderId="49" xfId="5" applyNumberFormat="1" applyFont="1" applyBorder="1" applyAlignment="1" applyProtection="1">
      <alignment vertical="center"/>
      <protection locked="0"/>
    </xf>
    <xf numFmtId="166" fontId="0" fillId="0" borderId="41" xfId="5" applyNumberFormat="1" applyFont="1" applyBorder="1" applyAlignment="1" applyProtection="1">
      <alignment horizontal="right" vertical="center"/>
      <protection locked="0"/>
    </xf>
    <xf numFmtId="166" fontId="0" fillId="0" borderId="42" xfId="5" applyNumberFormat="1" applyFont="1" applyBorder="1" applyAlignment="1" applyProtection="1">
      <alignment horizontal="right" vertical="center"/>
      <protection locked="0"/>
    </xf>
    <xf numFmtId="3" fontId="0" fillId="21" borderId="37" xfId="6" applyNumberFormat="1" applyFont="1" applyFill="1" applyBorder="1" applyAlignment="1" applyProtection="1">
      <alignment horizontal="right" vertical="center"/>
      <protection locked="0"/>
    </xf>
    <xf numFmtId="3" fontId="0" fillId="21" borderId="40" xfId="6" applyNumberFormat="1" applyFont="1" applyFill="1" applyBorder="1" applyAlignment="1" applyProtection="1">
      <alignment horizontal="right" vertical="center"/>
      <protection locked="0"/>
    </xf>
    <xf numFmtId="166" fontId="0" fillId="21" borderId="40" xfId="5" applyNumberFormat="1" applyFont="1" applyFill="1" applyBorder="1" applyAlignment="1" applyProtection="1">
      <alignment horizontal="right" vertical="center"/>
      <protection locked="0"/>
    </xf>
    <xf numFmtId="0" fontId="0" fillId="21" borderId="49" xfId="6" applyFont="1" applyFill="1" applyBorder="1" applyAlignment="1" applyProtection="1">
      <alignment vertical="center"/>
      <protection locked="0"/>
    </xf>
    <xf numFmtId="166" fontId="0" fillId="21" borderId="41" xfId="5" applyNumberFormat="1" applyFont="1" applyFill="1" applyBorder="1" applyAlignment="1" applyProtection="1">
      <alignment horizontal="right" vertical="center"/>
      <protection locked="0"/>
    </xf>
    <xf numFmtId="166" fontId="0" fillId="21" borderId="42" xfId="5" applyNumberFormat="1" applyFont="1" applyFill="1" applyBorder="1" applyAlignment="1" applyProtection="1">
      <alignment horizontal="right" vertical="center"/>
      <protection locked="0"/>
    </xf>
    <xf numFmtId="0" fontId="0" fillId="7" borderId="9" xfId="6" applyFont="1" applyFill="1" applyBorder="1" applyAlignment="1" applyProtection="1">
      <alignment vertical="center"/>
      <protection locked="0"/>
    </xf>
    <xf numFmtId="3" fontId="0" fillId="8" borderId="12" xfId="6" applyNumberFormat="1" applyFont="1" applyFill="1" applyBorder="1" applyAlignment="1" applyProtection="1">
      <alignment horizontal="center" vertical="center"/>
      <protection locked="0"/>
    </xf>
    <xf numFmtId="0" fontId="0" fillId="3" borderId="9" xfId="0" applyFill="1" applyBorder="1" applyAlignment="1" applyProtection="1">
      <alignment vertical="center"/>
      <protection locked="0"/>
    </xf>
    <xf numFmtId="3" fontId="0" fillId="0" borderId="40" xfId="6" applyNumberFormat="1" applyFont="1" applyBorder="1" applyAlignment="1" applyProtection="1">
      <alignment horizontal="right" vertical="center"/>
      <protection locked="0"/>
    </xf>
    <xf numFmtId="0" fontId="0" fillId="24" borderId="39" xfId="6" applyFont="1" applyFill="1" applyBorder="1" applyAlignment="1" applyProtection="1">
      <alignment vertical="center"/>
      <protection locked="0"/>
    </xf>
    <xf numFmtId="3" fontId="0" fillId="24" borderId="37" xfId="6" applyNumberFormat="1" applyFont="1" applyFill="1" applyBorder="1" applyAlignment="1" applyProtection="1">
      <alignment horizontal="right" vertical="center"/>
      <protection locked="0"/>
    </xf>
    <xf numFmtId="3" fontId="0" fillId="24" borderId="40" xfId="6" applyNumberFormat="1" applyFont="1" applyFill="1" applyBorder="1" applyAlignment="1" applyProtection="1">
      <alignment horizontal="right" vertical="center"/>
      <protection locked="0"/>
    </xf>
    <xf numFmtId="0" fontId="0" fillId="24" borderId="49" xfId="6" applyFont="1" applyFill="1" applyBorder="1" applyAlignment="1" applyProtection="1">
      <alignment vertical="center"/>
      <protection locked="0"/>
    </xf>
    <xf numFmtId="3" fontId="0" fillId="24" borderId="41" xfId="6" applyNumberFormat="1" applyFont="1" applyFill="1" applyBorder="1" applyAlignment="1" applyProtection="1">
      <alignment horizontal="right" vertical="center"/>
      <protection locked="0"/>
    </xf>
    <xf numFmtId="3" fontId="0" fillId="24" borderId="42" xfId="6" applyNumberFormat="1" applyFont="1" applyFill="1" applyBorder="1" applyAlignment="1" applyProtection="1">
      <alignment horizontal="right" vertical="center"/>
      <protection locked="0"/>
    </xf>
    <xf numFmtId="10" fontId="0" fillId="0" borderId="37" xfId="6" applyNumberFormat="1" applyFont="1" applyBorder="1" applyAlignment="1" applyProtection="1">
      <alignment horizontal="right" vertical="center"/>
      <protection locked="0"/>
    </xf>
    <xf numFmtId="10" fontId="0" fillId="0" borderId="40" xfId="6" applyNumberFormat="1" applyFont="1" applyBorder="1" applyAlignment="1" applyProtection="1">
      <alignment horizontal="right" vertical="center"/>
      <protection locked="0"/>
    </xf>
    <xf numFmtId="10" fontId="4" fillId="0" borderId="37" xfId="6" applyNumberFormat="1" applyFont="1" applyBorder="1" applyAlignment="1" applyProtection="1">
      <alignment horizontal="right" vertical="center"/>
      <protection locked="0"/>
    </xf>
    <xf numFmtId="10" fontId="4" fillId="0" borderId="41" xfId="6" applyNumberFormat="1" applyFont="1" applyBorder="1" applyAlignment="1" applyProtection="1">
      <alignment horizontal="right" vertical="center"/>
      <protection locked="0"/>
    </xf>
    <xf numFmtId="10" fontId="0" fillId="0" borderId="41" xfId="6" applyNumberFormat="1" applyFont="1" applyBorder="1" applyAlignment="1" applyProtection="1">
      <alignment horizontal="right" vertical="center"/>
      <protection locked="0"/>
    </xf>
    <xf numFmtId="10" fontId="0" fillId="0" borderId="42" xfId="6" applyNumberFormat="1" applyFont="1" applyBorder="1" applyAlignment="1" applyProtection="1">
      <alignment horizontal="right" vertical="center"/>
      <protection locked="0"/>
    </xf>
    <xf numFmtId="3" fontId="0" fillId="21" borderId="41" xfId="6" applyNumberFormat="1" applyFont="1" applyFill="1" applyBorder="1" applyAlignment="1" applyProtection="1">
      <alignment horizontal="right" vertical="center"/>
      <protection locked="0"/>
    </xf>
    <xf numFmtId="3" fontId="0" fillId="21" borderId="42" xfId="6" applyNumberFormat="1" applyFont="1" applyFill="1" applyBorder="1" applyAlignment="1" applyProtection="1">
      <alignment horizontal="right" vertical="center"/>
      <protection locked="0"/>
    </xf>
    <xf numFmtId="0" fontId="0" fillId="7" borderId="15" xfId="6" applyFont="1" applyFill="1" applyBorder="1" applyAlignment="1" applyProtection="1">
      <alignment vertical="center"/>
      <protection locked="0"/>
    </xf>
    <xf numFmtId="166" fontId="0" fillId="7" borderId="3" xfId="5" applyNumberFormat="1" applyFont="1" applyFill="1" applyBorder="1" applyAlignment="1" applyProtection="1">
      <alignment horizontal="right" vertical="center"/>
      <protection locked="0"/>
    </xf>
    <xf numFmtId="3" fontId="0" fillId="8" borderId="3" xfId="6" applyNumberFormat="1" applyFont="1" applyFill="1" applyBorder="1" applyAlignment="1" applyProtection="1">
      <alignment horizontal="right" vertical="center"/>
      <protection locked="0"/>
    </xf>
    <xf numFmtId="3" fontId="0" fillId="8" borderId="3" xfId="6" applyNumberFormat="1" applyFont="1" applyFill="1" applyBorder="1" applyAlignment="1" applyProtection="1">
      <alignment horizontal="center" vertical="center"/>
      <protection locked="0"/>
    </xf>
    <xf numFmtId="168" fontId="0" fillId="8" borderId="3" xfId="6" applyNumberFormat="1" applyFont="1" applyFill="1" applyBorder="1" applyAlignment="1" applyProtection="1">
      <alignment horizontal="center" vertical="center"/>
      <protection locked="0"/>
    </xf>
    <xf numFmtId="3" fontId="0" fillId="8" borderId="11" xfId="6" applyNumberFormat="1" applyFont="1" applyFill="1" applyBorder="1" applyAlignment="1" applyProtection="1">
      <alignment horizontal="center" vertical="center"/>
      <protection locked="0"/>
    </xf>
    <xf numFmtId="0" fontId="0" fillId="22" borderId="49" xfId="6" applyFont="1" applyFill="1" applyBorder="1" applyAlignment="1" applyProtection="1">
      <alignment vertical="center"/>
      <protection locked="0"/>
    </xf>
    <xf numFmtId="3" fontId="0" fillId="23" borderId="41" xfId="6" applyNumberFormat="1" applyFont="1" applyFill="1" applyBorder="1" applyAlignment="1" applyProtection="1">
      <alignment horizontal="right" vertical="center"/>
      <protection locked="0"/>
    </xf>
    <xf numFmtId="3" fontId="0" fillId="23" borderId="42" xfId="6" applyNumberFormat="1" applyFont="1" applyFill="1" applyBorder="1" applyAlignment="1" applyProtection="1">
      <alignment horizontal="right" vertical="center"/>
      <protection locked="0"/>
    </xf>
    <xf numFmtId="0" fontId="0" fillId="7" borderId="29" xfId="6" applyFont="1" applyFill="1" applyBorder="1" applyAlignment="1" applyProtection="1">
      <alignment vertical="center"/>
      <protection locked="0"/>
    </xf>
    <xf numFmtId="166" fontId="0" fillId="7" borderId="10" xfId="5" applyNumberFormat="1" applyFont="1" applyFill="1" applyBorder="1" applyAlignment="1" applyProtection="1">
      <alignment horizontal="right" vertical="center"/>
      <protection locked="0"/>
    </xf>
    <xf numFmtId="3" fontId="0" fillId="8" borderId="10" xfId="6" applyNumberFormat="1" applyFont="1" applyFill="1" applyBorder="1" applyAlignment="1" applyProtection="1">
      <alignment horizontal="right" vertical="center"/>
      <protection locked="0"/>
    </xf>
    <xf numFmtId="3" fontId="0" fillId="8" borderId="10" xfId="6" applyNumberFormat="1" applyFont="1" applyFill="1" applyBorder="1" applyAlignment="1" applyProtection="1">
      <alignment horizontal="center" vertical="center"/>
      <protection locked="0"/>
    </xf>
    <xf numFmtId="168" fontId="0" fillId="8" borderId="10" xfId="6" applyNumberFormat="1" applyFont="1" applyFill="1" applyBorder="1" applyAlignment="1" applyProtection="1">
      <alignment horizontal="center" vertical="center"/>
      <protection locked="0"/>
    </xf>
    <xf numFmtId="3" fontId="0" fillId="8" borderId="19" xfId="6" applyNumberFormat="1" applyFont="1" applyFill="1" applyBorder="1" applyAlignment="1" applyProtection="1">
      <alignment horizontal="center" vertical="center"/>
      <protection locked="0"/>
    </xf>
    <xf numFmtId="3" fontId="4" fillId="23" borderId="42" xfId="6" applyNumberFormat="1" applyFont="1" applyFill="1" applyBorder="1" applyAlignment="1" applyProtection="1">
      <alignment horizontal="right" vertical="center"/>
      <protection locked="0"/>
    </xf>
    <xf numFmtId="171" fontId="0" fillId="0" borderId="0" xfId="0" applyNumberFormat="1"/>
    <xf numFmtId="4" fontId="0" fillId="0" borderId="0" xfId="0" applyNumberFormat="1"/>
    <xf numFmtId="9" fontId="0" fillId="0" borderId="37" xfId="0" applyNumberFormat="1" applyBorder="1"/>
    <xf numFmtId="0" fontId="0" fillId="0" borderId="37" xfId="0" applyBorder="1" applyAlignment="1">
      <alignment horizontal="right"/>
    </xf>
    <xf numFmtId="0" fontId="0" fillId="0" borderId="9" xfId="0" applyBorder="1" applyAlignment="1">
      <alignment wrapText="1"/>
    </xf>
    <xf numFmtId="1" fontId="0" fillId="0" borderId="12" xfId="0" applyNumberFormat="1" applyBorder="1"/>
    <xf numFmtId="9" fontId="0" fillId="0" borderId="40" xfId="0" applyNumberFormat="1" applyBorder="1"/>
    <xf numFmtId="9" fontId="0" fillId="0" borderId="41" xfId="0" applyNumberFormat="1" applyBorder="1"/>
    <xf numFmtId="9" fontId="0" fillId="0" borderId="42" xfId="0" applyNumberFormat="1" applyBorder="1"/>
    <xf numFmtId="0" fontId="0" fillId="0" borderId="0" xfId="0" applyAlignment="1">
      <alignment wrapText="1"/>
    </xf>
    <xf numFmtId="170" fontId="0" fillId="0" borderId="0" xfId="0" applyNumberFormat="1"/>
    <xf numFmtId="0" fontId="13" fillId="0" borderId="0" xfId="0" applyFont="1" applyAlignment="1" applyProtection="1">
      <alignment horizontal="center" vertical="center" wrapText="1"/>
      <protection locked="0"/>
    </xf>
    <xf numFmtId="166" fontId="18" fillId="6" borderId="37" xfId="5" applyNumberFormat="1" applyFont="1" applyFill="1" applyBorder="1" applyAlignment="1" applyProtection="1">
      <alignment horizontal="center" vertical="center" wrapText="1"/>
      <protection locked="0"/>
    </xf>
    <xf numFmtId="1" fontId="18" fillId="10" borderId="22" xfId="6" applyNumberFormat="1" applyFont="1" applyFill="1" applyBorder="1" applyAlignment="1" applyProtection="1">
      <alignment vertical="center" wrapText="1"/>
      <protection locked="0"/>
    </xf>
    <xf numFmtId="1" fontId="18" fillId="10" borderId="31" xfId="6" applyNumberFormat="1" applyFont="1" applyFill="1" applyBorder="1" applyAlignment="1" applyProtection="1">
      <alignment vertical="center" wrapText="1"/>
      <protection locked="0"/>
    </xf>
    <xf numFmtId="1" fontId="18" fillId="10" borderId="27" xfId="6" applyNumberFormat="1" applyFont="1" applyFill="1" applyBorder="1" applyAlignment="1" applyProtection="1">
      <alignment vertical="center" wrapText="1"/>
      <protection locked="0"/>
    </xf>
    <xf numFmtId="1" fontId="18" fillId="10" borderId="34" xfId="6" applyNumberFormat="1" applyFont="1" applyFill="1" applyBorder="1" applyAlignment="1" applyProtection="1">
      <alignment vertical="center" wrapText="1"/>
      <protection locked="0"/>
    </xf>
    <xf numFmtId="0" fontId="18" fillId="6" borderId="22" xfId="6" applyFont="1" applyFill="1" applyBorder="1" applyAlignment="1" applyProtection="1">
      <alignment horizontal="center" vertical="center" wrapText="1"/>
      <protection locked="0"/>
    </xf>
    <xf numFmtId="0" fontId="18" fillId="6" borderId="25" xfId="6" applyFont="1" applyFill="1" applyBorder="1" applyAlignment="1" applyProtection="1">
      <alignment horizontal="center" vertical="center" wrapText="1"/>
      <protection locked="0"/>
    </xf>
    <xf numFmtId="0" fontId="18" fillId="6" borderId="41" xfId="6" applyFont="1" applyFill="1" applyBorder="1" applyAlignment="1" applyProtection="1">
      <alignment horizontal="center" vertical="center" wrapText="1"/>
      <protection locked="0"/>
    </xf>
    <xf numFmtId="0" fontId="18" fillId="6" borderId="49" xfId="6" applyFont="1" applyFill="1" applyBorder="1" applyAlignment="1" applyProtection="1">
      <alignment horizontal="center" vertical="center" wrapText="1"/>
      <protection locked="0"/>
    </xf>
    <xf numFmtId="41" fontId="18" fillId="10" borderId="22" xfId="6" applyNumberFormat="1" applyFont="1" applyFill="1" applyBorder="1" applyAlignment="1" applyProtection="1">
      <alignment vertical="center" wrapText="1"/>
      <protection locked="0"/>
    </xf>
    <xf numFmtId="41" fontId="18" fillId="10" borderId="31" xfId="6" applyNumberFormat="1" applyFont="1" applyFill="1" applyBorder="1" applyAlignment="1" applyProtection="1">
      <alignment vertical="center" wrapText="1"/>
      <protection locked="0"/>
    </xf>
    <xf numFmtId="1" fontId="18" fillId="6" borderId="27" xfId="6" applyNumberFormat="1" applyFont="1" applyFill="1" applyBorder="1" applyAlignment="1" applyProtection="1">
      <alignment horizontal="center" vertical="center" wrapText="1"/>
      <protection locked="0"/>
    </xf>
    <xf numFmtId="1" fontId="18" fillId="6" borderId="34" xfId="6" applyNumberFormat="1" applyFont="1" applyFill="1" applyBorder="1" applyAlignment="1" applyProtection="1">
      <alignment horizontal="center" vertical="center" wrapText="1"/>
      <protection locked="0"/>
    </xf>
    <xf numFmtId="0" fontId="18" fillId="6" borderId="63" xfId="6" applyFont="1" applyFill="1" applyBorder="1" applyAlignment="1" applyProtection="1">
      <alignment horizontal="center" vertical="center" wrapText="1"/>
      <protection locked="0"/>
    </xf>
    <xf numFmtId="0" fontId="5" fillId="4" borderId="37" xfId="3" applyBorder="1"/>
    <xf numFmtId="0" fontId="5" fillId="4" borderId="40" xfId="3" applyBorder="1"/>
    <xf numFmtId="1" fontId="0" fillId="0" borderId="41" xfId="0" applyNumberFormat="1" applyBorder="1"/>
    <xf numFmtId="1" fontId="0" fillId="0" borderId="42" xfId="0" applyNumberFormat="1" applyBorder="1"/>
    <xf numFmtId="41" fontId="0" fillId="0" borderId="41" xfId="2" applyNumberFormat="1" applyFont="1" applyBorder="1"/>
    <xf numFmtId="41" fontId="0" fillId="0" borderId="42" xfId="2" applyNumberFormat="1" applyFont="1" applyBorder="1"/>
    <xf numFmtId="41" fontId="0" fillId="0" borderId="0" xfId="2" applyNumberFormat="1" applyFont="1"/>
    <xf numFmtId="0" fontId="0" fillId="0" borderId="49" xfId="0" applyBorder="1" applyAlignment="1">
      <alignment horizontal="center" wrapText="1"/>
    </xf>
    <xf numFmtId="20" fontId="0" fillId="0" borderId="0" xfId="0" applyNumberFormat="1"/>
    <xf numFmtId="0" fontId="0" fillId="3" borderId="39" xfId="0" applyFill="1" applyBorder="1"/>
    <xf numFmtId="0" fontId="0" fillId="21" borderId="39" xfId="0" applyFill="1" applyBorder="1"/>
    <xf numFmtId="169" fontId="0" fillId="21" borderId="37" xfId="0" applyNumberFormat="1" applyFill="1" applyBorder="1"/>
    <xf numFmtId="169" fontId="0" fillId="21" borderId="40" xfId="0" applyNumberFormat="1" applyFill="1" applyBorder="1"/>
    <xf numFmtId="0" fontId="18" fillId="10" borderId="20" xfId="6" applyFont="1" applyFill="1" applyBorder="1" applyAlignment="1" applyProtection="1">
      <alignment vertical="center" wrapText="1"/>
      <protection locked="0"/>
    </xf>
    <xf numFmtId="0" fontId="0" fillId="0" borderId="10" xfId="0" applyBorder="1" applyAlignment="1">
      <alignment horizontal="center"/>
    </xf>
    <xf numFmtId="0" fontId="0" fillId="15" borderId="37" xfId="2" applyFont="1" applyFill="1" applyBorder="1" applyAlignment="1">
      <alignment horizontal="center"/>
    </xf>
    <xf numFmtId="0" fontId="0" fillId="18" borderId="37" xfId="2" applyFont="1" applyFill="1" applyBorder="1" applyAlignment="1">
      <alignment horizontal="center"/>
    </xf>
    <xf numFmtId="0" fontId="0" fillId="18" borderId="37" xfId="0" applyFill="1" applyBorder="1" applyAlignment="1">
      <alignment horizontal="center"/>
    </xf>
    <xf numFmtId="41" fontId="0" fillId="15" borderId="37" xfId="2" applyNumberFormat="1" applyFont="1" applyFill="1" applyBorder="1" applyAlignment="1">
      <alignment horizontal="center"/>
    </xf>
    <xf numFmtId="166" fontId="0" fillId="3" borderId="37" xfId="5" applyNumberFormat="1" applyFont="1" applyFill="1" applyBorder="1" applyAlignment="1">
      <alignment horizontal="center"/>
    </xf>
    <xf numFmtId="41" fontId="0" fillId="3" borderId="37" xfId="2" applyNumberFormat="1" applyFont="1" applyFill="1" applyBorder="1" applyAlignment="1">
      <alignment horizontal="center"/>
    </xf>
    <xf numFmtId="165" fontId="0" fillId="18" borderId="37" xfId="2" applyNumberFormat="1" applyFont="1" applyFill="1" applyBorder="1" applyAlignment="1">
      <alignment horizontal="center"/>
    </xf>
    <xf numFmtId="1" fontId="0" fillId="3" borderId="37" xfId="2" applyNumberFormat="1" applyFont="1" applyFill="1" applyBorder="1" applyAlignment="1">
      <alignment horizontal="center"/>
    </xf>
    <xf numFmtId="43" fontId="0" fillId="0" borderId="0" xfId="0" applyNumberFormat="1"/>
    <xf numFmtId="0" fontId="0" fillId="11" borderId="58" xfId="0" applyFill="1" applyBorder="1"/>
    <xf numFmtId="0" fontId="0" fillId="0" borderId="58" xfId="0" applyBorder="1" applyAlignment="1">
      <alignment horizontal="left"/>
    </xf>
    <xf numFmtId="0" fontId="0" fillId="15" borderId="58" xfId="0" applyFill="1" applyBorder="1"/>
    <xf numFmtId="9" fontId="0" fillId="18" borderId="58" xfId="0" applyNumberFormat="1" applyFill="1" applyBorder="1"/>
    <xf numFmtId="0" fontId="0" fillId="0" borderId="58" xfId="0" applyBorder="1" applyAlignment="1">
      <alignment wrapText="1"/>
    </xf>
    <xf numFmtId="0" fontId="0" fillId="18" borderId="58" xfId="0" applyFill="1" applyBorder="1"/>
    <xf numFmtId="0" fontId="0" fillId="0" borderId="58" xfId="6" applyFont="1" applyBorder="1" applyAlignment="1" applyProtection="1">
      <alignment vertical="center"/>
      <protection locked="0"/>
    </xf>
    <xf numFmtId="3" fontId="0" fillId="16" borderId="58" xfId="6" applyNumberFormat="1" applyFont="1" applyFill="1" applyBorder="1" applyAlignment="1" applyProtection="1">
      <alignment horizontal="right" vertical="center"/>
      <protection locked="0"/>
    </xf>
    <xf numFmtId="3" fontId="0" fillId="0" borderId="58" xfId="6" applyNumberFormat="1" applyFont="1" applyBorder="1" applyAlignment="1" applyProtection="1">
      <alignment horizontal="center" vertical="center"/>
      <protection locked="0"/>
    </xf>
    <xf numFmtId="3" fontId="4" fillId="0" borderId="58" xfId="6" applyNumberFormat="1" applyFont="1" applyBorder="1" applyAlignment="1" applyProtection="1">
      <alignment horizontal="left" vertical="center"/>
      <protection locked="0"/>
    </xf>
    <xf numFmtId="0" fontId="0" fillId="0" borderId="58" xfId="0" applyBorder="1" applyAlignment="1" applyProtection="1">
      <alignment horizontal="left" vertical="center"/>
      <protection locked="0"/>
    </xf>
    <xf numFmtId="9" fontId="0" fillId="18" borderId="58" xfId="0" applyNumberFormat="1" applyFill="1" applyBorder="1" applyAlignment="1" applyProtection="1">
      <alignment horizontal="center" vertical="center"/>
      <protection locked="0"/>
    </xf>
    <xf numFmtId="0" fontId="0" fillId="0" borderId="58" xfId="0" applyBorder="1" applyAlignment="1" applyProtection="1">
      <alignment vertical="center"/>
      <protection locked="0"/>
    </xf>
    <xf numFmtId="9" fontId="0" fillId="18" borderId="58" xfId="8" applyFont="1" applyFill="1" applyBorder="1" applyAlignment="1" applyProtection="1">
      <alignment horizontal="center" vertical="center"/>
      <protection locked="0"/>
    </xf>
    <xf numFmtId="0" fontId="0" fillId="11" borderId="58" xfId="0" applyFill="1" applyBorder="1" applyAlignment="1">
      <alignment horizontal="center" vertical="center"/>
    </xf>
    <xf numFmtId="0" fontId="0" fillId="6" borderId="37" xfId="0" applyFill="1" applyBorder="1" applyAlignment="1" applyProtection="1">
      <alignment vertical="center" wrapText="1"/>
      <protection locked="0"/>
    </xf>
    <xf numFmtId="166" fontId="13" fillId="18" borderId="58" xfId="5" applyNumberFormat="1" applyFont="1" applyFill="1" applyBorder="1"/>
    <xf numFmtId="166" fontId="13" fillId="15" borderId="58" xfId="5" applyNumberFormat="1" applyFont="1" applyFill="1" applyBorder="1"/>
    <xf numFmtId="0" fontId="4" fillId="6" borderId="37" xfId="6" applyFont="1" applyFill="1" applyBorder="1" applyAlignment="1" applyProtection="1">
      <alignment vertical="center" wrapText="1"/>
      <protection locked="0"/>
    </xf>
    <xf numFmtId="0" fontId="0" fillId="11" borderId="37" xfId="0" applyFill="1" applyBorder="1" applyAlignment="1" applyProtection="1">
      <alignment horizontal="left" vertical="center"/>
      <protection locked="0"/>
    </xf>
    <xf numFmtId="169" fontId="0" fillId="3" borderId="58" xfId="8" applyNumberFormat="1" applyFont="1" applyFill="1" applyBorder="1"/>
    <xf numFmtId="0" fontId="13" fillId="0" borderId="57" xfId="0" applyFont="1" applyBorder="1"/>
    <xf numFmtId="9" fontId="13" fillId="3" borderId="58" xfId="0" applyNumberFormat="1" applyFont="1" applyFill="1" applyBorder="1"/>
    <xf numFmtId="9" fontId="0" fillId="0" borderId="58" xfId="0" applyNumberFormat="1" applyBorder="1"/>
    <xf numFmtId="166" fontId="13" fillId="7" borderId="58" xfId="15" applyNumberFormat="1" applyFont="1" applyFill="1" applyBorder="1" applyAlignment="1" applyProtection="1">
      <alignment horizontal="center" vertical="center"/>
    </xf>
    <xf numFmtId="166" fontId="0" fillId="25" borderId="58" xfId="15" applyNumberFormat="1" applyFont="1" applyFill="1" applyBorder="1" applyAlignment="1" applyProtection="1">
      <alignment horizontal="center" vertical="center"/>
    </xf>
    <xf numFmtId="0" fontId="4" fillId="3" borderId="58" xfId="11" applyFont="1" applyFill="1" applyBorder="1" applyAlignment="1" applyProtection="1">
      <alignment horizontal="left" vertical="center" wrapText="1"/>
      <protection locked="0"/>
    </xf>
    <xf numFmtId="0" fontId="13" fillId="3" borderId="58" xfId="0" applyFont="1" applyFill="1" applyBorder="1" applyAlignment="1" applyProtection="1">
      <alignment horizontal="left"/>
      <protection locked="0"/>
    </xf>
    <xf numFmtId="3" fontId="0" fillId="8" borderId="58" xfId="6" applyNumberFormat="1" applyFont="1" applyFill="1" applyBorder="1" applyAlignment="1" applyProtection="1">
      <alignment horizontal="left" vertical="center"/>
      <protection locked="0"/>
    </xf>
    <xf numFmtId="3" fontId="0" fillId="3" borderId="58" xfId="6" applyNumberFormat="1" applyFont="1" applyFill="1" applyBorder="1" applyAlignment="1" applyProtection="1">
      <alignment horizontal="left" vertical="center"/>
      <protection locked="0"/>
    </xf>
    <xf numFmtId="3" fontId="2" fillId="8" borderId="58" xfId="6" applyNumberFormat="1" applyFont="1" applyFill="1" applyBorder="1" applyAlignment="1" applyProtection="1">
      <alignment horizontal="left" vertical="center"/>
      <protection locked="0"/>
    </xf>
    <xf numFmtId="166" fontId="0" fillId="0" borderId="58" xfId="15" applyNumberFormat="1" applyFont="1" applyFill="1" applyBorder="1" applyAlignment="1" applyProtection="1">
      <alignment horizontal="center" vertical="center"/>
    </xf>
    <xf numFmtId="9" fontId="0" fillId="19" borderId="58" xfId="8" applyFont="1" applyFill="1" applyBorder="1" applyAlignment="1" applyProtection="1">
      <alignment horizontal="right" vertical="center"/>
    </xf>
    <xf numFmtId="43" fontId="0" fillId="0" borderId="58" xfId="5" applyFont="1" applyFill="1" applyBorder="1" applyAlignment="1" applyProtection="1">
      <alignment horizontal="center" vertical="center"/>
    </xf>
    <xf numFmtId="166" fontId="13" fillId="3" borderId="58" xfId="5" applyNumberFormat="1" applyFont="1" applyFill="1" applyBorder="1"/>
    <xf numFmtId="0" fontId="0" fillId="6" borderId="51" xfId="0" applyFill="1" applyBorder="1" applyAlignment="1" applyProtection="1">
      <alignment horizontal="center" vertical="center" wrapText="1"/>
      <protection locked="0"/>
    </xf>
    <xf numFmtId="0" fontId="0" fillId="26" borderId="0" xfId="0" applyFill="1"/>
    <xf numFmtId="0" fontId="0" fillId="6" borderId="38" xfId="0" applyFill="1" applyBorder="1" applyAlignment="1" applyProtection="1">
      <alignment vertical="center" wrapText="1"/>
      <protection locked="0"/>
    </xf>
    <xf numFmtId="0" fontId="0" fillId="6" borderId="33" xfId="0" applyFill="1" applyBorder="1" applyAlignment="1" applyProtection="1">
      <alignment vertical="center" wrapText="1"/>
      <protection locked="0"/>
    </xf>
    <xf numFmtId="0" fontId="4" fillId="6" borderId="51" xfId="6" applyFont="1" applyFill="1" applyBorder="1" applyAlignment="1" applyProtection="1">
      <alignment vertical="center" wrapText="1"/>
      <protection locked="0"/>
    </xf>
    <xf numFmtId="0" fontId="0" fillId="11" borderId="58" xfId="0" applyFill="1" applyBorder="1" applyAlignment="1">
      <alignment wrapText="1"/>
    </xf>
    <xf numFmtId="0" fontId="4" fillId="3" borderId="58" xfId="11" applyFont="1" applyFill="1" applyBorder="1" applyAlignment="1" applyProtection="1">
      <alignment horizontal="left" vertical="center"/>
      <protection locked="0"/>
    </xf>
    <xf numFmtId="0" fontId="18" fillId="3" borderId="58" xfId="11" applyFont="1" applyFill="1" applyBorder="1" applyAlignment="1" applyProtection="1">
      <alignment horizontal="left" vertical="center"/>
      <protection locked="0"/>
    </xf>
    <xf numFmtId="166" fontId="0" fillId="0" borderId="58" xfId="5" applyNumberFormat="1" applyFont="1" applyFill="1" applyBorder="1"/>
    <xf numFmtId="9" fontId="25" fillId="20" borderId="0" xfId="8" applyFont="1" applyFill="1"/>
    <xf numFmtId="0" fontId="4" fillId="11" borderId="0" xfId="0" applyFont="1" applyFill="1"/>
    <xf numFmtId="0" fontId="7" fillId="0" borderId="58" xfId="0" applyFont="1" applyBorder="1"/>
    <xf numFmtId="0" fontId="4" fillId="0" borderId="37" xfId="10" applyFont="1" applyBorder="1" applyAlignment="1">
      <alignment horizontal="left" indent="1"/>
    </xf>
    <xf numFmtId="0" fontId="18" fillId="0" borderId="0" xfId="10" applyFont="1" applyAlignment="1">
      <alignment horizontal="left" indent="1"/>
    </xf>
    <xf numFmtId="0" fontId="29" fillId="0" borderId="37" xfId="16" applyFill="1" applyBorder="1"/>
    <xf numFmtId="175" fontId="4" fillId="0" borderId="58" xfId="5" applyNumberFormat="1" applyFont="1" applyFill="1" applyBorder="1"/>
    <xf numFmtId="173" fontId="4" fillId="0" borderId="58" xfId="5" applyNumberFormat="1" applyFont="1" applyFill="1" applyBorder="1"/>
    <xf numFmtId="166" fontId="4" fillId="0" borderId="58" xfId="5" applyNumberFormat="1" applyFont="1" applyFill="1" applyBorder="1"/>
    <xf numFmtId="176" fontId="4" fillId="0" borderId="58" xfId="5" applyNumberFormat="1" applyFont="1" applyFill="1" applyBorder="1"/>
    <xf numFmtId="167" fontId="2" fillId="0" borderId="37" xfId="2" applyNumberFormat="1" applyFont="1" applyBorder="1" applyAlignment="1">
      <alignment horizontal="right"/>
    </xf>
    <xf numFmtId="9" fontId="2" fillId="0" borderId="37" xfId="2" applyNumberFormat="1" applyFont="1" applyBorder="1" applyAlignment="1">
      <alignment horizontal="right"/>
    </xf>
    <xf numFmtId="2" fontId="2" fillId="0" borderId="37" xfId="2" applyNumberFormat="1" applyFont="1" applyBorder="1" applyAlignment="1">
      <alignment horizontal="right"/>
    </xf>
    <xf numFmtId="0" fontId="7" fillId="0" borderId="37" xfId="0" applyFont="1" applyBorder="1"/>
    <xf numFmtId="0" fontId="7" fillId="2" borderId="58" xfId="0" applyFont="1" applyFill="1" applyBorder="1"/>
    <xf numFmtId="9" fontId="0" fillId="0" borderId="58" xfId="8" applyFont="1" applyFill="1" applyBorder="1"/>
    <xf numFmtId="0" fontId="38" fillId="0" borderId="0" xfId="0" applyFont="1"/>
    <xf numFmtId="0" fontId="0" fillId="12" borderId="58" xfId="5" applyNumberFormat="1" applyFont="1" applyFill="1" applyBorder="1" applyAlignment="1">
      <alignment horizontal="center" vertical="center"/>
    </xf>
    <xf numFmtId="0" fontId="1" fillId="6" borderId="58" xfId="5" applyNumberFormat="1" applyFont="1" applyFill="1" applyBorder="1" applyAlignment="1" applyProtection="1">
      <alignment horizontal="center" vertical="center" wrapText="1"/>
      <protection locked="0"/>
    </xf>
    <xf numFmtId="173" fontId="4" fillId="0" borderId="58" xfId="5" applyNumberFormat="1" applyFont="1" applyBorder="1"/>
    <xf numFmtId="0" fontId="7" fillId="20" borderId="37" xfId="0" applyFont="1" applyFill="1" applyBorder="1"/>
    <xf numFmtId="43" fontId="0" fillId="0" borderId="58" xfId="5" applyFont="1" applyFill="1" applyBorder="1"/>
    <xf numFmtId="9" fontId="13" fillId="0" borderId="58" xfId="8" applyFont="1" applyFill="1" applyBorder="1"/>
    <xf numFmtId="0" fontId="0" fillId="2" borderId="58" xfId="0" applyFill="1" applyBorder="1" applyAlignment="1">
      <alignment horizontal="center" vertical="center" wrapText="1"/>
    </xf>
    <xf numFmtId="0" fontId="4" fillId="27" borderId="58" xfId="6" applyFont="1" applyFill="1" applyBorder="1" applyAlignment="1" applyProtection="1">
      <alignment vertical="center" wrapText="1"/>
      <protection locked="0"/>
    </xf>
    <xf numFmtId="0" fontId="0" fillId="2" borderId="58" xfId="0" applyFill="1" applyBorder="1" applyAlignment="1">
      <alignment horizontal="left" vertical="center"/>
    </xf>
    <xf numFmtId="175" fontId="4" fillId="0" borderId="0" xfId="5" applyNumberFormat="1" applyFont="1" applyFill="1" applyBorder="1"/>
    <xf numFmtId="0" fontId="18" fillId="0" borderId="58" xfId="10" applyFont="1" applyBorder="1" applyAlignment="1">
      <alignment horizontal="left" indent="1"/>
    </xf>
    <xf numFmtId="166" fontId="4" fillId="0" borderId="0" xfId="5" applyNumberFormat="1" applyFont="1" applyFill="1" applyBorder="1"/>
    <xf numFmtId="0" fontId="0" fillId="2" borderId="37" xfId="0" applyFill="1" applyBorder="1" applyAlignment="1">
      <alignment vertical="center"/>
    </xf>
    <xf numFmtId="0" fontId="13" fillId="2" borderId="37" xfId="1" applyFont="1" applyFill="1" applyBorder="1" applyAlignment="1">
      <alignment horizontal="left" indent="1"/>
    </xf>
    <xf numFmtId="1" fontId="4" fillId="0" borderId="37" xfId="0" applyNumberFormat="1" applyFont="1" applyBorder="1"/>
    <xf numFmtId="0" fontId="9" fillId="10" borderId="64" xfId="6" applyFont="1" applyFill="1" applyBorder="1" applyAlignment="1" applyProtection="1">
      <alignment horizontal="center" vertical="center" wrapText="1"/>
      <protection locked="0"/>
    </xf>
    <xf numFmtId="0" fontId="0" fillId="12" borderId="58" xfId="0" applyFill="1" applyBorder="1"/>
    <xf numFmtId="0" fontId="4" fillId="12" borderId="58" xfId="3" applyFont="1" applyFill="1" applyBorder="1"/>
    <xf numFmtId="0" fontId="4" fillId="12" borderId="58" xfId="3" applyFont="1" applyFill="1" applyBorder="1" applyAlignment="1">
      <alignment horizontal="center"/>
    </xf>
    <xf numFmtId="0" fontId="22" fillId="4" borderId="37" xfId="3" applyFont="1" applyBorder="1" applyAlignment="1">
      <alignment horizontal="center"/>
    </xf>
    <xf numFmtId="0" fontId="22" fillId="4" borderId="37" xfId="3" applyFont="1" applyBorder="1" applyAlignment="1">
      <alignment horizontal="left"/>
    </xf>
    <xf numFmtId="166" fontId="22" fillId="4" borderId="37" xfId="5" applyNumberFormat="1" applyFont="1" applyFill="1" applyBorder="1"/>
    <xf numFmtId="0" fontId="22" fillId="4" borderId="37" xfId="3" applyFont="1" applyBorder="1"/>
    <xf numFmtId="0" fontId="4" fillId="0" borderId="58" xfId="3" applyFont="1" applyFill="1" applyBorder="1"/>
    <xf numFmtId="1" fontId="4" fillId="0" borderId="58" xfId="0" applyNumberFormat="1" applyFont="1" applyBorder="1"/>
    <xf numFmtId="0" fontId="4" fillId="0" borderId="58" xfId="4" applyFont="1" applyFill="1" applyBorder="1"/>
    <xf numFmtId="1" fontId="4" fillId="0" borderId="58" xfId="4" applyNumberFormat="1" applyFont="1" applyFill="1" applyBorder="1"/>
    <xf numFmtId="0" fontId="4" fillId="0" borderId="58" xfId="3" applyFont="1" applyFill="1" applyBorder="1" applyAlignment="1">
      <alignment horizontal="center"/>
    </xf>
    <xf numFmtId="0" fontId="4" fillId="0" borderId="58" xfId="3" applyFont="1" applyFill="1" applyBorder="1" applyAlignment="1">
      <alignment horizontal="left"/>
    </xf>
    <xf numFmtId="0" fontId="4" fillId="12" borderId="58" xfId="0" applyFont="1" applyFill="1" applyBorder="1" applyAlignment="1">
      <alignment horizontal="center"/>
    </xf>
    <xf numFmtId="0" fontId="4" fillId="12" borderId="58" xfId="0" applyFont="1" applyFill="1" applyBorder="1"/>
    <xf numFmtId="0" fontId="13" fillId="0" borderId="0" xfId="0" applyFont="1" applyAlignment="1">
      <alignment horizontal="center"/>
    </xf>
    <xf numFmtId="0" fontId="4" fillId="0" borderId="58" xfId="1" applyFont="1" applyBorder="1" applyAlignment="1">
      <alignment horizontal="left" indent="1"/>
    </xf>
    <xf numFmtId="166" fontId="2" fillId="0" borderId="58" xfId="5" applyNumberFormat="1" applyFont="1" applyFill="1" applyBorder="1"/>
    <xf numFmtId="166" fontId="0" fillId="0" borderId="58" xfId="5" quotePrefix="1" applyNumberFormat="1" applyFont="1" applyFill="1" applyBorder="1"/>
    <xf numFmtId="9" fontId="4" fillId="0" borderId="58" xfId="3" applyNumberFormat="1" applyFont="1" applyFill="1" applyBorder="1"/>
    <xf numFmtId="3" fontId="0" fillId="0" borderId="58" xfId="0" applyNumberFormat="1" applyBorder="1"/>
    <xf numFmtId="165" fontId="0" fillId="0" borderId="58" xfId="0" applyNumberFormat="1" applyBorder="1"/>
    <xf numFmtId="41" fontId="2" fillId="0" borderId="0" xfId="2" applyNumberFormat="1" applyFont="1"/>
    <xf numFmtId="0" fontId="4" fillId="0" borderId="0" xfId="1" applyFont="1" applyAlignment="1">
      <alignment horizontal="left" indent="1"/>
    </xf>
    <xf numFmtId="166" fontId="0" fillId="0" borderId="0" xfId="5" applyNumberFormat="1" applyFont="1" applyFill="1" applyBorder="1"/>
    <xf numFmtId="41" fontId="13" fillId="0" borderId="58" xfId="2" applyNumberFormat="1" applyFont="1" applyBorder="1"/>
    <xf numFmtId="166" fontId="13" fillId="0" borderId="58" xfId="5" applyNumberFormat="1" applyFont="1" applyFill="1" applyBorder="1"/>
    <xf numFmtId="0" fontId="4" fillId="12" borderId="37" xfId="0" applyFont="1" applyFill="1" applyBorder="1"/>
    <xf numFmtId="0" fontId="0" fillId="12" borderId="37" xfId="0" applyFill="1" applyBorder="1"/>
    <xf numFmtId="0" fontId="0" fillId="12" borderId="44" xfId="0" applyFill="1" applyBorder="1"/>
    <xf numFmtId="0" fontId="0" fillId="12" borderId="65" xfId="0" applyFill="1" applyBorder="1"/>
    <xf numFmtId="0" fontId="0" fillId="12" borderId="46" xfId="0" applyFill="1" applyBorder="1"/>
    <xf numFmtId="0" fontId="4" fillId="0" borderId="30" xfId="10" applyFont="1" applyBorder="1" applyAlignment="1">
      <alignment horizontal="left" vertical="center" wrapText="1"/>
    </xf>
    <xf numFmtId="0" fontId="4" fillId="0" borderId="30" xfId="10" applyFont="1" applyBorder="1" applyAlignment="1">
      <alignment horizontal="left" indent="1"/>
    </xf>
    <xf numFmtId="0" fontId="4" fillId="0" borderId="30" xfId="1" applyFont="1" applyBorder="1" applyAlignment="1">
      <alignment horizontal="left" indent="1"/>
    </xf>
    <xf numFmtId="0" fontId="2" fillId="0" borderId="30" xfId="1" applyFont="1" applyBorder="1" applyAlignment="1">
      <alignment horizontal="left" indent="1"/>
    </xf>
    <xf numFmtId="0" fontId="4" fillId="12" borderId="64" xfId="0" applyFont="1" applyFill="1" applyBorder="1"/>
    <xf numFmtId="0" fontId="0" fillId="12" borderId="66" xfId="0" applyFill="1" applyBorder="1"/>
    <xf numFmtId="0" fontId="0" fillId="12" borderId="32" xfId="0" applyFill="1" applyBorder="1"/>
    <xf numFmtId="0" fontId="18" fillId="0" borderId="7" xfId="10" applyFont="1" applyBorder="1" applyAlignment="1">
      <alignment horizontal="left"/>
    </xf>
    <xf numFmtId="10" fontId="13" fillId="0" borderId="10" xfId="0" applyNumberFormat="1" applyFont="1" applyBorder="1"/>
    <xf numFmtId="9" fontId="13" fillId="0" borderId="10" xfId="0" applyNumberFormat="1" applyFont="1" applyBorder="1"/>
    <xf numFmtId="9" fontId="13" fillId="0" borderId="2" xfId="0" applyNumberFormat="1" applyFont="1" applyBorder="1"/>
    <xf numFmtId="0" fontId="18" fillId="0" borderId="30" xfId="10" applyFont="1" applyBorder="1" applyAlignment="1">
      <alignment horizontal="left" vertical="center" wrapText="1"/>
    </xf>
    <xf numFmtId="0" fontId="18" fillId="0" borderId="58" xfId="10" applyFont="1" applyBorder="1" applyAlignment="1">
      <alignment horizontal="left" vertical="center" wrapText="1"/>
    </xf>
    <xf numFmtId="0" fontId="18" fillId="0" borderId="58" xfId="10" applyFont="1" applyBorder="1" applyAlignment="1">
      <alignment horizontal="left"/>
    </xf>
    <xf numFmtId="0" fontId="18" fillId="0" borderId="58" xfId="1" quotePrefix="1" applyFont="1" applyBorder="1"/>
    <xf numFmtId="0" fontId="18" fillId="0" borderId="58" xfId="1" applyFont="1" applyBorder="1" applyAlignment="1">
      <alignment horizontal="left" indent="1"/>
    </xf>
    <xf numFmtId="0" fontId="18" fillId="0" borderId="64" xfId="1" applyFont="1" applyBorder="1"/>
    <xf numFmtId="0" fontId="18" fillId="0" borderId="30" xfId="1" applyFont="1" applyBorder="1" applyAlignment="1">
      <alignment horizontal="left" indent="1"/>
    </xf>
    <xf numFmtId="0" fontId="18" fillId="0" borderId="7" xfId="1" applyFont="1" applyBorder="1" applyAlignment="1">
      <alignment horizontal="left" indent="1"/>
    </xf>
    <xf numFmtId="43" fontId="18" fillId="0" borderId="30" xfId="5" applyFont="1" applyFill="1" applyBorder="1" applyAlignment="1">
      <alignment horizontal="left" indent="1"/>
    </xf>
    <xf numFmtId="43" fontId="13" fillId="0" borderId="0" xfId="5" applyFont="1" applyFill="1" applyBorder="1"/>
    <xf numFmtId="43" fontId="13" fillId="0" borderId="67" xfId="5" applyFont="1" applyFill="1" applyBorder="1"/>
    <xf numFmtId="43" fontId="18" fillId="0" borderId="7" xfId="5" applyFont="1" applyFill="1" applyBorder="1" applyAlignment="1">
      <alignment horizontal="left" indent="1"/>
    </xf>
    <xf numFmtId="43" fontId="13" fillId="0" borderId="10" xfId="5" applyFont="1" applyFill="1" applyBorder="1"/>
    <xf numFmtId="43" fontId="13" fillId="0" borderId="2" xfId="5" applyFont="1" applyFill="1" applyBorder="1"/>
    <xf numFmtId="166" fontId="13" fillId="0" borderId="10" xfId="5" applyNumberFormat="1" applyFont="1" applyFill="1" applyBorder="1"/>
    <xf numFmtId="9" fontId="13" fillId="0" borderId="0" xfId="8" applyFont="1" applyFill="1" applyBorder="1"/>
    <xf numFmtId="0" fontId="13" fillId="0" borderId="30" xfId="1" applyFont="1" applyBorder="1" applyAlignment="1">
      <alignment horizontal="left" indent="1"/>
    </xf>
    <xf numFmtId="0" fontId="13" fillId="0" borderId="7" xfId="1" applyFont="1" applyBorder="1" applyAlignment="1">
      <alignment horizontal="left" indent="1"/>
    </xf>
    <xf numFmtId="166" fontId="13" fillId="0" borderId="0" xfId="5" applyNumberFormat="1" applyFont="1" applyFill="1" applyBorder="1"/>
    <xf numFmtId="9" fontId="18" fillId="0" borderId="7" xfId="8" applyFont="1" applyFill="1" applyBorder="1" applyAlignment="1">
      <alignment horizontal="left"/>
    </xf>
    <xf numFmtId="9" fontId="13" fillId="0" borderId="10" xfId="8" applyFont="1" applyFill="1" applyBorder="1"/>
    <xf numFmtId="9" fontId="13" fillId="0" borderId="2" xfId="8" applyFont="1" applyFill="1" applyBorder="1"/>
    <xf numFmtId="166" fontId="0" fillId="0" borderId="67" xfId="5" applyNumberFormat="1" applyFont="1" applyFill="1" applyBorder="1"/>
    <xf numFmtId="166" fontId="13" fillId="0" borderId="67" xfId="5" applyNumberFormat="1" applyFont="1" applyFill="1" applyBorder="1"/>
    <xf numFmtId="166" fontId="13" fillId="0" borderId="66" xfId="5" applyNumberFormat="1" applyFont="1" applyFill="1" applyBorder="1"/>
    <xf numFmtId="166" fontId="13" fillId="0" borderId="32" xfId="5" applyNumberFormat="1" applyFont="1" applyFill="1" applyBorder="1"/>
    <xf numFmtId="166" fontId="2" fillId="0" borderId="0" xfId="5" applyNumberFormat="1" applyFont="1" applyFill="1" applyBorder="1"/>
    <xf numFmtId="166" fontId="13" fillId="0" borderId="2" xfId="5" applyNumberFormat="1" applyFont="1" applyFill="1" applyBorder="1"/>
    <xf numFmtId="9" fontId="0" fillId="0" borderId="37" xfId="8" applyFont="1" applyFill="1" applyBorder="1"/>
    <xf numFmtId="164" fontId="0" fillId="0" borderId="37" xfId="1" applyNumberFormat="1" applyFont="1" applyBorder="1" applyAlignment="1">
      <alignment horizontal="left" vertical="center"/>
    </xf>
    <xf numFmtId="9" fontId="13" fillId="0" borderId="58" xfId="0" applyNumberFormat="1" applyFont="1" applyBorder="1"/>
    <xf numFmtId="0" fontId="7" fillId="20" borderId="0" xfId="0" quotePrefix="1" applyFont="1" applyFill="1"/>
    <xf numFmtId="0" fontId="25" fillId="20" borderId="0" xfId="0" applyFont="1" applyFill="1"/>
    <xf numFmtId="3" fontId="0" fillId="15" borderId="37" xfId="0" applyNumberFormat="1" applyFill="1" applyBorder="1" applyAlignment="1">
      <alignment horizontal="right"/>
    </xf>
    <xf numFmtId="41" fontId="0" fillId="15" borderId="37" xfId="14" applyFont="1" applyFill="1" applyBorder="1" applyAlignment="1">
      <alignment horizontal="right"/>
    </xf>
    <xf numFmtId="41" fontId="0" fillId="15" borderId="37" xfId="2" applyNumberFormat="1" applyFont="1" applyFill="1" applyBorder="1" applyAlignment="1">
      <alignment horizontal="right"/>
    </xf>
    <xf numFmtId="43" fontId="4" fillId="0" borderId="58" xfId="5" applyFont="1" applyFill="1" applyBorder="1"/>
    <xf numFmtId="0" fontId="23" fillId="0" borderId="0" xfId="0" quotePrefix="1" applyFont="1"/>
    <xf numFmtId="0" fontId="5" fillId="4" borderId="16" xfId="3" applyBorder="1" applyAlignment="1">
      <alignment horizontal="center"/>
    </xf>
    <xf numFmtId="0" fontId="5" fillId="4" borderId="17" xfId="3" applyBorder="1" applyAlignment="1">
      <alignment horizontal="center"/>
    </xf>
    <xf numFmtId="0" fontId="5" fillId="4" borderId="18" xfId="3" applyBorder="1" applyAlignment="1">
      <alignment horizontal="center"/>
    </xf>
    <xf numFmtId="0" fontId="18" fillId="6" borderId="37" xfId="6" applyFont="1" applyFill="1" applyBorder="1" applyAlignment="1" applyProtection="1">
      <alignment horizontal="center" vertical="center" wrapText="1"/>
      <protection locked="0"/>
    </xf>
    <xf numFmtId="0" fontId="0" fillId="0" borderId="37" xfId="0" applyBorder="1" applyAlignment="1" applyProtection="1">
      <alignment horizontal="center" vertical="center" wrapText="1"/>
      <protection locked="0"/>
    </xf>
    <xf numFmtId="0" fontId="5" fillId="4" borderId="22" xfId="3" applyBorder="1" applyAlignment="1">
      <alignment horizontal="center"/>
    </xf>
    <xf numFmtId="0" fontId="5" fillId="4" borderId="31" xfId="3" applyBorder="1" applyAlignment="1">
      <alignment horizontal="center"/>
    </xf>
    <xf numFmtId="0" fontId="0" fillId="6" borderId="37" xfId="0" applyFill="1" applyBorder="1" applyAlignment="1" applyProtection="1">
      <alignment horizontal="center" vertical="center" wrapText="1"/>
      <protection locked="0"/>
    </xf>
    <xf numFmtId="0" fontId="22" fillId="4" borderId="28" xfId="3" applyFont="1" applyBorder="1" applyAlignment="1">
      <alignment horizontal="center" vertical="center"/>
    </xf>
    <xf numFmtId="0" fontId="22" fillId="4" borderId="9" xfId="3" applyFont="1" applyBorder="1" applyAlignment="1">
      <alignment horizontal="center" vertical="center"/>
    </xf>
    <xf numFmtId="0" fontId="22" fillId="4" borderId="5" xfId="3" applyFont="1" applyBorder="1" applyAlignment="1">
      <alignment horizontal="center" vertical="center"/>
    </xf>
    <xf numFmtId="0" fontId="5" fillId="4" borderId="23" xfId="3" applyBorder="1" applyAlignment="1">
      <alignment horizontal="center" vertical="center"/>
    </xf>
    <xf numFmtId="0" fontId="5" fillId="4" borderId="25" xfId="3" applyBorder="1" applyAlignment="1">
      <alignment horizontal="center" vertical="center"/>
    </xf>
    <xf numFmtId="0" fontId="5" fillId="4" borderId="26" xfId="3" applyBorder="1" applyAlignment="1">
      <alignment horizontal="center" vertical="center"/>
    </xf>
    <xf numFmtId="0" fontId="18" fillId="10" borderId="37" xfId="6" applyFont="1" applyFill="1" applyBorder="1" applyAlignment="1" applyProtection="1">
      <alignment horizontal="center" vertical="center" wrapText="1"/>
      <protection locked="0"/>
    </xf>
    <xf numFmtId="0" fontId="0" fillId="11" borderId="37" xfId="0" applyFill="1" applyBorder="1" applyAlignment="1" applyProtection="1">
      <alignment horizontal="center" vertical="center" wrapText="1"/>
      <protection locked="0"/>
    </xf>
    <xf numFmtId="0" fontId="0" fillId="10" borderId="37" xfId="0" applyFill="1" applyBorder="1" applyAlignment="1" applyProtection="1">
      <alignment horizontal="center" vertical="center" wrapText="1"/>
      <protection locked="0"/>
    </xf>
    <xf numFmtId="0" fontId="13" fillId="6" borderId="37" xfId="0" applyFont="1" applyFill="1" applyBorder="1" applyAlignment="1" applyProtection="1">
      <alignment horizontal="center" vertical="center" wrapText="1"/>
      <protection locked="0"/>
    </xf>
    <xf numFmtId="0" fontId="13" fillId="0" borderId="37" xfId="0" applyFont="1" applyBorder="1" applyAlignment="1" applyProtection="1">
      <alignment horizontal="center" vertical="center" wrapText="1"/>
      <protection locked="0"/>
    </xf>
    <xf numFmtId="0" fontId="18" fillId="10" borderId="51" xfId="6" applyFont="1" applyFill="1" applyBorder="1" applyAlignment="1" applyProtection="1">
      <alignment horizontal="center" vertical="center" wrapText="1"/>
      <protection locked="0"/>
    </xf>
    <xf numFmtId="0" fontId="18" fillId="10" borderId="48" xfId="6" applyFont="1" applyFill="1" applyBorder="1" applyAlignment="1" applyProtection="1">
      <alignment horizontal="center" vertical="center" wrapText="1"/>
      <protection locked="0"/>
    </xf>
    <xf numFmtId="0" fontId="18" fillId="10" borderId="35" xfId="6" applyFont="1" applyFill="1" applyBorder="1" applyAlignment="1" applyProtection="1">
      <alignment horizontal="center" vertical="center" wrapText="1"/>
      <protection locked="0"/>
    </xf>
    <xf numFmtId="0" fontId="18" fillId="6" borderId="20" xfId="6" applyFont="1" applyFill="1" applyBorder="1" applyAlignment="1" applyProtection="1">
      <alignment horizontal="center" vertical="center" wrapText="1"/>
      <protection locked="0"/>
    </xf>
    <xf numFmtId="0" fontId="18" fillId="6" borderId="39" xfId="6" applyFont="1" applyFill="1" applyBorder="1" applyAlignment="1" applyProtection="1">
      <alignment horizontal="center" vertical="center" wrapText="1"/>
      <protection locked="0"/>
    </xf>
    <xf numFmtId="1" fontId="4" fillId="6" borderId="22" xfId="6" applyNumberFormat="1" applyFont="1" applyFill="1" applyBorder="1" applyAlignment="1" applyProtection="1">
      <alignment horizontal="center" vertical="center" wrapText="1"/>
      <protection locked="0"/>
    </xf>
    <xf numFmtId="1" fontId="4" fillId="6" borderId="37" xfId="6" applyNumberFormat="1" applyFont="1" applyFill="1" applyBorder="1" applyAlignment="1" applyProtection="1">
      <alignment horizontal="center" vertical="center" wrapText="1"/>
      <protection locked="0"/>
    </xf>
    <xf numFmtId="1" fontId="4" fillId="6" borderId="31" xfId="6" applyNumberFormat="1" applyFont="1" applyFill="1" applyBorder="1" applyAlignment="1" applyProtection="1">
      <alignment horizontal="center" vertical="center" wrapText="1"/>
      <protection locked="0"/>
    </xf>
    <xf numFmtId="1" fontId="4" fillId="6" borderId="40" xfId="6" applyNumberFormat="1" applyFont="1" applyFill="1" applyBorder="1" applyAlignment="1" applyProtection="1">
      <alignment horizontal="center" vertical="center" wrapText="1"/>
      <protection locked="0"/>
    </xf>
    <xf numFmtId="0" fontId="7" fillId="3" borderId="15" xfId="0" applyFont="1" applyFill="1" applyBorder="1" applyAlignment="1">
      <alignment horizontal="center"/>
    </xf>
    <xf numFmtId="0" fontId="7" fillId="3" borderId="3" xfId="0" applyFont="1" applyFill="1" applyBorder="1" applyAlignment="1">
      <alignment horizontal="center"/>
    </xf>
    <xf numFmtId="0" fontId="7" fillId="3" borderId="11" xfId="0" applyFont="1" applyFill="1" applyBorder="1" applyAlignment="1">
      <alignment horizontal="center"/>
    </xf>
    <xf numFmtId="1" fontId="4" fillId="6" borderId="27" xfId="6" applyNumberFormat="1" applyFont="1" applyFill="1" applyBorder="1" applyAlignment="1" applyProtection="1">
      <alignment horizontal="center" vertical="center" wrapText="1"/>
      <protection locked="0"/>
    </xf>
    <xf numFmtId="1" fontId="4" fillId="6" borderId="48" xfId="6" applyNumberFormat="1" applyFont="1" applyFill="1" applyBorder="1" applyAlignment="1" applyProtection="1">
      <alignment horizontal="center" vertical="center" wrapText="1"/>
      <protection locked="0"/>
    </xf>
    <xf numFmtId="1" fontId="4" fillId="6" borderId="35" xfId="6" applyNumberFormat="1" applyFont="1" applyFill="1" applyBorder="1" applyAlignment="1" applyProtection="1">
      <alignment horizontal="center" vertical="center" wrapText="1"/>
      <protection locked="0"/>
    </xf>
    <xf numFmtId="1" fontId="4" fillId="6" borderId="34" xfId="6" applyNumberFormat="1" applyFont="1" applyFill="1" applyBorder="1" applyAlignment="1" applyProtection="1">
      <alignment horizontal="center" vertical="center" wrapText="1"/>
      <protection locked="0"/>
    </xf>
    <xf numFmtId="1" fontId="4" fillId="6" borderId="24" xfId="6" applyNumberFormat="1" applyFont="1" applyFill="1" applyBorder="1" applyAlignment="1" applyProtection="1">
      <alignment horizontal="center" vertical="center" wrapText="1"/>
      <protection locked="0"/>
    </xf>
    <xf numFmtId="1" fontId="4" fillId="6" borderId="6" xfId="6" applyNumberFormat="1" applyFont="1" applyFill="1" applyBorder="1" applyAlignment="1" applyProtection="1">
      <alignment horizontal="center" vertical="center" wrapText="1"/>
      <protection locked="0"/>
    </xf>
    <xf numFmtId="0" fontId="0" fillId="0" borderId="39" xfId="0" applyBorder="1" applyAlignment="1" applyProtection="1">
      <alignment horizontal="center" vertical="center" wrapText="1"/>
      <protection locked="0"/>
    </xf>
    <xf numFmtId="0" fontId="0" fillId="6" borderId="31" xfId="0" applyFill="1" applyBorder="1" applyAlignment="1" applyProtection="1">
      <alignment horizontal="center" vertical="center" wrapText="1"/>
      <protection locked="0"/>
    </xf>
    <xf numFmtId="0" fontId="0" fillId="0" borderId="40" xfId="0" applyBorder="1" applyAlignment="1" applyProtection="1">
      <alignment horizontal="center" vertical="center" wrapText="1"/>
      <protection locked="0"/>
    </xf>
    <xf numFmtId="0" fontId="0" fillId="6" borderId="22" xfId="0" applyFill="1" applyBorder="1" applyAlignment="1" applyProtection="1">
      <alignment horizontal="center" vertical="center" wrapText="1"/>
      <protection locked="0"/>
    </xf>
    <xf numFmtId="0" fontId="18" fillId="6" borderId="26" xfId="6" applyFont="1" applyFill="1" applyBorder="1" applyAlignment="1" applyProtection="1">
      <alignment horizontal="center" vertical="center" wrapText="1"/>
      <protection locked="0"/>
    </xf>
    <xf numFmtId="0" fontId="18" fillId="6" borderId="23" xfId="6" applyFont="1" applyFill="1" applyBorder="1" applyAlignment="1" applyProtection="1">
      <alignment horizontal="center" vertical="center" wrapText="1"/>
      <protection locked="0"/>
    </xf>
    <xf numFmtId="0" fontId="18" fillId="6" borderId="21" xfId="6" applyFont="1" applyFill="1" applyBorder="1" applyAlignment="1" applyProtection="1">
      <alignment horizontal="center" vertical="center" wrapText="1"/>
      <protection locked="0"/>
    </xf>
    <xf numFmtId="169" fontId="5" fillId="4" borderId="3" xfId="3" applyNumberFormat="1" applyBorder="1" applyAlignment="1">
      <alignment horizontal="center"/>
    </xf>
    <xf numFmtId="169" fontId="5" fillId="4" borderId="11" xfId="3" applyNumberFormat="1" applyBorder="1" applyAlignment="1">
      <alignment horizontal="center"/>
    </xf>
    <xf numFmtId="0" fontId="18" fillId="6" borderId="25" xfId="6" applyFont="1" applyFill="1" applyBorder="1" applyAlignment="1" applyProtection="1">
      <alignment horizontal="center" vertical="center" wrapText="1"/>
      <protection locked="0"/>
    </xf>
    <xf numFmtId="0" fontId="18" fillId="6" borderId="44" xfId="6" applyFont="1" applyFill="1" applyBorder="1" applyAlignment="1" applyProtection="1">
      <alignment horizontal="center" vertical="center" wrapText="1"/>
      <protection locked="0"/>
    </xf>
    <xf numFmtId="0" fontId="13" fillId="0" borderId="44" xfId="0" applyFont="1" applyBorder="1" applyAlignment="1" applyProtection="1">
      <alignment horizontal="center" vertical="center" wrapText="1"/>
      <protection locked="0"/>
    </xf>
    <xf numFmtId="0" fontId="18" fillId="6" borderId="51" xfId="6" applyFont="1" applyFill="1" applyBorder="1" applyAlignment="1" applyProtection="1">
      <alignment horizontal="center" vertical="center" wrapText="1"/>
      <protection locked="0"/>
    </xf>
    <xf numFmtId="0" fontId="18" fillId="6" borderId="57" xfId="6" applyFont="1" applyFill="1" applyBorder="1" applyAlignment="1" applyProtection="1">
      <alignment horizontal="center" vertical="center" wrapText="1"/>
      <protection locked="0"/>
    </xf>
    <xf numFmtId="0" fontId="18" fillId="6" borderId="35" xfId="6" applyFont="1" applyFill="1" applyBorder="1" applyAlignment="1" applyProtection="1">
      <alignment horizontal="center" vertical="center" wrapText="1"/>
      <protection locked="0"/>
    </xf>
    <xf numFmtId="0" fontId="13" fillId="0" borderId="51" xfId="0" applyFont="1" applyBorder="1" applyAlignment="1" applyProtection="1">
      <alignment horizontal="center" vertical="center" wrapText="1"/>
      <protection locked="0"/>
    </xf>
    <xf numFmtId="0" fontId="0" fillId="6" borderId="55" xfId="0" applyFill="1" applyBorder="1" applyAlignment="1" applyProtection="1">
      <alignment horizontal="center" vertical="center" wrapText="1"/>
      <protection locked="0"/>
    </xf>
    <xf numFmtId="0" fontId="0" fillId="0" borderId="56" xfId="0" applyBorder="1" applyAlignment="1" applyProtection="1">
      <alignment horizontal="center" vertical="center" wrapText="1"/>
      <protection locked="0"/>
    </xf>
    <xf numFmtId="0" fontId="18" fillId="6" borderId="60" xfId="6" applyFont="1" applyFill="1" applyBorder="1" applyAlignment="1" applyProtection="1">
      <alignment horizontal="center" vertical="center" wrapText="1"/>
      <protection locked="0"/>
    </xf>
    <xf numFmtId="0" fontId="4" fillId="6" borderId="27" xfId="6" applyFont="1" applyFill="1" applyBorder="1" applyAlignment="1" applyProtection="1">
      <alignment horizontal="center" vertical="center" wrapText="1"/>
      <protection locked="0"/>
    </xf>
    <xf numFmtId="0" fontId="4" fillId="6" borderId="57" xfId="6" applyFont="1" applyFill="1" applyBorder="1" applyAlignment="1" applyProtection="1">
      <alignment horizontal="center" vertical="center" wrapText="1"/>
      <protection locked="0"/>
    </xf>
    <xf numFmtId="0" fontId="4" fillId="6" borderId="35" xfId="6" applyFont="1" applyFill="1" applyBorder="1" applyAlignment="1" applyProtection="1">
      <alignment horizontal="center" vertical="center" wrapText="1"/>
      <protection locked="0"/>
    </xf>
    <xf numFmtId="0" fontId="0" fillId="6" borderId="27" xfId="0" applyFill="1" applyBorder="1" applyAlignment="1" applyProtection="1">
      <alignment horizontal="center" vertical="center" wrapText="1"/>
      <protection locked="0"/>
    </xf>
    <xf numFmtId="0" fontId="0" fillId="6" borderId="57" xfId="0" applyFill="1" applyBorder="1" applyAlignment="1" applyProtection="1">
      <alignment horizontal="center" vertical="center" wrapText="1"/>
      <protection locked="0"/>
    </xf>
    <xf numFmtId="0" fontId="0" fillId="6" borderId="35" xfId="0" applyFill="1" applyBorder="1" applyAlignment="1" applyProtection="1">
      <alignment horizontal="center" vertical="center" wrapText="1"/>
      <protection locked="0"/>
    </xf>
    <xf numFmtId="0" fontId="0" fillId="6" borderId="34" xfId="0" applyFill="1" applyBorder="1" applyAlignment="1" applyProtection="1">
      <alignment horizontal="center" vertical="center" wrapText="1"/>
      <protection locked="0"/>
    </xf>
    <xf numFmtId="0" fontId="0" fillId="6" borderId="24"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0" fontId="18" fillId="2" borderId="61" xfId="0" applyFont="1" applyFill="1" applyBorder="1" applyAlignment="1">
      <alignment horizontal="center"/>
    </xf>
    <xf numFmtId="0" fontId="18" fillId="2" borderId="62" xfId="0" applyFont="1" applyFill="1" applyBorder="1" applyAlignment="1">
      <alignment horizontal="center"/>
    </xf>
    <xf numFmtId="0" fontId="18" fillId="2" borderId="59" xfId="0" applyFont="1" applyFill="1" applyBorder="1" applyAlignment="1">
      <alignment horizontal="center"/>
    </xf>
    <xf numFmtId="0" fontId="1" fillId="6" borderId="60" xfId="0" applyFont="1" applyFill="1" applyBorder="1" applyAlignment="1" applyProtection="1">
      <alignment horizontal="center" vertical="center" wrapText="1"/>
      <protection locked="0"/>
    </xf>
    <xf numFmtId="0" fontId="1" fillId="0" borderId="57" xfId="0" applyFont="1" applyBorder="1" applyAlignment="1" applyProtection="1">
      <alignment horizontal="center" vertical="center" wrapText="1"/>
      <protection locked="0"/>
    </xf>
    <xf numFmtId="0" fontId="1" fillId="0" borderId="35" xfId="0" applyFont="1" applyBorder="1" applyAlignment="1" applyProtection="1">
      <alignment horizontal="center" vertical="center" wrapText="1"/>
      <protection locked="0"/>
    </xf>
    <xf numFmtId="0" fontId="9" fillId="6" borderId="58" xfId="6" applyFont="1" applyFill="1" applyBorder="1" applyAlignment="1" applyProtection="1">
      <alignment horizontal="center" vertical="center" wrapText="1"/>
      <protection locked="0"/>
    </xf>
    <xf numFmtId="166" fontId="13" fillId="12" borderId="37" xfId="5" applyNumberFormat="1" applyFont="1" applyFill="1" applyBorder="1" applyAlignment="1">
      <alignment horizontal="center" vertical="center"/>
    </xf>
    <xf numFmtId="0" fontId="17" fillId="0" borderId="37" xfId="0" applyFont="1" applyBorder="1" applyAlignment="1" applyProtection="1">
      <alignment horizontal="center" vertical="center" wrapText="1"/>
      <protection locked="0"/>
    </xf>
    <xf numFmtId="0" fontId="18" fillId="11" borderId="61" xfId="0" applyFont="1" applyFill="1" applyBorder="1" applyAlignment="1">
      <alignment horizontal="center"/>
    </xf>
    <xf numFmtId="0" fontId="18" fillId="11" borderId="62" xfId="0" applyFont="1" applyFill="1" applyBorder="1" applyAlignment="1">
      <alignment horizontal="center"/>
    </xf>
    <xf numFmtId="0" fontId="18" fillId="11" borderId="59" xfId="0" applyFont="1" applyFill="1" applyBorder="1" applyAlignment="1">
      <alignment horizontal="center"/>
    </xf>
    <xf numFmtId="0" fontId="4" fillId="12" borderId="58" xfId="0" applyFont="1" applyFill="1" applyBorder="1" applyAlignment="1">
      <alignment horizontal="center"/>
    </xf>
    <xf numFmtId="0" fontId="22" fillId="4" borderId="64" xfId="3" applyFont="1" applyBorder="1" applyAlignment="1">
      <alignment horizontal="center" vertical="center"/>
    </xf>
    <xf numFmtId="0" fontId="22" fillId="4" borderId="30" xfId="3" applyFont="1" applyBorder="1" applyAlignment="1">
      <alignment horizontal="center" vertical="center"/>
    </xf>
    <xf numFmtId="0" fontId="22" fillId="4" borderId="7" xfId="3" applyFont="1" applyBorder="1" applyAlignment="1">
      <alignment horizontal="center" vertical="center"/>
    </xf>
    <xf numFmtId="0" fontId="5" fillId="4" borderId="37" xfId="3" applyBorder="1" applyAlignment="1">
      <alignment horizontal="center"/>
    </xf>
    <xf numFmtId="0" fontId="4" fillId="12" borderId="61" xfId="3" applyFont="1" applyFill="1" applyBorder="1" applyAlignment="1">
      <alignment horizontal="center"/>
    </xf>
    <xf numFmtId="0" fontId="4" fillId="12" borderId="62" xfId="3" applyFont="1" applyFill="1" applyBorder="1" applyAlignment="1">
      <alignment horizontal="center"/>
    </xf>
    <xf numFmtId="0" fontId="4" fillId="12" borderId="59" xfId="3" applyFont="1" applyFill="1" applyBorder="1" applyAlignment="1">
      <alignment horizontal="center"/>
    </xf>
    <xf numFmtId="0" fontId="34" fillId="0" borderId="0" xfId="0" applyFont="1" applyFill="1"/>
    <xf numFmtId="0" fontId="7" fillId="0" borderId="37" xfId="0" applyFont="1" applyFill="1" applyBorder="1"/>
    <xf numFmtId="0" fontId="4" fillId="0" borderId="0" xfId="0" applyFont="1" applyFill="1"/>
    <xf numFmtId="0" fontId="0" fillId="0" borderId="0" xfId="0" applyFill="1"/>
    <xf numFmtId="1" fontId="4" fillId="0" borderId="0" xfId="0" applyNumberFormat="1" applyFont="1" applyFill="1"/>
    <xf numFmtId="0" fontId="0" fillId="0" borderId="37" xfId="0" applyFill="1" applyBorder="1"/>
    <xf numFmtId="0" fontId="7" fillId="0" borderId="58" xfId="0" applyFont="1" applyFill="1" applyBorder="1"/>
    <xf numFmtId="0" fontId="4" fillId="0" borderId="58" xfId="0" applyFont="1" applyFill="1" applyBorder="1"/>
  </cellXfs>
  <cellStyles count="17">
    <cellStyle name="Comma" xfId="5" builtinId="3"/>
    <cellStyle name="Comma [0]" xfId="14" builtinId="6"/>
    <cellStyle name="Comma 21" xfId="12" xr:uid="{BFC13402-F917-4DBA-A7C9-5A13BB104B0A}"/>
    <cellStyle name="Comma 4" xfId="15" xr:uid="{AACB32B7-5294-4CE8-B463-EF8684993EA9}"/>
    <cellStyle name="Good" xfId="3" builtinId="26"/>
    <cellStyle name="Hyperlink" xfId="16" builtinId="8"/>
    <cellStyle name="Input" xfId="4" builtinId="20"/>
    <cellStyle name="Neutral" xfId="9" builtinId="28"/>
    <cellStyle name="Normal" xfId="0" builtinId="0"/>
    <cellStyle name="Normal 2" xfId="7" xr:uid="{C5FAA306-61AC-4B2A-B419-6258F9EEC679}"/>
    <cellStyle name="Normal 25" xfId="10" xr:uid="{3C4C0CD3-7C66-452C-85D9-744766C6F8B9}"/>
    <cellStyle name="Normal 26" xfId="2" xr:uid="{3D0641F2-B50E-4F2C-AB27-41E895714C6C}"/>
    <cellStyle name="Normal 27" xfId="1" xr:uid="{1A28AABF-10A1-422C-8EDC-C45B13816ABD}"/>
    <cellStyle name="Normal 4" xfId="11" xr:uid="{9971A1F3-B461-41B5-8D33-EC0CBB9B9620}"/>
    <cellStyle name="Normal_Book2" xfId="6" xr:uid="{9E348D2A-E558-45F3-AC64-7F7B29495DFB}"/>
    <cellStyle name="Percent" xfId="8" builtinId="5"/>
    <cellStyle name="Percent 2 2" xfId="13" xr:uid="{C5B7D1DB-B6F1-43A4-B122-B68AC95C82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Net Emissions</a:t>
            </a:r>
          </a:p>
          <a:p>
            <a:pPr>
              <a:defRPr/>
            </a:pPr>
            <a:r>
              <a:rPr lang="en-NZ"/>
              <a:t>(Modelled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'Modelled Results'!$B$46</c:f>
              <c:strCache>
                <c:ptCount val="1"/>
                <c:pt idx="0">
                  <c:v>Waste</c:v>
                </c:pt>
              </c:strCache>
            </c:strRef>
          </c:tx>
          <c:spPr>
            <a:solidFill>
              <a:schemeClr val="accent6"/>
            </a:solidFill>
            <a:ln>
              <a:noFill/>
            </a:ln>
            <a:effectLst/>
          </c:spPr>
          <c:invertIfNegative val="0"/>
          <c:cat>
            <c:numRef>
              <c:f>'Modelled Results'!$C$45:$I$45</c:f>
              <c:numCache>
                <c:formatCode>General</c:formatCode>
                <c:ptCount val="7"/>
                <c:pt idx="0">
                  <c:v>2022</c:v>
                </c:pt>
                <c:pt idx="1">
                  <c:v>2025</c:v>
                </c:pt>
                <c:pt idx="2">
                  <c:v>2030</c:v>
                </c:pt>
                <c:pt idx="3">
                  <c:v>2035</c:v>
                </c:pt>
                <c:pt idx="4">
                  <c:v>2040</c:v>
                </c:pt>
                <c:pt idx="5">
                  <c:v>2045</c:v>
                </c:pt>
                <c:pt idx="6">
                  <c:v>2050</c:v>
                </c:pt>
              </c:numCache>
            </c:numRef>
          </c:cat>
          <c:val>
            <c:numRef>
              <c:f>'Modelled Results'!$C$46:$I$46</c:f>
              <c:numCache>
                <c:formatCode>_-* #,##0_-;\-* #,##0_-;_-* "-"??_-;_-@_-</c:formatCode>
                <c:ptCount val="7"/>
                <c:pt idx="0">
                  <c:v>5872.2785203171698</c:v>
                </c:pt>
                <c:pt idx="1">
                  <c:v>6512.8471755717874</c:v>
                </c:pt>
                <c:pt idx="2">
                  <c:v>7206.8650388353471</c:v>
                </c:pt>
                <c:pt idx="3">
                  <c:v>7776.1767534835999</c:v>
                </c:pt>
                <c:pt idx="4">
                  <c:v>8252.7274545177261</c:v>
                </c:pt>
                <c:pt idx="5">
                  <c:v>8624.7929729043026</c:v>
                </c:pt>
                <c:pt idx="6">
                  <c:v>9094.5877397875211</c:v>
                </c:pt>
              </c:numCache>
            </c:numRef>
          </c:val>
          <c:extLst>
            <c:ext xmlns:c16="http://schemas.microsoft.com/office/drawing/2014/chart" uri="{C3380CC4-5D6E-409C-BE32-E72D297353CC}">
              <c16:uniqueId val="{00000000-85FC-4816-A823-12196EFDFE4C}"/>
            </c:ext>
          </c:extLst>
        </c:ser>
        <c:ser>
          <c:idx val="1"/>
          <c:order val="1"/>
          <c:tx>
            <c:strRef>
              <c:f>'Modelled Results'!$B$47</c:f>
              <c:strCache>
                <c:ptCount val="1"/>
                <c:pt idx="0">
                  <c:v>Stationary Energy</c:v>
                </c:pt>
              </c:strCache>
            </c:strRef>
          </c:tx>
          <c:spPr>
            <a:solidFill>
              <a:schemeClr val="accent5"/>
            </a:solidFill>
            <a:ln>
              <a:noFill/>
            </a:ln>
            <a:effectLst/>
          </c:spPr>
          <c:invertIfNegative val="0"/>
          <c:cat>
            <c:numRef>
              <c:f>'Modelled Results'!$C$45:$I$45</c:f>
              <c:numCache>
                <c:formatCode>General</c:formatCode>
                <c:ptCount val="7"/>
                <c:pt idx="0">
                  <c:v>2022</c:v>
                </c:pt>
                <c:pt idx="1">
                  <c:v>2025</c:v>
                </c:pt>
                <c:pt idx="2">
                  <c:v>2030</c:v>
                </c:pt>
                <c:pt idx="3">
                  <c:v>2035</c:v>
                </c:pt>
                <c:pt idx="4">
                  <c:v>2040</c:v>
                </c:pt>
                <c:pt idx="5">
                  <c:v>2045</c:v>
                </c:pt>
                <c:pt idx="6">
                  <c:v>2050</c:v>
                </c:pt>
              </c:numCache>
            </c:numRef>
          </c:cat>
          <c:val>
            <c:numRef>
              <c:f>'Modelled Results'!$C$47:$I$47</c:f>
              <c:numCache>
                <c:formatCode>_-* #,##0_-;\-* #,##0_-;_-* "-"??_-;_-@_-</c:formatCode>
                <c:ptCount val="7"/>
                <c:pt idx="0">
                  <c:v>161690.45851450451</c:v>
                </c:pt>
                <c:pt idx="1">
                  <c:v>137324.75944699257</c:v>
                </c:pt>
                <c:pt idx="2">
                  <c:v>124955.04145812184</c:v>
                </c:pt>
                <c:pt idx="3">
                  <c:v>109241.84745560357</c:v>
                </c:pt>
                <c:pt idx="4">
                  <c:v>102157.88113816007</c:v>
                </c:pt>
                <c:pt idx="5">
                  <c:v>94545.678405134429</c:v>
                </c:pt>
                <c:pt idx="6">
                  <c:v>88419.019222600327</c:v>
                </c:pt>
              </c:numCache>
            </c:numRef>
          </c:val>
          <c:extLst>
            <c:ext xmlns:c16="http://schemas.microsoft.com/office/drawing/2014/chart" uri="{C3380CC4-5D6E-409C-BE32-E72D297353CC}">
              <c16:uniqueId val="{00000001-85FC-4816-A823-12196EFDFE4C}"/>
            </c:ext>
          </c:extLst>
        </c:ser>
        <c:ser>
          <c:idx val="2"/>
          <c:order val="2"/>
          <c:tx>
            <c:strRef>
              <c:f>'Modelled Results'!$B$48</c:f>
              <c:strCache>
                <c:ptCount val="1"/>
                <c:pt idx="0">
                  <c:v>Transport</c:v>
                </c:pt>
              </c:strCache>
            </c:strRef>
          </c:tx>
          <c:spPr>
            <a:solidFill>
              <a:schemeClr val="accent4"/>
            </a:solidFill>
            <a:ln>
              <a:noFill/>
            </a:ln>
            <a:effectLst/>
          </c:spPr>
          <c:invertIfNegative val="0"/>
          <c:cat>
            <c:numRef>
              <c:f>'Modelled Results'!$C$45:$I$45</c:f>
              <c:numCache>
                <c:formatCode>General</c:formatCode>
                <c:ptCount val="7"/>
                <c:pt idx="0">
                  <c:v>2022</c:v>
                </c:pt>
                <c:pt idx="1">
                  <c:v>2025</c:v>
                </c:pt>
                <c:pt idx="2">
                  <c:v>2030</c:v>
                </c:pt>
                <c:pt idx="3">
                  <c:v>2035</c:v>
                </c:pt>
                <c:pt idx="4">
                  <c:v>2040</c:v>
                </c:pt>
                <c:pt idx="5">
                  <c:v>2045</c:v>
                </c:pt>
                <c:pt idx="6">
                  <c:v>2050</c:v>
                </c:pt>
              </c:numCache>
            </c:numRef>
          </c:cat>
          <c:val>
            <c:numRef>
              <c:f>'Modelled Results'!$C$48:$I$48</c:f>
              <c:numCache>
                <c:formatCode>_-* #,##0_-;\-* #,##0_-;_-* "-"??_-;_-@_-</c:formatCode>
                <c:ptCount val="7"/>
                <c:pt idx="0">
                  <c:v>205599.77291621806</c:v>
                </c:pt>
                <c:pt idx="1">
                  <c:v>180598.94217025134</c:v>
                </c:pt>
                <c:pt idx="2">
                  <c:v>159112.89532827595</c:v>
                </c:pt>
                <c:pt idx="3">
                  <c:v>133600.84856694977</c:v>
                </c:pt>
                <c:pt idx="4">
                  <c:v>110537.0798276178</c:v>
                </c:pt>
                <c:pt idx="5">
                  <c:v>88482.201752108405</c:v>
                </c:pt>
                <c:pt idx="6">
                  <c:v>70442.777236639333</c:v>
                </c:pt>
              </c:numCache>
            </c:numRef>
          </c:val>
          <c:extLst>
            <c:ext xmlns:c16="http://schemas.microsoft.com/office/drawing/2014/chart" uri="{C3380CC4-5D6E-409C-BE32-E72D297353CC}">
              <c16:uniqueId val="{00000002-85FC-4816-A823-12196EFDFE4C}"/>
            </c:ext>
          </c:extLst>
        </c:ser>
        <c:ser>
          <c:idx val="3"/>
          <c:order val="3"/>
          <c:tx>
            <c:strRef>
              <c:f>'Modelled Results'!$B$49</c:f>
              <c:strCache>
                <c:ptCount val="1"/>
                <c:pt idx="0">
                  <c:v>Industrial Processes and Product Use (IPPU)</c:v>
                </c:pt>
              </c:strCache>
            </c:strRef>
          </c:tx>
          <c:spPr>
            <a:solidFill>
              <a:schemeClr val="accent6">
                <a:lumMod val="60000"/>
              </a:schemeClr>
            </a:solidFill>
            <a:ln>
              <a:noFill/>
            </a:ln>
            <a:effectLst/>
          </c:spPr>
          <c:invertIfNegative val="0"/>
          <c:cat>
            <c:numRef>
              <c:f>'Modelled Results'!$C$45:$I$45</c:f>
              <c:numCache>
                <c:formatCode>General</c:formatCode>
                <c:ptCount val="7"/>
                <c:pt idx="0">
                  <c:v>2022</c:v>
                </c:pt>
                <c:pt idx="1">
                  <c:v>2025</c:v>
                </c:pt>
                <c:pt idx="2">
                  <c:v>2030</c:v>
                </c:pt>
                <c:pt idx="3">
                  <c:v>2035</c:v>
                </c:pt>
                <c:pt idx="4">
                  <c:v>2040</c:v>
                </c:pt>
                <c:pt idx="5">
                  <c:v>2045</c:v>
                </c:pt>
                <c:pt idx="6">
                  <c:v>2050</c:v>
                </c:pt>
              </c:numCache>
            </c:numRef>
          </c:cat>
          <c:val>
            <c:numRef>
              <c:f>'Modelled Results'!$C$49:$I$49</c:f>
              <c:numCache>
                <c:formatCode>_-* #,##0_-;\-* #,##0_-;_-* "-"??_-;_-@_-</c:formatCode>
                <c:ptCount val="7"/>
                <c:pt idx="0">
                  <c:v>25679.38427410198</c:v>
                </c:pt>
                <c:pt idx="1">
                  <c:v>26901.722965549234</c:v>
                </c:pt>
                <c:pt idx="2">
                  <c:v>28000.800612480794</c:v>
                </c:pt>
                <c:pt idx="3">
                  <c:v>28195.963932963972</c:v>
                </c:pt>
                <c:pt idx="4">
                  <c:v>28819.972970824656</c:v>
                </c:pt>
                <c:pt idx="5">
                  <c:v>29336.128594734106</c:v>
                </c:pt>
                <c:pt idx="6">
                  <c:v>29788.085757958295</c:v>
                </c:pt>
              </c:numCache>
            </c:numRef>
          </c:val>
          <c:extLst>
            <c:ext xmlns:c16="http://schemas.microsoft.com/office/drawing/2014/chart" uri="{C3380CC4-5D6E-409C-BE32-E72D297353CC}">
              <c16:uniqueId val="{00000003-85FC-4816-A823-12196EFDFE4C}"/>
            </c:ext>
          </c:extLst>
        </c:ser>
        <c:ser>
          <c:idx val="4"/>
          <c:order val="4"/>
          <c:tx>
            <c:strRef>
              <c:f>'Modelled Results'!$B$50</c:f>
              <c:strCache>
                <c:ptCount val="1"/>
                <c:pt idx="0">
                  <c:v>Agriculture</c:v>
                </c:pt>
              </c:strCache>
            </c:strRef>
          </c:tx>
          <c:spPr>
            <a:solidFill>
              <a:schemeClr val="accent5">
                <a:lumMod val="60000"/>
              </a:schemeClr>
            </a:solidFill>
            <a:ln>
              <a:noFill/>
            </a:ln>
            <a:effectLst/>
          </c:spPr>
          <c:invertIfNegative val="0"/>
          <c:cat>
            <c:numRef>
              <c:f>'Modelled Results'!$C$45:$I$45</c:f>
              <c:numCache>
                <c:formatCode>General</c:formatCode>
                <c:ptCount val="7"/>
                <c:pt idx="0">
                  <c:v>2022</c:v>
                </c:pt>
                <c:pt idx="1">
                  <c:v>2025</c:v>
                </c:pt>
                <c:pt idx="2">
                  <c:v>2030</c:v>
                </c:pt>
                <c:pt idx="3">
                  <c:v>2035</c:v>
                </c:pt>
                <c:pt idx="4">
                  <c:v>2040</c:v>
                </c:pt>
                <c:pt idx="5">
                  <c:v>2045</c:v>
                </c:pt>
                <c:pt idx="6">
                  <c:v>2050</c:v>
                </c:pt>
              </c:numCache>
            </c:numRef>
          </c:cat>
          <c:val>
            <c:numRef>
              <c:f>'Modelled Results'!$C$50:$I$50</c:f>
              <c:numCache>
                <c:formatCode>_-* #,##0_-;\-* #,##0_-;_-* "-"??_-;_-@_-</c:formatCode>
                <c:ptCount val="7"/>
                <c:pt idx="0">
                  <c:v>89901.241984001899</c:v>
                </c:pt>
                <c:pt idx="1">
                  <c:v>87704.175031306746</c:v>
                </c:pt>
                <c:pt idx="2">
                  <c:v>85284.000217525725</c:v>
                </c:pt>
                <c:pt idx="3">
                  <c:v>82904.659745278375</c:v>
                </c:pt>
                <c:pt idx="4">
                  <c:v>80524.473079464922</c:v>
                </c:pt>
                <c:pt idx="5">
                  <c:v>78144.879308593372</c:v>
                </c:pt>
                <c:pt idx="6">
                  <c:v>74811.590327656319</c:v>
                </c:pt>
              </c:numCache>
            </c:numRef>
          </c:val>
          <c:extLst>
            <c:ext xmlns:c16="http://schemas.microsoft.com/office/drawing/2014/chart" uri="{C3380CC4-5D6E-409C-BE32-E72D297353CC}">
              <c16:uniqueId val="{00000004-85FC-4816-A823-12196EFDFE4C}"/>
            </c:ext>
          </c:extLst>
        </c:ser>
        <c:ser>
          <c:idx val="6"/>
          <c:order val="6"/>
          <c:tx>
            <c:strRef>
              <c:f>'Modelled Results'!$B$52</c:f>
              <c:strCache>
                <c:ptCount val="1"/>
                <c:pt idx="0">
                  <c:v>Sequestration</c:v>
                </c:pt>
              </c:strCache>
            </c:strRef>
          </c:tx>
          <c:spPr>
            <a:solidFill>
              <a:schemeClr val="accent6">
                <a:lumMod val="80000"/>
                <a:lumOff val="20000"/>
              </a:schemeClr>
            </a:solidFill>
            <a:ln>
              <a:noFill/>
            </a:ln>
            <a:effectLst/>
          </c:spPr>
          <c:invertIfNegative val="0"/>
          <c:cat>
            <c:numRef>
              <c:f>'Modelled Results'!$C$45:$I$45</c:f>
              <c:numCache>
                <c:formatCode>General</c:formatCode>
                <c:ptCount val="7"/>
                <c:pt idx="0">
                  <c:v>2022</c:v>
                </c:pt>
                <c:pt idx="1">
                  <c:v>2025</c:v>
                </c:pt>
                <c:pt idx="2">
                  <c:v>2030</c:v>
                </c:pt>
                <c:pt idx="3">
                  <c:v>2035</c:v>
                </c:pt>
                <c:pt idx="4">
                  <c:v>2040</c:v>
                </c:pt>
                <c:pt idx="5">
                  <c:v>2045</c:v>
                </c:pt>
                <c:pt idx="6">
                  <c:v>2050</c:v>
                </c:pt>
              </c:numCache>
            </c:numRef>
          </c:cat>
          <c:val>
            <c:numRef>
              <c:f>'Modelled Results'!$C$52:$I$52</c:f>
              <c:numCache>
                <c:formatCode>_-* #,##0_-;\-* #,##0_-;_-* "-"??_-;_-@_-</c:formatCode>
                <c:ptCount val="7"/>
                <c:pt idx="0">
                  <c:v>-76236.17</c:v>
                </c:pt>
                <c:pt idx="1">
                  <c:v>-82079.60083333333</c:v>
                </c:pt>
                <c:pt idx="2">
                  <c:v>-87923.031666666648</c:v>
                </c:pt>
                <c:pt idx="3">
                  <c:v>-93766.46249999998</c:v>
                </c:pt>
                <c:pt idx="4">
                  <c:v>-99609.893333333326</c:v>
                </c:pt>
                <c:pt idx="5">
                  <c:v>-105453.32416666663</c:v>
                </c:pt>
                <c:pt idx="6">
                  <c:v>-111296.755</c:v>
                </c:pt>
              </c:numCache>
            </c:numRef>
          </c:val>
          <c:extLst>
            <c:ext xmlns:c16="http://schemas.microsoft.com/office/drawing/2014/chart" uri="{C3380CC4-5D6E-409C-BE32-E72D297353CC}">
              <c16:uniqueId val="{00000006-85FC-4816-A823-12196EFDFE4C}"/>
            </c:ext>
          </c:extLst>
        </c:ser>
        <c:dLbls>
          <c:showLegendKey val="0"/>
          <c:showVal val="0"/>
          <c:showCatName val="0"/>
          <c:showSerName val="0"/>
          <c:showPercent val="0"/>
          <c:showBubbleSize val="0"/>
        </c:dLbls>
        <c:gapWidth val="150"/>
        <c:overlap val="100"/>
        <c:axId val="837073344"/>
        <c:axId val="837069408"/>
        <c:extLst>
          <c:ext xmlns:c15="http://schemas.microsoft.com/office/drawing/2012/chart" uri="{02D57815-91ED-43cb-92C2-25804820EDAC}">
            <c15:filteredBarSeries>
              <c15:ser>
                <c:idx val="5"/>
                <c:order val="5"/>
                <c:tx>
                  <c:strRef>
                    <c:extLst>
                      <c:ext uri="{02D57815-91ED-43cb-92C2-25804820EDAC}">
                        <c15:formulaRef>
                          <c15:sqref>'Modelled Results'!$B$51</c15:sqref>
                        </c15:formulaRef>
                      </c:ext>
                    </c:extLst>
                    <c:strCache>
                      <c:ptCount val="1"/>
                      <c:pt idx="0">
                        <c:v>Gross Emissions</c:v>
                      </c:pt>
                    </c:strCache>
                  </c:strRef>
                </c:tx>
                <c:spPr>
                  <a:solidFill>
                    <a:schemeClr val="accent4">
                      <a:lumMod val="60000"/>
                    </a:schemeClr>
                  </a:solidFill>
                  <a:ln>
                    <a:noFill/>
                  </a:ln>
                  <a:effectLst/>
                </c:spPr>
                <c:invertIfNegative val="0"/>
                <c:cat>
                  <c:numRef>
                    <c:extLst>
                      <c:ext uri="{02D57815-91ED-43cb-92C2-25804820EDAC}">
                        <c15:formulaRef>
                          <c15:sqref>'Modelled Results'!$C$45:$I$45</c15:sqref>
                        </c15:formulaRef>
                      </c:ext>
                    </c:extLst>
                    <c:numCache>
                      <c:formatCode>General</c:formatCode>
                      <c:ptCount val="7"/>
                      <c:pt idx="0">
                        <c:v>2022</c:v>
                      </c:pt>
                      <c:pt idx="1">
                        <c:v>2025</c:v>
                      </c:pt>
                      <c:pt idx="2">
                        <c:v>2030</c:v>
                      </c:pt>
                      <c:pt idx="3">
                        <c:v>2035</c:v>
                      </c:pt>
                      <c:pt idx="4">
                        <c:v>2040</c:v>
                      </c:pt>
                      <c:pt idx="5">
                        <c:v>2045</c:v>
                      </c:pt>
                      <c:pt idx="6">
                        <c:v>2050</c:v>
                      </c:pt>
                    </c:numCache>
                  </c:numRef>
                </c:cat>
                <c:val>
                  <c:numRef>
                    <c:extLst>
                      <c:ext uri="{02D57815-91ED-43cb-92C2-25804820EDAC}">
                        <c15:formulaRef>
                          <c15:sqref>'Modelled Results'!$C$51:$I$51</c15:sqref>
                        </c15:formulaRef>
                      </c:ext>
                    </c:extLst>
                    <c:numCache>
                      <c:formatCode>_-* #,##0_-;\-* #,##0_-;_-* "-"??_-;_-@_-</c:formatCode>
                      <c:ptCount val="7"/>
                      <c:pt idx="0">
                        <c:v>488743.13620914362</c:v>
                      </c:pt>
                      <c:pt idx="1">
                        <c:v>439042.44678967161</c:v>
                      </c:pt>
                      <c:pt idx="2">
                        <c:v>404559.60265523964</c:v>
                      </c:pt>
                      <c:pt idx="3">
                        <c:v>361719.49645427929</c:v>
                      </c:pt>
                      <c:pt idx="4">
                        <c:v>330292.13447058515</c:v>
                      </c:pt>
                      <c:pt idx="5">
                        <c:v>299133.68103347463</c:v>
                      </c:pt>
                      <c:pt idx="6">
                        <c:v>272556.0602846418</c:v>
                      </c:pt>
                    </c:numCache>
                  </c:numRef>
                </c:val>
                <c:extLst>
                  <c:ext xmlns:c16="http://schemas.microsoft.com/office/drawing/2014/chart" uri="{C3380CC4-5D6E-409C-BE32-E72D297353CC}">
                    <c16:uniqueId val="{00000005-85FC-4816-A823-12196EFDFE4C}"/>
                  </c:ext>
                </c:extLst>
              </c15:ser>
            </c15:filteredBarSeries>
          </c:ext>
        </c:extLst>
      </c:barChart>
      <c:lineChart>
        <c:grouping val="standard"/>
        <c:varyColors val="0"/>
        <c:ser>
          <c:idx val="7"/>
          <c:order val="7"/>
          <c:tx>
            <c:strRef>
              <c:f>'Modelled Results'!$B$53</c:f>
              <c:strCache>
                <c:ptCount val="1"/>
                <c:pt idx="0">
                  <c:v>Net Emissions</c:v>
                </c:pt>
              </c:strCache>
            </c:strRef>
          </c:tx>
          <c:spPr>
            <a:ln w="28575" cap="rnd">
              <a:solidFill>
                <a:schemeClr val="accent5">
                  <a:lumMod val="80000"/>
                  <a:lumOff val="20000"/>
                </a:schemeClr>
              </a:solidFill>
              <a:prstDash val="sysDash"/>
              <a:round/>
            </a:ln>
            <a:effectLst/>
          </c:spPr>
          <c:marker>
            <c:symbol val="none"/>
          </c:marker>
          <c:cat>
            <c:numRef>
              <c:f>'Modelled Results'!$C$45:$I$45</c:f>
              <c:numCache>
                <c:formatCode>General</c:formatCode>
                <c:ptCount val="7"/>
                <c:pt idx="0">
                  <c:v>2022</c:v>
                </c:pt>
                <c:pt idx="1">
                  <c:v>2025</c:v>
                </c:pt>
                <c:pt idx="2">
                  <c:v>2030</c:v>
                </c:pt>
                <c:pt idx="3">
                  <c:v>2035</c:v>
                </c:pt>
                <c:pt idx="4">
                  <c:v>2040</c:v>
                </c:pt>
                <c:pt idx="5">
                  <c:v>2045</c:v>
                </c:pt>
                <c:pt idx="6">
                  <c:v>2050</c:v>
                </c:pt>
              </c:numCache>
            </c:numRef>
          </c:cat>
          <c:val>
            <c:numRef>
              <c:f>'Modelled Results'!$C$53:$I$53</c:f>
              <c:numCache>
                <c:formatCode>_-* #,##0_-;\-* #,##0_-;_-* "-"??_-;_-@_-</c:formatCode>
                <c:ptCount val="7"/>
                <c:pt idx="0">
                  <c:v>412506.96620914363</c:v>
                </c:pt>
                <c:pt idx="1">
                  <c:v>356962.84595633828</c:v>
                </c:pt>
                <c:pt idx="2">
                  <c:v>316636.57098857302</c:v>
                </c:pt>
                <c:pt idx="3">
                  <c:v>267953.03395427932</c:v>
                </c:pt>
                <c:pt idx="4">
                  <c:v>230682.24113725184</c:v>
                </c:pt>
                <c:pt idx="5">
                  <c:v>193680.356866808</c:v>
                </c:pt>
                <c:pt idx="6">
                  <c:v>161259.3052846418</c:v>
                </c:pt>
              </c:numCache>
            </c:numRef>
          </c:val>
          <c:smooth val="0"/>
          <c:extLst>
            <c:ext xmlns:c16="http://schemas.microsoft.com/office/drawing/2014/chart" uri="{C3380CC4-5D6E-409C-BE32-E72D297353CC}">
              <c16:uniqueId val="{00000007-85FC-4816-A823-12196EFDFE4C}"/>
            </c:ext>
          </c:extLst>
        </c:ser>
        <c:dLbls>
          <c:showLegendKey val="0"/>
          <c:showVal val="0"/>
          <c:showCatName val="0"/>
          <c:showSerName val="0"/>
          <c:showPercent val="0"/>
          <c:showBubbleSize val="0"/>
        </c:dLbls>
        <c:marker val="1"/>
        <c:smooth val="0"/>
        <c:axId val="837073344"/>
        <c:axId val="837069408"/>
      </c:lineChart>
      <c:catAx>
        <c:axId val="83707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Financial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069408"/>
        <c:crosses val="autoZero"/>
        <c:auto val="1"/>
        <c:lblAlgn val="ctr"/>
        <c:lblOffset val="100"/>
        <c:noMultiLvlLbl val="0"/>
      </c:catAx>
      <c:valAx>
        <c:axId val="837069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tCO</a:t>
                </a:r>
                <a:r>
                  <a:rPr lang="en-NZ" baseline="-25000"/>
                  <a:t>2</a:t>
                </a:r>
                <a:r>
                  <a:rPr lang="en-NZ"/>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07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sz="1400" b="0" i="0" u="none" strike="noStrike" kern="1200" spc="0" baseline="0">
                <a:solidFill>
                  <a:sysClr val="windowText" lastClr="000000">
                    <a:lumMod val="65000"/>
                    <a:lumOff val="35000"/>
                  </a:sysClr>
                </a:solidFill>
              </a:rPr>
              <a:t>2050 Net Zero Net Emissions</a:t>
            </a:r>
          </a:p>
          <a:p>
            <a:pPr>
              <a:defRPr/>
            </a:pPr>
            <a:r>
              <a:rPr lang="en-NZ" sz="1400" b="0" i="0" u="none" strike="noStrike" kern="1200" spc="0" baseline="0">
                <a:solidFill>
                  <a:sysClr val="windowText" lastClr="000000">
                    <a:lumMod val="65000"/>
                    <a:lumOff val="35000"/>
                  </a:sysClr>
                </a:solidFill>
              </a:rPr>
              <a:t>(Modelled scenarios and additional sequestration)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5"/>
          <c:order val="5"/>
          <c:tx>
            <c:strRef>
              <c:f>'Modelled Results'!$B$51</c:f>
              <c:strCache>
                <c:ptCount val="1"/>
                <c:pt idx="0">
                  <c:v>Gross Emissions</c:v>
                </c:pt>
              </c:strCache>
            </c:strRef>
          </c:tx>
          <c:spPr>
            <a:ln w="28575" cap="rnd">
              <a:solidFill>
                <a:schemeClr val="accent4">
                  <a:lumMod val="60000"/>
                </a:schemeClr>
              </a:solidFill>
              <a:round/>
            </a:ln>
            <a:effectLst/>
          </c:spPr>
          <c:marker>
            <c:symbol val="none"/>
          </c:marker>
          <c:cat>
            <c:numRef>
              <c:f>'Modelled Results'!$C$45:$I$45</c:f>
              <c:numCache>
                <c:formatCode>General</c:formatCode>
                <c:ptCount val="7"/>
                <c:pt idx="0">
                  <c:v>2022</c:v>
                </c:pt>
                <c:pt idx="1">
                  <c:v>2025</c:v>
                </c:pt>
                <c:pt idx="2">
                  <c:v>2030</c:v>
                </c:pt>
                <c:pt idx="3">
                  <c:v>2035</c:v>
                </c:pt>
                <c:pt idx="4">
                  <c:v>2040</c:v>
                </c:pt>
                <c:pt idx="5">
                  <c:v>2045</c:v>
                </c:pt>
                <c:pt idx="6">
                  <c:v>2050</c:v>
                </c:pt>
              </c:numCache>
            </c:numRef>
          </c:cat>
          <c:val>
            <c:numRef>
              <c:f>'Modelled Results'!$C$51:$I$51</c:f>
              <c:numCache>
                <c:formatCode>_-* #,##0_-;\-* #,##0_-;_-* "-"??_-;_-@_-</c:formatCode>
                <c:ptCount val="7"/>
                <c:pt idx="0">
                  <c:v>488743.13620914362</c:v>
                </c:pt>
                <c:pt idx="1">
                  <c:v>439042.44678967161</c:v>
                </c:pt>
                <c:pt idx="2">
                  <c:v>404559.60265523964</c:v>
                </c:pt>
                <c:pt idx="3">
                  <c:v>361719.49645427929</c:v>
                </c:pt>
                <c:pt idx="4">
                  <c:v>330292.13447058515</c:v>
                </c:pt>
                <c:pt idx="5">
                  <c:v>299133.68103347463</c:v>
                </c:pt>
                <c:pt idx="6">
                  <c:v>272556.0602846418</c:v>
                </c:pt>
              </c:numCache>
            </c:numRef>
          </c:val>
          <c:smooth val="0"/>
          <c:extLst xmlns:c15="http://schemas.microsoft.com/office/drawing/2012/chart">
            <c:ext xmlns:c16="http://schemas.microsoft.com/office/drawing/2014/chart" uri="{C3380CC4-5D6E-409C-BE32-E72D297353CC}">
              <c16:uniqueId val="{00000005-5495-4948-9C45-7A9D3556D6CA}"/>
            </c:ext>
          </c:extLst>
        </c:ser>
        <c:ser>
          <c:idx val="7"/>
          <c:order val="7"/>
          <c:tx>
            <c:strRef>
              <c:f>'Modelled Results'!$B$53</c:f>
              <c:strCache>
                <c:ptCount val="1"/>
                <c:pt idx="0">
                  <c:v>Net Emissions</c:v>
                </c:pt>
              </c:strCache>
            </c:strRef>
          </c:tx>
          <c:spPr>
            <a:ln w="28575" cap="rnd">
              <a:solidFill>
                <a:schemeClr val="accent5">
                  <a:lumMod val="80000"/>
                  <a:lumOff val="20000"/>
                </a:schemeClr>
              </a:solidFill>
              <a:prstDash val="sysDash"/>
              <a:round/>
            </a:ln>
            <a:effectLst/>
          </c:spPr>
          <c:marker>
            <c:symbol val="none"/>
          </c:marker>
          <c:cat>
            <c:numRef>
              <c:f>'Modelled Results'!$C$45:$I$45</c:f>
              <c:numCache>
                <c:formatCode>General</c:formatCode>
                <c:ptCount val="7"/>
                <c:pt idx="0">
                  <c:v>2022</c:v>
                </c:pt>
                <c:pt idx="1">
                  <c:v>2025</c:v>
                </c:pt>
                <c:pt idx="2">
                  <c:v>2030</c:v>
                </c:pt>
                <c:pt idx="3">
                  <c:v>2035</c:v>
                </c:pt>
                <c:pt idx="4">
                  <c:v>2040</c:v>
                </c:pt>
                <c:pt idx="5">
                  <c:v>2045</c:v>
                </c:pt>
                <c:pt idx="6">
                  <c:v>2050</c:v>
                </c:pt>
              </c:numCache>
            </c:numRef>
          </c:cat>
          <c:val>
            <c:numRef>
              <c:f>'Modelled Results'!$C$53:$I$53</c:f>
              <c:numCache>
                <c:formatCode>_-* #,##0_-;\-* #,##0_-;_-* "-"??_-;_-@_-</c:formatCode>
                <c:ptCount val="7"/>
                <c:pt idx="0">
                  <c:v>412506.96620914363</c:v>
                </c:pt>
                <c:pt idx="1">
                  <c:v>356962.84595633828</c:v>
                </c:pt>
                <c:pt idx="2">
                  <c:v>316636.57098857302</c:v>
                </c:pt>
                <c:pt idx="3">
                  <c:v>267953.03395427932</c:v>
                </c:pt>
                <c:pt idx="4">
                  <c:v>230682.24113725184</c:v>
                </c:pt>
                <c:pt idx="5">
                  <c:v>193680.356866808</c:v>
                </c:pt>
                <c:pt idx="6">
                  <c:v>161259.3052846418</c:v>
                </c:pt>
              </c:numCache>
            </c:numRef>
          </c:val>
          <c:smooth val="0"/>
          <c:extLst xmlns:c15="http://schemas.microsoft.com/office/drawing/2012/chart">
            <c:ext xmlns:c16="http://schemas.microsoft.com/office/drawing/2014/chart" uri="{C3380CC4-5D6E-409C-BE32-E72D297353CC}">
              <c16:uniqueId val="{00000007-5495-4948-9C45-7A9D3556D6CA}"/>
            </c:ext>
          </c:extLst>
        </c:ser>
        <c:dLbls>
          <c:showLegendKey val="0"/>
          <c:showVal val="0"/>
          <c:showCatName val="0"/>
          <c:showSerName val="0"/>
          <c:showPercent val="0"/>
          <c:showBubbleSize val="0"/>
        </c:dLbls>
        <c:smooth val="0"/>
        <c:axId val="837073344"/>
        <c:axId val="837069408"/>
        <c:extLst>
          <c:ext xmlns:c15="http://schemas.microsoft.com/office/drawing/2012/chart" uri="{02D57815-91ED-43cb-92C2-25804820EDAC}">
            <c15:filteredLineSeries>
              <c15:ser>
                <c:idx val="0"/>
                <c:order val="0"/>
                <c:tx>
                  <c:strRef>
                    <c:extLst>
                      <c:ext uri="{02D57815-91ED-43cb-92C2-25804820EDAC}">
                        <c15:formulaRef>
                          <c15:sqref>'Modelled Results'!$B$46</c15:sqref>
                        </c15:formulaRef>
                      </c:ext>
                    </c:extLst>
                    <c:strCache>
                      <c:ptCount val="1"/>
                      <c:pt idx="0">
                        <c:v>Waste</c:v>
                      </c:pt>
                    </c:strCache>
                  </c:strRef>
                </c:tx>
                <c:spPr>
                  <a:ln w="28575" cap="rnd">
                    <a:solidFill>
                      <a:schemeClr val="accent6"/>
                    </a:solidFill>
                    <a:round/>
                  </a:ln>
                  <a:effectLst/>
                </c:spPr>
                <c:marker>
                  <c:symbol val="none"/>
                </c:marker>
                <c:cat>
                  <c:numRef>
                    <c:extLst>
                      <c:ext uri="{02D57815-91ED-43cb-92C2-25804820EDAC}">
                        <c15:formulaRef>
                          <c15:sqref>'Modelled Results'!$C$45:$I$45</c15:sqref>
                        </c15:formulaRef>
                      </c:ext>
                    </c:extLst>
                    <c:numCache>
                      <c:formatCode>General</c:formatCode>
                      <c:ptCount val="7"/>
                      <c:pt idx="0">
                        <c:v>2022</c:v>
                      </c:pt>
                      <c:pt idx="1">
                        <c:v>2025</c:v>
                      </c:pt>
                      <c:pt idx="2">
                        <c:v>2030</c:v>
                      </c:pt>
                      <c:pt idx="3">
                        <c:v>2035</c:v>
                      </c:pt>
                      <c:pt idx="4">
                        <c:v>2040</c:v>
                      </c:pt>
                      <c:pt idx="5">
                        <c:v>2045</c:v>
                      </c:pt>
                      <c:pt idx="6">
                        <c:v>2050</c:v>
                      </c:pt>
                    </c:numCache>
                  </c:numRef>
                </c:cat>
                <c:val>
                  <c:numRef>
                    <c:extLst>
                      <c:ext uri="{02D57815-91ED-43cb-92C2-25804820EDAC}">
                        <c15:formulaRef>
                          <c15:sqref>'Modelled Results'!$C$46:$I$46</c15:sqref>
                        </c15:formulaRef>
                      </c:ext>
                    </c:extLst>
                    <c:numCache>
                      <c:formatCode>_-* #,##0_-;\-* #,##0_-;_-* "-"??_-;_-@_-</c:formatCode>
                      <c:ptCount val="7"/>
                      <c:pt idx="0">
                        <c:v>5872.2785203171698</c:v>
                      </c:pt>
                      <c:pt idx="1">
                        <c:v>6512.8471755717874</c:v>
                      </c:pt>
                      <c:pt idx="2">
                        <c:v>7206.8650388353471</c:v>
                      </c:pt>
                      <c:pt idx="3">
                        <c:v>7776.1767534835999</c:v>
                      </c:pt>
                      <c:pt idx="4">
                        <c:v>8252.7274545177261</c:v>
                      </c:pt>
                      <c:pt idx="5">
                        <c:v>8624.7929729043026</c:v>
                      </c:pt>
                      <c:pt idx="6">
                        <c:v>9094.5877397875211</c:v>
                      </c:pt>
                    </c:numCache>
                  </c:numRef>
                </c:val>
                <c:smooth val="0"/>
                <c:extLst>
                  <c:ext xmlns:c16="http://schemas.microsoft.com/office/drawing/2014/chart" uri="{C3380CC4-5D6E-409C-BE32-E72D297353CC}">
                    <c16:uniqueId val="{00000000-5495-4948-9C45-7A9D3556D6C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'Modelled Results'!$B$47</c15:sqref>
                        </c15:formulaRef>
                      </c:ext>
                    </c:extLst>
                    <c:strCache>
                      <c:ptCount val="1"/>
                      <c:pt idx="0">
                        <c:v>Stationary Energy</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'Modelled Results'!$C$45:$I$45</c15:sqref>
                        </c15:formulaRef>
                      </c:ext>
                    </c:extLst>
                    <c:numCache>
                      <c:formatCode>General</c:formatCode>
                      <c:ptCount val="7"/>
                      <c:pt idx="0">
                        <c:v>2022</c:v>
                      </c:pt>
                      <c:pt idx="1">
                        <c:v>2025</c:v>
                      </c:pt>
                      <c:pt idx="2">
                        <c:v>2030</c:v>
                      </c:pt>
                      <c:pt idx="3">
                        <c:v>2035</c:v>
                      </c:pt>
                      <c:pt idx="4">
                        <c:v>2040</c:v>
                      </c:pt>
                      <c:pt idx="5">
                        <c:v>2045</c:v>
                      </c:pt>
                      <c:pt idx="6">
                        <c:v>2050</c:v>
                      </c:pt>
                    </c:numCache>
                  </c:numRef>
                </c:cat>
                <c:val>
                  <c:numRef>
                    <c:extLst xmlns:c15="http://schemas.microsoft.com/office/drawing/2012/chart">
                      <c:ext xmlns:c15="http://schemas.microsoft.com/office/drawing/2012/chart" uri="{02D57815-91ED-43cb-92C2-25804820EDAC}">
                        <c15:formulaRef>
                          <c15:sqref>'Modelled Results'!$C$47:$I$47</c15:sqref>
                        </c15:formulaRef>
                      </c:ext>
                    </c:extLst>
                    <c:numCache>
                      <c:formatCode>_-* #,##0_-;\-* #,##0_-;_-* "-"??_-;_-@_-</c:formatCode>
                      <c:ptCount val="7"/>
                      <c:pt idx="0">
                        <c:v>161690.45851450451</c:v>
                      </c:pt>
                      <c:pt idx="1">
                        <c:v>137324.75944699257</c:v>
                      </c:pt>
                      <c:pt idx="2">
                        <c:v>124955.04145812184</c:v>
                      </c:pt>
                      <c:pt idx="3">
                        <c:v>109241.84745560357</c:v>
                      </c:pt>
                      <c:pt idx="4">
                        <c:v>102157.88113816007</c:v>
                      </c:pt>
                      <c:pt idx="5">
                        <c:v>94545.678405134429</c:v>
                      </c:pt>
                      <c:pt idx="6">
                        <c:v>88419.019222600327</c:v>
                      </c:pt>
                    </c:numCache>
                  </c:numRef>
                </c:val>
                <c:smooth val="0"/>
                <c:extLst xmlns:c15="http://schemas.microsoft.com/office/drawing/2012/chart">
                  <c:ext xmlns:c16="http://schemas.microsoft.com/office/drawing/2014/chart" uri="{C3380CC4-5D6E-409C-BE32-E72D297353CC}">
                    <c16:uniqueId val="{00000001-5495-4948-9C45-7A9D3556D6C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'Modelled Results'!$B$48</c15:sqref>
                        </c15:formulaRef>
                      </c:ext>
                    </c:extLst>
                    <c:strCache>
                      <c:ptCount val="1"/>
                      <c:pt idx="0">
                        <c:v>Transport</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'Modelled Results'!$C$45:$I$45</c15:sqref>
                        </c15:formulaRef>
                      </c:ext>
                    </c:extLst>
                    <c:numCache>
                      <c:formatCode>General</c:formatCode>
                      <c:ptCount val="7"/>
                      <c:pt idx="0">
                        <c:v>2022</c:v>
                      </c:pt>
                      <c:pt idx="1">
                        <c:v>2025</c:v>
                      </c:pt>
                      <c:pt idx="2">
                        <c:v>2030</c:v>
                      </c:pt>
                      <c:pt idx="3">
                        <c:v>2035</c:v>
                      </c:pt>
                      <c:pt idx="4">
                        <c:v>2040</c:v>
                      </c:pt>
                      <c:pt idx="5">
                        <c:v>2045</c:v>
                      </c:pt>
                      <c:pt idx="6">
                        <c:v>2050</c:v>
                      </c:pt>
                    </c:numCache>
                  </c:numRef>
                </c:cat>
                <c:val>
                  <c:numRef>
                    <c:extLst xmlns:c15="http://schemas.microsoft.com/office/drawing/2012/chart">
                      <c:ext xmlns:c15="http://schemas.microsoft.com/office/drawing/2012/chart" uri="{02D57815-91ED-43cb-92C2-25804820EDAC}">
                        <c15:formulaRef>
                          <c15:sqref>'Modelled Results'!$C$48:$I$48</c15:sqref>
                        </c15:formulaRef>
                      </c:ext>
                    </c:extLst>
                    <c:numCache>
                      <c:formatCode>_-* #,##0_-;\-* #,##0_-;_-* "-"??_-;_-@_-</c:formatCode>
                      <c:ptCount val="7"/>
                      <c:pt idx="0">
                        <c:v>205599.77291621806</c:v>
                      </c:pt>
                      <c:pt idx="1">
                        <c:v>180598.94217025134</c:v>
                      </c:pt>
                      <c:pt idx="2">
                        <c:v>159112.89532827595</c:v>
                      </c:pt>
                      <c:pt idx="3">
                        <c:v>133600.84856694977</c:v>
                      </c:pt>
                      <c:pt idx="4">
                        <c:v>110537.0798276178</c:v>
                      </c:pt>
                      <c:pt idx="5">
                        <c:v>88482.201752108405</c:v>
                      </c:pt>
                      <c:pt idx="6">
                        <c:v>70442.777236639333</c:v>
                      </c:pt>
                    </c:numCache>
                  </c:numRef>
                </c:val>
                <c:smooth val="0"/>
                <c:extLst xmlns:c15="http://schemas.microsoft.com/office/drawing/2012/chart">
                  <c:ext xmlns:c16="http://schemas.microsoft.com/office/drawing/2014/chart" uri="{C3380CC4-5D6E-409C-BE32-E72D297353CC}">
                    <c16:uniqueId val="{00000002-5495-4948-9C45-7A9D3556D6C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'Modelled Results'!$B$49</c15:sqref>
                        </c15:formulaRef>
                      </c:ext>
                    </c:extLst>
                    <c:strCache>
                      <c:ptCount val="1"/>
                      <c:pt idx="0">
                        <c:v>Industrial Processes and Product Use (IPPU)</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'Modelled Results'!$C$45:$I$45</c15:sqref>
                        </c15:formulaRef>
                      </c:ext>
                    </c:extLst>
                    <c:numCache>
                      <c:formatCode>General</c:formatCode>
                      <c:ptCount val="7"/>
                      <c:pt idx="0">
                        <c:v>2022</c:v>
                      </c:pt>
                      <c:pt idx="1">
                        <c:v>2025</c:v>
                      </c:pt>
                      <c:pt idx="2">
                        <c:v>2030</c:v>
                      </c:pt>
                      <c:pt idx="3">
                        <c:v>2035</c:v>
                      </c:pt>
                      <c:pt idx="4">
                        <c:v>2040</c:v>
                      </c:pt>
                      <c:pt idx="5">
                        <c:v>2045</c:v>
                      </c:pt>
                      <c:pt idx="6">
                        <c:v>2050</c:v>
                      </c:pt>
                    </c:numCache>
                  </c:numRef>
                </c:cat>
                <c:val>
                  <c:numRef>
                    <c:extLst xmlns:c15="http://schemas.microsoft.com/office/drawing/2012/chart">
                      <c:ext xmlns:c15="http://schemas.microsoft.com/office/drawing/2012/chart" uri="{02D57815-91ED-43cb-92C2-25804820EDAC}">
                        <c15:formulaRef>
                          <c15:sqref>'Modelled Results'!$C$49:$I$49</c15:sqref>
                        </c15:formulaRef>
                      </c:ext>
                    </c:extLst>
                    <c:numCache>
                      <c:formatCode>_-* #,##0_-;\-* #,##0_-;_-* "-"??_-;_-@_-</c:formatCode>
                      <c:ptCount val="7"/>
                      <c:pt idx="0">
                        <c:v>25679.38427410198</c:v>
                      </c:pt>
                      <c:pt idx="1">
                        <c:v>26901.722965549234</c:v>
                      </c:pt>
                      <c:pt idx="2">
                        <c:v>28000.800612480794</c:v>
                      </c:pt>
                      <c:pt idx="3">
                        <c:v>28195.963932963972</c:v>
                      </c:pt>
                      <c:pt idx="4">
                        <c:v>28819.972970824656</c:v>
                      </c:pt>
                      <c:pt idx="5">
                        <c:v>29336.128594734106</c:v>
                      </c:pt>
                      <c:pt idx="6">
                        <c:v>29788.085757958295</c:v>
                      </c:pt>
                    </c:numCache>
                  </c:numRef>
                </c:val>
                <c:smooth val="0"/>
                <c:extLst xmlns:c15="http://schemas.microsoft.com/office/drawing/2012/chart">
                  <c:ext xmlns:c16="http://schemas.microsoft.com/office/drawing/2014/chart" uri="{C3380CC4-5D6E-409C-BE32-E72D297353CC}">
                    <c16:uniqueId val="{00000003-5495-4948-9C45-7A9D3556D6C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'Modelled Results'!$B$50</c15:sqref>
                        </c15:formulaRef>
                      </c:ext>
                    </c:extLst>
                    <c:strCache>
                      <c:ptCount val="1"/>
                      <c:pt idx="0">
                        <c:v>Agriculture</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'Modelled Results'!$C$45:$I$45</c15:sqref>
                        </c15:formulaRef>
                      </c:ext>
                    </c:extLst>
                    <c:numCache>
                      <c:formatCode>General</c:formatCode>
                      <c:ptCount val="7"/>
                      <c:pt idx="0">
                        <c:v>2022</c:v>
                      </c:pt>
                      <c:pt idx="1">
                        <c:v>2025</c:v>
                      </c:pt>
                      <c:pt idx="2">
                        <c:v>2030</c:v>
                      </c:pt>
                      <c:pt idx="3">
                        <c:v>2035</c:v>
                      </c:pt>
                      <c:pt idx="4">
                        <c:v>2040</c:v>
                      </c:pt>
                      <c:pt idx="5">
                        <c:v>2045</c:v>
                      </c:pt>
                      <c:pt idx="6">
                        <c:v>2050</c:v>
                      </c:pt>
                    </c:numCache>
                  </c:numRef>
                </c:cat>
                <c:val>
                  <c:numRef>
                    <c:extLst xmlns:c15="http://schemas.microsoft.com/office/drawing/2012/chart">
                      <c:ext xmlns:c15="http://schemas.microsoft.com/office/drawing/2012/chart" uri="{02D57815-91ED-43cb-92C2-25804820EDAC}">
                        <c15:formulaRef>
                          <c15:sqref>'Modelled Results'!$C$50:$I$50</c15:sqref>
                        </c15:formulaRef>
                      </c:ext>
                    </c:extLst>
                    <c:numCache>
                      <c:formatCode>_-* #,##0_-;\-* #,##0_-;_-* "-"??_-;_-@_-</c:formatCode>
                      <c:ptCount val="7"/>
                      <c:pt idx="0">
                        <c:v>89901.241984001899</c:v>
                      </c:pt>
                      <c:pt idx="1">
                        <c:v>87704.175031306746</c:v>
                      </c:pt>
                      <c:pt idx="2">
                        <c:v>85284.000217525725</c:v>
                      </c:pt>
                      <c:pt idx="3">
                        <c:v>82904.659745278375</c:v>
                      </c:pt>
                      <c:pt idx="4">
                        <c:v>80524.473079464922</c:v>
                      </c:pt>
                      <c:pt idx="5">
                        <c:v>78144.879308593372</c:v>
                      </c:pt>
                      <c:pt idx="6">
                        <c:v>74811.590327656319</c:v>
                      </c:pt>
                    </c:numCache>
                  </c:numRef>
                </c:val>
                <c:smooth val="0"/>
                <c:extLst xmlns:c15="http://schemas.microsoft.com/office/drawing/2012/chart">
                  <c:ext xmlns:c16="http://schemas.microsoft.com/office/drawing/2014/chart" uri="{C3380CC4-5D6E-409C-BE32-E72D297353CC}">
                    <c16:uniqueId val="{00000004-5495-4948-9C45-7A9D3556D6C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'Modelled Results'!$B$52</c15:sqref>
                        </c15:formulaRef>
                      </c:ext>
                    </c:extLst>
                    <c:strCache>
                      <c:ptCount val="1"/>
                      <c:pt idx="0">
                        <c:v>Sequestration</c:v>
                      </c:pt>
                    </c:strCache>
                  </c:strRef>
                </c:tx>
                <c:spPr>
                  <a:ln w="28575" cap="rnd">
                    <a:solidFill>
                      <a:schemeClr val="accent6">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'Modelled Results'!$C$45:$I$45</c15:sqref>
                        </c15:formulaRef>
                      </c:ext>
                    </c:extLst>
                    <c:numCache>
                      <c:formatCode>General</c:formatCode>
                      <c:ptCount val="7"/>
                      <c:pt idx="0">
                        <c:v>2022</c:v>
                      </c:pt>
                      <c:pt idx="1">
                        <c:v>2025</c:v>
                      </c:pt>
                      <c:pt idx="2">
                        <c:v>2030</c:v>
                      </c:pt>
                      <c:pt idx="3">
                        <c:v>2035</c:v>
                      </c:pt>
                      <c:pt idx="4">
                        <c:v>2040</c:v>
                      </c:pt>
                      <c:pt idx="5">
                        <c:v>2045</c:v>
                      </c:pt>
                      <c:pt idx="6">
                        <c:v>2050</c:v>
                      </c:pt>
                    </c:numCache>
                  </c:numRef>
                </c:cat>
                <c:val>
                  <c:numRef>
                    <c:extLst xmlns:c15="http://schemas.microsoft.com/office/drawing/2012/chart">
                      <c:ext xmlns:c15="http://schemas.microsoft.com/office/drawing/2012/chart" uri="{02D57815-91ED-43cb-92C2-25804820EDAC}">
                        <c15:formulaRef>
                          <c15:sqref>'Modelled Results'!$C$52:$I$52</c15:sqref>
                        </c15:formulaRef>
                      </c:ext>
                    </c:extLst>
                    <c:numCache>
                      <c:formatCode>_-* #,##0_-;\-* #,##0_-;_-* "-"??_-;_-@_-</c:formatCode>
                      <c:ptCount val="7"/>
                      <c:pt idx="0">
                        <c:v>-76236.17</c:v>
                      </c:pt>
                      <c:pt idx="1">
                        <c:v>-82079.60083333333</c:v>
                      </c:pt>
                      <c:pt idx="2">
                        <c:v>-87923.031666666648</c:v>
                      </c:pt>
                      <c:pt idx="3">
                        <c:v>-93766.46249999998</c:v>
                      </c:pt>
                      <c:pt idx="4">
                        <c:v>-99609.893333333326</c:v>
                      </c:pt>
                      <c:pt idx="5">
                        <c:v>-105453.32416666663</c:v>
                      </c:pt>
                      <c:pt idx="6">
                        <c:v>-111296.755</c:v>
                      </c:pt>
                    </c:numCache>
                  </c:numRef>
                </c:val>
                <c:smooth val="0"/>
                <c:extLst xmlns:c15="http://schemas.microsoft.com/office/drawing/2012/chart">
                  <c:ext xmlns:c16="http://schemas.microsoft.com/office/drawing/2014/chart" uri="{C3380CC4-5D6E-409C-BE32-E72D297353CC}">
                    <c16:uniqueId val="{00000006-5495-4948-9C45-7A9D3556D6CA}"/>
                  </c:ext>
                </c:extLst>
              </c15:ser>
            </c15:filteredLineSeries>
          </c:ext>
        </c:extLst>
      </c:lineChart>
      <c:catAx>
        <c:axId val="83707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Financial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069408"/>
        <c:crosses val="autoZero"/>
        <c:auto val="1"/>
        <c:lblAlgn val="ctr"/>
        <c:lblOffset val="100"/>
        <c:noMultiLvlLbl val="0"/>
      </c:catAx>
      <c:valAx>
        <c:axId val="837069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tCO</a:t>
                </a:r>
                <a:r>
                  <a:rPr lang="en-NZ" baseline="-25000"/>
                  <a:t>2</a:t>
                </a:r>
                <a:r>
                  <a:rPr lang="en-NZ"/>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07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sz="1400" b="0" i="0" u="none" strike="noStrike" kern="1200" spc="0" baseline="0">
                <a:solidFill>
                  <a:sysClr val="windowText" lastClr="000000">
                    <a:lumMod val="65000"/>
                    <a:lumOff val="35000"/>
                  </a:sysClr>
                </a:solidFill>
              </a:rPr>
              <a:t>2050 Net Zero Net Emissions</a:t>
            </a:r>
          </a:p>
          <a:p>
            <a:pPr>
              <a:defRPr/>
            </a:pPr>
            <a:r>
              <a:rPr lang="en-NZ" sz="1400" b="0" i="0" u="none" strike="noStrike" kern="1200" spc="0" baseline="0">
                <a:solidFill>
                  <a:sysClr val="windowText" lastClr="000000">
                    <a:lumMod val="65000"/>
                    <a:lumOff val="35000"/>
                  </a:sysClr>
                </a:solidFill>
              </a:rPr>
              <a:t>(Modelled scenarios and additional reduction)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'Modelled Results'!$B$46</c:f>
              <c:strCache>
                <c:ptCount val="1"/>
                <c:pt idx="0">
                  <c:v>Waste</c:v>
                </c:pt>
              </c:strCache>
            </c:strRef>
          </c:tx>
          <c:spPr>
            <a:solidFill>
              <a:schemeClr val="accent6"/>
            </a:solidFill>
            <a:ln>
              <a:noFill/>
            </a:ln>
            <a:effectLst/>
          </c:spPr>
          <c:invertIfNegative val="0"/>
          <c:cat>
            <c:numRef>
              <c:f>'Modelled Results'!$C$45:$I$45</c:f>
              <c:numCache>
                <c:formatCode>General</c:formatCode>
                <c:ptCount val="7"/>
                <c:pt idx="0">
                  <c:v>2022</c:v>
                </c:pt>
                <c:pt idx="1">
                  <c:v>2025</c:v>
                </c:pt>
                <c:pt idx="2">
                  <c:v>2030</c:v>
                </c:pt>
                <c:pt idx="3">
                  <c:v>2035</c:v>
                </c:pt>
                <c:pt idx="4">
                  <c:v>2040</c:v>
                </c:pt>
                <c:pt idx="5">
                  <c:v>2045</c:v>
                </c:pt>
                <c:pt idx="6">
                  <c:v>2050</c:v>
                </c:pt>
              </c:numCache>
            </c:numRef>
          </c:cat>
          <c:val>
            <c:numRef>
              <c:f>'Modelled Results'!$C$46:$I$46</c:f>
              <c:numCache>
                <c:formatCode>_-* #,##0_-;\-* #,##0_-;_-* "-"??_-;_-@_-</c:formatCode>
                <c:ptCount val="7"/>
                <c:pt idx="0">
                  <c:v>5872.2785203171698</c:v>
                </c:pt>
                <c:pt idx="1">
                  <c:v>6512.8471755717874</c:v>
                </c:pt>
                <c:pt idx="2">
                  <c:v>7206.8650388353471</c:v>
                </c:pt>
                <c:pt idx="3">
                  <c:v>7776.1767534835999</c:v>
                </c:pt>
                <c:pt idx="4">
                  <c:v>8252.7274545177261</c:v>
                </c:pt>
                <c:pt idx="5">
                  <c:v>8624.7929729043026</c:v>
                </c:pt>
                <c:pt idx="6">
                  <c:v>9094.5877397875211</c:v>
                </c:pt>
              </c:numCache>
            </c:numRef>
          </c:val>
          <c:extLst>
            <c:ext xmlns:c16="http://schemas.microsoft.com/office/drawing/2014/chart" uri="{C3380CC4-5D6E-409C-BE32-E72D297353CC}">
              <c16:uniqueId val="{00000000-BAB3-4BA0-860B-9CC0CC574000}"/>
            </c:ext>
          </c:extLst>
        </c:ser>
        <c:ser>
          <c:idx val="1"/>
          <c:order val="1"/>
          <c:tx>
            <c:strRef>
              <c:f>'Modelled Results'!$B$47</c:f>
              <c:strCache>
                <c:ptCount val="1"/>
                <c:pt idx="0">
                  <c:v>Stationary Energy</c:v>
                </c:pt>
              </c:strCache>
            </c:strRef>
          </c:tx>
          <c:spPr>
            <a:solidFill>
              <a:schemeClr val="accent5"/>
            </a:solidFill>
            <a:ln>
              <a:noFill/>
            </a:ln>
            <a:effectLst/>
          </c:spPr>
          <c:invertIfNegative val="0"/>
          <c:cat>
            <c:numRef>
              <c:f>'Modelled Results'!$C$45:$I$45</c:f>
              <c:numCache>
                <c:formatCode>General</c:formatCode>
                <c:ptCount val="7"/>
                <c:pt idx="0">
                  <c:v>2022</c:v>
                </c:pt>
                <c:pt idx="1">
                  <c:v>2025</c:v>
                </c:pt>
                <c:pt idx="2">
                  <c:v>2030</c:v>
                </c:pt>
                <c:pt idx="3">
                  <c:v>2035</c:v>
                </c:pt>
                <c:pt idx="4">
                  <c:v>2040</c:v>
                </c:pt>
                <c:pt idx="5">
                  <c:v>2045</c:v>
                </c:pt>
                <c:pt idx="6">
                  <c:v>2050</c:v>
                </c:pt>
              </c:numCache>
            </c:numRef>
          </c:cat>
          <c:val>
            <c:numRef>
              <c:f>'Modelled Results'!$C$47:$I$47</c:f>
              <c:numCache>
                <c:formatCode>_-* #,##0_-;\-* #,##0_-;_-* "-"??_-;_-@_-</c:formatCode>
                <c:ptCount val="7"/>
                <c:pt idx="0">
                  <c:v>161690.45851450451</c:v>
                </c:pt>
                <c:pt idx="1">
                  <c:v>137324.75944699257</c:v>
                </c:pt>
                <c:pt idx="2">
                  <c:v>124955.04145812184</c:v>
                </c:pt>
                <c:pt idx="3">
                  <c:v>109241.84745560357</c:v>
                </c:pt>
                <c:pt idx="4">
                  <c:v>102157.88113816007</c:v>
                </c:pt>
                <c:pt idx="5">
                  <c:v>94545.678405134429</c:v>
                </c:pt>
                <c:pt idx="6">
                  <c:v>88419.019222600327</c:v>
                </c:pt>
              </c:numCache>
            </c:numRef>
          </c:val>
          <c:extLst>
            <c:ext xmlns:c16="http://schemas.microsoft.com/office/drawing/2014/chart" uri="{C3380CC4-5D6E-409C-BE32-E72D297353CC}">
              <c16:uniqueId val="{00000001-BAB3-4BA0-860B-9CC0CC574000}"/>
            </c:ext>
          </c:extLst>
        </c:ser>
        <c:ser>
          <c:idx val="2"/>
          <c:order val="2"/>
          <c:tx>
            <c:strRef>
              <c:f>'Modelled Results'!$B$48</c:f>
              <c:strCache>
                <c:ptCount val="1"/>
                <c:pt idx="0">
                  <c:v>Transport</c:v>
                </c:pt>
              </c:strCache>
            </c:strRef>
          </c:tx>
          <c:spPr>
            <a:solidFill>
              <a:schemeClr val="accent4"/>
            </a:solidFill>
            <a:ln>
              <a:noFill/>
            </a:ln>
            <a:effectLst/>
          </c:spPr>
          <c:invertIfNegative val="0"/>
          <c:cat>
            <c:numRef>
              <c:f>'Modelled Results'!$C$45:$I$45</c:f>
              <c:numCache>
                <c:formatCode>General</c:formatCode>
                <c:ptCount val="7"/>
                <c:pt idx="0">
                  <c:v>2022</c:v>
                </c:pt>
                <c:pt idx="1">
                  <c:v>2025</c:v>
                </c:pt>
                <c:pt idx="2">
                  <c:v>2030</c:v>
                </c:pt>
                <c:pt idx="3">
                  <c:v>2035</c:v>
                </c:pt>
                <c:pt idx="4">
                  <c:v>2040</c:v>
                </c:pt>
                <c:pt idx="5">
                  <c:v>2045</c:v>
                </c:pt>
                <c:pt idx="6">
                  <c:v>2050</c:v>
                </c:pt>
              </c:numCache>
            </c:numRef>
          </c:cat>
          <c:val>
            <c:numRef>
              <c:f>'Modelled Results'!$C$48:$I$48</c:f>
              <c:numCache>
                <c:formatCode>_-* #,##0_-;\-* #,##0_-;_-* "-"??_-;_-@_-</c:formatCode>
                <c:ptCount val="7"/>
                <c:pt idx="0">
                  <c:v>205599.77291621806</c:v>
                </c:pt>
                <c:pt idx="1">
                  <c:v>180598.94217025134</c:v>
                </c:pt>
                <c:pt idx="2">
                  <c:v>159112.89532827595</c:v>
                </c:pt>
                <c:pt idx="3">
                  <c:v>133600.84856694977</c:v>
                </c:pt>
                <c:pt idx="4">
                  <c:v>110537.0798276178</c:v>
                </c:pt>
                <c:pt idx="5">
                  <c:v>88482.201752108405</c:v>
                </c:pt>
                <c:pt idx="6">
                  <c:v>70442.777236639333</c:v>
                </c:pt>
              </c:numCache>
            </c:numRef>
          </c:val>
          <c:extLst>
            <c:ext xmlns:c16="http://schemas.microsoft.com/office/drawing/2014/chart" uri="{C3380CC4-5D6E-409C-BE32-E72D297353CC}">
              <c16:uniqueId val="{00000002-BAB3-4BA0-860B-9CC0CC574000}"/>
            </c:ext>
          </c:extLst>
        </c:ser>
        <c:ser>
          <c:idx val="3"/>
          <c:order val="3"/>
          <c:tx>
            <c:strRef>
              <c:f>'Modelled Results'!$B$49</c:f>
              <c:strCache>
                <c:ptCount val="1"/>
                <c:pt idx="0">
                  <c:v>Industrial Processes and Product Use (IPPU)</c:v>
                </c:pt>
              </c:strCache>
            </c:strRef>
          </c:tx>
          <c:spPr>
            <a:solidFill>
              <a:schemeClr val="accent6">
                <a:lumMod val="60000"/>
              </a:schemeClr>
            </a:solidFill>
            <a:ln>
              <a:noFill/>
            </a:ln>
            <a:effectLst/>
          </c:spPr>
          <c:invertIfNegative val="0"/>
          <c:cat>
            <c:numRef>
              <c:f>'Modelled Results'!$C$45:$I$45</c:f>
              <c:numCache>
                <c:formatCode>General</c:formatCode>
                <c:ptCount val="7"/>
                <c:pt idx="0">
                  <c:v>2022</c:v>
                </c:pt>
                <c:pt idx="1">
                  <c:v>2025</c:v>
                </c:pt>
                <c:pt idx="2">
                  <c:v>2030</c:v>
                </c:pt>
                <c:pt idx="3">
                  <c:v>2035</c:v>
                </c:pt>
                <c:pt idx="4">
                  <c:v>2040</c:v>
                </c:pt>
                <c:pt idx="5">
                  <c:v>2045</c:v>
                </c:pt>
                <c:pt idx="6">
                  <c:v>2050</c:v>
                </c:pt>
              </c:numCache>
            </c:numRef>
          </c:cat>
          <c:val>
            <c:numRef>
              <c:f>'Modelled Results'!$C$49:$I$49</c:f>
              <c:numCache>
                <c:formatCode>_-* #,##0_-;\-* #,##0_-;_-* "-"??_-;_-@_-</c:formatCode>
                <c:ptCount val="7"/>
                <c:pt idx="0">
                  <c:v>25679.38427410198</c:v>
                </c:pt>
                <c:pt idx="1">
                  <c:v>26901.722965549234</c:v>
                </c:pt>
                <c:pt idx="2">
                  <c:v>28000.800612480794</c:v>
                </c:pt>
                <c:pt idx="3">
                  <c:v>28195.963932963972</c:v>
                </c:pt>
                <c:pt idx="4">
                  <c:v>28819.972970824656</c:v>
                </c:pt>
                <c:pt idx="5">
                  <c:v>29336.128594734106</c:v>
                </c:pt>
                <c:pt idx="6">
                  <c:v>29788.085757958295</c:v>
                </c:pt>
              </c:numCache>
            </c:numRef>
          </c:val>
          <c:extLst>
            <c:ext xmlns:c16="http://schemas.microsoft.com/office/drawing/2014/chart" uri="{C3380CC4-5D6E-409C-BE32-E72D297353CC}">
              <c16:uniqueId val="{00000003-BAB3-4BA0-860B-9CC0CC574000}"/>
            </c:ext>
          </c:extLst>
        </c:ser>
        <c:ser>
          <c:idx val="4"/>
          <c:order val="4"/>
          <c:tx>
            <c:strRef>
              <c:f>'Modelled Results'!$B$50</c:f>
              <c:strCache>
                <c:ptCount val="1"/>
                <c:pt idx="0">
                  <c:v>Agriculture</c:v>
                </c:pt>
              </c:strCache>
            </c:strRef>
          </c:tx>
          <c:spPr>
            <a:solidFill>
              <a:schemeClr val="accent5">
                <a:lumMod val="60000"/>
              </a:schemeClr>
            </a:solidFill>
            <a:ln>
              <a:noFill/>
            </a:ln>
            <a:effectLst/>
          </c:spPr>
          <c:invertIfNegative val="0"/>
          <c:cat>
            <c:numRef>
              <c:f>'Modelled Results'!$C$45:$I$45</c:f>
              <c:numCache>
                <c:formatCode>General</c:formatCode>
                <c:ptCount val="7"/>
                <c:pt idx="0">
                  <c:v>2022</c:v>
                </c:pt>
                <c:pt idx="1">
                  <c:v>2025</c:v>
                </c:pt>
                <c:pt idx="2">
                  <c:v>2030</c:v>
                </c:pt>
                <c:pt idx="3">
                  <c:v>2035</c:v>
                </c:pt>
                <c:pt idx="4">
                  <c:v>2040</c:v>
                </c:pt>
                <c:pt idx="5">
                  <c:v>2045</c:v>
                </c:pt>
                <c:pt idx="6">
                  <c:v>2050</c:v>
                </c:pt>
              </c:numCache>
            </c:numRef>
          </c:cat>
          <c:val>
            <c:numRef>
              <c:f>'Modelled Results'!$C$50:$I$50</c:f>
              <c:numCache>
                <c:formatCode>_-* #,##0_-;\-* #,##0_-;_-* "-"??_-;_-@_-</c:formatCode>
                <c:ptCount val="7"/>
                <c:pt idx="0">
                  <c:v>89901.241984001899</c:v>
                </c:pt>
                <c:pt idx="1">
                  <c:v>87704.175031306746</c:v>
                </c:pt>
                <c:pt idx="2">
                  <c:v>85284.000217525725</c:v>
                </c:pt>
                <c:pt idx="3">
                  <c:v>82904.659745278375</c:v>
                </c:pt>
                <c:pt idx="4">
                  <c:v>80524.473079464922</c:v>
                </c:pt>
                <c:pt idx="5">
                  <c:v>78144.879308593372</c:v>
                </c:pt>
                <c:pt idx="6">
                  <c:v>74811.590327656319</c:v>
                </c:pt>
              </c:numCache>
            </c:numRef>
          </c:val>
          <c:extLst>
            <c:ext xmlns:c16="http://schemas.microsoft.com/office/drawing/2014/chart" uri="{C3380CC4-5D6E-409C-BE32-E72D297353CC}">
              <c16:uniqueId val="{00000004-BAB3-4BA0-860B-9CC0CC574000}"/>
            </c:ext>
          </c:extLst>
        </c:ser>
        <c:ser>
          <c:idx val="6"/>
          <c:order val="6"/>
          <c:tx>
            <c:strRef>
              <c:f>'Modelled Results'!$B$52</c:f>
              <c:strCache>
                <c:ptCount val="1"/>
                <c:pt idx="0">
                  <c:v>Sequestration</c:v>
                </c:pt>
              </c:strCache>
            </c:strRef>
          </c:tx>
          <c:spPr>
            <a:solidFill>
              <a:schemeClr val="accent6">
                <a:lumMod val="80000"/>
                <a:lumOff val="20000"/>
              </a:schemeClr>
            </a:solidFill>
            <a:ln>
              <a:noFill/>
            </a:ln>
            <a:effectLst/>
          </c:spPr>
          <c:invertIfNegative val="0"/>
          <c:cat>
            <c:numRef>
              <c:f>'Modelled Results'!$C$45:$I$45</c:f>
              <c:numCache>
                <c:formatCode>General</c:formatCode>
                <c:ptCount val="7"/>
                <c:pt idx="0">
                  <c:v>2022</c:v>
                </c:pt>
                <c:pt idx="1">
                  <c:v>2025</c:v>
                </c:pt>
                <c:pt idx="2">
                  <c:v>2030</c:v>
                </c:pt>
                <c:pt idx="3">
                  <c:v>2035</c:v>
                </c:pt>
                <c:pt idx="4">
                  <c:v>2040</c:v>
                </c:pt>
                <c:pt idx="5">
                  <c:v>2045</c:v>
                </c:pt>
                <c:pt idx="6">
                  <c:v>2050</c:v>
                </c:pt>
              </c:numCache>
            </c:numRef>
          </c:cat>
          <c:val>
            <c:numRef>
              <c:f>'Modelled Results'!$C$52:$I$52</c:f>
              <c:numCache>
                <c:formatCode>_-* #,##0_-;\-* #,##0_-;_-* "-"??_-;_-@_-</c:formatCode>
                <c:ptCount val="7"/>
                <c:pt idx="0">
                  <c:v>-76236.17</c:v>
                </c:pt>
                <c:pt idx="1">
                  <c:v>-82079.60083333333</c:v>
                </c:pt>
                <c:pt idx="2">
                  <c:v>-87923.031666666648</c:v>
                </c:pt>
                <c:pt idx="3">
                  <c:v>-93766.46249999998</c:v>
                </c:pt>
                <c:pt idx="4">
                  <c:v>-99609.893333333326</c:v>
                </c:pt>
                <c:pt idx="5">
                  <c:v>-105453.32416666663</c:v>
                </c:pt>
                <c:pt idx="6">
                  <c:v>-111296.755</c:v>
                </c:pt>
              </c:numCache>
            </c:numRef>
          </c:val>
          <c:extLst>
            <c:ext xmlns:c16="http://schemas.microsoft.com/office/drawing/2014/chart" uri="{C3380CC4-5D6E-409C-BE32-E72D297353CC}">
              <c16:uniqueId val="{00000005-BAB3-4BA0-860B-9CC0CC574000}"/>
            </c:ext>
          </c:extLst>
        </c:ser>
        <c:ser>
          <c:idx val="11"/>
          <c:order val="11"/>
          <c:tx>
            <c:strRef>
              <c:f>'Modelled Results'!$B$57</c:f>
              <c:strCache>
                <c:ptCount val="1"/>
                <c:pt idx="0">
                  <c:v>Additional Net Reduction Required</c:v>
                </c:pt>
              </c:strCache>
            </c:strRef>
          </c:tx>
          <c:spPr>
            <a:solidFill>
              <a:schemeClr val="accent4">
                <a:lumMod val="80000"/>
              </a:schemeClr>
            </a:solidFill>
            <a:ln>
              <a:noFill/>
            </a:ln>
            <a:effectLst/>
          </c:spPr>
          <c:invertIfNegative val="0"/>
          <c:cat>
            <c:numRef>
              <c:f>'Modelled Results'!$C$45:$I$45</c:f>
              <c:numCache>
                <c:formatCode>General</c:formatCode>
                <c:ptCount val="7"/>
                <c:pt idx="0">
                  <c:v>2022</c:v>
                </c:pt>
                <c:pt idx="1">
                  <c:v>2025</c:v>
                </c:pt>
                <c:pt idx="2">
                  <c:v>2030</c:v>
                </c:pt>
                <c:pt idx="3">
                  <c:v>2035</c:v>
                </c:pt>
                <c:pt idx="4">
                  <c:v>2040</c:v>
                </c:pt>
                <c:pt idx="5">
                  <c:v>2045</c:v>
                </c:pt>
                <c:pt idx="6">
                  <c:v>2050</c:v>
                </c:pt>
              </c:numCache>
            </c:numRef>
          </c:cat>
          <c:val>
            <c:numRef>
              <c:f>'Modelled Results'!$C$57:$I$57</c:f>
              <c:numCache>
                <c:formatCode>_-* #,##0_-;\-* #,##0_-;_-* "-"??_-;_-@_-</c:formatCode>
                <c:ptCount val="7"/>
                <c:pt idx="0">
                  <c:v>0</c:v>
                </c:pt>
                <c:pt idx="1">
                  <c:v>-26876.550880773633</c:v>
                </c:pt>
                <c:pt idx="2">
                  <c:v>-53753.101761547267</c:v>
                </c:pt>
                <c:pt idx="3">
                  <c:v>-80629.6526423209</c:v>
                </c:pt>
                <c:pt idx="4">
                  <c:v>-107506.20352309453</c:v>
                </c:pt>
                <c:pt idx="5">
                  <c:v>-134382.75440386817</c:v>
                </c:pt>
                <c:pt idx="6">
                  <c:v>-161259.3052846418</c:v>
                </c:pt>
              </c:numCache>
            </c:numRef>
          </c:val>
          <c:extLst>
            <c:ext xmlns:c16="http://schemas.microsoft.com/office/drawing/2014/chart" uri="{C3380CC4-5D6E-409C-BE32-E72D297353CC}">
              <c16:uniqueId val="{0000000B-BAB3-4BA0-860B-9CC0CC574000}"/>
            </c:ext>
          </c:extLst>
        </c:ser>
        <c:dLbls>
          <c:showLegendKey val="0"/>
          <c:showVal val="0"/>
          <c:showCatName val="0"/>
          <c:showSerName val="0"/>
          <c:showPercent val="0"/>
          <c:showBubbleSize val="0"/>
        </c:dLbls>
        <c:gapWidth val="150"/>
        <c:overlap val="100"/>
        <c:axId val="837073344"/>
        <c:axId val="837069408"/>
        <c:extLst>
          <c:ext xmlns:c15="http://schemas.microsoft.com/office/drawing/2012/chart" uri="{02D57815-91ED-43cb-92C2-25804820EDAC}">
            <c15:filteredBarSeries>
              <c15:ser>
                <c:idx val="5"/>
                <c:order val="5"/>
                <c:tx>
                  <c:strRef>
                    <c:extLst>
                      <c:ext uri="{02D57815-91ED-43cb-92C2-25804820EDAC}">
                        <c15:formulaRef>
                          <c15:sqref>'Modelled Results'!$B$51</c15:sqref>
                        </c15:formulaRef>
                      </c:ext>
                    </c:extLst>
                    <c:strCache>
                      <c:ptCount val="1"/>
                      <c:pt idx="0">
                        <c:v>Gross Emissions</c:v>
                      </c:pt>
                    </c:strCache>
                  </c:strRef>
                </c:tx>
                <c:spPr>
                  <a:solidFill>
                    <a:schemeClr val="accent4">
                      <a:lumMod val="60000"/>
                    </a:schemeClr>
                  </a:solidFill>
                  <a:ln>
                    <a:noFill/>
                  </a:ln>
                  <a:effectLst/>
                </c:spPr>
                <c:invertIfNegative val="0"/>
                <c:cat>
                  <c:numRef>
                    <c:extLst>
                      <c:ext uri="{02D57815-91ED-43cb-92C2-25804820EDAC}">
                        <c15:formulaRef>
                          <c15:sqref>'Modelled Results'!$C$45:$I$45</c15:sqref>
                        </c15:formulaRef>
                      </c:ext>
                    </c:extLst>
                    <c:numCache>
                      <c:formatCode>General</c:formatCode>
                      <c:ptCount val="7"/>
                      <c:pt idx="0">
                        <c:v>2022</c:v>
                      </c:pt>
                      <c:pt idx="1">
                        <c:v>2025</c:v>
                      </c:pt>
                      <c:pt idx="2">
                        <c:v>2030</c:v>
                      </c:pt>
                      <c:pt idx="3">
                        <c:v>2035</c:v>
                      </c:pt>
                      <c:pt idx="4">
                        <c:v>2040</c:v>
                      </c:pt>
                      <c:pt idx="5">
                        <c:v>2045</c:v>
                      </c:pt>
                      <c:pt idx="6">
                        <c:v>2050</c:v>
                      </c:pt>
                    </c:numCache>
                  </c:numRef>
                </c:cat>
                <c:val>
                  <c:numRef>
                    <c:extLst>
                      <c:ext uri="{02D57815-91ED-43cb-92C2-25804820EDAC}">
                        <c15:formulaRef>
                          <c15:sqref>'Modelled Results'!$C$51:$I$51</c15:sqref>
                        </c15:formulaRef>
                      </c:ext>
                    </c:extLst>
                    <c:numCache>
                      <c:formatCode>_-* #,##0_-;\-* #,##0_-;_-* "-"??_-;_-@_-</c:formatCode>
                      <c:ptCount val="7"/>
                      <c:pt idx="0">
                        <c:v>488743.13620914362</c:v>
                      </c:pt>
                      <c:pt idx="1">
                        <c:v>439042.44678967161</c:v>
                      </c:pt>
                      <c:pt idx="2">
                        <c:v>404559.60265523964</c:v>
                      </c:pt>
                      <c:pt idx="3">
                        <c:v>361719.49645427929</c:v>
                      </c:pt>
                      <c:pt idx="4">
                        <c:v>330292.13447058515</c:v>
                      </c:pt>
                      <c:pt idx="5">
                        <c:v>299133.68103347463</c:v>
                      </c:pt>
                      <c:pt idx="6">
                        <c:v>272556.0602846418</c:v>
                      </c:pt>
                    </c:numCache>
                  </c:numRef>
                </c:val>
                <c:extLst>
                  <c:ext xmlns:c16="http://schemas.microsoft.com/office/drawing/2014/chart" uri="{C3380CC4-5D6E-409C-BE32-E72D297353CC}">
                    <c16:uniqueId val="{00000007-BAB3-4BA0-860B-9CC0CC574000}"/>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'Modelled Results'!$B$53</c15:sqref>
                        </c15:formulaRef>
                      </c:ext>
                    </c:extLst>
                    <c:strCache>
                      <c:ptCount val="1"/>
                      <c:pt idx="0">
                        <c:v>Net Emissions</c:v>
                      </c:pt>
                    </c:strCache>
                  </c:strRef>
                </c:tx>
                <c:spPr>
                  <a:solidFill>
                    <a:schemeClr val="accent5">
                      <a:lumMod val="80000"/>
                      <a:lumOff val="20000"/>
                    </a:schemeClr>
                  </a:solidFill>
                  <a:ln>
                    <a:noFill/>
                  </a:ln>
                  <a:effectLst/>
                </c:spPr>
                <c:invertIfNegative val="0"/>
                <c:cat>
                  <c:numRef>
                    <c:extLst xmlns:c15="http://schemas.microsoft.com/office/drawing/2012/chart">
                      <c:ext xmlns:c15="http://schemas.microsoft.com/office/drawing/2012/chart" uri="{02D57815-91ED-43cb-92C2-25804820EDAC}">
                        <c15:formulaRef>
                          <c15:sqref>'Modelled Results'!$C$45:$I$45</c15:sqref>
                        </c15:formulaRef>
                      </c:ext>
                    </c:extLst>
                    <c:numCache>
                      <c:formatCode>General</c:formatCode>
                      <c:ptCount val="7"/>
                      <c:pt idx="0">
                        <c:v>2022</c:v>
                      </c:pt>
                      <c:pt idx="1">
                        <c:v>2025</c:v>
                      </c:pt>
                      <c:pt idx="2">
                        <c:v>2030</c:v>
                      </c:pt>
                      <c:pt idx="3">
                        <c:v>2035</c:v>
                      </c:pt>
                      <c:pt idx="4">
                        <c:v>2040</c:v>
                      </c:pt>
                      <c:pt idx="5">
                        <c:v>2045</c:v>
                      </c:pt>
                      <c:pt idx="6">
                        <c:v>2050</c:v>
                      </c:pt>
                    </c:numCache>
                  </c:numRef>
                </c:cat>
                <c:val>
                  <c:numRef>
                    <c:extLst xmlns:c15="http://schemas.microsoft.com/office/drawing/2012/chart">
                      <c:ext xmlns:c15="http://schemas.microsoft.com/office/drawing/2012/chart" uri="{02D57815-91ED-43cb-92C2-25804820EDAC}">
                        <c15:formulaRef>
                          <c15:sqref>'Modelled Results'!$C$53:$I$53</c15:sqref>
                        </c15:formulaRef>
                      </c:ext>
                    </c:extLst>
                    <c:numCache>
                      <c:formatCode>_-* #,##0_-;\-* #,##0_-;_-* "-"??_-;_-@_-</c:formatCode>
                      <c:ptCount val="7"/>
                      <c:pt idx="0">
                        <c:v>412506.96620914363</c:v>
                      </c:pt>
                      <c:pt idx="1">
                        <c:v>356962.84595633828</c:v>
                      </c:pt>
                      <c:pt idx="2">
                        <c:v>316636.57098857302</c:v>
                      </c:pt>
                      <c:pt idx="3">
                        <c:v>267953.03395427932</c:v>
                      </c:pt>
                      <c:pt idx="4">
                        <c:v>230682.24113725184</c:v>
                      </c:pt>
                      <c:pt idx="5">
                        <c:v>193680.356866808</c:v>
                      </c:pt>
                      <c:pt idx="6">
                        <c:v>161259.3052846418</c:v>
                      </c:pt>
                    </c:numCache>
                  </c:numRef>
                </c:val>
                <c:extLst xmlns:c15="http://schemas.microsoft.com/office/drawing/2012/chart">
                  <c:ext xmlns:c16="http://schemas.microsoft.com/office/drawing/2014/chart" uri="{C3380CC4-5D6E-409C-BE32-E72D297353CC}">
                    <c16:uniqueId val="{00000006-BAB3-4BA0-860B-9CC0CC574000}"/>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'Modelled Results'!$B$54</c15:sqref>
                        </c15:formulaRef>
                      </c:ext>
                    </c:extLst>
                    <c:strCache>
                      <c:ptCount val="1"/>
                    </c:strCache>
                  </c:strRef>
                </c:tx>
                <c:spPr>
                  <a:solidFill>
                    <a:schemeClr val="accent4">
                      <a:lumMod val="80000"/>
                      <a:lumOff val="20000"/>
                    </a:schemeClr>
                  </a:solidFill>
                  <a:ln>
                    <a:noFill/>
                  </a:ln>
                  <a:effectLst/>
                </c:spPr>
                <c:invertIfNegative val="0"/>
                <c:cat>
                  <c:numRef>
                    <c:extLst xmlns:c15="http://schemas.microsoft.com/office/drawing/2012/chart">
                      <c:ext xmlns:c15="http://schemas.microsoft.com/office/drawing/2012/chart" uri="{02D57815-91ED-43cb-92C2-25804820EDAC}">
                        <c15:formulaRef>
                          <c15:sqref>'Modelled Results'!$C$45:$I$45</c15:sqref>
                        </c15:formulaRef>
                      </c:ext>
                    </c:extLst>
                    <c:numCache>
                      <c:formatCode>General</c:formatCode>
                      <c:ptCount val="7"/>
                      <c:pt idx="0">
                        <c:v>2022</c:v>
                      </c:pt>
                      <c:pt idx="1">
                        <c:v>2025</c:v>
                      </c:pt>
                      <c:pt idx="2">
                        <c:v>2030</c:v>
                      </c:pt>
                      <c:pt idx="3">
                        <c:v>2035</c:v>
                      </c:pt>
                      <c:pt idx="4">
                        <c:v>2040</c:v>
                      </c:pt>
                      <c:pt idx="5">
                        <c:v>2045</c:v>
                      </c:pt>
                      <c:pt idx="6">
                        <c:v>2050</c:v>
                      </c:pt>
                    </c:numCache>
                  </c:numRef>
                </c:cat>
                <c:val>
                  <c:numRef>
                    <c:extLst xmlns:c15="http://schemas.microsoft.com/office/drawing/2012/chart">
                      <c:ext xmlns:c15="http://schemas.microsoft.com/office/drawing/2012/chart" uri="{02D57815-91ED-43cb-92C2-25804820EDAC}">
                        <c15:formulaRef>
                          <c15:sqref>'Modelled Results'!$C$54:$I$54</c15:sqref>
                        </c15:formulaRef>
                      </c:ext>
                    </c:extLst>
                    <c:numCache>
                      <c:formatCode>_-* #,##0_-;\-* #,##0_-;_-* "-"??_-;_-@_-</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8-BAB3-4BA0-860B-9CC0CC574000}"/>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'Modelled Results'!$B$55</c15:sqref>
                        </c15:formulaRef>
                      </c:ext>
                    </c:extLst>
                    <c:strCache>
                      <c:ptCount val="1"/>
                      <c:pt idx="0">
                        <c:v>Additional reduction required for 2050 Net Zero</c:v>
                      </c:pt>
                    </c:strCache>
                  </c:strRef>
                </c:tx>
                <c:spPr>
                  <a:solidFill>
                    <a:schemeClr val="accent6">
                      <a:lumMod val="80000"/>
                    </a:schemeClr>
                  </a:solidFill>
                  <a:ln>
                    <a:noFill/>
                  </a:ln>
                  <a:effectLst/>
                </c:spPr>
                <c:invertIfNegative val="0"/>
                <c:cat>
                  <c:numRef>
                    <c:extLst xmlns:c15="http://schemas.microsoft.com/office/drawing/2012/chart">
                      <c:ext xmlns:c15="http://schemas.microsoft.com/office/drawing/2012/chart" uri="{02D57815-91ED-43cb-92C2-25804820EDAC}">
                        <c15:formulaRef>
                          <c15:sqref>'Modelled Results'!$C$45:$I$45</c15:sqref>
                        </c15:formulaRef>
                      </c:ext>
                    </c:extLst>
                    <c:numCache>
                      <c:formatCode>General</c:formatCode>
                      <c:ptCount val="7"/>
                      <c:pt idx="0">
                        <c:v>2022</c:v>
                      </c:pt>
                      <c:pt idx="1">
                        <c:v>2025</c:v>
                      </c:pt>
                      <c:pt idx="2">
                        <c:v>2030</c:v>
                      </c:pt>
                      <c:pt idx="3">
                        <c:v>2035</c:v>
                      </c:pt>
                      <c:pt idx="4">
                        <c:v>2040</c:v>
                      </c:pt>
                      <c:pt idx="5">
                        <c:v>2045</c:v>
                      </c:pt>
                      <c:pt idx="6">
                        <c:v>2050</c:v>
                      </c:pt>
                    </c:numCache>
                  </c:numRef>
                </c:cat>
                <c:val>
                  <c:numRef>
                    <c:extLst xmlns:c15="http://schemas.microsoft.com/office/drawing/2012/chart">
                      <c:ext xmlns:c15="http://schemas.microsoft.com/office/drawing/2012/chart" uri="{02D57815-91ED-43cb-92C2-25804820EDAC}">
                        <c15:formulaRef>
                          <c15:sqref>'Modelled Results'!$C$55:$I$55</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9-BAB3-4BA0-860B-9CC0CC574000}"/>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'Modelled Results'!$B$56</c15:sqref>
                        </c15:formulaRef>
                      </c:ext>
                    </c:extLst>
                    <c:strCache>
                      <c:ptCount val="1"/>
                    </c:strCache>
                  </c:strRef>
                </c:tx>
                <c:spPr>
                  <a:solidFill>
                    <a:schemeClr val="accent5">
                      <a:lumMod val="80000"/>
                    </a:schemeClr>
                  </a:solidFill>
                  <a:ln>
                    <a:noFill/>
                  </a:ln>
                  <a:effectLst/>
                </c:spPr>
                <c:invertIfNegative val="0"/>
                <c:cat>
                  <c:numRef>
                    <c:extLst xmlns:c15="http://schemas.microsoft.com/office/drawing/2012/chart">
                      <c:ext xmlns:c15="http://schemas.microsoft.com/office/drawing/2012/chart" uri="{02D57815-91ED-43cb-92C2-25804820EDAC}">
                        <c15:formulaRef>
                          <c15:sqref>'Modelled Results'!$C$45:$I$45</c15:sqref>
                        </c15:formulaRef>
                      </c:ext>
                    </c:extLst>
                    <c:numCache>
                      <c:formatCode>General</c:formatCode>
                      <c:ptCount val="7"/>
                      <c:pt idx="0">
                        <c:v>2022</c:v>
                      </c:pt>
                      <c:pt idx="1">
                        <c:v>2025</c:v>
                      </c:pt>
                      <c:pt idx="2">
                        <c:v>2030</c:v>
                      </c:pt>
                      <c:pt idx="3">
                        <c:v>2035</c:v>
                      </c:pt>
                      <c:pt idx="4">
                        <c:v>2040</c:v>
                      </c:pt>
                      <c:pt idx="5">
                        <c:v>2045</c:v>
                      </c:pt>
                      <c:pt idx="6">
                        <c:v>2050</c:v>
                      </c:pt>
                    </c:numCache>
                  </c:numRef>
                </c:cat>
                <c:val>
                  <c:numRef>
                    <c:extLst xmlns:c15="http://schemas.microsoft.com/office/drawing/2012/chart">
                      <c:ext xmlns:c15="http://schemas.microsoft.com/office/drawing/2012/chart" uri="{02D57815-91ED-43cb-92C2-25804820EDAC}">
                        <c15:formulaRef>
                          <c15:sqref>'Modelled Results'!$C$56:$I$56</c15:sqref>
                        </c15:formulaRef>
                      </c:ext>
                    </c:extLst>
                    <c:numCache>
                      <c:formatCode>General</c:formatCode>
                      <c:ptCount val="7"/>
                      <c:pt idx="0">
                        <c:v>2022</c:v>
                      </c:pt>
                      <c:pt idx="1">
                        <c:v>2025</c:v>
                      </c:pt>
                      <c:pt idx="2">
                        <c:v>2030</c:v>
                      </c:pt>
                      <c:pt idx="3">
                        <c:v>2035</c:v>
                      </c:pt>
                      <c:pt idx="4">
                        <c:v>2040</c:v>
                      </c:pt>
                      <c:pt idx="5">
                        <c:v>2045</c:v>
                      </c:pt>
                      <c:pt idx="6">
                        <c:v>2050</c:v>
                      </c:pt>
                    </c:numCache>
                  </c:numRef>
                </c:val>
                <c:extLst xmlns:c15="http://schemas.microsoft.com/office/drawing/2012/chart">
                  <c:ext xmlns:c16="http://schemas.microsoft.com/office/drawing/2014/chart" uri="{C3380CC4-5D6E-409C-BE32-E72D297353CC}">
                    <c16:uniqueId val="{0000000A-BAB3-4BA0-860B-9CC0CC574000}"/>
                  </c:ext>
                </c:extLst>
              </c15:ser>
            </c15:filteredBarSeries>
          </c:ext>
        </c:extLst>
      </c:barChart>
      <c:lineChart>
        <c:grouping val="standard"/>
        <c:varyColors val="0"/>
        <c:ser>
          <c:idx val="12"/>
          <c:order val="12"/>
          <c:tx>
            <c:strRef>
              <c:f>'Modelled Results'!$B$58</c:f>
              <c:strCache>
                <c:ptCount val="1"/>
                <c:pt idx="0">
                  <c:v>Net Emissions (w/ additional reduction)</c:v>
                </c:pt>
              </c:strCache>
            </c:strRef>
          </c:tx>
          <c:spPr>
            <a:ln w="28575" cap="rnd">
              <a:solidFill>
                <a:schemeClr val="accent6">
                  <a:lumMod val="60000"/>
                  <a:lumOff val="40000"/>
                </a:schemeClr>
              </a:solidFill>
              <a:prstDash val="sysDash"/>
              <a:round/>
            </a:ln>
            <a:effectLst/>
          </c:spPr>
          <c:marker>
            <c:symbol val="none"/>
          </c:marker>
          <c:cat>
            <c:numRef>
              <c:f>'Modelled Results'!$C$45:$I$45</c:f>
              <c:numCache>
                <c:formatCode>General</c:formatCode>
                <c:ptCount val="7"/>
                <c:pt idx="0">
                  <c:v>2022</c:v>
                </c:pt>
                <c:pt idx="1">
                  <c:v>2025</c:v>
                </c:pt>
                <c:pt idx="2">
                  <c:v>2030</c:v>
                </c:pt>
                <c:pt idx="3">
                  <c:v>2035</c:v>
                </c:pt>
                <c:pt idx="4">
                  <c:v>2040</c:v>
                </c:pt>
                <c:pt idx="5">
                  <c:v>2045</c:v>
                </c:pt>
                <c:pt idx="6">
                  <c:v>2050</c:v>
                </c:pt>
              </c:numCache>
            </c:numRef>
          </c:cat>
          <c:val>
            <c:numRef>
              <c:f>'Modelled Results'!$C$58:$I$58</c:f>
              <c:numCache>
                <c:formatCode>_-* #,##0_-;\-* #,##0_-;_-* "-"??_-;_-@_-</c:formatCode>
                <c:ptCount val="7"/>
                <c:pt idx="0">
                  <c:v>412506.96620914363</c:v>
                </c:pt>
                <c:pt idx="1">
                  <c:v>330086.29507556465</c:v>
                </c:pt>
                <c:pt idx="2">
                  <c:v>262883.46922702575</c:v>
                </c:pt>
                <c:pt idx="3">
                  <c:v>187323.38131195842</c:v>
                </c:pt>
                <c:pt idx="4">
                  <c:v>123176.03761415731</c:v>
                </c:pt>
                <c:pt idx="5">
                  <c:v>59297.602462939831</c:v>
                </c:pt>
                <c:pt idx="6">
                  <c:v>0</c:v>
                </c:pt>
              </c:numCache>
            </c:numRef>
          </c:val>
          <c:smooth val="0"/>
          <c:extLst>
            <c:ext xmlns:c16="http://schemas.microsoft.com/office/drawing/2014/chart" uri="{C3380CC4-5D6E-409C-BE32-E72D297353CC}">
              <c16:uniqueId val="{0000000C-BAB3-4BA0-860B-9CC0CC574000}"/>
            </c:ext>
          </c:extLst>
        </c:ser>
        <c:dLbls>
          <c:showLegendKey val="0"/>
          <c:showVal val="0"/>
          <c:showCatName val="0"/>
          <c:showSerName val="0"/>
          <c:showPercent val="0"/>
          <c:showBubbleSize val="0"/>
        </c:dLbls>
        <c:marker val="1"/>
        <c:smooth val="0"/>
        <c:axId val="837073344"/>
        <c:axId val="837069408"/>
      </c:lineChart>
      <c:catAx>
        <c:axId val="83707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Financial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069408"/>
        <c:crosses val="autoZero"/>
        <c:auto val="1"/>
        <c:lblAlgn val="ctr"/>
        <c:lblOffset val="100"/>
        <c:noMultiLvlLbl val="0"/>
      </c:catAx>
      <c:valAx>
        <c:axId val="837069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tCO</a:t>
                </a:r>
                <a:r>
                  <a:rPr lang="en-NZ" baseline="-25000"/>
                  <a:t>2</a:t>
                </a:r>
                <a:r>
                  <a:rPr lang="en-NZ"/>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07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reativecommons.org/licenses/by/4.0/"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167640</xdr:colOff>
      <xdr:row>49</xdr:row>
      <xdr:rowOff>76200</xdr:rowOff>
    </xdr:from>
    <xdr:to>
      <xdr:col>0</xdr:col>
      <xdr:colOff>525780</xdr:colOff>
      <xdr:row>55</xdr:row>
      <xdr:rowOff>30479</xdr:rowOff>
    </xdr:to>
    <xdr:sp macro="" textlink="">
      <xdr:nvSpPr>
        <xdr:cNvPr id="35842" name="Scroll Bar 2" hidden="1">
          <a:extLst>
            <a:ext uri="{63B3BB69-23CF-44E3-9099-C40C66FF867C}">
              <a14:compatExt xmlns:a14="http://schemas.microsoft.com/office/drawing/2010/main" spid="_x0000_s35842"/>
            </a:ext>
            <a:ext uri="{FF2B5EF4-FFF2-40B4-BE49-F238E27FC236}">
              <a16:creationId xmlns:a16="http://schemas.microsoft.com/office/drawing/2014/main" id="{00000000-0008-0000-0000-0000028C0000}"/>
            </a:ext>
          </a:extLst>
        </xdr:cNvPr>
        <xdr:cNvSpPr/>
      </xdr:nvSpPr>
      <xdr:spPr bwMode="auto">
        <a:xfrm>
          <a:off x="167640" y="5303520"/>
          <a:ext cx="358140" cy="1059180"/>
        </a:xfrm>
        <a:prstGeom prst="rect">
          <a:avLst/>
        </a:prstGeom>
        <a:noFill/>
        <a:ln w="9525">
          <a:miter lim="800000"/>
          <a:headEnd/>
          <a:tailEnd/>
        </a:ln>
      </xdr:spPr>
    </xdr:sp>
    <xdr:clientData/>
  </xdr:twoCellAnchor>
  <xdr:twoCellAnchor editAs="oneCell">
    <xdr:from>
      <xdr:col>1</xdr:col>
      <xdr:colOff>40481</xdr:colOff>
      <xdr:row>4</xdr:row>
      <xdr:rowOff>33337</xdr:rowOff>
    </xdr:from>
    <xdr:to>
      <xdr:col>1</xdr:col>
      <xdr:colOff>883444</xdr:colOff>
      <xdr:row>5</xdr:row>
      <xdr:rowOff>138112</xdr:rowOff>
    </xdr:to>
    <xdr:pic>
      <xdr:nvPicPr>
        <xdr:cNvPr id="3" name="Picture 2" descr="Creative Commons License">
          <a:hlinkClick xmlns:r="http://schemas.openxmlformats.org/officeDocument/2006/relationships" r:id="rId1"/>
          <a:extLst>
            <a:ext uri="{FF2B5EF4-FFF2-40B4-BE49-F238E27FC236}">
              <a16:creationId xmlns:a16="http://schemas.microsoft.com/office/drawing/2014/main" id="{78B82AE1-9BC3-4448-A029-D6109CF7F4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7700" y="676275"/>
          <a:ext cx="842963"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285750</xdr:colOff>
      <xdr:row>30</xdr:row>
      <xdr:rowOff>166688</xdr:rowOff>
    </xdr:from>
    <xdr:to>
      <xdr:col>21</xdr:col>
      <xdr:colOff>83343</xdr:colOff>
      <xdr:row>50</xdr:row>
      <xdr:rowOff>0</xdr:rowOff>
    </xdr:to>
    <xdr:graphicFrame macro="">
      <xdr:nvGraphicFramePr>
        <xdr:cNvPr id="4" name="Chart 3">
          <a:extLst>
            <a:ext uri="{FF2B5EF4-FFF2-40B4-BE49-F238E27FC236}">
              <a16:creationId xmlns:a16="http://schemas.microsoft.com/office/drawing/2014/main" id="{57EAC3CA-2C3D-4A30-89DC-3E2CADC8F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289719</xdr:colOff>
      <xdr:row>12</xdr:row>
      <xdr:rowOff>178593</xdr:rowOff>
    </xdr:from>
    <xdr:to>
      <xdr:col>21</xdr:col>
      <xdr:colOff>107156</xdr:colOff>
      <xdr:row>30</xdr:row>
      <xdr:rowOff>59532</xdr:rowOff>
    </xdr:to>
    <xdr:graphicFrame macro="">
      <xdr:nvGraphicFramePr>
        <xdr:cNvPr id="8" name="Chart 7">
          <a:extLst>
            <a:ext uri="{FF2B5EF4-FFF2-40B4-BE49-F238E27FC236}">
              <a16:creationId xmlns:a16="http://schemas.microsoft.com/office/drawing/2014/main" id="{328CCC60-3641-4F0A-A545-8A08B3DF0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285751</xdr:colOff>
      <xdr:row>50</xdr:row>
      <xdr:rowOff>83342</xdr:rowOff>
    </xdr:from>
    <xdr:to>
      <xdr:col>21</xdr:col>
      <xdr:colOff>83344</xdr:colOff>
      <xdr:row>71</xdr:row>
      <xdr:rowOff>119062</xdr:rowOff>
    </xdr:to>
    <xdr:graphicFrame macro="">
      <xdr:nvGraphicFramePr>
        <xdr:cNvPr id="2" name="Chart 1">
          <a:extLst>
            <a:ext uri="{FF2B5EF4-FFF2-40B4-BE49-F238E27FC236}">
              <a16:creationId xmlns:a16="http://schemas.microsoft.com/office/drawing/2014/main" id="{2ADA1507-6940-4E23-B337-07D913CCB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129540</xdr:colOff>
      <xdr:row>38</xdr:row>
      <xdr:rowOff>60960</xdr:rowOff>
    </xdr:from>
    <xdr:to>
      <xdr:col>0</xdr:col>
      <xdr:colOff>478155</xdr:colOff>
      <xdr:row>44</xdr:row>
      <xdr:rowOff>53339</xdr:rowOff>
    </xdr:to>
    <xdr:sp macro="" textlink="">
      <xdr:nvSpPr>
        <xdr:cNvPr id="4101" name="Scroll Bar 5" hidden="1">
          <a:extLst>
            <a:ext uri="{63B3BB69-23CF-44E3-9099-C40C66FF867C}">
              <a14:compatExt xmlns:a14="http://schemas.microsoft.com/office/drawing/2010/main" spid="_x0000_s4101"/>
            </a:ext>
            <a:ext uri="{FF2B5EF4-FFF2-40B4-BE49-F238E27FC236}">
              <a16:creationId xmlns:a16="http://schemas.microsoft.com/office/drawing/2014/main" id="{00000000-0008-0000-0300-0000051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129540</xdr:colOff>
      <xdr:row>50</xdr:row>
      <xdr:rowOff>60960</xdr:rowOff>
    </xdr:from>
    <xdr:to>
      <xdr:col>0</xdr:col>
      <xdr:colOff>478155</xdr:colOff>
      <xdr:row>56</xdr:row>
      <xdr:rowOff>19050</xdr:rowOff>
    </xdr:to>
    <xdr:sp macro="" textlink="">
      <xdr:nvSpPr>
        <xdr:cNvPr id="4102" name="Scroll Bar 6" hidden="1">
          <a:extLst>
            <a:ext uri="{63B3BB69-23CF-44E3-9099-C40C66FF867C}">
              <a14:compatExt xmlns:a14="http://schemas.microsoft.com/office/drawing/2010/main" spid="_x0000_s4102"/>
            </a:ext>
            <a:ext uri="{FF2B5EF4-FFF2-40B4-BE49-F238E27FC236}">
              <a16:creationId xmlns:a16="http://schemas.microsoft.com/office/drawing/2014/main" id="{00000000-0008-0000-0300-0000061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129540</xdr:colOff>
      <xdr:row>62</xdr:row>
      <xdr:rowOff>60960</xdr:rowOff>
    </xdr:from>
    <xdr:to>
      <xdr:col>0</xdr:col>
      <xdr:colOff>478155</xdr:colOff>
      <xdr:row>68</xdr:row>
      <xdr:rowOff>7621</xdr:rowOff>
    </xdr:to>
    <xdr:sp macro="" textlink="">
      <xdr:nvSpPr>
        <xdr:cNvPr id="4103" name="Scroll Bar 7" hidden="1">
          <a:extLst>
            <a:ext uri="{63B3BB69-23CF-44E3-9099-C40C66FF867C}">
              <a14:compatExt xmlns:a14="http://schemas.microsoft.com/office/drawing/2010/main" spid="_x0000_s4103"/>
            </a:ext>
            <a:ext uri="{FF2B5EF4-FFF2-40B4-BE49-F238E27FC236}">
              <a16:creationId xmlns:a16="http://schemas.microsoft.com/office/drawing/2014/main" id="{00000000-0008-0000-0300-0000071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129540</xdr:colOff>
      <xdr:row>76</xdr:row>
      <xdr:rowOff>60960</xdr:rowOff>
    </xdr:from>
    <xdr:to>
      <xdr:col>0</xdr:col>
      <xdr:colOff>478155</xdr:colOff>
      <xdr:row>82</xdr:row>
      <xdr:rowOff>19050</xdr:rowOff>
    </xdr:to>
    <xdr:sp macro="" textlink="">
      <xdr:nvSpPr>
        <xdr:cNvPr id="4104" name="Scroll Bar 8" hidden="1">
          <a:extLst>
            <a:ext uri="{63B3BB69-23CF-44E3-9099-C40C66FF867C}">
              <a14:compatExt xmlns:a14="http://schemas.microsoft.com/office/drawing/2010/main" spid="_x0000_s4104"/>
            </a:ext>
            <a:ext uri="{FF2B5EF4-FFF2-40B4-BE49-F238E27FC236}">
              <a16:creationId xmlns:a16="http://schemas.microsoft.com/office/drawing/2014/main" id="{00000000-0008-0000-0300-0000081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129540</xdr:colOff>
      <xdr:row>14</xdr:row>
      <xdr:rowOff>60960</xdr:rowOff>
    </xdr:from>
    <xdr:to>
      <xdr:col>0</xdr:col>
      <xdr:colOff>478155</xdr:colOff>
      <xdr:row>20</xdr:row>
      <xdr:rowOff>19051</xdr:rowOff>
    </xdr:to>
    <xdr:sp macro="" textlink="">
      <xdr:nvSpPr>
        <xdr:cNvPr id="4108" name="Scroll Bar 12" hidden="1">
          <a:extLst>
            <a:ext uri="{63B3BB69-23CF-44E3-9099-C40C66FF867C}">
              <a14:compatExt xmlns:a14="http://schemas.microsoft.com/office/drawing/2010/main" spid="_x0000_s4108"/>
            </a:ext>
            <a:ext uri="{FF2B5EF4-FFF2-40B4-BE49-F238E27FC236}">
              <a16:creationId xmlns:a16="http://schemas.microsoft.com/office/drawing/2014/main" id="{00000000-0008-0000-0300-00000C100000}"/>
            </a:ext>
          </a:extLst>
        </xdr:cNvPr>
        <xdr:cNvSpPr/>
      </xdr:nvSpPr>
      <xdr:spPr bwMode="auto">
        <a:xfrm>
          <a:off x="0" y="0"/>
          <a:ext cx="0" cy="0"/>
        </a:xfrm>
        <a:prstGeom prst="rect">
          <a:avLst/>
        </a:prstGeom>
        <a:noFill/>
        <a:ln w="9525">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175260</xdr:colOff>
      <xdr:row>19</xdr:row>
      <xdr:rowOff>76200</xdr:rowOff>
    </xdr:from>
    <xdr:to>
      <xdr:col>0</xdr:col>
      <xdr:colOff>516255</xdr:colOff>
      <xdr:row>25</xdr:row>
      <xdr:rowOff>18574</xdr:rowOff>
    </xdr:to>
    <xdr:sp macro="" textlink="">
      <xdr:nvSpPr>
        <xdr:cNvPr id="24578" name="Scroll Bar 2" hidden="1">
          <a:extLst>
            <a:ext uri="{63B3BB69-23CF-44E3-9099-C40C66FF867C}">
              <a14:compatExt xmlns:a14="http://schemas.microsoft.com/office/drawing/2010/main" spid="_x0000_s24578"/>
            </a:ext>
            <a:ext uri="{FF2B5EF4-FFF2-40B4-BE49-F238E27FC236}">
              <a16:creationId xmlns:a16="http://schemas.microsoft.com/office/drawing/2014/main" id="{00000000-0008-0000-0400-0000026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175260</xdr:colOff>
      <xdr:row>43</xdr:row>
      <xdr:rowOff>76200</xdr:rowOff>
    </xdr:from>
    <xdr:to>
      <xdr:col>0</xdr:col>
      <xdr:colOff>516255</xdr:colOff>
      <xdr:row>49</xdr:row>
      <xdr:rowOff>20954</xdr:rowOff>
    </xdr:to>
    <xdr:sp macro="" textlink="">
      <xdr:nvSpPr>
        <xdr:cNvPr id="24580" name="Scroll Bar 4" hidden="1">
          <a:extLst>
            <a:ext uri="{63B3BB69-23CF-44E3-9099-C40C66FF867C}">
              <a14:compatExt xmlns:a14="http://schemas.microsoft.com/office/drawing/2010/main" spid="_x0000_s24580"/>
            </a:ext>
            <a:ext uri="{FF2B5EF4-FFF2-40B4-BE49-F238E27FC236}">
              <a16:creationId xmlns:a16="http://schemas.microsoft.com/office/drawing/2014/main" id="{00000000-0008-0000-0400-0000046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129540</xdr:colOff>
      <xdr:row>64</xdr:row>
      <xdr:rowOff>60960</xdr:rowOff>
    </xdr:from>
    <xdr:to>
      <xdr:col>0</xdr:col>
      <xdr:colOff>478155</xdr:colOff>
      <xdr:row>70</xdr:row>
      <xdr:rowOff>19050</xdr:rowOff>
    </xdr:to>
    <xdr:sp macro="" textlink="">
      <xdr:nvSpPr>
        <xdr:cNvPr id="24582" name="Scroll Bar 6" hidden="1">
          <a:extLst>
            <a:ext uri="{63B3BB69-23CF-44E3-9099-C40C66FF867C}">
              <a14:compatExt xmlns:a14="http://schemas.microsoft.com/office/drawing/2010/main" spid="_x0000_s24582"/>
            </a:ext>
            <a:ext uri="{FF2B5EF4-FFF2-40B4-BE49-F238E27FC236}">
              <a16:creationId xmlns:a16="http://schemas.microsoft.com/office/drawing/2014/main" id="{00000000-0008-0000-0400-0000066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129540</xdr:colOff>
      <xdr:row>81</xdr:row>
      <xdr:rowOff>60960</xdr:rowOff>
    </xdr:from>
    <xdr:to>
      <xdr:col>0</xdr:col>
      <xdr:colOff>478155</xdr:colOff>
      <xdr:row>87</xdr:row>
      <xdr:rowOff>19051</xdr:rowOff>
    </xdr:to>
    <xdr:sp macro="" textlink="">
      <xdr:nvSpPr>
        <xdr:cNvPr id="24584" name="Scroll Bar 8" hidden="1">
          <a:extLst>
            <a:ext uri="{63B3BB69-23CF-44E3-9099-C40C66FF867C}">
              <a14:compatExt xmlns:a14="http://schemas.microsoft.com/office/drawing/2010/main" spid="_x0000_s24584"/>
            </a:ext>
            <a:ext uri="{FF2B5EF4-FFF2-40B4-BE49-F238E27FC236}">
              <a16:creationId xmlns:a16="http://schemas.microsoft.com/office/drawing/2014/main" id="{00000000-0008-0000-0400-000008600000}"/>
            </a:ext>
          </a:extLst>
        </xdr:cNvPr>
        <xdr:cNvSpPr/>
      </xdr:nvSpPr>
      <xdr:spPr bwMode="auto">
        <a:xfrm>
          <a:off x="0" y="0"/>
          <a:ext cx="0" cy="0"/>
        </a:xfrm>
        <a:prstGeom prst="rect">
          <a:avLst/>
        </a:prstGeom>
        <a:noFill/>
        <a:ln w="9525">
          <a:miter lim="800000"/>
          <a:headEnd/>
          <a:tailEnd/>
        </a:ln>
      </xdr:spPr>
    </xdr:sp>
    <xdr:clientData/>
  </xdr:twoCellAnchor>
  <xdr:oneCellAnchor>
    <xdr:from>
      <xdr:col>0</xdr:col>
      <xdr:colOff>175260</xdr:colOff>
      <xdr:row>41</xdr:row>
      <xdr:rowOff>0</xdr:rowOff>
    </xdr:from>
    <xdr:ext cx="340995" cy="1049655"/>
    <xdr:sp macro="" textlink="">
      <xdr:nvSpPr>
        <xdr:cNvPr id="2" name="Scroll Bar 4" hidden="1">
          <a:extLst>
            <a:ext uri="{63B3BB69-23CF-44E3-9099-C40C66FF867C}">
              <a14:compatExt xmlns:a14="http://schemas.microsoft.com/office/drawing/2010/main" spid="_x0000_s24580"/>
            </a:ext>
            <a:ext uri="{FF2B5EF4-FFF2-40B4-BE49-F238E27FC236}">
              <a16:creationId xmlns:a16="http://schemas.microsoft.com/office/drawing/2014/main" id="{097BBE00-103E-4A68-8CD5-AA6D9221D028}"/>
            </a:ext>
          </a:extLst>
        </xdr:cNvPr>
        <xdr:cNvSpPr/>
      </xdr:nvSpPr>
      <xdr:spPr bwMode="auto">
        <a:xfrm>
          <a:off x="175260" y="10972800"/>
          <a:ext cx="340995" cy="1049655"/>
        </a:xfrm>
        <a:prstGeom prst="rect">
          <a:avLst/>
        </a:prstGeom>
        <a:noFill/>
        <a:ln w="9525">
          <a:miter lim="800000"/>
          <a:headEnd/>
          <a:tailEnd/>
        </a:ln>
      </xdr:spPr>
    </xdr:sp>
    <xdr:clientData/>
  </xdr:oneCellAnchor>
  <xdr:oneCellAnchor>
    <xdr:from>
      <xdr:col>0</xdr:col>
      <xdr:colOff>129540</xdr:colOff>
      <xdr:row>106</xdr:row>
      <xdr:rowOff>60960</xdr:rowOff>
    </xdr:from>
    <xdr:ext cx="348615" cy="1112296"/>
    <xdr:sp macro="" textlink="">
      <xdr:nvSpPr>
        <xdr:cNvPr id="3" name="Scroll Bar 8" hidden="1">
          <a:extLst>
            <a:ext uri="{63B3BB69-23CF-44E3-9099-C40C66FF867C}">
              <a14:compatExt xmlns:a14="http://schemas.microsoft.com/office/drawing/2010/main" spid="_x0000_s24584"/>
            </a:ext>
            <a:ext uri="{FF2B5EF4-FFF2-40B4-BE49-F238E27FC236}">
              <a16:creationId xmlns:a16="http://schemas.microsoft.com/office/drawing/2014/main" id="{013D3F70-E04E-468C-91CC-1B240E9FBD41}"/>
            </a:ext>
          </a:extLst>
        </xdr:cNvPr>
        <xdr:cNvSpPr/>
      </xdr:nvSpPr>
      <xdr:spPr bwMode="auto">
        <a:xfrm>
          <a:off x="129540" y="16891635"/>
          <a:ext cx="348615" cy="1112296"/>
        </a:xfrm>
        <a:prstGeom prst="rect">
          <a:avLst/>
        </a:prstGeom>
        <a:noFill/>
        <a:ln w="9525">
          <a:miter lim="800000"/>
          <a:headEnd/>
          <a:tailEnd/>
        </a:ln>
      </xdr:spPr>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167640</xdr:colOff>
      <xdr:row>83</xdr:row>
      <xdr:rowOff>76200</xdr:rowOff>
    </xdr:from>
    <xdr:to>
      <xdr:col>0</xdr:col>
      <xdr:colOff>533400</xdr:colOff>
      <xdr:row>89</xdr:row>
      <xdr:rowOff>20955</xdr:rowOff>
    </xdr:to>
    <xdr:sp macro="" textlink="">
      <xdr:nvSpPr>
        <xdr:cNvPr id="25602" name="Scroll Bar 2" hidden="1">
          <a:extLst>
            <a:ext uri="{63B3BB69-23CF-44E3-9099-C40C66FF867C}">
              <a14:compatExt xmlns:a14="http://schemas.microsoft.com/office/drawing/2010/main" spid="_x0000_s25602"/>
            </a:ext>
            <a:ext uri="{FF2B5EF4-FFF2-40B4-BE49-F238E27FC236}">
              <a16:creationId xmlns:a16="http://schemas.microsoft.com/office/drawing/2014/main" id="{00000000-0008-0000-0600-00000264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167640</xdr:colOff>
      <xdr:row>105</xdr:row>
      <xdr:rowOff>76200</xdr:rowOff>
    </xdr:from>
    <xdr:to>
      <xdr:col>0</xdr:col>
      <xdr:colOff>533400</xdr:colOff>
      <xdr:row>111</xdr:row>
      <xdr:rowOff>20955</xdr:rowOff>
    </xdr:to>
    <xdr:sp macro="" textlink="">
      <xdr:nvSpPr>
        <xdr:cNvPr id="25603" name="Scroll Bar 3" hidden="1">
          <a:extLst>
            <a:ext uri="{63B3BB69-23CF-44E3-9099-C40C66FF867C}">
              <a14:compatExt xmlns:a14="http://schemas.microsoft.com/office/drawing/2010/main" spid="_x0000_s25603"/>
            </a:ext>
            <a:ext uri="{FF2B5EF4-FFF2-40B4-BE49-F238E27FC236}">
              <a16:creationId xmlns:a16="http://schemas.microsoft.com/office/drawing/2014/main" id="{00000000-0008-0000-0600-00000364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167640</xdr:colOff>
      <xdr:row>141</xdr:row>
      <xdr:rowOff>76200</xdr:rowOff>
    </xdr:from>
    <xdr:to>
      <xdr:col>0</xdr:col>
      <xdr:colOff>533400</xdr:colOff>
      <xdr:row>147</xdr:row>
      <xdr:rowOff>28575</xdr:rowOff>
    </xdr:to>
    <xdr:sp macro="" textlink="">
      <xdr:nvSpPr>
        <xdr:cNvPr id="25606" name="Scroll Bar 6" hidden="1">
          <a:extLst>
            <a:ext uri="{63B3BB69-23CF-44E3-9099-C40C66FF867C}">
              <a14:compatExt xmlns:a14="http://schemas.microsoft.com/office/drawing/2010/main" spid="_x0000_s25606"/>
            </a:ext>
            <a:ext uri="{FF2B5EF4-FFF2-40B4-BE49-F238E27FC236}">
              <a16:creationId xmlns:a16="http://schemas.microsoft.com/office/drawing/2014/main" id="{00000000-0008-0000-0600-00000664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167640</xdr:colOff>
      <xdr:row>164</xdr:row>
      <xdr:rowOff>76200</xdr:rowOff>
    </xdr:from>
    <xdr:to>
      <xdr:col>0</xdr:col>
      <xdr:colOff>533400</xdr:colOff>
      <xdr:row>170</xdr:row>
      <xdr:rowOff>20956</xdr:rowOff>
    </xdr:to>
    <xdr:sp macro="" textlink="">
      <xdr:nvSpPr>
        <xdr:cNvPr id="25607" name="Scroll Bar 7" hidden="1">
          <a:extLst>
            <a:ext uri="{63B3BB69-23CF-44E3-9099-C40C66FF867C}">
              <a14:compatExt xmlns:a14="http://schemas.microsoft.com/office/drawing/2010/main" spid="_x0000_s25607"/>
            </a:ext>
            <a:ext uri="{FF2B5EF4-FFF2-40B4-BE49-F238E27FC236}">
              <a16:creationId xmlns:a16="http://schemas.microsoft.com/office/drawing/2014/main" id="{00000000-0008-0000-0600-00000764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167640</xdr:colOff>
      <xdr:row>191</xdr:row>
      <xdr:rowOff>76200</xdr:rowOff>
    </xdr:from>
    <xdr:to>
      <xdr:col>0</xdr:col>
      <xdr:colOff>533400</xdr:colOff>
      <xdr:row>197</xdr:row>
      <xdr:rowOff>20955</xdr:rowOff>
    </xdr:to>
    <xdr:sp macro="" textlink="">
      <xdr:nvSpPr>
        <xdr:cNvPr id="25608" name="Scroll Bar 8" hidden="1">
          <a:extLst>
            <a:ext uri="{63B3BB69-23CF-44E3-9099-C40C66FF867C}">
              <a14:compatExt xmlns:a14="http://schemas.microsoft.com/office/drawing/2010/main" spid="_x0000_s25608"/>
            </a:ext>
            <a:ext uri="{FF2B5EF4-FFF2-40B4-BE49-F238E27FC236}">
              <a16:creationId xmlns:a16="http://schemas.microsoft.com/office/drawing/2014/main" id="{00000000-0008-0000-0600-00000864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167640</xdr:colOff>
      <xdr:row>250</xdr:row>
      <xdr:rowOff>76200</xdr:rowOff>
    </xdr:from>
    <xdr:to>
      <xdr:col>0</xdr:col>
      <xdr:colOff>533400</xdr:colOff>
      <xdr:row>256</xdr:row>
      <xdr:rowOff>45719</xdr:rowOff>
    </xdr:to>
    <xdr:sp macro="" textlink="">
      <xdr:nvSpPr>
        <xdr:cNvPr id="25610" name="Scroll Bar 10" hidden="1">
          <a:extLst>
            <a:ext uri="{63B3BB69-23CF-44E3-9099-C40C66FF867C}">
              <a14:compatExt xmlns:a14="http://schemas.microsoft.com/office/drawing/2010/main" spid="_x0000_s25610"/>
            </a:ext>
            <a:ext uri="{FF2B5EF4-FFF2-40B4-BE49-F238E27FC236}">
              <a16:creationId xmlns:a16="http://schemas.microsoft.com/office/drawing/2014/main" id="{00000000-0008-0000-0600-00000A640000}"/>
            </a:ext>
          </a:extLst>
        </xdr:cNvPr>
        <xdr:cNvSpPr/>
      </xdr:nvSpPr>
      <xdr:spPr bwMode="auto">
        <a:xfrm>
          <a:off x="0" y="0"/>
          <a:ext cx="0" cy="0"/>
        </a:xfrm>
        <a:prstGeom prst="rect">
          <a:avLst/>
        </a:prstGeom>
        <a:noFill/>
        <a:ln w="9525">
          <a:miter lim="800000"/>
          <a:headEnd/>
          <a:tailEnd/>
        </a:ln>
      </xdr:spPr>
    </xdr:sp>
    <xdr:clientData/>
  </xdr:twoCellAnchor>
  <xdr:oneCellAnchor>
    <xdr:from>
      <xdr:col>0</xdr:col>
      <xdr:colOff>167640</xdr:colOff>
      <xdr:row>285</xdr:row>
      <xdr:rowOff>76200</xdr:rowOff>
    </xdr:from>
    <xdr:ext cx="365760" cy="1049655"/>
    <xdr:sp macro="" textlink="">
      <xdr:nvSpPr>
        <xdr:cNvPr id="2" name="Scroll Bar 2" hidden="1">
          <a:extLst>
            <a:ext uri="{63B3BB69-23CF-44E3-9099-C40C66FF867C}">
              <a14:compatExt xmlns:a14="http://schemas.microsoft.com/office/drawing/2010/main" spid="_x0000_s25602"/>
            </a:ext>
            <a:ext uri="{FF2B5EF4-FFF2-40B4-BE49-F238E27FC236}">
              <a16:creationId xmlns:a16="http://schemas.microsoft.com/office/drawing/2014/main" id="{14BE49A3-07C8-437C-813E-78D4975A255A}"/>
            </a:ext>
          </a:extLst>
        </xdr:cNvPr>
        <xdr:cNvSpPr/>
      </xdr:nvSpPr>
      <xdr:spPr bwMode="auto">
        <a:xfrm>
          <a:off x="167640" y="10904220"/>
          <a:ext cx="365760" cy="1049655"/>
        </a:xfrm>
        <a:prstGeom prst="rect">
          <a:avLst/>
        </a:prstGeom>
        <a:noFill/>
        <a:ln w="9525">
          <a:miter lim="800000"/>
          <a:headEnd/>
          <a:tailEnd/>
        </a:ln>
      </xdr:spPr>
    </xdr:sp>
    <xdr:clientData/>
  </xdr:oneCellAnchor>
  <xdr:oneCellAnchor>
    <xdr:from>
      <xdr:col>0</xdr:col>
      <xdr:colOff>167640</xdr:colOff>
      <xdr:row>290</xdr:row>
      <xdr:rowOff>76200</xdr:rowOff>
    </xdr:from>
    <xdr:ext cx="365760" cy="1049655"/>
    <xdr:sp macro="" textlink="">
      <xdr:nvSpPr>
        <xdr:cNvPr id="9" name="Scroll Bar 2" hidden="1">
          <a:extLst>
            <a:ext uri="{63B3BB69-23CF-44E3-9099-C40C66FF867C}">
              <a14:compatExt xmlns:a14="http://schemas.microsoft.com/office/drawing/2010/main" spid="_x0000_s25602"/>
            </a:ext>
            <a:ext uri="{FF2B5EF4-FFF2-40B4-BE49-F238E27FC236}">
              <a16:creationId xmlns:a16="http://schemas.microsoft.com/office/drawing/2014/main" id="{C5139985-5ACF-46D6-9EE6-CF786CB5366E}"/>
            </a:ext>
          </a:extLst>
        </xdr:cNvPr>
        <xdr:cNvSpPr/>
      </xdr:nvSpPr>
      <xdr:spPr bwMode="auto">
        <a:xfrm>
          <a:off x="167640" y="54530625"/>
          <a:ext cx="365760" cy="1049655"/>
        </a:xfrm>
        <a:prstGeom prst="rect">
          <a:avLst/>
        </a:prstGeom>
        <a:noFill/>
        <a:ln w="9525">
          <a:miter lim="800000"/>
          <a:headEnd/>
          <a:tailEnd/>
        </a:ln>
      </xdr:spPr>
    </xdr:sp>
    <xdr:clientData/>
  </xdr:oneCellAnchor>
  <xdr:oneCellAnchor>
    <xdr:from>
      <xdr:col>0</xdr:col>
      <xdr:colOff>167640</xdr:colOff>
      <xdr:row>292</xdr:row>
      <xdr:rowOff>76200</xdr:rowOff>
    </xdr:from>
    <xdr:ext cx="365760" cy="1049655"/>
    <xdr:sp macro="" textlink="">
      <xdr:nvSpPr>
        <xdr:cNvPr id="10" name="Scroll Bar 2" hidden="1">
          <a:extLst>
            <a:ext uri="{63B3BB69-23CF-44E3-9099-C40C66FF867C}">
              <a14:compatExt xmlns:a14="http://schemas.microsoft.com/office/drawing/2010/main" spid="_x0000_s25602"/>
            </a:ext>
            <a:ext uri="{FF2B5EF4-FFF2-40B4-BE49-F238E27FC236}">
              <a16:creationId xmlns:a16="http://schemas.microsoft.com/office/drawing/2014/main" id="{C1567B89-BF91-4B78-BDE4-2FFA4048E50D}"/>
            </a:ext>
          </a:extLst>
        </xdr:cNvPr>
        <xdr:cNvSpPr/>
      </xdr:nvSpPr>
      <xdr:spPr bwMode="auto">
        <a:xfrm>
          <a:off x="167640" y="54530625"/>
          <a:ext cx="365760" cy="1049655"/>
        </a:xfrm>
        <a:prstGeom prst="rect">
          <a:avLst/>
        </a:prstGeom>
        <a:noFill/>
        <a:ln w="9525">
          <a:miter lim="800000"/>
          <a:headEnd/>
          <a:tailEnd/>
        </a:ln>
      </xdr:spPr>
    </xdr:sp>
    <xdr:clientData/>
  </xdr:oneCellAnchor>
  <xdr:oneCellAnchor>
    <xdr:from>
      <xdr:col>0</xdr:col>
      <xdr:colOff>167640</xdr:colOff>
      <xdr:row>298</xdr:row>
      <xdr:rowOff>76200</xdr:rowOff>
    </xdr:from>
    <xdr:ext cx="365760" cy="1049655"/>
    <xdr:sp macro="" textlink="">
      <xdr:nvSpPr>
        <xdr:cNvPr id="11" name="Scroll Bar 2" hidden="1">
          <a:extLst>
            <a:ext uri="{63B3BB69-23CF-44E3-9099-C40C66FF867C}">
              <a14:compatExt xmlns:a14="http://schemas.microsoft.com/office/drawing/2010/main" spid="_x0000_s25602"/>
            </a:ext>
            <a:ext uri="{FF2B5EF4-FFF2-40B4-BE49-F238E27FC236}">
              <a16:creationId xmlns:a16="http://schemas.microsoft.com/office/drawing/2014/main" id="{A6DD6610-7EBF-403D-A2EA-D656DA955515}"/>
            </a:ext>
          </a:extLst>
        </xdr:cNvPr>
        <xdr:cNvSpPr/>
      </xdr:nvSpPr>
      <xdr:spPr bwMode="auto">
        <a:xfrm>
          <a:off x="167640" y="55492650"/>
          <a:ext cx="365760" cy="1049655"/>
        </a:xfrm>
        <a:prstGeom prst="rect">
          <a:avLst/>
        </a:prstGeom>
        <a:noFill/>
        <a:ln w="9525">
          <a:miter lim="800000"/>
          <a:headEnd/>
          <a:tailEnd/>
        </a:ln>
      </xdr:spPr>
    </xdr:sp>
    <xdr:clientData/>
  </xdr:oneCellAnchor>
  <xdr:oneCellAnchor>
    <xdr:from>
      <xdr:col>0</xdr:col>
      <xdr:colOff>167640</xdr:colOff>
      <xdr:row>305</xdr:row>
      <xdr:rowOff>76200</xdr:rowOff>
    </xdr:from>
    <xdr:ext cx="365760" cy="1049655"/>
    <xdr:sp macro="" textlink="">
      <xdr:nvSpPr>
        <xdr:cNvPr id="12" name="Scroll Bar 2" hidden="1">
          <a:extLst>
            <a:ext uri="{63B3BB69-23CF-44E3-9099-C40C66FF867C}">
              <a14:compatExt xmlns:a14="http://schemas.microsoft.com/office/drawing/2010/main" spid="_x0000_s25602"/>
            </a:ext>
            <a:ext uri="{FF2B5EF4-FFF2-40B4-BE49-F238E27FC236}">
              <a16:creationId xmlns:a16="http://schemas.microsoft.com/office/drawing/2014/main" id="{D24333D8-C790-42DC-AE35-D0F704801BD5}"/>
            </a:ext>
          </a:extLst>
        </xdr:cNvPr>
        <xdr:cNvSpPr/>
      </xdr:nvSpPr>
      <xdr:spPr bwMode="auto">
        <a:xfrm>
          <a:off x="167640" y="55492650"/>
          <a:ext cx="365760" cy="1049655"/>
        </a:xfrm>
        <a:prstGeom prst="rect">
          <a:avLst/>
        </a:prstGeom>
        <a:noFill/>
        <a:ln w="9525">
          <a:miter lim="800000"/>
          <a:headEnd/>
          <a:tailEnd/>
        </a:ln>
      </xdr:spPr>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167640</xdr:colOff>
      <xdr:row>44</xdr:row>
      <xdr:rowOff>76200</xdr:rowOff>
    </xdr:from>
    <xdr:to>
      <xdr:col>0</xdr:col>
      <xdr:colOff>516255</xdr:colOff>
      <xdr:row>50</xdr:row>
      <xdr:rowOff>20955</xdr:rowOff>
    </xdr:to>
    <xdr:sp macro="" textlink="">
      <xdr:nvSpPr>
        <xdr:cNvPr id="26629" name="Scroll Bar 5" hidden="1">
          <a:extLst>
            <a:ext uri="{63B3BB69-23CF-44E3-9099-C40C66FF867C}">
              <a14:compatExt xmlns:a14="http://schemas.microsoft.com/office/drawing/2010/main" spid="_x0000_s26629"/>
            </a:ext>
            <a:ext uri="{FF2B5EF4-FFF2-40B4-BE49-F238E27FC236}">
              <a16:creationId xmlns:a16="http://schemas.microsoft.com/office/drawing/2014/main" id="{00000000-0008-0000-0500-00000568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167640</xdr:colOff>
      <xdr:row>161</xdr:row>
      <xdr:rowOff>0</xdr:rowOff>
    </xdr:from>
    <xdr:to>
      <xdr:col>0</xdr:col>
      <xdr:colOff>516255</xdr:colOff>
      <xdr:row>166</xdr:row>
      <xdr:rowOff>135254</xdr:rowOff>
    </xdr:to>
    <xdr:sp macro="" textlink="">
      <xdr:nvSpPr>
        <xdr:cNvPr id="26632" name="Scroll Bar 8" hidden="1">
          <a:extLst>
            <a:ext uri="{63B3BB69-23CF-44E3-9099-C40C66FF867C}">
              <a14:compatExt xmlns:a14="http://schemas.microsoft.com/office/drawing/2010/main" spid="_x0000_s26632"/>
            </a:ext>
            <a:ext uri="{FF2B5EF4-FFF2-40B4-BE49-F238E27FC236}">
              <a16:creationId xmlns:a16="http://schemas.microsoft.com/office/drawing/2014/main" id="{00000000-0008-0000-0500-00000868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167640</xdr:colOff>
      <xdr:row>161</xdr:row>
      <xdr:rowOff>0</xdr:rowOff>
    </xdr:from>
    <xdr:to>
      <xdr:col>0</xdr:col>
      <xdr:colOff>516255</xdr:colOff>
      <xdr:row>166</xdr:row>
      <xdr:rowOff>142874</xdr:rowOff>
    </xdr:to>
    <xdr:sp macro="" textlink="">
      <xdr:nvSpPr>
        <xdr:cNvPr id="26634" name="Scroll Bar 10" hidden="1">
          <a:extLst>
            <a:ext uri="{63B3BB69-23CF-44E3-9099-C40C66FF867C}">
              <a14:compatExt xmlns:a14="http://schemas.microsoft.com/office/drawing/2010/main" spid="_x0000_s26634"/>
            </a:ext>
            <a:ext uri="{FF2B5EF4-FFF2-40B4-BE49-F238E27FC236}">
              <a16:creationId xmlns:a16="http://schemas.microsoft.com/office/drawing/2014/main" id="{00000000-0008-0000-0500-00000A68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167640</xdr:colOff>
      <xdr:row>163</xdr:row>
      <xdr:rowOff>76200</xdr:rowOff>
    </xdr:from>
    <xdr:to>
      <xdr:col>0</xdr:col>
      <xdr:colOff>516255</xdr:colOff>
      <xdr:row>169</xdr:row>
      <xdr:rowOff>20955</xdr:rowOff>
    </xdr:to>
    <xdr:sp macro="" textlink="">
      <xdr:nvSpPr>
        <xdr:cNvPr id="26637" name="Scroll Bar 13" hidden="1">
          <a:extLst>
            <a:ext uri="{63B3BB69-23CF-44E3-9099-C40C66FF867C}">
              <a14:compatExt xmlns:a14="http://schemas.microsoft.com/office/drawing/2010/main" spid="_x0000_s26637"/>
            </a:ext>
            <a:ext uri="{FF2B5EF4-FFF2-40B4-BE49-F238E27FC236}">
              <a16:creationId xmlns:a16="http://schemas.microsoft.com/office/drawing/2014/main" id="{00000000-0008-0000-0500-00000D68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167640</xdr:colOff>
      <xdr:row>179</xdr:row>
      <xdr:rowOff>76200</xdr:rowOff>
    </xdr:from>
    <xdr:to>
      <xdr:col>0</xdr:col>
      <xdr:colOff>516255</xdr:colOff>
      <xdr:row>185</xdr:row>
      <xdr:rowOff>20957</xdr:rowOff>
    </xdr:to>
    <xdr:sp macro="" textlink="">
      <xdr:nvSpPr>
        <xdr:cNvPr id="26638" name="Scroll Bar 14" hidden="1">
          <a:extLst>
            <a:ext uri="{63B3BB69-23CF-44E3-9099-C40C66FF867C}">
              <a14:compatExt xmlns:a14="http://schemas.microsoft.com/office/drawing/2010/main" spid="_x0000_s26638"/>
            </a:ext>
            <a:ext uri="{FF2B5EF4-FFF2-40B4-BE49-F238E27FC236}">
              <a16:creationId xmlns:a16="http://schemas.microsoft.com/office/drawing/2014/main" id="{00000000-0008-0000-0500-00000E680000}"/>
            </a:ext>
          </a:extLst>
        </xdr:cNvPr>
        <xdr:cNvSpPr/>
      </xdr:nvSpPr>
      <xdr:spPr bwMode="auto">
        <a:xfrm>
          <a:off x="0" y="0"/>
          <a:ext cx="0" cy="0"/>
        </a:xfrm>
        <a:prstGeom prst="rect">
          <a:avLst/>
        </a:prstGeom>
        <a:noFill/>
        <a:ln w="9525">
          <a:miter lim="800000"/>
          <a:headEnd/>
          <a:tailEnd/>
        </a:ln>
      </xdr:spPr>
    </xdr:sp>
    <xdr:clientData/>
  </xdr:twoCellAnchor>
  <xdr:oneCellAnchor>
    <xdr:from>
      <xdr:col>0</xdr:col>
      <xdr:colOff>167640</xdr:colOff>
      <xdr:row>191</xdr:row>
      <xdr:rowOff>0</xdr:rowOff>
    </xdr:from>
    <xdr:ext cx="348615" cy="1049655"/>
    <xdr:sp macro="" textlink="">
      <xdr:nvSpPr>
        <xdr:cNvPr id="2" name="Scroll Bar 14" hidden="1">
          <a:extLst>
            <a:ext uri="{63B3BB69-23CF-44E3-9099-C40C66FF867C}">
              <a14:compatExt xmlns:a14="http://schemas.microsoft.com/office/drawing/2010/main" spid="_x0000_s26638"/>
            </a:ext>
            <a:ext uri="{FF2B5EF4-FFF2-40B4-BE49-F238E27FC236}">
              <a16:creationId xmlns:a16="http://schemas.microsoft.com/office/drawing/2014/main" id="{832D2245-B7E9-40BF-B7A6-4BDF97E6D4D6}"/>
            </a:ext>
          </a:extLst>
        </xdr:cNvPr>
        <xdr:cNvSpPr/>
      </xdr:nvSpPr>
      <xdr:spPr bwMode="auto">
        <a:xfrm>
          <a:off x="167640" y="32468820"/>
          <a:ext cx="348615" cy="1049655"/>
        </a:xfrm>
        <a:prstGeom prst="rect">
          <a:avLst/>
        </a:prstGeom>
        <a:noFill/>
        <a:ln w="9525">
          <a:miter lim="800000"/>
          <a:headEnd/>
          <a:tailEnd/>
        </a:ln>
      </xdr:spPr>
    </xdr:sp>
    <xdr:clientData/>
  </xdr:oneCellAnchor>
  <xdr:oneCellAnchor>
    <xdr:from>
      <xdr:col>0</xdr:col>
      <xdr:colOff>167640</xdr:colOff>
      <xdr:row>191</xdr:row>
      <xdr:rowOff>0</xdr:rowOff>
    </xdr:from>
    <xdr:ext cx="348615" cy="1049655"/>
    <xdr:sp macro="" textlink="">
      <xdr:nvSpPr>
        <xdr:cNvPr id="8" name="Scroll Bar 14" hidden="1">
          <a:extLst>
            <a:ext uri="{63B3BB69-23CF-44E3-9099-C40C66FF867C}">
              <a14:compatExt xmlns:a14="http://schemas.microsoft.com/office/drawing/2010/main" spid="_x0000_s26638"/>
            </a:ext>
            <a:ext uri="{FF2B5EF4-FFF2-40B4-BE49-F238E27FC236}">
              <a16:creationId xmlns:a16="http://schemas.microsoft.com/office/drawing/2014/main" id="{68B7A603-B214-44FA-8732-C13BC66BACB9}"/>
            </a:ext>
          </a:extLst>
        </xdr:cNvPr>
        <xdr:cNvSpPr/>
      </xdr:nvSpPr>
      <xdr:spPr bwMode="auto">
        <a:xfrm>
          <a:off x="167640" y="36804600"/>
          <a:ext cx="348615" cy="1049655"/>
        </a:xfrm>
        <a:prstGeom prst="rect">
          <a:avLst/>
        </a:prstGeom>
        <a:noFill/>
        <a:ln w="9525">
          <a:miter lim="800000"/>
          <a:headEnd/>
          <a:tailEnd/>
        </a:ln>
      </xdr:spPr>
    </xdr:sp>
    <xdr:clientData/>
  </xdr:oneCellAnchor>
  <xdr:twoCellAnchor editAs="oneCell">
    <xdr:from>
      <xdr:col>0</xdr:col>
      <xdr:colOff>167640</xdr:colOff>
      <xdr:row>62</xdr:row>
      <xdr:rowOff>76200</xdr:rowOff>
    </xdr:from>
    <xdr:to>
      <xdr:col>0</xdr:col>
      <xdr:colOff>516255</xdr:colOff>
      <xdr:row>68</xdr:row>
      <xdr:rowOff>28798</xdr:rowOff>
    </xdr:to>
    <xdr:sp macro="" textlink="">
      <xdr:nvSpPr>
        <xdr:cNvPr id="9" name="Scroll Bar 8" hidden="1">
          <a:extLst>
            <a:ext uri="{63B3BB69-23CF-44E3-9099-C40C66FF867C}">
              <a14:compatExt xmlns:a14="http://schemas.microsoft.com/office/drawing/2010/main" spid="_x0000_s26632"/>
            </a:ext>
            <a:ext uri="{FF2B5EF4-FFF2-40B4-BE49-F238E27FC236}">
              <a16:creationId xmlns:a16="http://schemas.microsoft.com/office/drawing/2014/main" id="{4909D009-C1EA-420F-B39E-1651241F44F7}"/>
            </a:ext>
          </a:extLst>
        </xdr:cNvPr>
        <xdr:cNvSpPr/>
      </xdr:nvSpPr>
      <xdr:spPr bwMode="auto">
        <a:xfrm>
          <a:off x="167640" y="11753850"/>
          <a:ext cx="348615" cy="1095598"/>
        </a:xfrm>
        <a:prstGeom prst="rect">
          <a:avLst/>
        </a:prstGeom>
        <a:noFill/>
        <a:ln w="9525">
          <a:miter lim="800000"/>
          <a:headEnd/>
          <a:tailEnd/>
        </a:ln>
      </xdr:spPr>
    </xdr:sp>
    <xdr:clientData/>
  </xdr:twoCellAnchor>
  <xdr:twoCellAnchor editAs="oneCell">
    <xdr:from>
      <xdr:col>0</xdr:col>
      <xdr:colOff>167640</xdr:colOff>
      <xdr:row>116</xdr:row>
      <xdr:rowOff>76200</xdr:rowOff>
    </xdr:from>
    <xdr:to>
      <xdr:col>0</xdr:col>
      <xdr:colOff>516255</xdr:colOff>
      <xdr:row>122</xdr:row>
      <xdr:rowOff>28573</xdr:rowOff>
    </xdr:to>
    <xdr:sp macro="" textlink="">
      <xdr:nvSpPr>
        <xdr:cNvPr id="10" name="Scroll Bar 10" hidden="1">
          <a:extLst>
            <a:ext uri="{63B3BB69-23CF-44E3-9099-C40C66FF867C}">
              <a14:compatExt xmlns:a14="http://schemas.microsoft.com/office/drawing/2010/main" spid="_x0000_s26634"/>
            </a:ext>
            <a:ext uri="{FF2B5EF4-FFF2-40B4-BE49-F238E27FC236}">
              <a16:creationId xmlns:a16="http://schemas.microsoft.com/office/drawing/2014/main" id="{55993690-2CFC-4D7F-98FC-A5FC8D2488F4}"/>
            </a:ext>
          </a:extLst>
        </xdr:cNvPr>
        <xdr:cNvSpPr/>
      </xdr:nvSpPr>
      <xdr:spPr bwMode="auto">
        <a:xfrm>
          <a:off x="167640" y="22850475"/>
          <a:ext cx="348615" cy="1104900"/>
        </a:xfrm>
        <a:prstGeom prst="rect">
          <a:avLst/>
        </a:prstGeom>
        <a:noFill/>
        <a:ln w="9525">
          <a:miter lim="800000"/>
          <a:headEnd/>
          <a:tailEnd/>
        </a:ln>
      </xdr:spPr>
    </xdr:sp>
    <xdr:clientData/>
  </xdr:twoCellAnchor>
  <xdr:oneCellAnchor>
    <xdr:from>
      <xdr:col>0</xdr:col>
      <xdr:colOff>167640</xdr:colOff>
      <xdr:row>193</xdr:row>
      <xdr:rowOff>76200</xdr:rowOff>
    </xdr:from>
    <xdr:ext cx="348615" cy="1049655"/>
    <xdr:sp macro="" textlink="">
      <xdr:nvSpPr>
        <xdr:cNvPr id="3" name="Scroll Bar 14" hidden="1">
          <a:extLst>
            <a:ext uri="{63B3BB69-23CF-44E3-9099-C40C66FF867C}">
              <a14:compatExt xmlns:a14="http://schemas.microsoft.com/office/drawing/2010/main" spid="_x0000_s26638"/>
            </a:ext>
            <a:ext uri="{FF2B5EF4-FFF2-40B4-BE49-F238E27FC236}">
              <a16:creationId xmlns:a16="http://schemas.microsoft.com/office/drawing/2014/main" id="{79739156-A360-4F77-AD56-048F7618AA67}"/>
            </a:ext>
          </a:extLst>
        </xdr:cNvPr>
        <xdr:cNvSpPr/>
      </xdr:nvSpPr>
      <xdr:spPr bwMode="auto">
        <a:xfrm>
          <a:off x="167640" y="38623875"/>
          <a:ext cx="348615" cy="1049655"/>
        </a:xfrm>
        <a:prstGeom prst="rect">
          <a:avLst/>
        </a:prstGeom>
        <a:noFill/>
        <a:ln w="9525">
          <a:miter lim="800000"/>
          <a:headEnd/>
          <a:tailEnd/>
        </a:ln>
      </xdr:spPr>
    </xdr:sp>
    <xdr:clientData/>
  </xdr:oneCellAnchor>
  <xdr:oneCellAnchor>
    <xdr:from>
      <xdr:col>0</xdr:col>
      <xdr:colOff>167640</xdr:colOff>
      <xdr:row>198</xdr:row>
      <xdr:rowOff>0</xdr:rowOff>
    </xdr:from>
    <xdr:ext cx="348615" cy="1049655"/>
    <xdr:sp macro="" textlink="">
      <xdr:nvSpPr>
        <xdr:cNvPr id="4" name="Scroll Bar 14" hidden="1">
          <a:extLst>
            <a:ext uri="{63B3BB69-23CF-44E3-9099-C40C66FF867C}">
              <a14:compatExt xmlns:a14="http://schemas.microsoft.com/office/drawing/2010/main" spid="_x0000_s26638"/>
            </a:ext>
            <a:ext uri="{FF2B5EF4-FFF2-40B4-BE49-F238E27FC236}">
              <a16:creationId xmlns:a16="http://schemas.microsoft.com/office/drawing/2014/main" id="{F8D980F8-BC9C-44AB-A886-FDF2EAB99C19}"/>
            </a:ext>
          </a:extLst>
        </xdr:cNvPr>
        <xdr:cNvSpPr/>
      </xdr:nvSpPr>
      <xdr:spPr bwMode="auto">
        <a:xfrm>
          <a:off x="167640" y="42948225"/>
          <a:ext cx="348615" cy="1049655"/>
        </a:xfrm>
        <a:prstGeom prst="rect">
          <a:avLst/>
        </a:prstGeom>
        <a:noFill/>
        <a:ln w="9525">
          <a:miter lim="800000"/>
          <a:headEnd/>
          <a:tailEnd/>
        </a:ln>
      </xdr:spPr>
    </xdr:sp>
    <xdr:clientData/>
  </xdr:oneCellAnchor>
  <xdr:oneCellAnchor>
    <xdr:from>
      <xdr:col>0</xdr:col>
      <xdr:colOff>167640</xdr:colOff>
      <xdr:row>198</xdr:row>
      <xdr:rowOff>0</xdr:rowOff>
    </xdr:from>
    <xdr:ext cx="348615" cy="1049655"/>
    <xdr:sp macro="" textlink="">
      <xdr:nvSpPr>
        <xdr:cNvPr id="5" name="Scroll Bar 14" hidden="1">
          <a:extLst>
            <a:ext uri="{63B3BB69-23CF-44E3-9099-C40C66FF867C}">
              <a14:compatExt xmlns:a14="http://schemas.microsoft.com/office/drawing/2010/main" spid="_x0000_s26638"/>
            </a:ext>
            <a:ext uri="{FF2B5EF4-FFF2-40B4-BE49-F238E27FC236}">
              <a16:creationId xmlns:a16="http://schemas.microsoft.com/office/drawing/2014/main" id="{37B9BA80-EC20-472A-9999-F7F6DCBF698D}"/>
            </a:ext>
          </a:extLst>
        </xdr:cNvPr>
        <xdr:cNvSpPr/>
      </xdr:nvSpPr>
      <xdr:spPr bwMode="auto">
        <a:xfrm>
          <a:off x="167640" y="42948225"/>
          <a:ext cx="348615" cy="1049655"/>
        </a:xfrm>
        <a:prstGeom prst="rect">
          <a:avLst/>
        </a:prstGeom>
        <a:noFill/>
        <a:ln w="9525">
          <a:miter lim="800000"/>
          <a:headEnd/>
          <a:tailEnd/>
        </a:ln>
      </xdr:spPr>
    </xdr:sp>
    <xdr:clientData/>
  </xdr:oneCellAnchor>
  <xdr:oneCellAnchor>
    <xdr:from>
      <xdr:col>0</xdr:col>
      <xdr:colOff>167640</xdr:colOff>
      <xdr:row>199</xdr:row>
      <xdr:rowOff>0</xdr:rowOff>
    </xdr:from>
    <xdr:ext cx="348615" cy="1049655"/>
    <xdr:sp macro="" textlink="">
      <xdr:nvSpPr>
        <xdr:cNvPr id="6" name="Scroll Bar 14" hidden="1">
          <a:extLst>
            <a:ext uri="{63B3BB69-23CF-44E3-9099-C40C66FF867C}">
              <a14:compatExt xmlns:a14="http://schemas.microsoft.com/office/drawing/2010/main" spid="_x0000_s26638"/>
            </a:ext>
            <a:ext uri="{FF2B5EF4-FFF2-40B4-BE49-F238E27FC236}">
              <a16:creationId xmlns:a16="http://schemas.microsoft.com/office/drawing/2014/main" id="{636FF7DE-1F80-440F-9E29-4215F066DE89}"/>
            </a:ext>
          </a:extLst>
        </xdr:cNvPr>
        <xdr:cNvSpPr/>
      </xdr:nvSpPr>
      <xdr:spPr bwMode="auto">
        <a:xfrm>
          <a:off x="167640" y="43414950"/>
          <a:ext cx="348615" cy="1049655"/>
        </a:xfrm>
        <a:prstGeom prst="rect">
          <a:avLst/>
        </a:prstGeom>
        <a:noFill/>
        <a:ln w="9525">
          <a:miter lim="800000"/>
          <a:headEnd/>
          <a:tailEnd/>
        </a:ln>
      </xdr:spPr>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167640</xdr:colOff>
      <xdr:row>76</xdr:row>
      <xdr:rowOff>76200</xdr:rowOff>
    </xdr:from>
    <xdr:to>
      <xdr:col>0</xdr:col>
      <xdr:colOff>472440</xdr:colOff>
      <xdr:row>82</xdr:row>
      <xdr:rowOff>167640</xdr:rowOff>
    </xdr:to>
    <xdr:sp macro="" textlink="">
      <xdr:nvSpPr>
        <xdr:cNvPr id="22534" name="Scroll Bar 6" hidden="1">
          <a:extLst>
            <a:ext uri="{63B3BB69-23CF-44E3-9099-C40C66FF867C}">
              <a14:compatExt xmlns:a14="http://schemas.microsoft.com/office/drawing/2010/main" spid="_x0000_s22534"/>
            </a:ext>
            <a:ext uri="{FF2B5EF4-FFF2-40B4-BE49-F238E27FC236}">
              <a16:creationId xmlns:a16="http://schemas.microsoft.com/office/drawing/2014/main" id="{00000000-0008-0000-0700-000006580000}"/>
            </a:ext>
          </a:extLst>
        </xdr:cNvPr>
        <xdr:cNvSpPr/>
      </xdr:nvSpPr>
      <xdr:spPr bwMode="auto">
        <a:xfrm>
          <a:off x="167640" y="16040100"/>
          <a:ext cx="304800" cy="1196340"/>
        </a:xfrm>
        <a:prstGeom prst="rect">
          <a:avLst/>
        </a:prstGeom>
        <a:noFill/>
        <a:ln w="9525">
          <a:miter lim="800000"/>
          <a:headEnd/>
          <a:tailEnd/>
        </a:ln>
      </xdr:spPr>
    </xdr:sp>
    <xdr:clientData/>
  </xdr:twoCellAnchor>
  <xdr:twoCellAnchor editAs="oneCell">
    <xdr:from>
      <xdr:col>0</xdr:col>
      <xdr:colOff>167640</xdr:colOff>
      <xdr:row>55</xdr:row>
      <xdr:rowOff>76200</xdr:rowOff>
    </xdr:from>
    <xdr:to>
      <xdr:col>0</xdr:col>
      <xdr:colOff>476250</xdr:colOff>
      <xdr:row>61</xdr:row>
      <xdr:rowOff>171450</xdr:rowOff>
    </xdr:to>
    <xdr:sp macro="" textlink="">
      <xdr:nvSpPr>
        <xdr:cNvPr id="22536" name="Scroll Bar 8" hidden="1">
          <a:extLst>
            <a:ext uri="{63B3BB69-23CF-44E3-9099-C40C66FF867C}">
              <a14:compatExt xmlns:a14="http://schemas.microsoft.com/office/drawing/2010/main" spid="_x0000_s22536"/>
            </a:ext>
            <a:ext uri="{FF2B5EF4-FFF2-40B4-BE49-F238E27FC236}">
              <a16:creationId xmlns:a16="http://schemas.microsoft.com/office/drawing/2014/main" id="{00000000-0008-0000-0700-000008580000}"/>
            </a:ext>
          </a:extLst>
        </xdr:cNvPr>
        <xdr:cNvSpPr/>
      </xdr:nvSpPr>
      <xdr:spPr bwMode="auto">
        <a:xfrm>
          <a:off x="167640" y="11993880"/>
          <a:ext cx="308610" cy="1200150"/>
        </a:xfrm>
        <a:prstGeom prst="rect">
          <a:avLst/>
        </a:prstGeom>
        <a:noFill/>
        <a:ln w="9525">
          <a:miter lim="800000"/>
          <a:headEnd/>
          <a:tailEnd/>
        </a:ln>
      </xdr:spPr>
    </xdr:sp>
    <xdr:clientData/>
  </xdr:twoCellAnchor>
  <xdr:twoCellAnchor editAs="oneCell">
    <xdr:from>
      <xdr:col>0</xdr:col>
      <xdr:colOff>152400</xdr:colOff>
      <xdr:row>42</xdr:row>
      <xdr:rowOff>0</xdr:rowOff>
    </xdr:from>
    <xdr:to>
      <xdr:col>0</xdr:col>
      <xdr:colOff>476250</xdr:colOff>
      <xdr:row>47</xdr:row>
      <xdr:rowOff>126206</xdr:rowOff>
    </xdr:to>
    <xdr:sp macro="" textlink="">
      <xdr:nvSpPr>
        <xdr:cNvPr id="22537" name="Scroll Bar 9" hidden="1">
          <a:extLst>
            <a:ext uri="{63B3BB69-23CF-44E3-9099-C40C66FF867C}">
              <a14:compatExt xmlns:a14="http://schemas.microsoft.com/office/drawing/2010/main" spid="_x0000_s22537"/>
            </a:ext>
            <a:ext uri="{FF2B5EF4-FFF2-40B4-BE49-F238E27FC236}">
              <a16:creationId xmlns:a16="http://schemas.microsoft.com/office/drawing/2014/main" id="{00000000-0008-0000-0700-000009580000}"/>
            </a:ext>
          </a:extLst>
        </xdr:cNvPr>
        <xdr:cNvSpPr/>
      </xdr:nvSpPr>
      <xdr:spPr bwMode="auto">
        <a:xfrm>
          <a:off x="152400" y="8503920"/>
          <a:ext cx="323850" cy="1028700"/>
        </a:xfrm>
        <a:prstGeom prst="rect">
          <a:avLst/>
        </a:prstGeom>
        <a:noFill/>
        <a:ln w="9525">
          <a:miter lim="800000"/>
          <a:headEnd/>
          <a:tailEnd/>
        </a:ln>
      </xdr:spPr>
    </xdr:sp>
    <xdr:clientData/>
  </xdr:twoCellAnchor>
  <xdr:twoCellAnchor editAs="oneCell">
    <xdr:from>
      <xdr:col>0</xdr:col>
      <xdr:colOff>167640</xdr:colOff>
      <xdr:row>32</xdr:row>
      <xdr:rowOff>76200</xdr:rowOff>
    </xdr:from>
    <xdr:to>
      <xdr:col>0</xdr:col>
      <xdr:colOff>512445</xdr:colOff>
      <xdr:row>38</xdr:row>
      <xdr:rowOff>17144</xdr:rowOff>
    </xdr:to>
    <xdr:sp macro="" textlink="">
      <xdr:nvSpPr>
        <xdr:cNvPr id="22538" name="Scroll Bar 10" hidden="1">
          <a:extLst>
            <a:ext uri="{63B3BB69-23CF-44E3-9099-C40C66FF867C}">
              <a14:compatExt xmlns:a14="http://schemas.microsoft.com/office/drawing/2010/main" spid="_x0000_s22538"/>
            </a:ext>
            <a:ext uri="{FF2B5EF4-FFF2-40B4-BE49-F238E27FC236}">
              <a16:creationId xmlns:a16="http://schemas.microsoft.com/office/drawing/2014/main" id="{00000000-0008-0000-0700-00000A580000}"/>
            </a:ext>
          </a:extLst>
        </xdr:cNvPr>
        <xdr:cNvSpPr/>
      </xdr:nvSpPr>
      <xdr:spPr bwMode="auto">
        <a:xfrm>
          <a:off x="167640" y="6324600"/>
          <a:ext cx="344805" cy="1045845"/>
        </a:xfrm>
        <a:prstGeom prst="rect">
          <a:avLst/>
        </a:prstGeom>
        <a:noFill/>
        <a:ln w="9525">
          <a:miter lim="800000"/>
          <a:headEnd/>
          <a:tailEnd/>
        </a:ln>
      </xdr:spPr>
    </xdr:sp>
    <xdr:clientData/>
  </xdr:twoCellAnchor>
  <xdr:twoCellAnchor editAs="oneCell">
    <xdr:from>
      <xdr:col>0</xdr:col>
      <xdr:colOff>167640</xdr:colOff>
      <xdr:row>8</xdr:row>
      <xdr:rowOff>76200</xdr:rowOff>
    </xdr:from>
    <xdr:to>
      <xdr:col>0</xdr:col>
      <xdr:colOff>512445</xdr:colOff>
      <xdr:row>14</xdr:row>
      <xdr:rowOff>28576</xdr:rowOff>
    </xdr:to>
    <xdr:sp macro="" textlink="">
      <xdr:nvSpPr>
        <xdr:cNvPr id="22541" name="Scroll Bar 13" hidden="1">
          <a:extLst>
            <a:ext uri="{63B3BB69-23CF-44E3-9099-C40C66FF867C}">
              <a14:compatExt xmlns:a14="http://schemas.microsoft.com/office/drawing/2010/main" spid="_x0000_s22541"/>
            </a:ext>
            <a:ext uri="{FF2B5EF4-FFF2-40B4-BE49-F238E27FC236}">
              <a16:creationId xmlns:a16="http://schemas.microsoft.com/office/drawing/2014/main" id="{00000000-0008-0000-0700-00000D580000}"/>
            </a:ext>
          </a:extLst>
        </xdr:cNvPr>
        <xdr:cNvSpPr/>
      </xdr:nvSpPr>
      <xdr:spPr bwMode="auto">
        <a:xfrm>
          <a:off x="167640" y="441960"/>
          <a:ext cx="344805" cy="1059180"/>
        </a:xfrm>
        <a:prstGeom prst="rect">
          <a:avLst/>
        </a:prstGeom>
        <a:noFill/>
        <a:ln w="9525">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20Dunedin%20model/230726_DunedinCity_NetZero_Sub-National%20Carbon%20Model%20v2.17d_AECOMReview_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Patch Notes"/>
      <sheetName val="Results"/>
      <sheetName val="1. Landuse"/>
      <sheetName val="2. Industry"/>
      <sheetName val="3. Transport"/>
      <sheetName val="4. Buildings"/>
      <sheetName val="5. Energy"/>
      <sheetName val="Baseline Statistics"/>
      <sheetName val="Baseline Usage"/>
      <sheetName val="Landuse a. Agriculture"/>
      <sheetName val="Landuse b. Housing Growth"/>
      <sheetName val="Energy a. Electricity Supply"/>
      <sheetName val="Emissions Factors"/>
      <sheetName val="Workspace"/>
      <sheetName val="Workspace 2"/>
    </sheetNames>
    <sheetDataSet>
      <sheetData sheetId="0"/>
      <sheetData sheetId="1"/>
      <sheetData sheetId="2"/>
      <sheetData sheetId="3"/>
      <sheetData sheetId="4"/>
      <sheetData sheetId="5"/>
      <sheetData sheetId="6"/>
      <sheetData sheetId="7">
        <row r="4">
          <cell r="J4" t="str">
            <v>All electricity generation renewable by 2030. Significant infrastructure changes and technological advancement required.</v>
          </cell>
        </row>
        <row r="31">
          <cell r="J31" t="str">
            <v>Solar cost falls to a point where solar rooftop is highly cost-effective for most households (20% households by 2030, 50% by 2050)</v>
          </cell>
        </row>
        <row r="61">
          <cell r="J61" t="str">
            <v>10% of available roof area has PV</v>
          </cell>
        </row>
        <row r="83">
          <cell r="J83" t="str">
            <v>Status quo - no change in usage</v>
          </cell>
        </row>
      </sheetData>
      <sheetData sheetId="8"/>
      <sheetData sheetId="9"/>
      <sheetData sheetId="10"/>
      <sheetData sheetId="11"/>
      <sheetData sheetId="12"/>
      <sheetData sheetId="13"/>
      <sheetData sheetId="14"/>
      <sheetData sheetId="15"/>
    </sheetDataSet>
  </externalBook>
</externalLink>
</file>

<file path=xl/persons/person.xml><?xml version="1.0" encoding="utf-8"?>
<personList xmlns="http://schemas.microsoft.com/office/spreadsheetml/2018/threadedcomments" xmlns:x="http://schemas.openxmlformats.org/spreadsheetml/2006/main">
  <person displayName="Adam Jarvis" id="{4012F7CC-A824-4518-B2F7-968E76FEA6E9}" userId="Adam Jarvis" providerId="None"/>
  <person displayName="Adam Jarvis" id="{03039F72-E038-422C-8A66-CDB6B718EF2B}" userId="S::adam.jarvis@pncc.govt.nz::a3a41157-aaa4-452b-ae99-d75b144d9b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2" dT="2019-12-18T19:22:02.11" personId="{03039F72-E038-422C-8A66-CDB6B718EF2B}" id="{C5F48987-A786-496A-B205-0AA0744FFB32}">
    <text>Alpha</text>
  </threadedComment>
</ThreadedComments>
</file>

<file path=xl/threadedComments/threadedComment2.xml><?xml version="1.0" encoding="utf-8"?>
<ThreadedComments xmlns="http://schemas.microsoft.com/office/spreadsheetml/2018/threadedcomments" xmlns:x="http://schemas.openxmlformats.org/spreadsheetml/2006/main">
  <threadedComment ref="I72" dT="2019-12-17T03:38:45.61" personId="{03039F72-E038-422C-8A66-CDB6B718EF2B}" id="{176BFC9D-77B2-4E96-AC3E-C5A72762BE2B}">
    <text>Assumed that any excess is exported outside city and that the freight emissions are (more than) offset by heating emission reductions. In any case, these are out of scope once exported.</text>
  </threadedComment>
</ThreadedComments>
</file>

<file path=xl/threadedComments/threadedComment3.xml><?xml version="1.0" encoding="utf-8"?>
<ThreadedComments xmlns="http://schemas.microsoft.com/office/spreadsheetml/2018/threadedcomments" xmlns:x="http://schemas.openxmlformats.org/spreadsheetml/2006/main">
  <threadedComment ref="B47" dT="2019-12-18T19:22:02.11" personId="{03039F72-E038-422C-8A66-CDB6B718EF2B}" id="{9352A151-7FD2-47DC-A693-47858FA0B1A0}">
    <text>Alpha</text>
  </threadedComment>
  <threadedComment ref="I64" dT="2019-12-16T19:50:12.92" personId="{03039F72-E038-422C-8A66-CDB6B718EF2B}" id="{FD244107-ED54-4527-8766-6E6987371068}">
    <text>100%</text>
  </threadedComment>
</ThreadedComments>
</file>

<file path=xl/threadedComments/threadedComment4.xml><?xml version="1.0" encoding="utf-8"?>
<ThreadedComments xmlns="http://schemas.microsoft.com/office/spreadsheetml/2018/threadedcomments" xmlns:x="http://schemas.openxmlformats.org/spreadsheetml/2006/main">
  <threadedComment ref="C47" dT="2019-11-26T02:54:19.91" personId="{03039F72-E038-422C-8A66-CDB6B718EF2B}" id="{93BAF3C9-DFA8-412E-BB4D-A50481455FA1}">
    <text>Includes positive emissions resulting from harvesting</text>
  </threadedComment>
</ThreadedComments>
</file>

<file path=xl/threadedComments/threadedComment5.xml><?xml version="1.0" encoding="utf-8"?>
<ThreadedComments xmlns="http://schemas.microsoft.com/office/spreadsheetml/2018/threadedcomments" xmlns:x="http://schemas.openxmlformats.org/spreadsheetml/2006/main">
  <threadedComment ref="E47" dT="2019-12-16T19:51:37.03" personId="{03039F72-E038-422C-8A66-CDB6B718EF2B}" id="{2AA378B8-89B9-4094-913E-B87DC7D6CC1A}">
    <text>e.g. 100%</text>
  </threadedComment>
  <threadedComment ref="B102" dT="2022-08-01T23:59:02.10" personId="{4012F7CC-A824-4518-B2F7-968E76FEA6E9}" id="{C08DF878-34E0-444B-AE91-08C294D662E3}">
    <text>Thanks to Rick Zwann from DCC for this update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4.0/"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www.researchgate.net/publication/323265153_Throughput_Rate_and_Energy_Consumption_During_Wood_Chip_Production_in_Relation_to_Raw_Material_Chipper_Type_and_Machine_Setting" TargetMode="External"/><Relationship Id="rId1" Type="http://schemas.openxmlformats.org/officeDocument/2006/relationships/hyperlink" Target="https://www.flogas.co.uk/" TargetMode="Externa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4.bin"/><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343B-D9CC-476D-BE3A-B5158E6E6159}">
  <sheetPr codeName="Sheet2">
    <tabColor theme="1"/>
  </sheetPr>
  <dimension ref="A1:R60"/>
  <sheetViews>
    <sheetView showGridLines="0" topLeftCell="A16" zoomScale="80" zoomScaleNormal="80" workbookViewId="0">
      <selection activeCell="I24" sqref="I24"/>
    </sheetView>
  </sheetViews>
  <sheetFormatPr defaultRowHeight="15" x14ac:dyDescent="0.25"/>
  <cols>
    <col min="2" max="2" width="17" customWidth="1"/>
    <col min="3" max="9" width="15.28515625" bestFit="1" customWidth="1"/>
    <col min="17" max="17" width="8.85546875" customWidth="1"/>
    <col min="19" max="20" width="8.85546875" customWidth="1"/>
  </cols>
  <sheetData>
    <row r="1" spans="2:18" x14ac:dyDescent="0.25">
      <c r="L1" s="54"/>
    </row>
    <row r="3" spans="2:18" ht="23.25" x14ac:dyDescent="0.35">
      <c r="B3" s="35" t="s">
        <v>0</v>
      </c>
      <c r="L3" s="54"/>
      <c r="P3" s="225"/>
    </row>
    <row r="4" spans="2:18" x14ac:dyDescent="0.25">
      <c r="B4" s="1" t="s">
        <v>1022</v>
      </c>
      <c r="L4" s="54"/>
      <c r="P4" s="225"/>
    </row>
    <row r="5" spans="2:18" x14ac:dyDescent="0.25">
      <c r="B5" s="12"/>
      <c r="P5" s="225"/>
      <c r="R5" s="4"/>
    </row>
    <row r="6" spans="2:18" x14ac:dyDescent="0.25">
      <c r="B6" s="12"/>
      <c r="P6" s="225"/>
      <c r="R6" s="4"/>
    </row>
    <row r="7" spans="2:18" x14ac:dyDescent="0.25">
      <c r="B7" s="200" t="s">
        <v>1</v>
      </c>
      <c r="P7" s="225"/>
    </row>
    <row r="8" spans="2:18" x14ac:dyDescent="0.25">
      <c r="B8" s="200"/>
      <c r="P8" s="225"/>
    </row>
    <row r="9" spans="2:18" x14ac:dyDescent="0.25">
      <c r="B9" t="s">
        <v>2</v>
      </c>
      <c r="L9" s="54"/>
    </row>
    <row r="10" spans="2:18" x14ac:dyDescent="0.25">
      <c r="B10" t="s">
        <v>3</v>
      </c>
    </row>
    <row r="12" spans="2:18" x14ac:dyDescent="0.25">
      <c r="B12" s="4" t="s">
        <v>4</v>
      </c>
    </row>
    <row r="13" spans="2:18" x14ac:dyDescent="0.25">
      <c r="C13" t="s">
        <v>5</v>
      </c>
    </row>
    <row r="14" spans="2:18" x14ac:dyDescent="0.25">
      <c r="C14" t="s">
        <v>6</v>
      </c>
    </row>
    <row r="15" spans="2:18" ht="14.45" customHeight="1" x14ac:dyDescent="0.25">
      <c r="C15" t="s">
        <v>7</v>
      </c>
    </row>
    <row r="16" spans="2:18" x14ac:dyDescent="0.25">
      <c r="C16" t="s">
        <v>8</v>
      </c>
    </row>
    <row r="17" spans="2:12" x14ac:dyDescent="0.25">
      <c r="B17" s="4" t="s">
        <v>9</v>
      </c>
      <c r="L17" s="54"/>
    </row>
    <row r="18" spans="2:12" x14ac:dyDescent="0.25">
      <c r="C18" s="11" t="s">
        <v>10</v>
      </c>
    </row>
    <row r="19" spans="2:12" x14ac:dyDescent="0.25">
      <c r="C19" s="11" t="s">
        <v>11</v>
      </c>
    </row>
    <row r="20" spans="2:12" ht="15.75" thickBot="1" x14ac:dyDescent="0.3"/>
    <row r="21" spans="2:12" ht="14.45" customHeight="1" x14ac:dyDescent="0.25">
      <c r="B21" s="201" t="s">
        <v>12</v>
      </c>
      <c r="C21" s="202"/>
      <c r="D21" s="202"/>
      <c r="E21" s="202"/>
      <c r="F21" s="202"/>
      <c r="G21" s="202"/>
      <c r="H21" s="203"/>
    </row>
    <row r="22" spans="2:12" ht="14.45" customHeight="1" x14ac:dyDescent="0.25">
      <c r="B22" s="204" t="s">
        <v>13</v>
      </c>
      <c r="H22" s="205"/>
    </row>
    <row r="23" spans="2:12" ht="15.75" thickBot="1" x14ac:dyDescent="0.3">
      <c r="B23" s="206" t="s">
        <v>14</v>
      </c>
      <c r="C23" s="207"/>
      <c r="D23" s="207"/>
      <c r="E23" s="207"/>
      <c r="F23" s="207"/>
      <c r="G23" s="207"/>
      <c r="H23" s="208"/>
    </row>
    <row r="25" spans="2:12" x14ac:dyDescent="0.25">
      <c r="B25" s="4" t="s">
        <v>15</v>
      </c>
      <c r="L25" s="54"/>
    </row>
    <row r="26" spans="2:12" x14ac:dyDescent="0.25">
      <c r="B26" s="74" t="s">
        <v>16</v>
      </c>
      <c r="C26" s="74"/>
      <c r="D26" s="74"/>
      <c r="E26" s="74"/>
      <c r="F26" s="74"/>
    </row>
    <row r="27" spans="2:12" x14ac:dyDescent="0.25">
      <c r="B27" s="13" t="s">
        <v>18</v>
      </c>
      <c r="C27" s="13"/>
      <c r="D27" s="13"/>
      <c r="E27" s="13"/>
      <c r="F27" s="13"/>
    </row>
    <row r="28" spans="2:12" x14ac:dyDescent="0.25">
      <c r="B28" s="75" t="s">
        <v>17</v>
      </c>
      <c r="C28" s="75"/>
      <c r="D28" s="75"/>
      <c r="E28" s="75"/>
      <c r="F28" s="75"/>
    </row>
    <row r="29" spans="2:12" x14ac:dyDescent="0.25">
      <c r="B29" s="16" t="s">
        <v>916</v>
      </c>
      <c r="C29" s="16"/>
      <c r="D29" s="16"/>
      <c r="E29" s="16"/>
      <c r="F29" s="16"/>
    </row>
    <row r="30" spans="2:12" x14ac:dyDescent="0.25">
      <c r="B30" s="462" t="s">
        <v>915</v>
      </c>
      <c r="C30" s="462"/>
      <c r="D30" s="462"/>
      <c r="E30" s="462"/>
      <c r="F30" s="462"/>
    </row>
    <row r="32" spans="2:12" x14ac:dyDescent="0.25">
      <c r="B32" s="4" t="s">
        <v>19</v>
      </c>
    </row>
    <row r="33" spans="2:12" x14ac:dyDescent="0.25">
      <c r="B33" s="4" t="s">
        <v>20</v>
      </c>
      <c r="L33" s="54"/>
    </row>
    <row r="34" spans="2:12" x14ac:dyDescent="0.25">
      <c r="C34" t="s">
        <v>1008</v>
      </c>
    </row>
    <row r="35" spans="2:12" x14ac:dyDescent="0.25">
      <c r="C35" s="1" t="s">
        <v>21</v>
      </c>
    </row>
    <row r="36" spans="2:12" x14ac:dyDescent="0.25">
      <c r="C36" s="1" t="s">
        <v>1011</v>
      </c>
      <c r="L36" s="12"/>
    </row>
    <row r="37" spans="2:12" x14ac:dyDescent="0.25">
      <c r="C37" s="11" t="s">
        <v>22</v>
      </c>
      <c r="L37" s="54"/>
    </row>
    <row r="38" spans="2:12" x14ac:dyDescent="0.25">
      <c r="B38" s="4" t="s">
        <v>23</v>
      </c>
    </row>
    <row r="39" spans="2:12" x14ac:dyDescent="0.25">
      <c r="C39" t="s">
        <v>1010</v>
      </c>
      <c r="L39" s="54"/>
    </row>
    <row r="40" spans="2:12" x14ac:dyDescent="0.25">
      <c r="C40" t="s">
        <v>24</v>
      </c>
    </row>
    <row r="41" spans="2:12" x14ac:dyDescent="0.25">
      <c r="C41" s="11" t="s">
        <v>25</v>
      </c>
    </row>
    <row r="42" spans="2:12" x14ac:dyDescent="0.25">
      <c r="C42" s="11" t="s">
        <v>26</v>
      </c>
    </row>
    <row r="43" spans="2:12" x14ac:dyDescent="0.25">
      <c r="C43" t="s">
        <v>27</v>
      </c>
    </row>
    <row r="44" spans="2:12" x14ac:dyDescent="0.25">
      <c r="C44" s="11" t="s">
        <v>28</v>
      </c>
    </row>
    <row r="45" spans="2:12" x14ac:dyDescent="0.25">
      <c r="B45" s="4" t="s">
        <v>29</v>
      </c>
      <c r="C45" s="11"/>
    </row>
    <row r="46" spans="2:12" x14ac:dyDescent="0.25">
      <c r="C46" s="11" t="s">
        <v>30</v>
      </c>
    </row>
    <row r="47" spans="2:12" x14ac:dyDescent="0.25">
      <c r="C47" s="11"/>
    </row>
    <row r="48" spans="2:12" ht="15.75" thickBot="1" x14ac:dyDescent="0.3">
      <c r="B48" s="76" t="s">
        <v>31</v>
      </c>
      <c r="L48" s="54"/>
    </row>
    <row r="49" spans="1:10" x14ac:dyDescent="0.25">
      <c r="A49" s="209">
        <v>3</v>
      </c>
      <c r="B49" s="210"/>
      <c r="C49" s="575" t="s">
        <v>32</v>
      </c>
      <c r="D49" s="576"/>
      <c r="E49" s="576"/>
      <c r="F49" s="576"/>
      <c r="G49" s="576"/>
      <c r="H49" s="576"/>
      <c r="I49" s="577"/>
    </row>
    <row r="50" spans="1:10" x14ac:dyDescent="0.25">
      <c r="B50" s="211" t="s">
        <v>33</v>
      </c>
      <c r="C50" s="212">
        <v>2018</v>
      </c>
      <c r="D50" s="212">
        <v>2023</v>
      </c>
      <c r="E50" s="212">
        <v>2028</v>
      </c>
      <c r="F50" s="212">
        <v>2033</v>
      </c>
      <c r="G50" s="212">
        <v>2038</v>
      </c>
      <c r="H50" s="212">
        <v>2043</v>
      </c>
      <c r="I50" s="213">
        <v>2050</v>
      </c>
    </row>
    <row r="51" spans="1:10" x14ac:dyDescent="0.25">
      <c r="B51" s="58" t="s">
        <v>34</v>
      </c>
      <c r="C51" s="64">
        <f>VLOOKUP($A49,$B52:$I55,COLUMN()-1,TRUE)</f>
        <v>1</v>
      </c>
      <c r="D51" s="64">
        <f t="shared" ref="D51:I51" si="0">VLOOKUP($A49,$B52:$I55,COLUMN()-1,TRUE)</f>
        <v>0.94</v>
      </c>
      <c r="E51" s="64">
        <f t="shared" si="0"/>
        <v>0.88</v>
      </c>
      <c r="F51" s="64">
        <f t="shared" si="0"/>
        <v>0.8</v>
      </c>
      <c r="G51" s="64">
        <f t="shared" si="0"/>
        <v>0.7</v>
      </c>
      <c r="H51" s="64">
        <f t="shared" si="0"/>
        <v>0.65</v>
      </c>
      <c r="I51" s="65">
        <f t="shared" si="0"/>
        <v>0.6</v>
      </c>
      <c r="J51" s="24" t="str">
        <f>VLOOKUP($A49,$B52:$J55,COLUMN()-1,TRUE)</f>
        <v xml:space="preserve">All lighting LED + dramatic improvements to appliance efficiency (40% less intensive by 2050) </v>
      </c>
    </row>
    <row r="52" spans="1:10" x14ac:dyDescent="0.25">
      <c r="B52" s="214">
        <v>1</v>
      </c>
      <c r="C52" s="215">
        <v>1</v>
      </c>
      <c r="D52" s="216">
        <v>1</v>
      </c>
      <c r="E52" s="216">
        <v>1</v>
      </c>
      <c r="F52" s="216">
        <v>1</v>
      </c>
      <c r="G52" s="216">
        <v>1</v>
      </c>
      <c r="H52" s="216">
        <v>1</v>
      </c>
      <c r="I52" s="217">
        <v>1</v>
      </c>
      <c r="J52" t="s">
        <v>35</v>
      </c>
    </row>
    <row r="53" spans="1:10" x14ac:dyDescent="0.25">
      <c r="B53" s="214">
        <v>2</v>
      </c>
      <c r="C53" s="215">
        <v>1</v>
      </c>
      <c r="D53" s="215">
        <v>0.95</v>
      </c>
      <c r="E53" s="215">
        <v>0.9</v>
      </c>
      <c r="F53" s="215">
        <v>0.85</v>
      </c>
      <c r="G53" s="215">
        <v>0.8</v>
      </c>
      <c r="H53" s="215">
        <v>0.8</v>
      </c>
      <c r="I53" s="218">
        <v>0.8</v>
      </c>
      <c r="J53" t="s">
        <v>36</v>
      </c>
    </row>
    <row r="54" spans="1:10" x14ac:dyDescent="0.25">
      <c r="B54" s="214">
        <v>3</v>
      </c>
      <c r="C54" s="215">
        <v>1</v>
      </c>
      <c r="D54" s="216">
        <v>0.94</v>
      </c>
      <c r="E54" s="216">
        <v>0.88</v>
      </c>
      <c r="F54" s="216">
        <v>0.8</v>
      </c>
      <c r="G54" s="216">
        <v>0.7</v>
      </c>
      <c r="H54" s="216">
        <v>0.65</v>
      </c>
      <c r="I54" s="217">
        <v>0.6</v>
      </c>
      <c r="J54" t="s">
        <v>37</v>
      </c>
    </row>
    <row r="55" spans="1:10" ht="15.75" thickBot="1" x14ac:dyDescent="0.3">
      <c r="B55" s="219">
        <v>4</v>
      </c>
      <c r="C55" s="220">
        <v>1</v>
      </c>
      <c r="D55" s="221">
        <v>0.88</v>
      </c>
      <c r="E55" s="221">
        <v>0.77</v>
      </c>
      <c r="F55" s="221">
        <v>0.66</v>
      </c>
      <c r="G55" s="221">
        <v>0.55000000000000004</v>
      </c>
      <c r="H55" s="221">
        <v>0.44</v>
      </c>
      <c r="I55" s="222">
        <v>0.33</v>
      </c>
      <c r="J55" t="s">
        <v>38</v>
      </c>
    </row>
    <row r="56" spans="1:10" x14ac:dyDescent="0.25">
      <c r="B56" s="204"/>
      <c r="I56" s="205"/>
    </row>
    <row r="57" spans="1:10" ht="26.25" customHeight="1" x14ac:dyDescent="0.25">
      <c r="B57" s="226" t="s">
        <v>39</v>
      </c>
      <c r="C57" s="227">
        <v>2018</v>
      </c>
      <c r="D57" s="227">
        <v>2023</v>
      </c>
      <c r="E57" s="227">
        <v>2028</v>
      </c>
      <c r="F57" s="227">
        <v>2033</v>
      </c>
      <c r="G57" s="227">
        <v>2038</v>
      </c>
      <c r="H57" s="227">
        <v>2043</v>
      </c>
      <c r="I57" s="228">
        <v>2050</v>
      </c>
    </row>
    <row r="58" spans="1:10" x14ac:dyDescent="0.25">
      <c r="B58" s="223" t="s">
        <v>40</v>
      </c>
      <c r="C58" s="30">
        <v>200410749.96145627</v>
      </c>
      <c r="D58" s="30">
        <f>$C58*D$51</f>
        <v>188386104.96376887</v>
      </c>
      <c r="E58" s="30">
        <f t="shared" ref="E58:I60" si="1">$C58*E$51</f>
        <v>176361459.96608153</v>
      </c>
      <c r="F58" s="30">
        <f t="shared" si="1"/>
        <v>160328599.96916503</v>
      </c>
      <c r="G58" s="30">
        <f t="shared" si="1"/>
        <v>140287524.97301939</v>
      </c>
      <c r="H58" s="30">
        <f t="shared" si="1"/>
        <v>130266987.47494657</v>
      </c>
      <c r="I58" s="31">
        <f t="shared" si="1"/>
        <v>120246449.97687376</v>
      </c>
      <c r="J58" t="s">
        <v>41</v>
      </c>
    </row>
    <row r="59" spans="1:10" ht="30" x14ac:dyDescent="0.25">
      <c r="B59" s="223" t="s">
        <v>42</v>
      </c>
      <c r="C59" s="30">
        <v>115837368.16726452</v>
      </c>
      <c r="D59" s="30">
        <f t="shared" ref="D59:D60" si="2">$C59*D$51</f>
        <v>108887126.07722865</v>
      </c>
      <c r="E59" s="30">
        <f t="shared" si="1"/>
        <v>101936883.98719278</v>
      </c>
      <c r="F59" s="30">
        <f t="shared" si="1"/>
        <v>92669894.533811629</v>
      </c>
      <c r="G59" s="30">
        <f t="shared" si="1"/>
        <v>81086157.717085153</v>
      </c>
      <c r="H59" s="30">
        <f t="shared" si="1"/>
        <v>75294289.308721945</v>
      </c>
      <c r="I59" s="31">
        <f t="shared" si="1"/>
        <v>69502420.900358707</v>
      </c>
      <c r="J59" t="s">
        <v>41</v>
      </c>
    </row>
    <row r="60" spans="1:10" ht="30.75" thickBot="1" x14ac:dyDescent="0.3">
      <c r="B60" s="224" t="s">
        <v>43</v>
      </c>
      <c r="C60" s="32">
        <v>149639888.90050253</v>
      </c>
      <c r="D60" s="32">
        <f t="shared" si="2"/>
        <v>140661495.56647238</v>
      </c>
      <c r="E60" s="32">
        <f t="shared" si="1"/>
        <v>131683102.23244223</v>
      </c>
      <c r="F60" s="32">
        <f t="shared" si="1"/>
        <v>119711911.12040204</v>
      </c>
      <c r="G60" s="32">
        <f t="shared" si="1"/>
        <v>104747922.23035176</v>
      </c>
      <c r="H60" s="32">
        <f t="shared" si="1"/>
        <v>97265927.785326645</v>
      </c>
      <c r="I60" s="33">
        <f t="shared" si="1"/>
        <v>89783933.340301514</v>
      </c>
      <c r="J60" t="s">
        <v>41</v>
      </c>
    </row>
  </sheetData>
  <mergeCells count="1">
    <mergeCell ref="C49:I49"/>
  </mergeCells>
  <hyperlinks>
    <hyperlink ref="B7" r:id="rId1" display="https://creativecommons.org/licenses/by/4.0/" xr:uid="{4809CDA4-D0EB-4B4E-8638-8EE3D1742A21}"/>
  </hyperlinks>
  <pageMargins left="0.7" right="0.7" top="0.75" bottom="0.75" header="0.3" footer="0.3"/>
  <pageSetup paperSize="9" orientation="portrait" r:id="rId2"/>
  <drawing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926B1-DC3E-4DE7-A68A-E53D4A6FA439}">
  <sheetPr codeName="Sheet8">
    <tabColor theme="9" tint="0.59999389629810485"/>
  </sheetPr>
  <dimension ref="A1:U208"/>
  <sheetViews>
    <sheetView showGridLines="0" topLeftCell="A16" zoomScale="80" zoomScaleNormal="80" workbookViewId="0">
      <selection activeCell="K84" sqref="J84:K84"/>
    </sheetView>
  </sheetViews>
  <sheetFormatPr defaultRowHeight="15" x14ac:dyDescent="0.25"/>
  <cols>
    <col min="1" max="1" width="15.42578125" customWidth="1"/>
    <col min="2" max="2" width="14.85546875" customWidth="1"/>
    <col min="3" max="3" width="13" customWidth="1"/>
    <col min="4" max="4" width="15.28515625" bestFit="1" customWidth="1"/>
    <col min="5" max="5" width="15.42578125" bestFit="1" customWidth="1"/>
    <col min="6" max="6" width="14.7109375" customWidth="1"/>
    <col min="7" max="8" width="15.140625" bestFit="1" customWidth="1"/>
    <col min="9" max="9" width="15.28515625" bestFit="1" customWidth="1"/>
    <col min="10" max="10" width="12.7109375" customWidth="1"/>
    <col min="11" max="11" width="31.7109375" customWidth="1"/>
    <col min="12" max="12" width="15.28515625" customWidth="1"/>
    <col min="13" max="13" width="13.140625" bestFit="1" customWidth="1"/>
    <col min="14" max="14" width="41.28515625" customWidth="1"/>
    <col min="15" max="15" width="28.28515625" customWidth="1"/>
    <col min="16" max="16" width="13.42578125" bestFit="1" customWidth="1"/>
    <col min="17" max="17" width="15.85546875" bestFit="1" customWidth="1"/>
    <col min="18" max="18" width="20.28515625" bestFit="1" customWidth="1"/>
    <col min="19" max="19" width="15.85546875" bestFit="1" customWidth="1"/>
    <col min="22" max="22" width="42.28515625" bestFit="1" customWidth="1"/>
    <col min="23" max="23" width="22.7109375" bestFit="1" customWidth="1"/>
    <col min="24" max="24" width="23.7109375" bestFit="1" customWidth="1"/>
    <col min="25" max="25" width="21.7109375" bestFit="1" customWidth="1"/>
    <col min="27" max="27" width="42.28515625" bestFit="1" customWidth="1"/>
  </cols>
  <sheetData>
    <row r="1" spans="1:21" ht="23.25" x14ac:dyDescent="0.35">
      <c r="A1" s="35" t="s">
        <v>44</v>
      </c>
    </row>
    <row r="2" spans="1:21" ht="23.25" x14ac:dyDescent="0.35">
      <c r="A2" s="35" t="s">
        <v>316</v>
      </c>
    </row>
    <row r="4" spans="1:21" x14ac:dyDescent="0.25">
      <c r="A4" s="4" t="s">
        <v>47</v>
      </c>
      <c r="B4" s="1"/>
    </row>
    <row r="5" spans="1:21" x14ac:dyDescent="0.25">
      <c r="A5" s="39" t="s">
        <v>155</v>
      </c>
      <c r="L5" s="55"/>
    </row>
    <row r="6" spans="1:21" x14ac:dyDescent="0.25">
      <c r="A6" s="39" t="s">
        <v>156</v>
      </c>
      <c r="L6" s="55"/>
    </row>
    <row r="8" spans="1:21" ht="14.45" customHeight="1" x14ac:dyDescent="0.25">
      <c r="A8" s="578" t="s">
        <v>157</v>
      </c>
      <c r="B8" s="578" t="s">
        <v>317</v>
      </c>
      <c r="C8" s="594">
        <f>C21</f>
        <v>2022</v>
      </c>
      <c r="D8" s="628" t="s">
        <v>107</v>
      </c>
      <c r="F8" s="578" t="s">
        <v>157</v>
      </c>
      <c r="G8" s="578" t="s">
        <v>317</v>
      </c>
      <c r="H8" s="594">
        <f>C21</f>
        <v>2022</v>
      </c>
      <c r="I8" s="628" t="s">
        <v>107</v>
      </c>
      <c r="N8" s="578" t="s">
        <v>157</v>
      </c>
      <c r="O8" s="578" t="s">
        <v>317</v>
      </c>
      <c r="P8" s="594">
        <f>C21</f>
        <v>2022</v>
      </c>
      <c r="Q8" s="628" t="s">
        <v>107</v>
      </c>
      <c r="S8" s="12"/>
    </row>
    <row r="9" spans="1:21" x14ac:dyDescent="0.25">
      <c r="A9" s="593"/>
      <c r="B9" s="593"/>
      <c r="C9" s="595"/>
      <c r="D9" s="629"/>
      <c r="F9" s="593"/>
      <c r="G9" s="593"/>
      <c r="H9" s="595"/>
      <c r="I9" s="629"/>
      <c r="N9" s="593"/>
      <c r="O9" s="593"/>
      <c r="P9" s="595"/>
      <c r="Q9" s="629"/>
    </row>
    <row r="10" spans="1:21" x14ac:dyDescent="0.25">
      <c r="A10" s="593"/>
      <c r="B10" s="627"/>
      <c r="C10" s="595"/>
      <c r="D10" s="629"/>
      <c r="F10" s="593"/>
      <c r="G10" s="627"/>
      <c r="H10" s="595"/>
      <c r="I10" s="629"/>
      <c r="N10" s="593"/>
      <c r="O10" s="627"/>
      <c r="P10" s="595"/>
      <c r="Q10" s="629"/>
      <c r="U10" s="5"/>
    </row>
    <row r="11" spans="1:21" ht="14.45" customHeight="1" x14ac:dyDescent="0.25">
      <c r="A11" s="578" t="s">
        <v>318</v>
      </c>
      <c r="B11" s="266" t="s">
        <v>319</v>
      </c>
      <c r="C11" s="30">
        <f>'Baseline User Input'!L14</f>
        <v>460611812.15913033</v>
      </c>
      <c r="D11" s="34" t="s">
        <v>192</v>
      </c>
      <c r="F11" s="578" t="s">
        <v>320</v>
      </c>
      <c r="G11" s="266" t="s">
        <v>214</v>
      </c>
      <c r="H11" s="30">
        <f>'Baseline User Input'!L27</f>
        <v>892761.19200000004</v>
      </c>
      <c r="I11" s="34" t="s">
        <v>120</v>
      </c>
      <c r="J11" s="367"/>
      <c r="N11" s="624" t="s">
        <v>321</v>
      </c>
      <c r="O11" s="266" t="s">
        <v>905</v>
      </c>
      <c r="P11" s="30">
        <f>'Baseline User Input'!AJ15</f>
        <v>485.73426082959861</v>
      </c>
      <c r="Q11" s="34" t="s">
        <v>322</v>
      </c>
      <c r="U11" s="5"/>
    </row>
    <row r="12" spans="1:21" ht="30" x14ac:dyDescent="0.25">
      <c r="A12" s="578"/>
      <c r="B12" s="266" t="s">
        <v>323</v>
      </c>
      <c r="C12" s="30">
        <f>'Baseline User Input'!L15</f>
        <v>304244.85635165829</v>
      </c>
      <c r="D12" s="34" t="s">
        <v>192</v>
      </c>
      <c r="F12" s="578"/>
      <c r="G12" s="266" t="s">
        <v>123</v>
      </c>
      <c r="H12" s="30">
        <f>'Baseline User Input'!L24</f>
        <v>699924.77452800004</v>
      </c>
      <c r="I12" s="34" t="s">
        <v>120</v>
      </c>
      <c r="J12" s="367"/>
      <c r="N12" s="626"/>
      <c r="O12" s="266" t="s">
        <v>906</v>
      </c>
      <c r="P12" s="30">
        <f>'Baseline User Input'!AJ14</f>
        <v>45260718.424102001</v>
      </c>
      <c r="Q12" s="34" t="s">
        <v>324</v>
      </c>
      <c r="U12" s="5"/>
    </row>
    <row r="13" spans="1:21" x14ac:dyDescent="0.25">
      <c r="A13" s="578"/>
      <c r="B13" s="266" t="s">
        <v>214</v>
      </c>
      <c r="C13" s="30">
        <f>'Baseline User Input'!L16</f>
        <v>460916057.01548201</v>
      </c>
      <c r="D13" s="34" t="s">
        <v>192</v>
      </c>
      <c r="F13" s="578"/>
      <c r="G13" s="266" t="s">
        <v>325</v>
      </c>
      <c r="H13" s="30">
        <f>'Baseline User Input'!L25</f>
        <v>99989.253504000008</v>
      </c>
      <c r="I13" s="34" t="s">
        <v>120</v>
      </c>
      <c r="J13" s="367"/>
      <c r="U13" s="5"/>
    </row>
    <row r="14" spans="1:21" x14ac:dyDescent="0.25">
      <c r="A14" s="578"/>
      <c r="B14" s="266" t="s">
        <v>123</v>
      </c>
      <c r="C14" s="30">
        <f>'Baseline User Input'!L18</f>
        <v>190232678.42172083</v>
      </c>
      <c r="D14" s="34" t="s">
        <v>192</v>
      </c>
      <c r="F14" s="578"/>
      <c r="G14" s="266" t="s">
        <v>326</v>
      </c>
      <c r="H14" s="30">
        <f>'Baseline User Input'!L26</f>
        <v>93739.925159999999</v>
      </c>
      <c r="I14" s="34" t="s">
        <v>120</v>
      </c>
      <c r="J14" s="367"/>
      <c r="U14" s="5"/>
    </row>
    <row r="15" spans="1:21" x14ac:dyDescent="0.25">
      <c r="A15" s="578"/>
      <c r="B15" s="266" t="s">
        <v>325</v>
      </c>
      <c r="C15" s="30">
        <f>'Baseline User Input'!L19</f>
        <v>114692341.22762345</v>
      </c>
      <c r="D15" s="34" t="s">
        <v>192</v>
      </c>
      <c r="H15" s="25"/>
      <c r="U15" s="5"/>
    </row>
    <row r="16" spans="1:21" ht="15" customHeight="1" x14ac:dyDescent="0.25">
      <c r="A16" s="578"/>
      <c r="B16" s="266" t="s">
        <v>326</v>
      </c>
      <c r="C16" s="30">
        <f>'Baseline User Input'!L20</f>
        <v>155686792.50978607</v>
      </c>
      <c r="D16" s="34" t="s">
        <v>192</v>
      </c>
      <c r="F16" s="578" t="s">
        <v>328</v>
      </c>
      <c r="G16" s="266" t="s">
        <v>214</v>
      </c>
      <c r="H16" s="46">
        <f>SUM(H17:H19)</f>
        <v>378207.00553191494</v>
      </c>
      <c r="I16" s="34" t="s">
        <v>120</v>
      </c>
      <c r="U16" s="5"/>
    </row>
    <row r="17" spans="1:19" x14ac:dyDescent="0.25">
      <c r="A17" s="578"/>
      <c r="B17" s="266" t="s">
        <v>123</v>
      </c>
      <c r="C17" s="30">
        <f>C14*0.0036</f>
        <v>684837.64231819496</v>
      </c>
      <c r="D17" s="34" t="s">
        <v>120</v>
      </c>
      <c r="F17" s="578"/>
      <c r="G17" s="266" t="s">
        <v>123</v>
      </c>
      <c r="H17" s="46">
        <f>'Baseline User Input'!L31</f>
        <v>357135.92553191498</v>
      </c>
      <c r="I17" s="34" t="s">
        <v>120</v>
      </c>
      <c r="N17" s="630" t="s">
        <v>57</v>
      </c>
      <c r="O17" s="266" t="s">
        <v>214</v>
      </c>
      <c r="P17" s="30">
        <f>'Baseline User Input'!AJ24</f>
        <v>2355.8081390900002</v>
      </c>
      <c r="Q17" s="34" t="s">
        <v>113</v>
      </c>
    </row>
    <row r="18" spans="1:19" ht="30" x14ac:dyDescent="0.25">
      <c r="A18" s="578"/>
      <c r="B18" s="266" t="s">
        <v>325</v>
      </c>
      <c r="C18" s="30">
        <f>C15*0.0036</f>
        <v>412892.42841944442</v>
      </c>
      <c r="D18" s="34" t="s">
        <v>120</v>
      </c>
      <c r="F18" s="578"/>
      <c r="G18" s="266" t="s">
        <v>325</v>
      </c>
      <c r="H18" s="46">
        <f>'Baseline User Input'!L32</f>
        <v>16945.48</v>
      </c>
      <c r="I18" s="34" t="s">
        <v>120</v>
      </c>
      <c r="N18" s="625"/>
      <c r="O18" s="266" t="s">
        <v>909</v>
      </c>
      <c r="P18" s="133">
        <f>'Baseline User Input'!AJ25</f>
        <v>2.0581686215180313E-2</v>
      </c>
      <c r="Q18" s="34" t="s">
        <v>113</v>
      </c>
    </row>
    <row r="19" spans="1:19" ht="30" x14ac:dyDescent="0.25">
      <c r="A19" s="578"/>
      <c r="B19" s="266" t="s">
        <v>326</v>
      </c>
      <c r="C19" s="30">
        <f>C16*0.0036</f>
        <v>560472.45303522982</v>
      </c>
      <c r="D19" s="34" t="s">
        <v>120</v>
      </c>
      <c r="F19" s="578"/>
      <c r="G19" s="266" t="s">
        <v>326</v>
      </c>
      <c r="H19" s="46">
        <f>'Baseline User Input'!L33</f>
        <v>4125.6000000000004</v>
      </c>
      <c r="I19" s="34" t="s">
        <v>120</v>
      </c>
      <c r="N19" s="626"/>
      <c r="O19" s="266" t="s">
        <v>910</v>
      </c>
      <c r="P19" s="133">
        <f>'Baseline User Input'!AJ26</f>
        <v>0.11850402414486921</v>
      </c>
      <c r="Q19" s="34" t="s">
        <v>113</v>
      </c>
    </row>
    <row r="21" spans="1:19" ht="15" customHeight="1" x14ac:dyDescent="0.25">
      <c r="C21" s="134">
        <f>'Baseline Statistics'!C12</f>
        <v>2022</v>
      </c>
      <c r="D21" s="134">
        <f>'Baseline Statistics'!D12</f>
        <v>2025</v>
      </c>
      <c r="E21" s="134">
        <f>'Baseline Statistics'!E12</f>
        <v>2030</v>
      </c>
      <c r="F21" s="134">
        <f>'Baseline Statistics'!F12</f>
        <v>2035</v>
      </c>
      <c r="G21" s="134">
        <f>'Baseline Statistics'!G12</f>
        <v>2040</v>
      </c>
      <c r="H21" s="134">
        <f>'Baseline Statistics'!H12</f>
        <v>2045</v>
      </c>
      <c r="I21" s="134">
        <f>'Baseline Statistics'!I12</f>
        <v>2050</v>
      </c>
      <c r="N21" s="578" t="s">
        <v>330</v>
      </c>
      <c r="O21" s="266" t="s">
        <v>214</v>
      </c>
      <c r="P21" s="30">
        <f>SUM(P22:P24)</f>
        <v>2930063.4824967841</v>
      </c>
      <c r="Q21" s="34" t="s">
        <v>120</v>
      </c>
      <c r="S21" s="368"/>
    </row>
    <row r="22" spans="1:19" ht="30" x14ac:dyDescent="0.25">
      <c r="A22" s="622" t="s">
        <v>331</v>
      </c>
      <c r="B22" s="266" t="s">
        <v>332</v>
      </c>
      <c r="C22" s="94">
        <f>'2. Industry'!C61</f>
        <v>1</v>
      </c>
      <c r="D22" s="94">
        <f>'2. Industry'!D61</f>
        <v>1.08</v>
      </c>
      <c r="E22" s="94">
        <f>'2. Industry'!E61</f>
        <v>1.1599999999999999</v>
      </c>
      <c r="F22" s="94">
        <f>'2. Industry'!F61</f>
        <v>1.22</v>
      </c>
      <c r="G22" s="94">
        <f>'2. Industry'!G61</f>
        <v>1.29</v>
      </c>
      <c r="H22" s="94">
        <f>'2. Industry'!H61</f>
        <v>1.36</v>
      </c>
      <c r="I22" s="94">
        <f>'2. Industry'!I61</f>
        <v>1.45</v>
      </c>
      <c r="N22" s="578"/>
      <c r="O22" s="266" t="s">
        <v>123</v>
      </c>
      <c r="P22" s="30">
        <f>H12+H17+C17</f>
        <v>1741898.3423781099</v>
      </c>
      <c r="Q22" s="34" t="s">
        <v>120</v>
      </c>
      <c r="S22" s="368"/>
    </row>
    <row r="23" spans="1:19" x14ac:dyDescent="0.25">
      <c r="A23" s="623"/>
      <c r="B23" s="266" t="s">
        <v>231</v>
      </c>
      <c r="C23" s="94">
        <f>'2. Industry'!C62</f>
        <v>1</v>
      </c>
      <c r="D23" s="94">
        <f>'2. Industry'!D62</f>
        <v>1.0476000000000001</v>
      </c>
      <c r="E23" s="94">
        <f>'2. Industry'!E62</f>
        <v>1.0903999999999998</v>
      </c>
      <c r="F23" s="94">
        <f>'2. Industry'!F62</f>
        <v>1.0980000000000001</v>
      </c>
      <c r="G23" s="94">
        <f>'2. Industry'!G62</f>
        <v>1.1223000000000001</v>
      </c>
      <c r="H23" s="94">
        <f>'2. Industry'!H62</f>
        <v>1.1424000000000001</v>
      </c>
      <c r="I23" s="94">
        <f>'2. Industry'!I62</f>
        <v>1.1599999999999999</v>
      </c>
      <c r="N23" s="578"/>
      <c r="O23" s="266" t="s">
        <v>325</v>
      </c>
      <c r="P23" s="30">
        <f>H13+H18+C18</f>
        <v>529827.16192344436</v>
      </c>
      <c r="Q23" s="34" t="s">
        <v>120</v>
      </c>
    </row>
    <row r="24" spans="1:19" ht="14.45" customHeight="1" x14ac:dyDescent="0.25">
      <c r="A24" s="623"/>
      <c r="B24" s="266" t="s">
        <v>325</v>
      </c>
      <c r="C24" s="94">
        <f>'Baseline Statistics'!C33</f>
        <v>1</v>
      </c>
      <c r="D24" s="94">
        <f>'Baseline Statistics'!D33</f>
        <v>1.032380829618109</v>
      </c>
      <c r="E24" s="94">
        <f>'Baseline Statistics'!E33</f>
        <v>1.0831990921617383</v>
      </c>
      <c r="F24" s="94">
        <f>'Baseline Statistics'!F33</f>
        <v>1.1256571915802336</v>
      </c>
      <c r="G24" s="94">
        <f>'Baseline Statistics'!G33</f>
        <v>1.1681152909987289</v>
      </c>
      <c r="H24" s="94">
        <f>'Baseline Statistics'!H33</f>
        <v>1.2105733904172242</v>
      </c>
      <c r="I24" s="94">
        <f>'Baseline Statistics'!I33</f>
        <v>1.2530314898357193</v>
      </c>
      <c r="N24" s="578"/>
      <c r="O24" s="266" t="s">
        <v>326</v>
      </c>
      <c r="P24" s="30">
        <f>H14+H19+C19</f>
        <v>658337.97819522978</v>
      </c>
      <c r="Q24" s="34" t="s">
        <v>120</v>
      </c>
    </row>
    <row r="25" spans="1:19" x14ac:dyDescent="0.25">
      <c r="A25" s="378"/>
      <c r="B25" s="266" t="s">
        <v>326</v>
      </c>
      <c r="C25" s="77">
        <f>'Background Calcs. Housing'!D31</f>
        <v>1</v>
      </c>
      <c r="D25" s="77">
        <f>'Background Calcs. Housing'!E31</f>
        <v>1.0301601630751309</v>
      </c>
      <c r="E25" s="77">
        <f>'Background Calcs. Housing'!F31</f>
        <v>1.0792166569598136</v>
      </c>
      <c r="F25" s="77">
        <f>'Background Calcs. Housing'!G31</f>
        <v>1.1248194525334887</v>
      </c>
      <c r="G25" s="77">
        <f>'Background Calcs. Housing'!H31</f>
        <v>1.1704804892253933</v>
      </c>
      <c r="H25" s="77">
        <f>'Background Calcs. Housing'!I31</f>
        <v>1.2160978450786255</v>
      </c>
      <c r="I25" s="77">
        <f>'Background Calcs. Housing'!J31</f>
        <v>1.3425189283634245</v>
      </c>
    </row>
    <row r="26" spans="1:19" x14ac:dyDescent="0.25">
      <c r="A26" s="378"/>
    </row>
    <row r="27" spans="1:19" x14ac:dyDescent="0.25">
      <c r="A27" s="378"/>
      <c r="B27" s="378"/>
      <c r="C27" s="134">
        <f>C21</f>
        <v>2022</v>
      </c>
      <c r="D27" s="134">
        <f t="shared" ref="D27:I27" si="0">D21</f>
        <v>2025</v>
      </c>
      <c r="E27" s="134">
        <f t="shared" si="0"/>
        <v>2030</v>
      </c>
      <c r="F27" s="134">
        <f t="shared" si="0"/>
        <v>2035</v>
      </c>
      <c r="G27" s="134">
        <f t="shared" si="0"/>
        <v>2040</v>
      </c>
      <c r="H27" s="134">
        <f t="shared" si="0"/>
        <v>2045</v>
      </c>
      <c r="I27" s="134">
        <f t="shared" si="0"/>
        <v>2050</v>
      </c>
      <c r="J27" s="134" t="s">
        <v>107</v>
      </c>
    </row>
    <row r="28" spans="1:19" ht="13.9" customHeight="1" x14ac:dyDescent="0.25">
      <c r="A28" s="578" t="s">
        <v>333</v>
      </c>
      <c r="B28" s="266" t="s">
        <v>123</v>
      </c>
      <c r="C28" s="30">
        <f>$C14*('Baseline User Input'!$L125*C22+C23*'Baseline User Input'!$L126)</f>
        <v>190232678.42172083</v>
      </c>
      <c r="D28" s="30">
        <f>$C14*('Baseline User Input'!$L125*D22+D23*'Baseline User Input'!$L126)</f>
        <v>201052031.79128477</v>
      </c>
      <c r="E28" s="30">
        <f>$C14*('Baseline User Input'!$L125*E22+E23*'Baseline User Input'!$L126)</f>
        <v>211219642.80467471</v>
      </c>
      <c r="F28" s="30">
        <f>$C14*('Baseline User Input'!$L125*F22+F23*'Baseline User Input'!$L126)</f>
        <v>215518749.4550797</v>
      </c>
      <c r="G28" s="30">
        <f>$C14*('Baseline User Input'!$L125*G22+G23*'Baseline User Input'!$L126)</f>
        <v>222629906.59519458</v>
      </c>
      <c r="H28" s="30">
        <f>$C14*('Baseline User Input'!$L125*H22+H23*'Baseline User Input'!$L126)</f>
        <v>229170789.17365733</v>
      </c>
      <c r="I28" s="30">
        <f>$C14*('Baseline User Input'!$L125*I22+I23*'Baseline User Input'!$L126)</f>
        <v>236461283.02598932</v>
      </c>
      <c r="J28" s="30" t="s">
        <v>41</v>
      </c>
      <c r="N28" s="578" t="s">
        <v>334</v>
      </c>
      <c r="O28" s="578"/>
      <c r="P28" s="578"/>
      <c r="Q28" s="578"/>
      <c r="R28" s="578"/>
      <c r="S28" s="266"/>
    </row>
    <row r="29" spans="1:19" x14ac:dyDescent="0.25">
      <c r="A29" s="593"/>
      <c r="B29" s="266" t="s">
        <v>325</v>
      </c>
      <c r="C29" s="30">
        <f t="shared" ref="C29:I30" si="1">$C15*C24</f>
        <v>114692341.22762345</v>
      </c>
      <c r="D29" s="30">
        <f t="shared" si="1"/>
        <v>118406174.38741714</v>
      </c>
      <c r="E29" s="30">
        <f t="shared" si="1"/>
        <v>124234639.89566602</v>
      </c>
      <c r="F29" s="30">
        <f t="shared" si="1"/>
        <v>129104258.72204845</v>
      </c>
      <c r="G29" s="30">
        <f t="shared" si="1"/>
        <v>133973877.54843087</v>
      </c>
      <c r="H29" s="30">
        <f t="shared" si="1"/>
        <v>138843496.37481329</v>
      </c>
      <c r="I29" s="30">
        <f t="shared" si="1"/>
        <v>143713115.20119572</v>
      </c>
      <c r="J29" s="30" t="s">
        <v>41</v>
      </c>
      <c r="N29" s="34" t="s">
        <v>335</v>
      </c>
      <c r="O29" s="34" t="s">
        <v>336</v>
      </c>
      <c r="P29" s="34" t="s">
        <v>107</v>
      </c>
      <c r="Q29" s="34" t="s">
        <v>337</v>
      </c>
      <c r="R29" s="34" t="s">
        <v>338</v>
      </c>
      <c r="S29" s="34" t="s">
        <v>339</v>
      </c>
    </row>
    <row r="30" spans="1:19" x14ac:dyDescent="0.25">
      <c r="A30" s="593"/>
      <c r="B30" s="266" t="s">
        <v>326</v>
      </c>
      <c r="C30" s="30">
        <f t="shared" si="1"/>
        <v>155686792.50978607</v>
      </c>
      <c r="D30" s="30">
        <f t="shared" si="1"/>
        <v>160382331.5605253</v>
      </c>
      <c r="E30" s="30">
        <f t="shared" si="1"/>
        <v>168019779.74520746</v>
      </c>
      <c r="F30" s="30">
        <f t="shared" si="1"/>
        <v>175119532.71755242</v>
      </c>
      <c r="G30" s="30">
        <f t="shared" si="1"/>
        <v>182228353.0627867</v>
      </c>
      <c r="H30" s="30">
        <f t="shared" si="1"/>
        <v>189330372.87835392</v>
      </c>
      <c r="I30" s="30">
        <f t="shared" si="1"/>
        <v>209012465.8405768</v>
      </c>
      <c r="J30" s="30" t="s">
        <v>41</v>
      </c>
      <c r="N30" s="34" t="s">
        <v>340</v>
      </c>
      <c r="O30" s="30">
        <f>'4. Buildings'!C19*'Baseline User Input'!L92+'4. Buildings'!C18*'Baseline User Input'!L108+'4. Buildings'!C17*'Baseline User Input'!L124</f>
        <v>544550.22357973107</v>
      </c>
      <c r="P30" s="34" t="s">
        <v>120</v>
      </c>
      <c r="Q30" s="369">
        <f>O30/SUM('4. Buildings'!C17:C19)</f>
        <v>0.32839789818961845</v>
      </c>
      <c r="R30" s="369">
        <f>O30/SUM(O$30:O$32)</f>
        <v>0.303281448554791</v>
      </c>
      <c r="S30" s="370" t="s">
        <v>82</v>
      </c>
    </row>
    <row r="31" spans="1:19" x14ac:dyDescent="0.25">
      <c r="A31" s="578" t="s">
        <v>320</v>
      </c>
      <c r="B31" s="266" t="s">
        <v>123</v>
      </c>
      <c r="C31" s="30">
        <f>$H12*(C22*'Baseline User Input'!$M125+C23*'Baseline User Input'!$M126)</f>
        <v>699924.77452800004</v>
      </c>
      <c r="D31" s="30">
        <f>$H12*(D22*'Baseline User Input'!$M125+D23*'Baseline User Input'!$M126)</f>
        <v>735970.24281615298</v>
      </c>
      <c r="E31" s="30">
        <f>$H12*(E22*'Baseline User Input'!$M125+E23*'Baseline User Input'!$M126)</f>
        <v>769060.37574518123</v>
      </c>
      <c r="F31" s="30">
        <f>$H12*(F22*'Baseline User Input'!$M125+F23*'Baseline User Input'!$M126)</f>
        <v>778793.45121309091</v>
      </c>
      <c r="G31" s="30">
        <f>$H12*(G22*'Baseline User Input'!$M125+G23*'Baseline User Input'!$M126)</f>
        <v>799650.93003172404</v>
      </c>
      <c r="H31" s="30">
        <f>$H12*(H22*'Baseline User Input'!$M125+H23*'Baseline User Input'!$M126)</f>
        <v>817922.49041112384</v>
      </c>
      <c r="I31" s="30">
        <f>$H12*(I22*'Baseline User Input'!$M125+I23*'Baseline User Input'!$M126)</f>
        <v>836339.41178518953</v>
      </c>
      <c r="J31" s="30" t="s">
        <v>120</v>
      </c>
      <c r="N31" s="34" t="s">
        <v>341</v>
      </c>
      <c r="O31" s="30">
        <f>'4. Buildings'!H14*'Baseline User Input'!M92+'4. Buildings'!H13*'Baseline User Input'!M108+'4. Buildings'!H12*'Baseline User Input'!M124</f>
        <v>872792.87637396669</v>
      </c>
      <c r="P31" s="34" t="s">
        <v>120</v>
      </c>
      <c r="Q31" s="369">
        <f>O31/'4. Buildings'!H11</f>
        <v>0.97763308283898465</v>
      </c>
      <c r="R31" s="369">
        <f>O31/SUM(O$30:O$32)</f>
        <v>0.48609269884220796</v>
      </c>
      <c r="S31" s="369">
        <f>R31/(R$31+R$32)</f>
        <v>0.69768875514208972</v>
      </c>
    </row>
    <row r="32" spans="1:19" x14ac:dyDescent="0.25">
      <c r="A32" s="579"/>
      <c r="B32" s="266" t="s">
        <v>325</v>
      </c>
      <c r="C32" s="30">
        <f t="shared" ref="C32:I33" si="2">$H13*C24</f>
        <v>99989.253504000008</v>
      </c>
      <c r="D32" s="30">
        <f t="shared" si="2"/>
        <v>103226.98848535493</v>
      </c>
      <c r="E32" s="30">
        <f t="shared" si="2"/>
        <v>108308.26862146272</v>
      </c>
      <c r="F32" s="30">
        <f t="shared" si="2"/>
        <v>112553.62228751669</v>
      </c>
      <c r="G32" s="30">
        <f t="shared" si="2"/>
        <v>116798.97595357064</v>
      </c>
      <c r="H32" s="30">
        <f t="shared" si="2"/>
        <v>121044.32961962461</v>
      </c>
      <c r="I32" s="30">
        <f t="shared" si="2"/>
        <v>125289.68328567855</v>
      </c>
      <c r="J32" s="30" t="s">
        <v>120</v>
      </c>
      <c r="N32" s="235" t="s">
        <v>61</v>
      </c>
      <c r="O32" s="30">
        <f>'4. Buildings'!H19*'Baseline User Input'!N92+'4. Buildings'!H18*'Baseline User Input'!N108+'4. Buildings'!H17*'Baseline User Input'!N124</f>
        <v>378184.54004750855</v>
      </c>
      <c r="P32" s="34" t="s">
        <v>120</v>
      </c>
      <c r="Q32" s="369">
        <f>O32/'4. Buildings'!H16</f>
        <v>0.99994060003099416</v>
      </c>
      <c r="R32" s="369">
        <f>O32/SUM(O$30:O$32)</f>
        <v>0.21062585260300115</v>
      </c>
      <c r="S32" s="369">
        <f>R32/(R$31+R$32)</f>
        <v>0.30231124485791028</v>
      </c>
    </row>
    <row r="33" spans="1:18" x14ac:dyDescent="0.25">
      <c r="A33" s="579"/>
      <c r="B33" s="266" t="s">
        <v>326</v>
      </c>
      <c r="C33" s="30">
        <f t="shared" si="2"/>
        <v>93739.925159999999</v>
      </c>
      <c r="D33" s="30">
        <f t="shared" si="2"/>
        <v>96567.136589476169</v>
      </c>
      <c r="E33" s="30">
        <f t="shared" si="2"/>
        <v>101165.68865483832</v>
      </c>
      <c r="F33" s="30">
        <f t="shared" si="2"/>
        <v>105440.4912990014</v>
      </c>
      <c r="G33" s="30">
        <f t="shared" si="2"/>
        <v>109720.75346122855</v>
      </c>
      <c r="H33" s="30">
        <f t="shared" si="2"/>
        <v>113996.92098490763</v>
      </c>
      <c r="I33" s="30">
        <f t="shared" si="2"/>
        <v>125847.62387067081</v>
      </c>
      <c r="J33" s="30" t="s">
        <v>120</v>
      </c>
      <c r="R33" s="5"/>
    </row>
    <row r="34" spans="1:18" x14ac:dyDescent="0.25">
      <c r="A34" s="624" t="s">
        <v>328</v>
      </c>
      <c r="B34" s="266" t="s">
        <v>123</v>
      </c>
      <c r="C34" s="30">
        <f>$H17*(C22*'Baseline User Input'!$N125+C23*'Baseline User Input'!$N126)</f>
        <v>357135.92553191498</v>
      </c>
      <c r="D34" s="30">
        <f>$H17*(D22*'Baseline User Input'!$N125+D23*'Baseline User Input'!$N126)</f>
        <v>375463.32851465163</v>
      </c>
      <c r="E34" s="30">
        <f>$H17*(E22*'Baseline User Input'!$N125+E23*'Baseline User Input'!$N126)</f>
        <v>392273.18022926716</v>
      </c>
      <c r="F34" s="30">
        <f>$H17*(F22*'Baseline User Input'!$N125+F23*'Baseline User Input'!$N126)</f>
        <v>397134.73441752821</v>
      </c>
      <c r="G34" s="30">
        <f>$H17*(G22*'Baseline User Input'!$N125+G23*'Baseline User Input'!$N126)</f>
        <v>407685.89650619385</v>
      </c>
      <c r="H34" s="30">
        <f>$H17*(H22*'Baseline User Input'!$N125+H23*'Baseline User Input'!$N126)</f>
        <v>416909.2012352536</v>
      </c>
      <c r="I34" s="30">
        <f>$H17*(I22*'Baseline User Input'!$N125+I23*'Baseline User Input'!$N126)</f>
        <v>426161.70290563459</v>
      </c>
      <c r="J34" s="30" t="s">
        <v>120</v>
      </c>
      <c r="R34" s="5"/>
    </row>
    <row r="35" spans="1:18" x14ac:dyDescent="0.25">
      <c r="A35" s="625"/>
      <c r="B35" s="266" t="s">
        <v>325</v>
      </c>
      <c r="C35" s="30">
        <f t="shared" ref="C35:I36" si="3">$H18*C24</f>
        <v>16945.48</v>
      </c>
      <c r="D35" s="30">
        <f t="shared" si="3"/>
        <v>17494.188700677074</v>
      </c>
      <c r="E35" s="30">
        <f t="shared" si="3"/>
        <v>18355.328552244893</v>
      </c>
      <c r="F35" s="30">
        <f t="shared" si="3"/>
        <v>19074.801426779017</v>
      </c>
      <c r="G35" s="30">
        <f t="shared" si="3"/>
        <v>19794.27430131314</v>
      </c>
      <c r="H35" s="30">
        <f t="shared" si="3"/>
        <v>20513.747175847264</v>
      </c>
      <c r="I35" s="30">
        <f t="shared" si="3"/>
        <v>21233.220050381384</v>
      </c>
      <c r="J35" s="30" t="s">
        <v>120</v>
      </c>
      <c r="R35" s="5"/>
    </row>
    <row r="36" spans="1:18" x14ac:dyDescent="0.25">
      <c r="A36" s="626"/>
      <c r="B36" s="266" t="s">
        <v>326</v>
      </c>
      <c r="C36" s="30">
        <f t="shared" si="3"/>
        <v>4125.6000000000004</v>
      </c>
      <c r="D36" s="30">
        <f t="shared" si="3"/>
        <v>4250.0287687827604</v>
      </c>
      <c r="E36" s="30">
        <f t="shared" si="3"/>
        <v>4452.4162399534071</v>
      </c>
      <c r="F36" s="30">
        <f t="shared" si="3"/>
        <v>4640.5551333721614</v>
      </c>
      <c r="G36" s="30">
        <f t="shared" si="3"/>
        <v>4828.9343063482829</v>
      </c>
      <c r="H36" s="30">
        <f t="shared" si="3"/>
        <v>5017.1332696563777</v>
      </c>
      <c r="I36" s="30">
        <f t="shared" si="3"/>
        <v>5538.6960908561441</v>
      </c>
      <c r="J36" s="30" t="s">
        <v>120</v>
      </c>
      <c r="R36" s="5"/>
    </row>
    <row r="38" spans="1:18" x14ac:dyDescent="0.25">
      <c r="A38" s="378"/>
      <c r="B38" s="378"/>
      <c r="C38" s="134">
        <f>C21</f>
        <v>2022</v>
      </c>
      <c r="D38" s="134">
        <f t="shared" ref="D38:I38" si="4">D21</f>
        <v>2025</v>
      </c>
      <c r="E38" s="134">
        <f t="shared" si="4"/>
        <v>2030</v>
      </c>
      <c r="F38" s="134">
        <f t="shared" si="4"/>
        <v>2035</v>
      </c>
      <c r="G38" s="134">
        <f t="shared" si="4"/>
        <v>2040</v>
      </c>
      <c r="H38" s="134">
        <f t="shared" si="4"/>
        <v>2045</v>
      </c>
      <c r="I38" s="134">
        <f t="shared" si="4"/>
        <v>2050</v>
      </c>
      <c r="J38" s="134" t="s">
        <v>107</v>
      </c>
      <c r="R38" s="5"/>
    </row>
    <row r="39" spans="1:18" x14ac:dyDescent="0.25">
      <c r="A39" s="624" t="s">
        <v>342</v>
      </c>
      <c r="B39" s="379" t="s">
        <v>340</v>
      </c>
      <c r="C39" s="30">
        <f>'2. Industry'!C53</f>
        <v>135779657.53622711</v>
      </c>
      <c r="D39" s="30">
        <f>'2. Industry'!D53</f>
        <v>142263076.90349299</v>
      </c>
      <c r="E39" s="30">
        <f>'2. Industry'!E53</f>
        <v>148097486.6031723</v>
      </c>
      <c r="F39" s="30">
        <f>'2. Industry'!F53</f>
        <v>149155185.04616389</v>
      </c>
      <c r="G39" s="30">
        <f>'2. Industry'!G53</f>
        <v>152483136.45859784</v>
      </c>
      <c r="H39" s="30">
        <f>'2. Industry'!H53</f>
        <v>155243545.997967</v>
      </c>
      <c r="I39" s="30">
        <f>'2. Industry'!I53</f>
        <v>157667239.08208296</v>
      </c>
      <c r="J39" s="30" t="s">
        <v>192</v>
      </c>
    </row>
    <row r="40" spans="1:18" x14ac:dyDescent="0.25">
      <c r="A40" s="625"/>
      <c r="B40" s="379" t="s">
        <v>118</v>
      </c>
      <c r="C40" s="30">
        <f>'2. Industry'!C54</f>
        <v>615694.86648417416</v>
      </c>
      <c r="D40" s="30">
        <f>'2. Industry'!D54</f>
        <v>645001.94212882093</v>
      </c>
      <c r="E40" s="30">
        <f>'2. Industry'!E54</f>
        <v>671353.68241434335</v>
      </c>
      <c r="F40" s="30">
        <f>'2. Industry'!F54</f>
        <v>676032.96339962317</v>
      </c>
      <c r="G40" s="30">
        <f>'2. Industry'!G54</f>
        <v>690994.34865518869</v>
      </c>
      <c r="H40" s="30">
        <f>'2. Industry'!H54</f>
        <v>703369.81547152053</v>
      </c>
      <c r="I40" s="30">
        <f>'2. Industry'!I54</f>
        <v>714206.04512164206</v>
      </c>
      <c r="J40" s="30" t="s">
        <v>120</v>
      </c>
    </row>
    <row r="41" spans="1:18" x14ac:dyDescent="0.25">
      <c r="A41" s="626">
        <v>4</v>
      </c>
      <c r="B41" s="379" t="s">
        <v>61</v>
      </c>
      <c r="C41" s="30">
        <f>'2. Industry'!C55</f>
        <v>316156.51419186947</v>
      </c>
      <c r="D41" s="30">
        <f>'2. Industry'!D55</f>
        <v>331205.56426740246</v>
      </c>
      <c r="E41" s="30">
        <f>'2. Industry'!E55</f>
        <v>344737.06307481445</v>
      </c>
      <c r="F41" s="30">
        <f>'2. Industry'!F55</f>
        <v>347139.85258267267</v>
      </c>
      <c r="G41" s="30">
        <f>'2. Industry'!G55</f>
        <v>354822.4558775351</v>
      </c>
      <c r="H41" s="30">
        <f>'2. Industry'!H55</f>
        <v>361177.2018127917</v>
      </c>
      <c r="I41" s="30">
        <f>'2. Industry'!I55</f>
        <v>366741.55646256858</v>
      </c>
      <c r="J41" s="30" t="s">
        <v>120</v>
      </c>
    </row>
    <row r="42" spans="1:18" x14ac:dyDescent="0.25">
      <c r="A42" s="378"/>
      <c r="N42" s="578" t="s">
        <v>343</v>
      </c>
      <c r="O42" s="578"/>
      <c r="P42" s="578"/>
      <c r="Q42" s="578"/>
    </row>
    <row r="43" spans="1:18" ht="15.75" thickBot="1" x14ac:dyDescent="0.3">
      <c r="N43" s="34"/>
      <c r="O43" s="34" t="s">
        <v>72</v>
      </c>
      <c r="P43" s="34" t="s">
        <v>69</v>
      </c>
      <c r="Q43" s="34" t="s">
        <v>68</v>
      </c>
    </row>
    <row r="44" spans="1:18" x14ac:dyDescent="0.25">
      <c r="A44" s="209">
        <v>1</v>
      </c>
      <c r="B44" s="210"/>
      <c r="C44" s="575" t="s">
        <v>32</v>
      </c>
      <c r="D44" s="576"/>
      <c r="E44" s="576"/>
      <c r="F44" s="576"/>
      <c r="G44" s="576"/>
      <c r="H44" s="576"/>
      <c r="I44" s="577"/>
      <c r="N44" s="34" t="s">
        <v>344</v>
      </c>
      <c r="O44" s="77">
        <f>'Emissions Factors, etc,'!C166</f>
        <v>0.64454616322532932</v>
      </c>
      <c r="P44" s="77">
        <f>'Emissions Factors, etc,'!D166</f>
        <v>0.16265091909509877</v>
      </c>
      <c r="Q44" s="77">
        <f>'Emissions Factors, etc,'!E166</f>
        <v>0</v>
      </c>
    </row>
    <row r="45" spans="1:18" x14ac:dyDescent="0.25">
      <c r="B45" s="211" t="s">
        <v>33</v>
      </c>
      <c r="C45" s="294">
        <f>'Baseline Statistics'!C12</f>
        <v>2022</v>
      </c>
      <c r="D45" s="294">
        <f>'Baseline Statistics'!D12</f>
        <v>2025</v>
      </c>
      <c r="E45" s="294">
        <f>'Baseline Statistics'!E12</f>
        <v>2030</v>
      </c>
      <c r="F45" s="294">
        <f>'Baseline Statistics'!F12</f>
        <v>2035</v>
      </c>
      <c r="G45" s="294">
        <f>'Baseline Statistics'!G12</f>
        <v>2040</v>
      </c>
      <c r="H45" s="294">
        <f>'Baseline Statistics'!H12</f>
        <v>2045</v>
      </c>
      <c r="I45" s="295">
        <f>'Baseline Statistics'!I12</f>
        <v>2050</v>
      </c>
      <c r="N45" s="34" t="s">
        <v>345</v>
      </c>
      <c r="O45" s="77">
        <f>'Emissions Factors, etc,'!C167</f>
        <v>0</v>
      </c>
      <c r="P45" s="77">
        <f>'Emissions Factors, etc,'!D167</f>
        <v>0.22224753360085514</v>
      </c>
      <c r="Q45" s="77">
        <f>'Emissions Factors, etc,'!E167</f>
        <v>0</v>
      </c>
    </row>
    <row r="46" spans="1:18" x14ac:dyDescent="0.25">
      <c r="B46" s="58" t="s">
        <v>34</v>
      </c>
      <c r="C46" s="64">
        <f t="shared" ref="C46:I46" si="5">VLOOKUP($A44,$B47:$I50,COLUMN()-1,TRUE)</f>
        <v>1</v>
      </c>
      <c r="D46" s="64">
        <f t="shared" si="5"/>
        <v>1</v>
      </c>
      <c r="E46" s="64">
        <f t="shared" si="5"/>
        <v>1</v>
      </c>
      <c r="F46" s="64">
        <f t="shared" si="5"/>
        <v>1</v>
      </c>
      <c r="G46" s="64">
        <f t="shared" si="5"/>
        <v>1</v>
      </c>
      <c r="H46" s="64">
        <f t="shared" si="5"/>
        <v>1</v>
      </c>
      <c r="I46" s="65">
        <f t="shared" si="5"/>
        <v>1</v>
      </c>
      <c r="J46" s="24" t="str">
        <f>VLOOKUP($A44,$B47:$J50,COLUMN()-1,TRUE)</f>
        <v>No change</v>
      </c>
      <c r="N46" s="62" t="s">
        <v>346</v>
      </c>
      <c r="O46" s="78">
        <f>'Emissions Factors, etc,'!C168</f>
        <v>0.64454616322532932</v>
      </c>
      <c r="P46" s="78">
        <f>'Emissions Factors, etc,'!D168</f>
        <v>0.38489845269595391</v>
      </c>
      <c r="Q46" s="78">
        <f>'Emissions Factors, etc,'!E168</f>
        <v>0</v>
      </c>
    </row>
    <row r="47" spans="1:18" x14ac:dyDescent="0.25">
      <c r="B47" s="214">
        <v>1</v>
      </c>
      <c r="C47" s="215">
        <v>1</v>
      </c>
      <c r="D47" s="216">
        <f>C47+(($I47-$C47)/6)</f>
        <v>1</v>
      </c>
      <c r="E47" s="216">
        <f t="shared" ref="E47:H50" si="6">D47+(($I47-$C47)/6)</f>
        <v>1</v>
      </c>
      <c r="F47" s="216">
        <f t="shared" si="6"/>
        <v>1</v>
      </c>
      <c r="G47" s="216">
        <f t="shared" si="6"/>
        <v>1</v>
      </c>
      <c r="H47" s="216">
        <f t="shared" si="6"/>
        <v>1</v>
      </c>
      <c r="I47" s="217">
        <v>1</v>
      </c>
      <c r="J47" t="s">
        <v>35</v>
      </c>
      <c r="N47" s="34" t="s">
        <v>347</v>
      </c>
      <c r="O47" s="77">
        <f>'Emissions Factors, etc,'!C169</f>
        <v>0.35545383677467068</v>
      </c>
      <c r="P47" s="77">
        <f>'Emissions Factors, etc,'!D169</f>
        <v>0.61510154730404609</v>
      </c>
      <c r="Q47" s="77">
        <f>'Emissions Factors, etc,'!E169</f>
        <v>1</v>
      </c>
    </row>
    <row r="48" spans="1:18" x14ac:dyDescent="0.25">
      <c r="B48" s="214">
        <v>2</v>
      </c>
      <c r="C48" s="215">
        <v>1</v>
      </c>
      <c r="D48" s="216">
        <f>C48+(($I48-$C48)/6)</f>
        <v>0.96666666666666667</v>
      </c>
      <c r="E48" s="216">
        <f t="shared" si="6"/>
        <v>0.93333333333333335</v>
      </c>
      <c r="F48" s="216">
        <f>E48+(($I48-$C48)/6)</f>
        <v>0.9</v>
      </c>
      <c r="G48" s="216">
        <f t="shared" si="6"/>
        <v>0.8666666666666667</v>
      </c>
      <c r="H48" s="216">
        <f t="shared" si="6"/>
        <v>0.83333333333333337</v>
      </c>
      <c r="I48" s="218">
        <v>0.8</v>
      </c>
      <c r="J48" t="s">
        <v>36</v>
      </c>
    </row>
    <row r="49" spans="1:17" x14ac:dyDescent="0.25">
      <c r="B49" s="214">
        <v>3</v>
      </c>
      <c r="C49" s="215">
        <v>1</v>
      </c>
      <c r="D49" s="216">
        <f t="shared" ref="D49:D50" si="7">C49+(($I49-$C49)/6)</f>
        <v>0.93333333333333335</v>
      </c>
      <c r="E49" s="216">
        <f t="shared" si="6"/>
        <v>0.8666666666666667</v>
      </c>
      <c r="F49" s="216">
        <f t="shared" si="6"/>
        <v>0.8</v>
      </c>
      <c r="G49" s="216">
        <f t="shared" si="6"/>
        <v>0.73333333333333339</v>
      </c>
      <c r="H49" s="216">
        <f t="shared" si="6"/>
        <v>0.66666666666666674</v>
      </c>
      <c r="I49" s="217">
        <v>0.6</v>
      </c>
      <c r="J49" t="s">
        <v>37</v>
      </c>
    </row>
    <row r="50" spans="1:17" ht="15.75" thickBot="1" x14ac:dyDescent="0.3">
      <c r="B50" s="219">
        <v>4</v>
      </c>
      <c r="C50" s="220">
        <v>1</v>
      </c>
      <c r="D50" s="221">
        <f t="shared" si="7"/>
        <v>0.88833333333333331</v>
      </c>
      <c r="E50" s="221">
        <f t="shared" si="6"/>
        <v>0.77666666666666662</v>
      </c>
      <c r="F50" s="221">
        <f t="shared" si="6"/>
        <v>0.66499999999999992</v>
      </c>
      <c r="G50" s="221">
        <f t="shared" si="6"/>
        <v>0.55333333333333323</v>
      </c>
      <c r="H50" s="221">
        <f t="shared" si="6"/>
        <v>0.4416666666666666</v>
      </c>
      <c r="I50" s="222">
        <v>0.33</v>
      </c>
      <c r="J50" t="s">
        <v>38</v>
      </c>
    </row>
    <row r="51" spans="1:17" ht="15.75" thickBot="1" x14ac:dyDescent="0.3">
      <c r="B51" s="204"/>
      <c r="I51" s="205"/>
      <c r="J51" s="7"/>
      <c r="N51" s="578" t="s">
        <v>348</v>
      </c>
      <c r="O51" s="578"/>
      <c r="P51" s="578"/>
      <c r="Q51" s="578"/>
    </row>
    <row r="52" spans="1:17" ht="27.6" customHeight="1" x14ac:dyDescent="0.25">
      <c r="B52" s="229" t="s">
        <v>39</v>
      </c>
      <c r="C52" s="380">
        <f>'Baseline Statistics'!C12</f>
        <v>2022</v>
      </c>
      <c r="D52" s="380">
        <f>'Baseline Statistics'!D12</f>
        <v>2025</v>
      </c>
      <c r="E52" s="380">
        <f>'Baseline Statistics'!E12</f>
        <v>2030</v>
      </c>
      <c r="F52" s="380">
        <f>'Baseline Statistics'!F12</f>
        <v>2035</v>
      </c>
      <c r="G52" s="380">
        <f>'Baseline Statistics'!G12</f>
        <v>2040</v>
      </c>
      <c r="H52" s="380">
        <f>'Baseline Statistics'!H12</f>
        <v>2045</v>
      </c>
      <c r="I52" s="381">
        <f>'Baseline Statistics'!I12</f>
        <v>2050</v>
      </c>
      <c r="J52" s="7"/>
      <c r="N52" s="34" t="s">
        <v>349</v>
      </c>
      <c r="O52" s="34" t="s">
        <v>124</v>
      </c>
      <c r="P52" s="34" t="s">
        <v>341</v>
      </c>
      <c r="Q52" s="34" t="s">
        <v>61</v>
      </c>
    </row>
    <row r="53" spans="1:17" ht="30" x14ac:dyDescent="0.25">
      <c r="B53" s="223" t="s">
        <v>40</v>
      </c>
      <c r="C53" s="30">
        <f t="shared" ref="C53:I53" si="8">C28*(C$46*($O$81+$O$80)+(1-$O$81-$O$80))</f>
        <v>190232678.42172083</v>
      </c>
      <c r="D53" s="30">
        <f t="shared" si="8"/>
        <v>201052031.79128477</v>
      </c>
      <c r="E53" s="30">
        <f t="shared" si="8"/>
        <v>211219642.80467471</v>
      </c>
      <c r="F53" s="30">
        <f t="shared" si="8"/>
        <v>215518749.4550797</v>
      </c>
      <c r="G53" s="30">
        <f t="shared" si="8"/>
        <v>222629906.59519458</v>
      </c>
      <c r="H53" s="30">
        <f t="shared" si="8"/>
        <v>229170789.17365733</v>
      </c>
      <c r="I53" s="31">
        <f t="shared" si="8"/>
        <v>236461283.02598932</v>
      </c>
      <c r="J53" t="s">
        <v>41</v>
      </c>
      <c r="N53" s="34" t="s">
        <v>345</v>
      </c>
      <c r="O53" s="369">
        <f>'Baseline User Input'!L84</f>
        <v>0.27</v>
      </c>
      <c r="P53" s="369">
        <f>'Baseline User Input'!M84</f>
        <v>0.47343295973432997</v>
      </c>
      <c r="Q53" s="369">
        <f>'Baseline User Input'!N84</f>
        <v>6.24326606680062E-2</v>
      </c>
    </row>
    <row r="54" spans="1:17" ht="30" x14ac:dyDescent="0.25">
      <c r="B54" s="223" t="s">
        <v>42</v>
      </c>
      <c r="C54" s="30">
        <f t="shared" ref="C54:I54" si="9">C29*(C$46*($O$64+$O$67)+(1-$O$64-$O$67))</f>
        <v>114692341.22762345</v>
      </c>
      <c r="D54" s="30">
        <f t="shared" si="9"/>
        <v>118406174.38741714</v>
      </c>
      <c r="E54" s="30">
        <f t="shared" si="9"/>
        <v>124234639.89566602</v>
      </c>
      <c r="F54" s="30">
        <f t="shared" si="9"/>
        <v>129104258.72204845</v>
      </c>
      <c r="G54" s="30">
        <f t="shared" si="9"/>
        <v>133973877.54843087</v>
      </c>
      <c r="H54" s="30">
        <f t="shared" si="9"/>
        <v>138843496.37481329</v>
      </c>
      <c r="I54" s="31">
        <f t="shared" si="9"/>
        <v>143713115.20119572</v>
      </c>
      <c r="J54" t="s">
        <v>41</v>
      </c>
      <c r="L54" s="7"/>
      <c r="N54" s="34" t="s">
        <v>350</v>
      </c>
      <c r="O54" s="369">
        <f>'Baseline User Input'!L85</f>
        <v>0.17</v>
      </c>
      <c r="P54" s="369">
        <f>'Baseline User Input'!M85</f>
        <v>0</v>
      </c>
      <c r="Q54" s="369">
        <f>'Baseline User Input'!N85</f>
        <v>0</v>
      </c>
    </row>
    <row r="55" spans="1:17" ht="30.75" thickBot="1" x14ac:dyDescent="0.3">
      <c r="B55" s="224" t="s">
        <v>43</v>
      </c>
      <c r="C55" s="32">
        <f t="shared" ref="C55:I55" si="10">C30*(C$46*($O$54+$O$55+$O$57+$O$59)+1-($O$54+$O$55+$O$57+$O$59))</f>
        <v>155686792.50978607</v>
      </c>
      <c r="D55" s="32">
        <f t="shared" si="10"/>
        <v>160382331.5605253</v>
      </c>
      <c r="E55" s="32">
        <f t="shared" si="10"/>
        <v>168019779.74520746</v>
      </c>
      <c r="F55" s="32">
        <f t="shared" si="10"/>
        <v>175119532.71755242</v>
      </c>
      <c r="G55" s="32">
        <f t="shared" si="10"/>
        <v>182228353.0627867</v>
      </c>
      <c r="H55" s="32">
        <f t="shared" si="10"/>
        <v>189330372.87835392</v>
      </c>
      <c r="I55" s="33">
        <f t="shared" si="10"/>
        <v>209012465.8405768</v>
      </c>
      <c r="J55" s="7" t="s">
        <v>41</v>
      </c>
      <c r="N55" s="34" t="s">
        <v>351</v>
      </c>
      <c r="O55" s="369">
        <f>'Baseline User Input'!L86</f>
        <v>0.2</v>
      </c>
      <c r="P55" s="369">
        <f>'Baseline User Input'!M86</f>
        <v>0</v>
      </c>
      <c r="Q55" s="369">
        <f>'Baseline User Input'!N86</f>
        <v>0</v>
      </c>
    </row>
    <row r="56" spans="1:17" ht="15.75" thickBot="1" x14ac:dyDescent="0.3">
      <c r="B56" s="371"/>
      <c r="C56" s="7"/>
      <c r="D56" s="7"/>
      <c r="E56" s="7"/>
      <c r="F56" s="7"/>
      <c r="G56" s="7"/>
      <c r="H56" s="7"/>
      <c r="I56" s="372"/>
      <c r="J56" s="7"/>
      <c r="N56" s="34" t="s">
        <v>344</v>
      </c>
      <c r="O56" s="369">
        <f>'Baseline User Input'!L87</f>
        <v>0.15</v>
      </c>
      <c r="P56" s="369">
        <f>'Baseline User Input'!M87</f>
        <v>0.375856950576751</v>
      </c>
      <c r="Q56" s="369">
        <f>'Baseline User Input'!N87</f>
        <v>0.93212195335022296</v>
      </c>
    </row>
    <row r="57" spans="1:17" ht="30" x14ac:dyDescent="0.25">
      <c r="B57" s="229" t="s">
        <v>352</v>
      </c>
      <c r="C57" s="380">
        <f>'Baseline Statistics'!C12</f>
        <v>2022</v>
      </c>
      <c r="D57" s="380">
        <f>'Baseline Statistics'!D12</f>
        <v>2025</v>
      </c>
      <c r="E57" s="380">
        <f>'Baseline Statistics'!E12</f>
        <v>2030</v>
      </c>
      <c r="F57" s="380">
        <f>'Baseline Statistics'!F12</f>
        <v>2035</v>
      </c>
      <c r="G57" s="380">
        <f>'Baseline Statistics'!G12</f>
        <v>2040</v>
      </c>
      <c r="H57" s="380">
        <f>'Baseline Statistics'!H12</f>
        <v>2045</v>
      </c>
      <c r="I57" s="381">
        <f>'Baseline Statistics'!I12</f>
        <v>2050</v>
      </c>
      <c r="N57" s="34" t="s">
        <v>353</v>
      </c>
      <c r="O57" s="369">
        <f>'Baseline User Input'!L88</f>
        <v>0.13</v>
      </c>
      <c r="P57" s="369">
        <f>'Baseline User Input'!M88</f>
        <v>0</v>
      </c>
      <c r="Q57" s="369">
        <f>'Baseline User Input'!N88</f>
        <v>0</v>
      </c>
    </row>
    <row r="58" spans="1:17" x14ac:dyDescent="0.25">
      <c r="B58" s="234" t="s">
        <v>65</v>
      </c>
      <c r="C58" s="369">
        <f>$O$82/(1-('Baseline User Input'!$L114+'Baseline User Input'!$L113)+('Baseline User Input'!$L114+'Baseline User Input'!$L113)*C$46)</f>
        <v>7.6907848559927532E-3</v>
      </c>
      <c r="D58" s="369">
        <f>$O$82/(1-('Baseline User Input'!$L114+'Baseline User Input'!$L113)+('Baseline User Input'!$L114+'Baseline User Input'!$L113)*D$46)</f>
        <v>7.6907848559927532E-3</v>
      </c>
      <c r="E58" s="369">
        <f>$O$82/(1-('Baseline User Input'!$L114+'Baseline User Input'!$L113)+('Baseline User Input'!$L114+'Baseline User Input'!$L113)*E$46)</f>
        <v>7.6907848559927532E-3</v>
      </c>
      <c r="F58" s="369">
        <f>$O$82/(1-('Baseline User Input'!$L114+'Baseline User Input'!$L113)+('Baseline User Input'!$L114+'Baseline User Input'!$L113)*F$46)</f>
        <v>7.6907848559927532E-3</v>
      </c>
      <c r="G58" s="369">
        <f>$O$82/(1-('Baseline User Input'!$L114+'Baseline User Input'!$L113)+('Baseline User Input'!$L114+'Baseline User Input'!$L113)*G$46)</f>
        <v>7.6907848559927532E-3</v>
      </c>
      <c r="H58" s="369">
        <f>$O$82/(1-('Baseline User Input'!$L114+'Baseline User Input'!$L113)+('Baseline User Input'!$L114+'Baseline User Input'!$L113)*H$46)</f>
        <v>7.6907848559927532E-3</v>
      </c>
      <c r="I58" s="373">
        <f>$O$82/(1-('Baseline User Input'!$L114+'Baseline User Input'!$L113)+('Baseline User Input'!$L114+'Baseline User Input'!$L113)*I$46)</f>
        <v>7.6907848559927532E-3</v>
      </c>
      <c r="J58" s="7"/>
      <c r="N58" s="34" t="s">
        <v>354</v>
      </c>
      <c r="O58" s="369">
        <f>'Baseline User Input'!L89</f>
        <v>0.05</v>
      </c>
      <c r="P58" s="369">
        <f>'Baseline User Input'!M89</f>
        <v>0.150710089688919</v>
      </c>
      <c r="Q58" s="369">
        <f>'Baseline User Input'!N89</f>
        <v>5.4453859817710599E-3</v>
      </c>
    </row>
    <row r="59" spans="1:17" x14ac:dyDescent="0.25">
      <c r="B59" s="234" t="s">
        <v>66</v>
      </c>
      <c r="C59" s="369">
        <f>'Baseline User Input'!$L$101/(1-('Baseline User Input'!$L100+'Baseline User Input'!$L97)+('Baseline User Input'!$L100+'Baseline User Input'!$L97)*C$46)</f>
        <v>0.19055719196366977</v>
      </c>
      <c r="D59" s="369">
        <f>'Baseline User Input'!$L$101/(1-('Baseline User Input'!$L100+'Baseline User Input'!$L97)+('Baseline User Input'!$L100+'Baseline User Input'!$L97)*D$46)</f>
        <v>0.19055719196366977</v>
      </c>
      <c r="E59" s="369">
        <f>'Baseline User Input'!$L$101/(1-('Baseline User Input'!$L100+'Baseline User Input'!$L97)+('Baseline User Input'!$L100+'Baseline User Input'!$L97)*E$46)</f>
        <v>0.19055719196366977</v>
      </c>
      <c r="F59" s="369">
        <f>'Baseline User Input'!$L$101/(1-('Baseline User Input'!$L100+'Baseline User Input'!$L97)+('Baseline User Input'!$L100+'Baseline User Input'!$L97)*F$46)</f>
        <v>0.19055719196366977</v>
      </c>
      <c r="G59" s="369">
        <f>'Baseline User Input'!$L$101/(1-('Baseline User Input'!$L100+'Baseline User Input'!$L97)+('Baseline User Input'!$L100+'Baseline User Input'!$L97)*G$46)</f>
        <v>0.19055719196366977</v>
      </c>
      <c r="H59" s="369">
        <f>'Baseline User Input'!$L$101/(1-('Baseline User Input'!$L100+'Baseline User Input'!$L97)+('Baseline User Input'!$L100+'Baseline User Input'!$L97)*H$46)</f>
        <v>0.19055719196366977</v>
      </c>
      <c r="I59" s="373">
        <f>'Baseline User Input'!$L$101/(1-('Baseline User Input'!$L100+'Baseline User Input'!$L97)+('Baseline User Input'!$L100+'Baseline User Input'!$L97)*I$46)</f>
        <v>0.19055719196366977</v>
      </c>
      <c r="J59" s="7"/>
      <c r="N59" s="34" t="s">
        <v>355</v>
      </c>
      <c r="O59" s="369">
        <f>'Baseline User Input'!L90</f>
        <v>0.03</v>
      </c>
      <c r="P59" s="369">
        <f>'Baseline User Input'!M90</f>
        <v>0</v>
      </c>
      <c r="Q59" s="369">
        <f>'Baseline User Input'!N90</f>
        <v>0</v>
      </c>
    </row>
    <row r="60" spans="1:17" ht="15.75" thickBot="1" x14ac:dyDescent="0.3">
      <c r="B60" s="263" t="s">
        <v>43</v>
      </c>
      <c r="C60" s="374">
        <f>$O56/(1-('Baseline User Input'!$L88+'Baseline User Input'!$L86+'Baseline User Input'!$L85)+('Baseline User Input'!$L88+'Baseline User Input'!$L86+'Baseline User Input'!$L85)*C46)</f>
        <v>0.15</v>
      </c>
      <c r="D60" s="374">
        <f>$O56/(1-('Baseline User Input'!$L88+'Baseline User Input'!$L86+'Baseline User Input'!$L85)+('Baseline User Input'!$L88+'Baseline User Input'!$L86+'Baseline User Input'!$L85)*D46)</f>
        <v>0.15</v>
      </c>
      <c r="E60" s="374">
        <f>$O56/(1-('Baseline User Input'!$L88+'Baseline User Input'!$L86+'Baseline User Input'!$L85)+('Baseline User Input'!$L88+'Baseline User Input'!$L86+'Baseline User Input'!$L85)*E46)</f>
        <v>0.15</v>
      </c>
      <c r="F60" s="374">
        <f>$O56/(1-('Baseline User Input'!$L88+'Baseline User Input'!$L86+'Baseline User Input'!$L85)+('Baseline User Input'!$L88+'Baseline User Input'!$L86+'Baseline User Input'!$L85)*F46)</f>
        <v>0.15</v>
      </c>
      <c r="G60" s="374">
        <f>$O56/(1-('Baseline User Input'!$L88+'Baseline User Input'!$L86+'Baseline User Input'!$L85)+('Baseline User Input'!$L88+'Baseline User Input'!$L86+'Baseline User Input'!$L85)*G46)</f>
        <v>0.15</v>
      </c>
      <c r="H60" s="374">
        <f>$O56/(1-('Baseline User Input'!$L88+'Baseline User Input'!$L86+'Baseline User Input'!$L85)+('Baseline User Input'!$L88+'Baseline User Input'!$L86+'Baseline User Input'!$L85)*H46)</f>
        <v>0.15</v>
      </c>
      <c r="I60" s="375">
        <f>$O56/(1-('Baseline User Input'!$L88+'Baseline User Input'!$L86+'Baseline User Input'!$L85)+('Baseline User Input'!$L88+'Baseline User Input'!$L86+'Baseline User Input'!$L85)*I46)</f>
        <v>0.15</v>
      </c>
      <c r="J60" s="7"/>
      <c r="N60" s="62" t="s">
        <v>356</v>
      </c>
      <c r="O60" s="63">
        <f>'Baseline User Input'!L92</f>
        <v>0.45000000000000007</v>
      </c>
      <c r="P60" s="63">
        <f>'Baseline User Input'!M92</f>
        <v>0.84928991031108092</v>
      </c>
      <c r="Q60" s="63">
        <f>'Baseline User Input'!N92</f>
        <v>0.9945546140182292</v>
      </c>
    </row>
    <row r="61" spans="1:17" ht="15.75" thickBot="1" x14ac:dyDescent="0.3"/>
    <row r="62" spans="1:17" x14ac:dyDescent="0.25">
      <c r="A62" s="209">
        <v>2</v>
      </c>
      <c r="B62" s="210"/>
      <c r="C62" s="575" t="s">
        <v>357</v>
      </c>
      <c r="D62" s="576"/>
      <c r="E62" s="576"/>
      <c r="F62" s="576"/>
      <c r="G62" s="576"/>
      <c r="H62" s="576"/>
      <c r="I62" s="577"/>
      <c r="J62" t="s">
        <v>358</v>
      </c>
      <c r="N62" s="578" t="s">
        <v>359</v>
      </c>
      <c r="O62" s="578"/>
      <c r="P62" s="578"/>
      <c r="Q62" s="578"/>
    </row>
    <row r="63" spans="1:17" x14ac:dyDescent="0.25">
      <c r="B63" s="211" t="s">
        <v>33</v>
      </c>
      <c r="C63" s="212">
        <f t="shared" ref="C63:I63" si="11">C57</f>
        <v>2022</v>
      </c>
      <c r="D63" s="212">
        <f t="shared" si="11"/>
        <v>2025</v>
      </c>
      <c r="E63" s="212">
        <f t="shared" si="11"/>
        <v>2030</v>
      </c>
      <c r="F63" s="212">
        <f t="shared" si="11"/>
        <v>2035</v>
      </c>
      <c r="G63" s="212">
        <f t="shared" si="11"/>
        <v>2040</v>
      </c>
      <c r="H63" s="212">
        <f t="shared" si="11"/>
        <v>2045</v>
      </c>
      <c r="I63" s="213">
        <f t="shared" si="11"/>
        <v>2050</v>
      </c>
      <c r="N63" s="34" t="s">
        <v>349</v>
      </c>
      <c r="O63" s="34" t="s">
        <v>124</v>
      </c>
      <c r="P63" s="34" t="s">
        <v>341</v>
      </c>
      <c r="Q63" s="34" t="s">
        <v>61</v>
      </c>
    </row>
    <row r="64" spans="1:17" x14ac:dyDescent="0.25">
      <c r="B64" s="58" t="s">
        <v>34</v>
      </c>
      <c r="C64" s="64">
        <f t="shared" ref="C64:I64" si="12">VLOOKUP($A62,$B65:$I68,COLUMN()-1,TRUE)</f>
        <v>1</v>
      </c>
      <c r="D64" s="64">
        <f t="shared" si="12"/>
        <v>0.98333333333333339</v>
      </c>
      <c r="E64" s="64">
        <f t="shared" si="12"/>
        <v>0.96666666666666679</v>
      </c>
      <c r="F64" s="64">
        <f t="shared" si="12"/>
        <v>0.95000000000000018</v>
      </c>
      <c r="G64" s="64">
        <f t="shared" si="12"/>
        <v>0.93333333333333357</v>
      </c>
      <c r="H64" s="64">
        <f t="shared" si="12"/>
        <v>0.91666666666666696</v>
      </c>
      <c r="I64" s="65">
        <f t="shared" si="12"/>
        <v>0.9</v>
      </c>
      <c r="J64" s="24" t="str">
        <f>VLOOKUP($A62,$B65:$J68,COLUMN()-1,TRUE)</f>
        <v xml:space="preserve">Lifting current housing stock to minimum standards (10% decrease by 2050) </v>
      </c>
      <c r="N64" s="34" t="s">
        <v>360</v>
      </c>
      <c r="O64" s="369">
        <f>'Baseline User Input'!L97</f>
        <v>0.11228215941881201</v>
      </c>
      <c r="P64" s="369">
        <f>'Baseline User Input'!M97</f>
        <v>0</v>
      </c>
      <c r="Q64" s="369">
        <f>'Baseline User Input'!N97</f>
        <v>0</v>
      </c>
    </row>
    <row r="65" spans="2:17" x14ac:dyDescent="0.25">
      <c r="B65" s="214">
        <v>1</v>
      </c>
      <c r="C65" s="215">
        <v>1</v>
      </c>
      <c r="D65" s="216">
        <f>C65+(($I65-$C65)/6)</f>
        <v>1</v>
      </c>
      <c r="E65" s="216">
        <f t="shared" ref="E65:H68" si="13">D65+(($I65-$C65)/6)</f>
        <v>1</v>
      </c>
      <c r="F65" s="216">
        <f t="shared" si="13"/>
        <v>1</v>
      </c>
      <c r="G65" s="216">
        <f t="shared" si="13"/>
        <v>1</v>
      </c>
      <c r="H65" s="216">
        <f t="shared" si="13"/>
        <v>1</v>
      </c>
      <c r="I65" s="217">
        <v>1</v>
      </c>
      <c r="J65" t="s">
        <v>169</v>
      </c>
      <c r="N65" s="34" t="s">
        <v>361</v>
      </c>
      <c r="O65" s="369">
        <f>'Baseline User Input'!L98</f>
        <v>3.3253345971336536E-2</v>
      </c>
      <c r="P65" s="369">
        <f>'Baseline User Input'!M98</f>
        <v>6.7054863987970573E-2</v>
      </c>
      <c r="Q65" s="369">
        <f>'Baseline User Input'!N98</f>
        <v>0</v>
      </c>
    </row>
    <row r="66" spans="2:17" x14ac:dyDescent="0.25">
      <c r="B66" s="214">
        <v>2</v>
      </c>
      <c r="C66" s="215">
        <v>1</v>
      </c>
      <c r="D66" s="216">
        <f>C66+(($I66-$C66)/6)</f>
        <v>0.98333333333333339</v>
      </c>
      <c r="E66" s="216">
        <f t="shared" si="13"/>
        <v>0.96666666666666679</v>
      </c>
      <c r="F66" s="216">
        <f>E66+(($I66-$C66)/6)</f>
        <v>0.95000000000000018</v>
      </c>
      <c r="G66" s="216">
        <f t="shared" si="13"/>
        <v>0.93333333333333357</v>
      </c>
      <c r="H66" s="216">
        <f t="shared" si="13"/>
        <v>0.91666666666666696</v>
      </c>
      <c r="I66" s="218">
        <v>0.9</v>
      </c>
      <c r="J66" t="s">
        <v>362</v>
      </c>
      <c r="N66" s="34" t="s">
        <v>363</v>
      </c>
      <c r="O66" s="369">
        <f>'Baseline User Input'!L99</f>
        <v>7.6907848559927532E-3</v>
      </c>
      <c r="P66" s="369">
        <f>'Baseline User Input'!M99</f>
        <v>0</v>
      </c>
      <c r="Q66" s="369">
        <f>'Baseline User Input'!N99</f>
        <v>0.12262653085858072</v>
      </c>
    </row>
    <row r="67" spans="2:17" x14ac:dyDescent="0.25">
      <c r="B67" s="214">
        <v>3</v>
      </c>
      <c r="C67" s="215">
        <v>1</v>
      </c>
      <c r="D67" s="216">
        <f t="shared" ref="D67:D68" si="14">C67+(($I67-$C67)/6)</f>
        <v>0.95</v>
      </c>
      <c r="E67" s="216">
        <f t="shared" si="13"/>
        <v>0.89999999999999991</v>
      </c>
      <c r="F67" s="216">
        <f t="shared" si="13"/>
        <v>0.84999999999999987</v>
      </c>
      <c r="G67" s="216">
        <f t="shared" si="13"/>
        <v>0.79999999999999982</v>
      </c>
      <c r="H67" s="216">
        <f t="shared" si="13"/>
        <v>0.74999999999999978</v>
      </c>
      <c r="I67" s="217">
        <v>0.7</v>
      </c>
      <c r="J67" t="s">
        <v>364</v>
      </c>
      <c r="N67" s="34" t="s">
        <v>353</v>
      </c>
      <c r="O67" s="369">
        <f>'Baseline User Input'!L100</f>
        <v>0.23298518834024226</v>
      </c>
      <c r="P67" s="369">
        <f>'Baseline User Input'!M100</f>
        <v>0</v>
      </c>
      <c r="Q67" s="369">
        <f>'Baseline User Input'!N100</f>
        <v>0</v>
      </c>
    </row>
    <row r="68" spans="2:17" ht="15.75" thickBot="1" x14ac:dyDescent="0.3">
      <c r="B68" s="219">
        <v>4</v>
      </c>
      <c r="C68" s="220">
        <v>1</v>
      </c>
      <c r="D68" s="221">
        <f t="shared" si="14"/>
        <v>0.91666666666666663</v>
      </c>
      <c r="E68" s="221">
        <f t="shared" si="13"/>
        <v>0.83333333333333326</v>
      </c>
      <c r="F68" s="221">
        <f t="shared" si="13"/>
        <v>0.74999999999999989</v>
      </c>
      <c r="G68" s="221">
        <f t="shared" si="13"/>
        <v>0.66666666666666652</v>
      </c>
      <c r="H68" s="221">
        <f t="shared" si="13"/>
        <v>0.58333333333333315</v>
      </c>
      <c r="I68" s="222">
        <v>0.5</v>
      </c>
      <c r="J68" t="s">
        <v>365</v>
      </c>
      <c r="N68" s="34" t="s">
        <v>366</v>
      </c>
      <c r="O68" s="369">
        <f>'Baseline User Input'!L101</f>
        <v>0.19055719196366977</v>
      </c>
      <c r="P68" s="369">
        <f>'Baseline User Input'!M101</f>
        <v>0.84009567011973885</v>
      </c>
      <c r="Q68" s="369">
        <f>'Baseline User Input'!N101</f>
        <v>0.57150815684162648</v>
      </c>
    </row>
    <row r="69" spans="2:17" ht="15.75" thickBot="1" x14ac:dyDescent="0.3">
      <c r="N69" s="34" t="s">
        <v>367</v>
      </c>
      <c r="O69" s="369">
        <f>'Baseline User Input'!L102</f>
        <v>9.7305825679542615E-2</v>
      </c>
      <c r="P69" s="369">
        <f>'Baseline User Input'!M102</f>
        <v>9.2561850025986339E-2</v>
      </c>
      <c r="Q69" s="369">
        <f>'Baseline User Input'!N102</f>
        <v>0.30586531229979302</v>
      </c>
    </row>
    <row r="70" spans="2:17" ht="30" x14ac:dyDescent="0.25">
      <c r="B70" s="229" t="s">
        <v>39</v>
      </c>
      <c r="C70" s="380">
        <f>'Baseline Statistics'!C12</f>
        <v>2022</v>
      </c>
      <c r="D70" s="380">
        <f>'Baseline Statistics'!D12</f>
        <v>2025</v>
      </c>
      <c r="E70" s="380">
        <f>'Baseline Statistics'!E12</f>
        <v>2030</v>
      </c>
      <c r="F70" s="380">
        <f>'Baseline Statistics'!F12</f>
        <v>2035</v>
      </c>
      <c r="G70" s="380">
        <f>'Baseline Statistics'!G12</f>
        <v>2040</v>
      </c>
      <c r="H70" s="380">
        <f>'Baseline Statistics'!H12</f>
        <v>2045</v>
      </c>
      <c r="I70" s="381">
        <f>'Baseline Statistics'!I12</f>
        <v>2050</v>
      </c>
      <c r="N70" s="34" t="s">
        <v>350</v>
      </c>
      <c r="O70" s="369">
        <f>'Baseline User Input'!L103</f>
        <v>0.16760871782258405</v>
      </c>
      <c r="P70" s="369">
        <f>'Baseline User Input'!M103</f>
        <v>0</v>
      </c>
      <c r="Q70" s="369">
        <f>'Baseline User Input'!N103</f>
        <v>0</v>
      </c>
    </row>
    <row r="71" spans="2:17" ht="30" x14ac:dyDescent="0.25">
      <c r="B71" s="223" t="s">
        <v>40</v>
      </c>
      <c r="C71" s="30">
        <f t="shared" ref="C71:I73" si="15">C53*(C$64*$C58+(1-$C58))</f>
        <v>190232678.42172083</v>
      </c>
      <c r="D71" s="30">
        <f t="shared" si="15"/>
        <v>201026260.99259534</v>
      </c>
      <c r="E71" s="30">
        <f t="shared" si="15"/>
        <v>211165494.64366904</v>
      </c>
      <c r="F71" s="30">
        <f t="shared" si="15"/>
        <v>215435874.03835514</v>
      </c>
      <c r="G71" s="30">
        <f t="shared" si="15"/>
        <v>222515760.01425236</v>
      </c>
      <c r="H71" s="30">
        <f t="shared" si="15"/>
        <v>229023913.90408963</v>
      </c>
      <c r="I71" s="31">
        <f t="shared" si="15"/>
        <v>236279425.74053684</v>
      </c>
      <c r="J71" t="s">
        <v>41</v>
      </c>
      <c r="L71" s="11"/>
      <c r="M71" s="11"/>
      <c r="N71" s="34" t="s">
        <v>368</v>
      </c>
      <c r="O71" s="369">
        <f>'Baseline User Input'!L104</f>
        <v>7.8087562165177898E-2</v>
      </c>
      <c r="P71" s="369">
        <f>'Baseline User Input'!M104</f>
        <v>0</v>
      </c>
      <c r="Q71" s="369">
        <f>'Baseline User Input'!N104</f>
        <v>0</v>
      </c>
    </row>
    <row r="72" spans="2:17" ht="30" x14ac:dyDescent="0.25">
      <c r="B72" s="223" t="s">
        <v>42</v>
      </c>
      <c r="C72" s="30">
        <f t="shared" si="15"/>
        <v>114692341.22762345</v>
      </c>
      <c r="D72" s="30">
        <f t="shared" si="15"/>
        <v>118030121.91904336</v>
      </c>
      <c r="E72" s="30">
        <f t="shared" si="15"/>
        <v>123445513.0915615</v>
      </c>
      <c r="F72" s="30">
        <f t="shared" si="15"/>
        <v>127874171.47141723</v>
      </c>
      <c r="G72" s="30">
        <f t="shared" si="15"/>
        <v>132271898.48829</v>
      </c>
      <c r="H72" s="30">
        <f t="shared" si="15"/>
        <v>136638694.14217976</v>
      </c>
      <c r="I72" s="31">
        <f t="shared" si="15"/>
        <v>140974558.4330866</v>
      </c>
      <c r="J72" t="s">
        <v>41</v>
      </c>
      <c r="N72" s="34" t="s">
        <v>369</v>
      </c>
      <c r="O72" s="369">
        <f>'Baseline User Input'!L105</f>
        <v>7.9162892263022436E-2</v>
      </c>
      <c r="P72" s="369">
        <f>'Baseline User Input'!M105</f>
        <v>0</v>
      </c>
      <c r="Q72" s="369">
        <f>'Baseline User Input'!N105</f>
        <v>0</v>
      </c>
    </row>
    <row r="73" spans="2:17" ht="30" x14ac:dyDescent="0.25">
      <c r="B73" s="223" t="s">
        <v>370</v>
      </c>
      <c r="C73" s="30">
        <f t="shared" si="15"/>
        <v>155686792.50978607</v>
      </c>
      <c r="D73" s="30">
        <f t="shared" si="15"/>
        <v>159981375.73162398</v>
      </c>
      <c r="E73" s="30">
        <f t="shared" si="15"/>
        <v>167179680.84648141</v>
      </c>
      <c r="F73" s="30">
        <f t="shared" si="15"/>
        <v>173806136.22217077</v>
      </c>
      <c r="G73" s="30">
        <f t="shared" si="15"/>
        <v>180406069.53215882</v>
      </c>
      <c r="H73" s="30">
        <f t="shared" si="15"/>
        <v>186963743.2173745</v>
      </c>
      <c r="I73" s="31">
        <f t="shared" si="15"/>
        <v>205877278.85296816</v>
      </c>
      <c r="J73" t="s">
        <v>41</v>
      </c>
      <c r="N73" s="34" t="s">
        <v>371</v>
      </c>
      <c r="O73" s="369">
        <f>'Baseline User Input'!L106</f>
        <v>1.0663315196199001E-3</v>
      </c>
      <c r="P73" s="369">
        <f>'Baseline User Input'!M106</f>
        <v>0</v>
      </c>
      <c r="Q73" s="369">
        <f>'Baseline User Input'!N106</f>
        <v>0</v>
      </c>
    </row>
    <row r="74" spans="2:17" x14ac:dyDescent="0.25">
      <c r="B74" s="223" t="s">
        <v>372</v>
      </c>
      <c r="C74" s="30">
        <f>C31*(C$64*'Baseline User Input'!$M115+(1-'Baseline User Input'!$M115))</f>
        <v>699924.77452800004</v>
      </c>
      <c r="D74" s="30">
        <f>D31*(D$64*'Baseline User Input'!$M115+(1-'Baseline User Input'!$M115))</f>
        <v>735832.24666219996</v>
      </c>
      <c r="E74" s="30">
        <f>E31*(E$64*'Baseline User Input'!$M115+(1-'Baseline User Input'!$M115))</f>
        <v>768771.97448155296</v>
      </c>
      <c r="F74" s="30">
        <f>F31*(F$64*'Baseline User Input'!$M115+(1-'Baseline User Input'!$M115))</f>
        <v>778355.37439392495</v>
      </c>
      <c r="G74" s="30">
        <f>G31*(G$64*'Baseline User Input'!$M115+(1-'Baseline User Input'!$M115))</f>
        <v>799051.18430055375</v>
      </c>
      <c r="H74" s="30">
        <f>H31*(H$64*'Baseline User Input'!$M115+(1-'Baseline User Input'!$M115))</f>
        <v>817155.67844413093</v>
      </c>
      <c r="I74" s="31">
        <f>I31*(I$64*'Baseline User Input'!$M115+(1-'Baseline User Input'!$M115))</f>
        <v>835398.51812798879</v>
      </c>
      <c r="J74" t="s">
        <v>120</v>
      </c>
      <c r="N74" s="62" t="s">
        <v>214</v>
      </c>
      <c r="O74" s="63">
        <f>'Baseline User Input'!L107</f>
        <v>1.0000000000000002</v>
      </c>
      <c r="P74" s="63">
        <f>'Baseline User Input'!M107</f>
        <v>0.99971238413369579</v>
      </c>
      <c r="Q74" s="63">
        <f>'Baseline User Input'!N107</f>
        <v>1.0000000000000002</v>
      </c>
    </row>
    <row r="75" spans="2:17" ht="30" x14ac:dyDescent="0.25">
      <c r="B75" s="223" t="s">
        <v>373</v>
      </c>
      <c r="C75" s="30">
        <f>C32*(C$64*'Baseline User Input'!$M101+(1-'Baseline User Input'!$M101))</f>
        <v>99989.253504000008</v>
      </c>
      <c r="D75" s="30">
        <f>D32*(D$64*'Baseline User Input'!$M101+(1-'Baseline User Input'!$M101))</f>
        <v>101781.64605092083</v>
      </c>
      <c r="E75" s="30">
        <f>E32*(E$64*'Baseline User Input'!$M101+(1-'Baseline User Input'!$M101))</f>
        <v>105275.29170456085</v>
      </c>
      <c r="F75" s="30">
        <f>F32*(F$64*'Baseline User Input'!$M101+(1-'Baseline User Input'!$M101))</f>
        <v>107825.83175051493</v>
      </c>
      <c r="G75" s="30">
        <f>G32*(G$64*'Baseline User Input'!$M101+(1-'Baseline User Input'!$M101))</f>
        <v>110257.48835536971</v>
      </c>
      <c r="H75" s="30">
        <f>H32*(H$64*'Baseline User Input'!$M101+(1-'Baseline User Input'!$M101))</f>
        <v>112570.26151912521</v>
      </c>
      <c r="I75" s="31">
        <f>I32*(I$64*'Baseline User Input'!$M101+(1-'Baseline User Input'!$M101))</f>
        <v>114764.15124178136</v>
      </c>
      <c r="J75" t="s">
        <v>120</v>
      </c>
      <c r="L75" s="7"/>
      <c r="M75" s="5"/>
      <c r="N75" s="62" t="s">
        <v>356</v>
      </c>
      <c r="O75" s="63">
        <f>'Baseline User Input'!L108</f>
        <v>0.29555380249920515</v>
      </c>
      <c r="P75" s="63">
        <f>'Baseline User Input'!M108</f>
        <v>0.93265752014572523</v>
      </c>
      <c r="Q75" s="63">
        <f>'Baseline User Input'!N108</f>
        <v>1.0000000000000002</v>
      </c>
    </row>
    <row r="76" spans="2:17" x14ac:dyDescent="0.25">
      <c r="B76" s="223" t="s">
        <v>374</v>
      </c>
      <c r="C76" s="30">
        <f>C33*(C$64*'Baseline User Input'!$M87+(1-'Baseline User Input'!$M87))</f>
        <v>93739.925159999999</v>
      </c>
      <c r="D76" s="30">
        <f>D33*(D$64*'Baseline User Input'!$M87+(1-'Baseline User Input'!$M87))</f>
        <v>95962.212764735348</v>
      </c>
      <c r="E76" s="30">
        <f>E33*(E$64*'Baseline User Input'!$M87+(1-'Baseline User Input'!$M87))</f>
        <v>99898.227746811492</v>
      </c>
      <c r="F76" s="30">
        <f>F33*(F$64*'Baseline User Input'!$M87+(1-'Baseline User Input'!$M87))</f>
        <v>103458.96422265355</v>
      </c>
      <c r="G76" s="30">
        <f>G33*(G$64*'Baseline User Input'!$M87+(1-'Baseline User Input'!$M87))</f>
        <v>106971.46627383382</v>
      </c>
      <c r="H76" s="30">
        <f>H33*(H$64*'Baseline User Input'!$M87+(1-'Baseline User Input'!$M87))</f>
        <v>110426.37639353045</v>
      </c>
      <c r="I76" s="31">
        <f>I33*(I$64*'Baseline User Input'!$M87+(1-'Baseline User Input'!$M87))</f>
        <v>121117.55345613477</v>
      </c>
      <c r="J76" t="s">
        <v>120</v>
      </c>
    </row>
    <row r="77" spans="2:17" x14ac:dyDescent="0.25">
      <c r="B77" s="223" t="s">
        <v>375</v>
      </c>
      <c r="C77" s="30">
        <f>C34*(C$64*'Baseline User Input'!$L115+(1-'Baseline User Input'!$L115))</f>
        <v>357135.92553191498</v>
      </c>
      <c r="D77" s="30">
        <f>D34*(D$64*'Baseline User Input'!$L115+(1-'Baseline User Input'!$L115))</f>
        <v>375367.81361979141</v>
      </c>
      <c r="E77" s="30">
        <f>E34*(E$64*'Baseline User Input'!$L115+(1-'Baseline User Input'!$L115))</f>
        <v>392073.59785346332</v>
      </c>
      <c r="F77" s="30">
        <f>F34*(F$64*'Baseline User Input'!$L115+(1-'Baseline User Input'!$L115))</f>
        <v>396831.65063126362</v>
      </c>
      <c r="G77" s="30">
        <f>G34*(G$64*'Baseline User Input'!$L115+(1-'Baseline User Input'!$L115))</f>
        <v>407271.04826314608</v>
      </c>
      <c r="H77" s="30">
        <f>H34*(H$64*'Baseline User Input'!$L115+(1-'Baseline User Input'!$L115))</f>
        <v>416378.90925334702</v>
      </c>
      <c r="I77" s="31">
        <f>I34*(I$64*'Baseline User Input'!$L115+(1-'Baseline User Input'!$L115))</f>
        <v>425511.22994880774</v>
      </c>
      <c r="J77" t="s">
        <v>120</v>
      </c>
    </row>
    <row r="78" spans="2:17" ht="30" x14ac:dyDescent="0.25">
      <c r="B78" s="223" t="s">
        <v>376</v>
      </c>
      <c r="C78" s="30">
        <f>C35*(C$64*'Baseline User Input'!$L101+(1-'Baseline User Input'!$L101))</f>
        <v>16945.48</v>
      </c>
      <c r="D78" s="30">
        <f>D35*(D$64*'Baseline User Input'!$L101+(1-'Baseline User Input'!$L101))</f>
        <v>17438.627976102347</v>
      </c>
      <c r="E78" s="30">
        <f>E35*(E$64*'Baseline User Input'!$L101+(1-'Baseline User Input'!$L101))</f>
        <v>18238.737223362015</v>
      </c>
      <c r="F78" s="30">
        <f>F35*(F$64*'Baseline User Input'!$L101+(1-'Baseline User Input'!$L101))</f>
        <v>18893.059396921439</v>
      </c>
      <c r="G78" s="30">
        <f>G35*(G$64*'Baseline User Input'!$L101+(1-'Baseline User Input'!$L101))</f>
        <v>19542.811546125351</v>
      </c>
      <c r="H78" s="30">
        <f>H35*(H$64*'Baseline User Input'!$L101+(1-'Baseline User Input'!$L101))</f>
        <v>20187.993670973756</v>
      </c>
      <c r="I78" s="31">
        <f>I35*(I$64*'Baseline User Input'!$L101+(1-'Baseline User Input'!$L101))</f>
        <v>20828.605771466646</v>
      </c>
      <c r="J78" t="s">
        <v>120</v>
      </c>
      <c r="N78" s="578" t="s">
        <v>377</v>
      </c>
      <c r="O78" s="578"/>
      <c r="P78" s="578"/>
      <c r="Q78" s="578"/>
    </row>
    <row r="79" spans="2:17" ht="30" x14ac:dyDescent="0.25">
      <c r="B79" s="223" t="s">
        <v>378</v>
      </c>
      <c r="C79" s="30">
        <f t="shared" ref="C79:I79" si="16">C36*(C$64*$Q$56+(1-$Q$56))</f>
        <v>4125.6000000000004</v>
      </c>
      <c r="D79" s="30">
        <f t="shared" si="16"/>
        <v>4184.0030168202202</v>
      </c>
      <c r="E79" s="30">
        <f t="shared" si="16"/>
        <v>4314.0764091962865</v>
      </c>
      <c r="F79" s="30">
        <f t="shared" si="16"/>
        <v>4424.2769675947493</v>
      </c>
      <c r="G79" s="30">
        <f t="shared" si="16"/>
        <v>4528.8572611327336</v>
      </c>
      <c r="H79" s="30">
        <f t="shared" si="16"/>
        <v>4627.4182643621716</v>
      </c>
      <c r="I79" s="31">
        <f t="shared" si="16"/>
        <v>5022.4220689339372</v>
      </c>
      <c r="J79" t="s">
        <v>120</v>
      </c>
      <c r="N79" s="34" t="s">
        <v>349</v>
      </c>
      <c r="O79" s="34" t="s">
        <v>124</v>
      </c>
      <c r="P79" s="34" t="s">
        <v>341</v>
      </c>
      <c r="Q79" s="34" t="s">
        <v>61</v>
      </c>
    </row>
    <row r="80" spans="2:17" x14ac:dyDescent="0.25">
      <c r="B80" s="234" t="s">
        <v>62</v>
      </c>
      <c r="C80" s="30">
        <f>('2. Industry'!C56+'Baseline User Input'!$L$43+'Baseline User Input'!$L$44)*(C$64*$P$44+1-$P$44)</f>
        <v>6227585.5710199699</v>
      </c>
      <c r="D80" s="30">
        <f>('2. Industry'!D56+'Baseline User Input'!$L$43+'Baseline User Input'!$L$44)*(D$64*$P$44+1-$P$44)</f>
        <v>6397249.5031804452</v>
      </c>
      <c r="E80" s="30">
        <f>('2. Industry'!E56+'Baseline User Input'!$L$43+'Baseline User Input'!$L$44)*(E$64*$P$44+1-$P$44)</f>
        <v>6556756.481768379</v>
      </c>
      <c r="F80" s="30">
        <f>('2. Industry'!F56+'Baseline User Input'!$L$43+'Baseline User Input'!$L$44)*(F$64*$P$44+1-$P$44)</f>
        <v>6624656.4464592952</v>
      </c>
      <c r="G80" s="30">
        <f>('2. Industry'!G56+'Baseline User Input'!$L$43+'Baseline User Input'!$L$44)*(G$64*$P$44+1-$P$44)</f>
        <v>6735580.1286342116</v>
      </c>
      <c r="H80" s="30">
        <f>('2. Industry'!H56+'Baseline User Input'!$L$43+'Baseline User Input'!$L$44)*(H$64*$P$44+1-$P$44)</f>
        <v>6837862.0410675546</v>
      </c>
      <c r="I80" s="31">
        <f>('2. Industry'!I56+'Baseline User Input'!$L$43+'Baseline User Input'!$L$44)*(I$64*$P$44+1-$P$44)</f>
        <v>6958353.6020887122</v>
      </c>
      <c r="J80" t="s">
        <v>122</v>
      </c>
      <c r="N80" s="34" t="s">
        <v>360</v>
      </c>
      <c r="O80" s="369">
        <f>'Baseline User Input'!L97</f>
        <v>0.11228215941881201</v>
      </c>
      <c r="P80" s="369">
        <f>'Baseline User Input'!M97</f>
        <v>0</v>
      </c>
      <c r="Q80" s="369">
        <f>'Baseline User Input'!N97</f>
        <v>0</v>
      </c>
    </row>
    <row r="81" spans="2:17" x14ac:dyDescent="0.25">
      <c r="B81" s="234" t="s">
        <v>63</v>
      </c>
      <c r="C81" s="30">
        <f>('2. Industry'!C57+'Baseline User Input'!$L$48+'Baseline User Input'!$L$49)*(C$64*$Q$44+1-$Q$44)</f>
        <v>2844830.6881454801</v>
      </c>
      <c r="D81" s="30">
        <f>('2. Industry'!D54+'Baseline User Input'!$L$48+'Baseline User Input'!$L$49)*(D$64*$Q$44+1-$Q$44)</f>
        <v>2067417.2862015609</v>
      </c>
      <c r="E81" s="30">
        <f>('2. Industry'!E54+'Baseline User Input'!$L$48+'Baseline User Input'!$L$49)*(E$64*$Q$44+1-$Q$44)</f>
        <v>2093769.0264870834</v>
      </c>
      <c r="F81" s="30">
        <f>('2. Industry'!F54+'Baseline User Input'!$L$48+'Baseline User Input'!$L$49)*(F$64*$Q$44+1-$Q$44)</f>
        <v>2098448.3074723631</v>
      </c>
      <c r="G81" s="30">
        <f>('2. Industry'!G54+'Baseline User Input'!$L$48+'Baseline User Input'!$L$49)*(G$64*$Q$44+1-$Q$44)</f>
        <v>2113409.692727929</v>
      </c>
      <c r="H81" s="30">
        <f>('2. Industry'!H54+'Baseline User Input'!$L$48+'Baseline User Input'!$L$49)*(H$64*$Q$44+1-$Q$44)</f>
        <v>2125785.1595442607</v>
      </c>
      <c r="I81" s="31">
        <f>('2. Industry'!I54+'Baseline User Input'!$L$48+'Baseline User Input'!$L$49)*(I$64*$Q$44+1-$Q$44)</f>
        <v>2136621.3891943824</v>
      </c>
      <c r="J81" t="s">
        <v>122</v>
      </c>
      <c r="N81" s="34" t="s">
        <v>353</v>
      </c>
      <c r="O81" s="369">
        <f>'Baseline User Input'!L98</f>
        <v>3.3253345971336536E-2</v>
      </c>
      <c r="P81" s="369">
        <f>'Baseline User Input'!M98</f>
        <v>6.7054863987970573E-2</v>
      </c>
      <c r="Q81" s="369">
        <f>'Baseline User Input'!N98</f>
        <v>0</v>
      </c>
    </row>
    <row r="82" spans="2:17" ht="15.75" thickBot="1" x14ac:dyDescent="0.3">
      <c r="B82" s="263" t="s">
        <v>64</v>
      </c>
      <c r="C82" s="32">
        <f>('2. Industry'!C58+'Baseline User Input'!$L$57+'Baseline User Input'!$L$58)*(C$64*$O$44+1-$O$44)</f>
        <v>3471299.9999999995</v>
      </c>
      <c r="D82" s="32">
        <f>('2. Industry'!D55+'Baseline User Input'!$L$57+'Baseline User Input'!$L$58)*(D$64*$O$44+1-$O$44)</f>
        <v>2357147.390673032</v>
      </c>
      <c r="E82" s="32">
        <f>('2. Industry'!E55+'Baseline User Input'!$L$57+'Baseline User Input'!$L$58)*(E$64*$O$44+1-$O$44)</f>
        <v>2344791.6933647725</v>
      </c>
      <c r="F82" s="32">
        <f>('2. Industry'!F55+'Baseline User Input'!$L$57+'Baseline User Input'!$L$58)*(F$64*$O$44+1-$O$44)</f>
        <v>2321375.2125796932</v>
      </c>
      <c r="G82" s="32">
        <f>('2. Industry'!G55+'Baseline User Input'!$L$57+'Baseline User Input'!$L$58)*(G$64*$O$44+1-$O$44)</f>
        <v>2302960.0497084106</v>
      </c>
      <c r="H82" s="32">
        <f>('2. Industry'!H55+'Baseline User Input'!$L$57+'Baseline User Input'!$L$58)*(H$64*$O$44+1-$O$44)</f>
        <v>2283123.2918421496</v>
      </c>
      <c r="I82" s="33">
        <f>('2. Industry'!I55+'Baseline User Input'!$L$57+'Baseline User Input'!$L$58)*(I$64*$O$44+1-$O$44)</f>
        <v>2262410.5561537636</v>
      </c>
      <c r="J82" t="s">
        <v>122</v>
      </c>
      <c r="N82" s="34" t="s">
        <v>366</v>
      </c>
      <c r="O82" s="369">
        <f>'Baseline User Input'!L99</f>
        <v>7.6907848559927532E-3</v>
      </c>
      <c r="P82" s="369">
        <f>'Baseline User Input'!M99</f>
        <v>0</v>
      </c>
      <c r="Q82" s="369">
        <f>'Baseline User Input'!N99</f>
        <v>0.12262653085858072</v>
      </c>
    </row>
    <row r="83" spans="2:17" ht="15.75" thickBot="1" x14ac:dyDescent="0.3">
      <c r="B83" s="376"/>
      <c r="C83" s="7"/>
      <c r="D83" s="7"/>
      <c r="E83" s="7"/>
      <c r="F83" s="7"/>
      <c r="G83" s="7"/>
      <c r="H83" s="7"/>
      <c r="I83" s="7"/>
      <c r="N83" s="34" t="s">
        <v>379</v>
      </c>
      <c r="O83" s="369">
        <f>'Baseline User Input'!L100</f>
        <v>0.23298518834024226</v>
      </c>
      <c r="P83" s="369">
        <f>'Baseline User Input'!M100</f>
        <v>0</v>
      </c>
      <c r="Q83" s="369">
        <f>'Baseline User Input'!N100</f>
        <v>0</v>
      </c>
    </row>
    <row r="84" spans="2:17" ht="30" x14ac:dyDescent="0.25">
      <c r="B84" s="279" t="s">
        <v>380</v>
      </c>
      <c r="C84" s="382">
        <f>'Baseline Statistics'!C12</f>
        <v>2022</v>
      </c>
      <c r="D84" s="382">
        <f>'Baseline Statistics'!D12</f>
        <v>2025</v>
      </c>
      <c r="E84" s="382">
        <f>'Baseline Statistics'!E12</f>
        <v>2030</v>
      </c>
      <c r="F84" s="382">
        <f>'Baseline Statistics'!F12</f>
        <v>2035</v>
      </c>
      <c r="G84" s="382">
        <f>'Baseline Statistics'!G12</f>
        <v>2040</v>
      </c>
      <c r="H84" s="382">
        <f>'Baseline Statistics'!H12</f>
        <v>2045</v>
      </c>
      <c r="I84" s="383">
        <f>'Baseline Statistics'!I12</f>
        <v>2050</v>
      </c>
      <c r="J84" s="664"/>
      <c r="K84" s="663"/>
      <c r="N84" s="34" t="s">
        <v>381</v>
      </c>
      <c r="O84" s="369">
        <f>'Baseline User Input'!L101</f>
        <v>0.19055719196366977</v>
      </c>
      <c r="P84" s="369">
        <f>'Baseline User Input'!M101</f>
        <v>0.84009567011973885</v>
      </c>
      <c r="Q84" s="369">
        <f>'Baseline User Input'!N101</f>
        <v>0.57150815684162648</v>
      </c>
    </row>
    <row r="85" spans="2:17" x14ac:dyDescent="0.25">
      <c r="B85" s="223" t="s">
        <v>372</v>
      </c>
      <c r="C85" s="369">
        <f>P82</f>
        <v>0</v>
      </c>
      <c r="D85" s="369">
        <f>($C85*D$64)/($C85*D$64+(1-$C85))</f>
        <v>0</v>
      </c>
      <c r="E85" s="369">
        <f t="shared" ref="E85:I87" si="17">($C85*E$64)/($C85*E$64+(1-$C85))</f>
        <v>0</v>
      </c>
      <c r="F85" s="369">
        <f t="shared" si="17"/>
        <v>0</v>
      </c>
      <c r="G85" s="369">
        <f t="shared" si="17"/>
        <v>0</v>
      </c>
      <c r="H85" s="369">
        <f>($C85*H$64)/($C85*H$64+(1-$C85))</f>
        <v>0</v>
      </c>
      <c r="I85" s="373">
        <f t="shared" si="17"/>
        <v>0</v>
      </c>
      <c r="N85" s="34" t="s">
        <v>369</v>
      </c>
      <c r="O85" s="369">
        <f>'Baseline User Input'!L102</f>
        <v>9.7305825679542615E-2</v>
      </c>
      <c r="P85" s="369">
        <f>'Baseline User Input'!M102</f>
        <v>9.2561850025986339E-2</v>
      </c>
      <c r="Q85" s="369">
        <f>'Baseline User Input'!N102</f>
        <v>0.30586531229979302</v>
      </c>
    </row>
    <row r="86" spans="2:17" ht="30" x14ac:dyDescent="0.25">
      <c r="B86" s="223" t="s">
        <v>373</v>
      </c>
      <c r="C86" s="369">
        <f>P68</f>
        <v>0.84009567011973885</v>
      </c>
      <c r="D86" s="369">
        <f t="shared" ref="D86" si="18">($C86*D$64)/($C86*D$64+(1-$C86))</f>
        <v>0.83782496098510706</v>
      </c>
      <c r="E86" s="369">
        <f t="shared" si="17"/>
        <v>0.83548883281169761</v>
      </c>
      <c r="F86" s="369">
        <f t="shared" si="17"/>
        <v>0.83308441720046889</v>
      </c>
      <c r="G86" s="369">
        <f t="shared" si="17"/>
        <v>0.83060867557258422</v>
      </c>
      <c r="H86" s="369">
        <f t="shared" si="17"/>
        <v>0.82805838635861129</v>
      </c>
      <c r="I86" s="373">
        <f>($C86*I$64)/($C86*I$64+(1-$C86))</f>
        <v>0.82543013101278595</v>
      </c>
      <c r="N86" s="34" t="s">
        <v>363</v>
      </c>
      <c r="O86" s="369">
        <f>'Baseline User Input'!L103</f>
        <v>0.16760871782258405</v>
      </c>
      <c r="P86" s="369">
        <f>'Baseline User Input'!M103</f>
        <v>0</v>
      </c>
      <c r="Q86" s="369">
        <f>'Baseline User Input'!N103</f>
        <v>0</v>
      </c>
    </row>
    <row r="87" spans="2:17" x14ac:dyDescent="0.25">
      <c r="B87" s="223" t="s">
        <v>374</v>
      </c>
      <c r="C87" s="369">
        <f>P56</f>
        <v>0.375856950576751</v>
      </c>
      <c r="D87" s="369">
        <f t="shared" ref="D87:D93" si="19">($C87*D$64)/($C87*D$64+(1-$C87))</f>
        <v>0.37192249565158014</v>
      </c>
      <c r="E87" s="369">
        <f t="shared" si="17"/>
        <v>0.36793812224512562</v>
      </c>
      <c r="F87" s="369">
        <f t="shared" si="17"/>
        <v>0.36390287427955492</v>
      </c>
      <c r="G87" s="369">
        <f t="shared" si="17"/>
        <v>0.3598157711047581</v>
      </c>
      <c r="H87" s="369">
        <f t="shared" ref="H87:H93" si="20">($C87*H$64)/($C87*H$64+(1-$C87))</f>
        <v>0.35567580670382393</v>
      </c>
      <c r="I87" s="373">
        <f t="shared" si="17"/>
        <v>0.35148194886748663</v>
      </c>
      <c r="N87" s="34" t="s">
        <v>350</v>
      </c>
      <c r="O87" s="369">
        <f>'Baseline User Input'!L104</f>
        <v>7.8087562165177898E-2</v>
      </c>
      <c r="P87" s="369">
        <f>'Baseline User Input'!M104</f>
        <v>0</v>
      </c>
      <c r="Q87" s="369">
        <f>'Baseline User Input'!N104</f>
        <v>0</v>
      </c>
    </row>
    <row r="88" spans="2:17" x14ac:dyDescent="0.25">
      <c r="B88" s="223" t="s">
        <v>375</v>
      </c>
      <c r="C88" s="369">
        <f>Q82</f>
        <v>0.12262653085858072</v>
      </c>
      <c r="D88" s="369">
        <f t="shared" si="19"/>
        <v>0.12082970413498341</v>
      </c>
      <c r="E88" s="369">
        <f t="shared" ref="E88:G93" si="21">($C88*E$64)/($C88*E$64+(1-$C88))</f>
        <v>0.11902550264573288</v>
      </c>
      <c r="F88" s="369">
        <f t="shared" si="21"/>
        <v>0.1172138808947816</v>
      </c>
      <c r="G88" s="369">
        <f t="shared" si="21"/>
        <v>0.11539479301108156</v>
      </c>
      <c r="H88" s="369">
        <f t="shared" si="20"/>
        <v>0.1135681927447126</v>
      </c>
      <c r="I88" s="373">
        <f t="shared" ref="I88:I93" si="22">($C88*I$64)/($C88*I$64+(1-$C88))</f>
        <v>0.11173403346296262</v>
      </c>
      <c r="N88" s="34" t="s">
        <v>371</v>
      </c>
      <c r="O88" s="369">
        <f>'Baseline User Input'!L105</f>
        <v>7.9162892263022436E-2</v>
      </c>
      <c r="P88" s="369">
        <f>'Baseline User Input'!M105</f>
        <v>0</v>
      </c>
      <c r="Q88" s="369">
        <f>'Baseline User Input'!N105</f>
        <v>0</v>
      </c>
    </row>
    <row r="89" spans="2:17" ht="30" x14ac:dyDescent="0.25">
      <c r="B89" s="223" t="s">
        <v>376</v>
      </c>
      <c r="C89" s="369">
        <f>Q68</f>
        <v>0.57150815684162648</v>
      </c>
      <c r="D89" s="369">
        <f t="shared" si="19"/>
        <v>0.56738746362007531</v>
      </c>
      <c r="E89" s="369">
        <f t="shared" si="21"/>
        <v>0.56318674557766313</v>
      </c>
      <c r="F89" s="369">
        <f t="shared" si="21"/>
        <v>0.55890364870573905</v>
      </c>
      <c r="G89" s="369">
        <f t="shared" si="21"/>
        <v>0.55453572575408827</v>
      </c>
      <c r="H89" s="369">
        <f t="shared" si="20"/>
        <v>0.5500804315681721</v>
      </c>
      <c r="I89" s="373">
        <f t="shared" si="22"/>
        <v>0.54553511814373434</v>
      </c>
      <c r="N89" s="34" t="s">
        <v>367</v>
      </c>
      <c r="O89" s="369">
        <f>'Baseline User Input'!L106</f>
        <v>1.0663315196199001E-3</v>
      </c>
      <c r="P89" s="369">
        <f>'Baseline User Input'!M106</f>
        <v>0</v>
      </c>
      <c r="Q89" s="369">
        <f>'Baseline User Input'!N106</f>
        <v>0</v>
      </c>
    </row>
    <row r="90" spans="2:17" ht="30" x14ac:dyDescent="0.25">
      <c r="B90" s="223" t="s">
        <v>378</v>
      </c>
      <c r="C90" s="369">
        <f>Q56</f>
        <v>0.93212195335022296</v>
      </c>
      <c r="D90" s="369">
        <f t="shared" si="19"/>
        <v>0.93105080233675985</v>
      </c>
      <c r="E90" s="369">
        <f t="shared" si="21"/>
        <v>0.92994530263869712</v>
      </c>
      <c r="F90" s="369">
        <f t="shared" si="21"/>
        <v>0.92880377514088075</v>
      </c>
      <c r="G90" s="369">
        <f t="shared" si="21"/>
        <v>0.92762442947185419</v>
      </c>
      <c r="H90" s="369">
        <f t="shared" si="20"/>
        <v>0.92640535463400031</v>
      </c>
      <c r="I90" s="373">
        <f t="shared" si="22"/>
        <v>0.92514450867052045</v>
      </c>
      <c r="N90" s="62" t="s">
        <v>214</v>
      </c>
      <c r="O90" s="63">
        <f>'Baseline User Input'!L107</f>
        <v>1.0000000000000002</v>
      </c>
      <c r="P90" s="63">
        <f>'Baseline User Input'!M107</f>
        <v>0.99971238413369579</v>
      </c>
      <c r="Q90" s="63">
        <f>'Baseline User Input'!N107</f>
        <v>1.0000000000000002</v>
      </c>
    </row>
    <row r="91" spans="2:17" x14ac:dyDescent="0.25">
      <c r="B91" s="234" t="s">
        <v>62</v>
      </c>
      <c r="C91" s="369">
        <f>P44</f>
        <v>0.16265091909509877</v>
      </c>
      <c r="D91" s="369">
        <f t="shared" si="19"/>
        <v>0.16037482231433278</v>
      </c>
      <c r="E91" s="369">
        <f t="shared" si="21"/>
        <v>0.15808631795565709</v>
      </c>
      <c r="F91" s="369">
        <f t="shared" si="21"/>
        <v>0.15578530428652954</v>
      </c>
      <c r="G91" s="369">
        <f t="shared" si="21"/>
        <v>0.15347167845918919</v>
      </c>
      <c r="H91" s="369">
        <f t="shared" si="20"/>
        <v>0.15114533649533257</v>
      </c>
      <c r="I91" s="373">
        <f t="shared" si="22"/>
        <v>0.14880617327053663</v>
      </c>
      <c r="N91" s="62" t="s">
        <v>356</v>
      </c>
      <c r="O91" s="63">
        <f>'Baseline User Input'!L108</f>
        <v>0.29555380249920515</v>
      </c>
      <c r="P91" s="63">
        <f>'Baseline User Input'!M108</f>
        <v>0.93265752014572523</v>
      </c>
      <c r="Q91" s="63">
        <f>'Baseline User Input'!N108</f>
        <v>1.0000000000000002</v>
      </c>
    </row>
    <row r="92" spans="2:17" x14ac:dyDescent="0.25">
      <c r="B92" s="234" t="s">
        <v>63</v>
      </c>
      <c r="C92" s="369">
        <f>Q44</f>
        <v>0</v>
      </c>
      <c r="D92" s="369">
        <f t="shared" si="19"/>
        <v>0</v>
      </c>
      <c r="E92" s="369">
        <f t="shared" si="21"/>
        <v>0</v>
      </c>
      <c r="F92" s="369">
        <f t="shared" si="21"/>
        <v>0</v>
      </c>
      <c r="G92" s="369">
        <f t="shared" si="21"/>
        <v>0</v>
      </c>
      <c r="H92" s="369">
        <f t="shared" si="20"/>
        <v>0</v>
      </c>
      <c r="I92" s="373">
        <f t="shared" si="22"/>
        <v>0</v>
      </c>
      <c r="N92" s="62" t="s">
        <v>382</v>
      </c>
      <c r="O92" s="63">
        <f>'Baseline User Input'!S131</f>
        <v>0</v>
      </c>
      <c r="P92" s="63">
        <f>'Baseline User Input'!T131</f>
        <v>0</v>
      </c>
      <c r="Q92" s="63">
        <f>'Baseline User Input'!U131</f>
        <v>0</v>
      </c>
    </row>
    <row r="93" spans="2:17" ht="15.75" thickBot="1" x14ac:dyDescent="0.3">
      <c r="B93" s="263" t="s">
        <v>64</v>
      </c>
      <c r="C93" s="374">
        <f>O44</f>
        <v>0.64454616322532932</v>
      </c>
      <c r="D93" s="374">
        <f t="shared" si="19"/>
        <v>0.6406862583322277</v>
      </c>
      <c r="E93" s="374">
        <f t="shared" si="21"/>
        <v>0.63674160302432758</v>
      </c>
      <c r="F93" s="374">
        <f t="shared" si="21"/>
        <v>0.63270937507099823</v>
      </c>
      <c r="G93" s="374">
        <f t="shared" si="21"/>
        <v>0.62858662552614986</v>
      </c>
      <c r="H93" s="374">
        <f t="shared" si="20"/>
        <v>0.62437027153574542</v>
      </c>
      <c r="I93" s="375">
        <f t="shared" si="22"/>
        <v>0.62005708864978504</v>
      </c>
      <c r="N93" s="62" t="s">
        <v>383</v>
      </c>
      <c r="O93" s="63">
        <f>'Baseline User Input'!S132</f>
        <v>0</v>
      </c>
      <c r="P93" s="63">
        <f>'Baseline User Input'!T132</f>
        <v>0</v>
      </c>
      <c r="Q93" s="63">
        <f>'Baseline User Input'!U132</f>
        <v>0</v>
      </c>
    </row>
    <row r="94" spans="2:17" ht="30" x14ac:dyDescent="0.25">
      <c r="B94" s="279" t="s">
        <v>384</v>
      </c>
      <c r="C94" s="280">
        <f t="shared" ref="C94:I94" si="23">C84</f>
        <v>2022</v>
      </c>
      <c r="D94" s="280">
        <f t="shared" si="23"/>
        <v>2025</v>
      </c>
      <c r="E94" s="280">
        <f t="shared" si="23"/>
        <v>2030</v>
      </c>
      <c r="F94" s="280">
        <f t="shared" si="23"/>
        <v>2035</v>
      </c>
      <c r="G94" s="280">
        <f t="shared" si="23"/>
        <v>2040</v>
      </c>
      <c r="H94" s="280">
        <f t="shared" si="23"/>
        <v>2045</v>
      </c>
      <c r="I94" s="281">
        <f t="shared" si="23"/>
        <v>2050</v>
      </c>
    </row>
    <row r="95" spans="2:17" x14ac:dyDescent="0.25">
      <c r="B95" s="223" t="s">
        <v>372</v>
      </c>
      <c r="C95" s="369">
        <f>(C85+$P$89)/(1+C85-$C85)</f>
        <v>0</v>
      </c>
      <c r="D95" s="369">
        <f t="shared" ref="D95:I95" si="24">(D85+$P$89)/(1+D85-$C85)</f>
        <v>0</v>
      </c>
      <c r="E95" s="369">
        <f t="shared" si="24"/>
        <v>0</v>
      </c>
      <c r="F95" s="369">
        <f t="shared" si="24"/>
        <v>0</v>
      </c>
      <c r="G95" s="369">
        <f t="shared" si="24"/>
        <v>0</v>
      </c>
      <c r="H95" s="369">
        <f t="shared" si="24"/>
        <v>0</v>
      </c>
      <c r="I95" s="373">
        <f t="shared" si="24"/>
        <v>0</v>
      </c>
      <c r="N95" s="34" t="s">
        <v>385</v>
      </c>
      <c r="O95" s="106">
        <f>'Emissions Factors, etc,'!C173</f>
        <v>3</v>
      </c>
    </row>
    <row r="96" spans="2:17" ht="30" x14ac:dyDescent="0.25">
      <c r="B96" s="223" t="s">
        <v>373</v>
      </c>
      <c r="C96" s="369">
        <f t="shared" ref="C96:I96" si="25">(C86+$P$69)/(1+C86-$C86)</f>
        <v>0.93265752014572523</v>
      </c>
      <c r="D96" s="369">
        <f t="shared" si="25"/>
        <v>0.93250425694542249</v>
      </c>
      <c r="E96" s="369">
        <f t="shared" si="25"/>
        <v>0.93234584847644264</v>
      </c>
      <c r="F96" s="369">
        <f t="shared" si="25"/>
        <v>0.93218203121409615</v>
      </c>
      <c r="G96" s="369">
        <f t="shared" si="25"/>
        <v>0.93201252332523687</v>
      </c>
      <c r="H96" s="369">
        <f t="shared" si="25"/>
        <v>0.93183702305017702</v>
      </c>
      <c r="I96" s="373">
        <f t="shared" si="25"/>
        <v>0.931655206909906</v>
      </c>
      <c r="N96" s="34" t="s">
        <v>386</v>
      </c>
      <c r="O96" s="106">
        <f>'Emissions Factors, etc,'!C174</f>
        <v>0.7</v>
      </c>
    </row>
    <row r="97" spans="2:15" x14ac:dyDescent="0.25">
      <c r="B97" s="223" t="s">
        <v>374</v>
      </c>
      <c r="C97" s="369">
        <f t="shared" ref="C97:I97" si="26">(C87+$P$53)/(1+C87-$C87)</f>
        <v>0.84928991031108092</v>
      </c>
      <c r="D97" s="369">
        <f t="shared" si="26"/>
        <v>0.84869460605868374</v>
      </c>
      <c r="E97" s="369">
        <f t="shared" si="26"/>
        <v>0.84808693684260616</v>
      </c>
      <c r="F97" s="369">
        <f t="shared" si="26"/>
        <v>0.84746651337407741</v>
      </c>
      <c r="G97" s="369">
        <f t="shared" si="26"/>
        <v>0.84683292984959924</v>
      </c>
      <c r="H97" s="369">
        <f t="shared" si="26"/>
        <v>0.84618576306580762</v>
      </c>
      <c r="I97" s="373">
        <f t="shared" si="26"/>
        <v>0.8455245714767885</v>
      </c>
      <c r="N97" s="34" t="s">
        <v>387</v>
      </c>
      <c r="O97" s="106">
        <f>'Emissions Factors, etc,'!C175</f>
        <v>0.3</v>
      </c>
    </row>
    <row r="98" spans="2:15" x14ac:dyDescent="0.25">
      <c r="B98" s="223" t="s">
        <v>375</v>
      </c>
      <c r="C98" s="369">
        <f t="shared" ref="C98:I98" si="27">(C88+$Q$89)/(1+C88-$C88)</f>
        <v>0.12262653085858072</v>
      </c>
      <c r="D98" s="369">
        <f t="shared" si="27"/>
        <v>0.1210472049877221</v>
      </c>
      <c r="E98" s="369">
        <f t="shared" si="27"/>
        <v>0.11945566586871062</v>
      </c>
      <c r="F98" s="369">
        <f t="shared" si="27"/>
        <v>0.11785177128033578</v>
      </c>
      <c r="G98" s="369">
        <f t="shared" si="27"/>
        <v>0.11623537678459304</v>
      </c>
      <c r="H98" s="369">
        <f t="shared" si="27"/>
        <v>0.11460633568332362</v>
      </c>
      <c r="I98" s="373">
        <f t="shared" si="27"/>
        <v>0.1129644989738324</v>
      </c>
      <c r="N98" s="34" t="s">
        <v>388</v>
      </c>
      <c r="O98" s="106">
        <f>'Emissions Factors, etc,'!C176</f>
        <v>0.90909090909090917</v>
      </c>
    </row>
    <row r="99" spans="2:15" ht="30" x14ac:dyDescent="0.25">
      <c r="B99" s="223" t="s">
        <v>376</v>
      </c>
      <c r="C99" s="369">
        <f t="shared" ref="C99:I99" si="28">(C89+$Q$69)/(1+C89-$C89)</f>
        <v>0.87737346914141945</v>
      </c>
      <c r="D99" s="369">
        <f t="shared" si="28"/>
        <v>0.8768660719989626</v>
      </c>
      <c r="E99" s="369">
        <f t="shared" si="28"/>
        <v>0.87634448071035131</v>
      </c>
      <c r="F99" s="369">
        <f t="shared" si="28"/>
        <v>0.87580809121674963</v>
      </c>
      <c r="G99" s="369">
        <f t="shared" si="28"/>
        <v>0.87525626469027307</v>
      </c>
      <c r="H99" s="369">
        <f t="shared" si="28"/>
        <v>0.87468832499587468</v>
      </c>
      <c r="I99" s="373">
        <f t="shared" si="28"/>
        <v>0.87410355592760003</v>
      </c>
    </row>
    <row r="100" spans="2:15" ht="30" x14ac:dyDescent="0.25">
      <c r="B100" s="223" t="s">
        <v>378</v>
      </c>
      <c r="C100" s="369">
        <f t="shared" ref="C100:I100" si="29">(C90+$Q$53)/(1+C90-$C90)</f>
        <v>0.9945546140182292</v>
      </c>
      <c r="D100" s="369">
        <f t="shared" si="29"/>
        <v>0.994548774932974</v>
      </c>
      <c r="E100" s="369">
        <f t="shared" si="29"/>
        <v>0.99454273545948402</v>
      </c>
      <c r="F100" s="369">
        <f t="shared" si="29"/>
        <v>0.99453648510214887</v>
      </c>
      <c r="G100" s="369">
        <f t="shared" si="29"/>
        <v>0.99453001261937035</v>
      </c>
      <c r="H100" s="369">
        <f t="shared" si="29"/>
        <v>0.99452330595608862</v>
      </c>
      <c r="I100" s="373">
        <f t="shared" si="29"/>
        <v>0.99451635216884449</v>
      </c>
    </row>
    <row r="101" spans="2:15" x14ac:dyDescent="0.25">
      <c r="B101" s="234" t="s">
        <v>62</v>
      </c>
      <c r="C101" s="369">
        <f t="shared" ref="C101:I101" si="30">(C91+$P$45)/(1+C91-$C91)</f>
        <v>0.38489845269595391</v>
      </c>
      <c r="D101" s="369">
        <f t="shared" si="30"/>
        <v>0.38349522816946352</v>
      </c>
      <c r="E101" s="369">
        <f t="shared" si="30"/>
        <v>0.38207788470438936</v>
      </c>
      <c r="F101" s="369">
        <f t="shared" si="30"/>
        <v>0.38064620813075289</v>
      </c>
      <c r="G101" s="369">
        <f t="shared" si="30"/>
        <v>0.37919997992490712</v>
      </c>
      <c r="H101" s="369">
        <f t="shared" si="30"/>
        <v>0.37773897709834392</v>
      </c>
      <c r="I101" s="373">
        <f t="shared" si="30"/>
        <v>0.3762629720830763</v>
      </c>
    </row>
    <row r="102" spans="2:15" x14ac:dyDescent="0.25">
      <c r="B102" s="234" t="s">
        <v>63</v>
      </c>
      <c r="C102" s="369">
        <f>(C92)/(1+C92-$C92)</f>
        <v>0</v>
      </c>
      <c r="D102" s="369">
        <f t="shared" ref="D102:I103" si="31">(D92)/(1+D92-$C92)</f>
        <v>0</v>
      </c>
      <c r="E102" s="369">
        <f t="shared" si="31"/>
        <v>0</v>
      </c>
      <c r="F102" s="369">
        <f t="shared" si="31"/>
        <v>0</v>
      </c>
      <c r="G102" s="369">
        <f t="shared" si="31"/>
        <v>0</v>
      </c>
      <c r="H102" s="369">
        <f>(H92)/(1+H92-$C92)</f>
        <v>0</v>
      </c>
      <c r="I102" s="373">
        <f t="shared" si="31"/>
        <v>0</v>
      </c>
    </row>
    <row r="103" spans="2:15" ht="15.75" thickBot="1" x14ac:dyDescent="0.3">
      <c r="B103" s="263" t="s">
        <v>64</v>
      </c>
      <c r="C103" s="374">
        <f>(C93)/(1+C93-$C93)</f>
        <v>0.64454616322532932</v>
      </c>
      <c r="D103" s="374">
        <f t="shared" si="31"/>
        <v>0.64316882884176452</v>
      </c>
      <c r="E103" s="374">
        <f t="shared" si="31"/>
        <v>0.64175018094552061</v>
      </c>
      <c r="F103" s="374">
        <f t="shared" si="31"/>
        <v>0.6402883324195382</v>
      </c>
      <c r="G103" s="374">
        <f t="shared" si="31"/>
        <v>0.63878127943685237</v>
      </c>
      <c r="H103" s="374">
        <f t="shared" si="31"/>
        <v>0.63722689229640794</v>
      </c>
      <c r="I103" s="375">
        <f t="shared" si="31"/>
        <v>0.63562290538159927</v>
      </c>
    </row>
    <row r="104" spans="2:15" ht="15.75" thickBot="1" x14ac:dyDescent="0.3"/>
    <row r="105" spans="2:15" ht="30" x14ac:dyDescent="0.25">
      <c r="B105" s="279" t="s">
        <v>389</v>
      </c>
      <c r="C105" s="280">
        <f>C94</f>
        <v>2022</v>
      </c>
      <c r="D105" s="280">
        <f t="shared" ref="D105:I105" si="32">D94</f>
        <v>2025</v>
      </c>
      <c r="E105" s="280">
        <f t="shared" si="32"/>
        <v>2030</v>
      </c>
      <c r="F105" s="280">
        <f t="shared" si="32"/>
        <v>2035</v>
      </c>
      <c r="G105" s="280">
        <f t="shared" si="32"/>
        <v>2040</v>
      </c>
      <c r="H105" s="280">
        <f t="shared" si="32"/>
        <v>2045</v>
      </c>
      <c r="I105" s="281">
        <f t="shared" si="32"/>
        <v>2050</v>
      </c>
    </row>
    <row r="106" spans="2:15" ht="29.45" customHeight="1" x14ac:dyDescent="0.25">
      <c r="B106" s="135" t="s">
        <v>372</v>
      </c>
      <c r="C106" s="30">
        <f t="shared" ref="C106:I106" si="33">C31*(1-$P$93)</f>
        <v>699924.77452800004</v>
      </c>
      <c r="D106" s="30">
        <f t="shared" si="33"/>
        <v>735970.24281615298</v>
      </c>
      <c r="E106" s="30">
        <f t="shared" si="33"/>
        <v>769060.37574518123</v>
      </c>
      <c r="F106" s="30">
        <f t="shared" si="33"/>
        <v>778793.45121309091</v>
      </c>
      <c r="G106" s="30">
        <f t="shared" si="33"/>
        <v>799650.93003172404</v>
      </c>
      <c r="H106" s="30">
        <f t="shared" si="33"/>
        <v>817922.49041112384</v>
      </c>
      <c r="I106" s="31">
        <f t="shared" si="33"/>
        <v>836339.41178518953</v>
      </c>
    </row>
    <row r="107" spans="2:15" ht="30" x14ac:dyDescent="0.25">
      <c r="B107" s="135" t="s">
        <v>373</v>
      </c>
      <c r="C107" s="30">
        <f t="shared" ref="C107:I107" si="34">C32*(1-$P$75)</f>
        <v>6733.5242897370936</v>
      </c>
      <c r="D107" s="30">
        <f t="shared" si="34"/>
        <v>6951.5613924924683</v>
      </c>
      <c r="E107" s="30">
        <f t="shared" si="34"/>
        <v>7293.7473976922338</v>
      </c>
      <c r="F107" s="30">
        <f t="shared" si="34"/>
        <v>7579.6400414227446</v>
      </c>
      <c r="G107" s="30">
        <f t="shared" si="34"/>
        <v>7865.5326851532545</v>
      </c>
      <c r="H107" s="30">
        <f t="shared" si="34"/>
        <v>8151.4253288837654</v>
      </c>
      <c r="I107" s="31">
        <f t="shared" si="34"/>
        <v>8437.3179726142735</v>
      </c>
    </row>
    <row r="108" spans="2:15" ht="30" x14ac:dyDescent="0.25">
      <c r="B108" s="135" t="s">
        <v>374</v>
      </c>
      <c r="C108" s="30">
        <f t="shared" ref="C108:I108" si="35">C33*(1-$P$60)</f>
        <v>14127.552528296163</v>
      </c>
      <c r="D108" s="30">
        <f t="shared" si="35"/>
        <v>14553.641816402052</v>
      </c>
      <c r="E108" s="30">
        <f t="shared" si="35"/>
        <v>15246.690010611946</v>
      </c>
      <c r="F108" s="30">
        <f t="shared" si="35"/>
        <v>15890.945900516193</v>
      </c>
      <c r="G108" s="30">
        <f t="shared" si="35"/>
        <v>16536.024594877534</v>
      </c>
      <c r="H108" s="30">
        <f t="shared" si="35"/>
        <v>17180.48618589605</v>
      </c>
      <c r="I108" s="31">
        <f t="shared" si="35"/>
        <v>18966.506680686151</v>
      </c>
    </row>
    <row r="109" spans="2:15" x14ac:dyDescent="0.25">
      <c r="B109" s="135" t="s">
        <v>375</v>
      </c>
      <c r="C109" s="30">
        <f t="shared" ref="C109:I111" si="36">C34*(1-$Q$91)</f>
        <v>-7.9300105489269464E-11</v>
      </c>
      <c r="D109" s="30">
        <f t="shared" si="36"/>
        <v>-8.3369606443873063E-11</v>
      </c>
      <c r="E109" s="30">
        <f t="shared" si="36"/>
        <v>-8.710214332669323E-11</v>
      </c>
      <c r="F109" s="30">
        <f t="shared" si="36"/>
        <v>-8.8181625205747284E-11</v>
      </c>
      <c r="G109" s="30">
        <f t="shared" si="36"/>
        <v>-9.0524453823225015E-11</v>
      </c>
      <c r="H109" s="30">
        <f t="shared" si="36"/>
        <v>-9.2572438877892259E-11</v>
      </c>
      <c r="I109" s="31">
        <f t="shared" si="36"/>
        <v>-9.46269069558602E-11</v>
      </c>
    </row>
    <row r="110" spans="2:15" ht="30" x14ac:dyDescent="0.25">
      <c r="B110" s="135" t="s">
        <v>376</v>
      </c>
      <c r="C110" s="30">
        <f t="shared" si="36"/>
        <v>-3.7626524118650194E-12</v>
      </c>
      <c r="D110" s="30">
        <f t="shared" si="36"/>
        <v>-3.8844902185257877E-12</v>
      </c>
      <c r="E110" s="30">
        <f t="shared" si="36"/>
        <v>-4.0757016766523642E-12</v>
      </c>
      <c r="F110" s="30">
        <f t="shared" si="36"/>
        <v>-4.2354567468325703E-12</v>
      </c>
      <c r="G110" s="30">
        <f t="shared" si="36"/>
        <v>-4.3952118170127764E-12</v>
      </c>
      <c r="H110" s="30">
        <f t="shared" si="36"/>
        <v>-4.5549668871929825E-12</v>
      </c>
      <c r="I110" s="31">
        <f t="shared" si="36"/>
        <v>-4.7147219573731877E-12</v>
      </c>
    </row>
    <row r="111" spans="2:15" ht="30" x14ac:dyDescent="0.25">
      <c r="B111" s="135" t="s">
        <v>378</v>
      </c>
      <c r="C111" s="30">
        <f t="shared" si="36"/>
        <v>-9.1606722207870925E-13</v>
      </c>
      <c r="D111" s="30">
        <f t="shared" si="36"/>
        <v>-9.4369595888438526E-13</v>
      </c>
      <c r="E111" s="30">
        <f t="shared" si="36"/>
        <v>-9.8863500496224767E-13</v>
      </c>
      <c r="F111" s="30">
        <f t="shared" si="36"/>
        <v>-1.0304102312224476E-12</v>
      </c>
      <c r="G111" s="30">
        <f t="shared" si="36"/>
        <v>-1.0722388102620346E-12</v>
      </c>
      <c r="H111" s="30">
        <f t="shared" si="36"/>
        <v>-1.114027374717081E-12</v>
      </c>
      <c r="I111" s="31">
        <f t="shared" si="36"/>
        <v>-1.2298375852939678E-12</v>
      </c>
    </row>
    <row r="112" spans="2:15" x14ac:dyDescent="0.25">
      <c r="B112" s="126" t="s">
        <v>62</v>
      </c>
      <c r="C112" s="30">
        <f>('2. Industry'!C56+'Baseline User Input'!$L$43+'Baseline User Input'!$L$44)*$P47</f>
        <v>3830597.5207027351</v>
      </c>
      <c r="D112" s="30">
        <f>('2. Industry'!D56+'Baseline User Input'!$L$43+'Baseline User Input'!$L$44)*$P47</f>
        <v>3945654.1390989283</v>
      </c>
      <c r="E112" s="30">
        <f>('2. Industry'!E56+'Baseline User Input'!$L$43+'Baseline User Input'!$L$44)*$P47</f>
        <v>4055056.3452829858</v>
      </c>
      <c r="F112" s="30">
        <f>('2. Industry'!F56+'Baseline User Input'!$L$43+'Baseline User Input'!$L$44)*$P47</f>
        <v>4108246.9375882535</v>
      </c>
      <c r="G112" s="30">
        <f>('2. Industry'!G56+'Baseline User Input'!$L$43+'Baseline User Input'!$L$44)*$P47</f>
        <v>4188483.13454314</v>
      </c>
      <c r="H112" s="30">
        <f>('2. Industry'!H56+'Baseline User Input'!$L$43+'Baseline User Input'!$L$44)*$P47</f>
        <v>4263771.7208124083</v>
      </c>
      <c r="I112" s="31">
        <f>('2. Industry'!I56+'Baseline User Input'!$L$43+'Baseline User Input'!$L$44)*$P47</f>
        <v>4350861.2250443175</v>
      </c>
    </row>
    <row r="113" spans="1:14" x14ac:dyDescent="0.25">
      <c r="B113" s="126" t="s">
        <v>63</v>
      </c>
      <c r="C113" s="30">
        <f>('2. Industry'!C57+'Baseline User Input'!$L$48+'Baseline User Input'!$L$49)*$Q47</f>
        <v>2844830.6881454801</v>
      </c>
      <c r="D113" s="30">
        <f>('2. Industry'!D57+'Baseline User Input'!$L$48+'Baseline User Input'!$L$49)*$Q47</f>
        <v>2912537.6585233426</v>
      </c>
      <c r="E113" s="30">
        <f>('2. Industry'!E57+'Baseline User Input'!$L$48+'Baseline User Input'!$L$49)*$Q47</f>
        <v>2973417.0352496556</v>
      </c>
      <c r="F113" s="30">
        <f>('2. Industry'!F57+'Baseline User Input'!$L$48+'Baseline User Input'!$L$49)*$Q47</f>
        <v>2984227.3918646085</v>
      </c>
      <c r="G113" s="30">
        <f>('2. Industry'!G57+'Baseline User Input'!$L$48+'Baseline User Input'!$L$49)*$Q47</f>
        <v>3018792.0847255765</v>
      </c>
      <c r="H113" s="30">
        <f>('2. Industry'!H57+'Baseline User Input'!$L$48+'Baseline User Input'!$L$49)*$Q47</f>
        <v>3047382.6331414385</v>
      </c>
      <c r="I113" s="31">
        <f>('2. Industry'!I57+'Baseline User Input'!$L$48+'Baseline User Input'!$L$49)*$Q47</f>
        <v>3072417.1431971183</v>
      </c>
    </row>
    <row r="114" spans="1:14" ht="15.75" thickBot="1" x14ac:dyDescent="0.3">
      <c r="B114" s="127" t="s">
        <v>64</v>
      </c>
      <c r="C114" s="32">
        <f>('2. Industry'!C58+'Baseline User Input'!$L$57+'Baseline User Input'!$L$58)*$O47</f>
        <v>1233886.9035959141</v>
      </c>
      <c r="D114" s="32">
        <f>('2. Industry'!D58+'Baseline User Input'!$L$57+'Baseline User Input'!$L$58)*$O47</f>
        <v>1268447.9928669035</v>
      </c>
      <c r="E114" s="32">
        <f>('2. Industry'!E58+'Baseline User Input'!$L$57+'Baseline User Input'!$L$58)*$O47</f>
        <v>1302148.0909949793</v>
      </c>
      <c r="F114" s="32">
        <f>('2. Industry'!F58+'Baseline User Input'!$L$57+'Baseline User Input'!$L$58)*$O47</f>
        <v>1323028.5222990799</v>
      </c>
      <c r="G114" s="32">
        <f>('2. Industry'!G58+'Baseline User Input'!$L$57+'Baseline User Input'!$L$58)*$O47</f>
        <v>1350157.3511758717</v>
      </c>
      <c r="H114" s="32">
        <f>('2. Industry'!H58+'Baseline User Input'!$L$57+'Baseline User Input'!$L$58)*$O47</f>
        <v>1376532.8128026142</v>
      </c>
      <c r="I114" s="33">
        <f>('2. Industry'!I58+'Baseline User Input'!$L$57+'Baseline User Input'!$L$58)*$O47</f>
        <v>1408965.5733183618</v>
      </c>
    </row>
    <row r="115" spans="1:14" ht="15.75" thickBot="1" x14ac:dyDescent="0.3"/>
    <row r="116" spans="1:14" x14ac:dyDescent="0.25">
      <c r="A116" s="209">
        <v>1</v>
      </c>
      <c r="B116" s="210"/>
      <c r="C116" s="575" t="s">
        <v>390</v>
      </c>
      <c r="D116" s="576"/>
      <c r="E116" s="576"/>
      <c r="F116" s="576"/>
      <c r="G116" s="576"/>
      <c r="H116" s="576"/>
      <c r="I116" s="577"/>
      <c r="L116" s="54"/>
    </row>
    <row r="117" spans="1:14" x14ac:dyDescent="0.25">
      <c r="B117" s="211" t="s">
        <v>33</v>
      </c>
      <c r="C117" s="294">
        <f>'Baseline Statistics'!C12</f>
        <v>2022</v>
      </c>
      <c r="D117" s="294">
        <f>'Baseline Statistics'!D12</f>
        <v>2025</v>
      </c>
      <c r="E117" s="294">
        <f>'Baseline Statistics'!E12</f>
        <v>2030</v>
      </c>
      <c r="F117" s="294">
        <f>'Baseline Statistics'!F12</f>
        <v>2035</v>
      </c>
      <c r="G117" s="294">
        <f>'Baseline Statistics'!G12</f>
        <v>2040</v>
      </c>
      <c r="H117" s="294">
        <f>'Baseline Statistics'!H12</f>
        <v>2045</v>
      </c>
      <c r="I117" s="295">
        <f>'Baseline Statistics'!I12</f>
        <v>2050</v>
      </c>
      <c r="L117" s="54"/>
    </row>
    <row r="118" spans="1:14" x14ac:dyDescent="0.25">
      <c r="B118" s="58" t="s">
        <v>34</v>
      </c>
      <c r="C118" s="64">
        <f t="shared" ref="C118:I118" si="37">VLOOKUP($A116,$B119:$I122,COLUMN()-1,TRUE)</f>
        <v>0.31</v>
      </c>
      <c r="D118" s="64">
        <f t="shared" si="37"/>
        <v>0.31</v>
      </c>
      <c r="E118" s="64">
        <f t="shared" si="37"/>
        <v>0.31</v>
      </c>
      <c r="F118" s="64">
        <f t="shared" si="37"/>
        <v>0.31</v>
      </c>
      <c r="G118" s="64">
        <f t="shared" si="37"/>
        <v>0.31</v>
      </c>
      <c r="H118" s="64">
        <f t="shared" si="37"/>
        <v>0.31</v>
      </c>
      <c r="I118" s="65">
        <f t="shared" si="37"/>
        <v>0.31</v>
      </c>
      <c r="J118" s="21" t="str">
        <f>VLOOKUP($A116,$B119:$J122,COLUMN()-1,TRUE)</f>
        <v xml:space="preserve">Status quo (no change) </v>
      </c>
      <c r="L118" s="54"/>
      <c r="N118" s="89" t="s">
        <v>1014</v>
      </c>
    </row>
    <row r="119" spans="1:14" x14ac:dyDescent="0.25">
      <c r="B119" s="214">
        <v>1</v>
      </c>
      <c r="C119" s="215">
        <v>0.31</v>
      </c>
      <c r="D119" s="216">
        <f>C119+(($I119-$C119)/6)</f>
        <v>0.31</v>
      </c>
      <c r="E119" s="216">
        <f t="shared" ref="E119:E121" si="38">D119+(($I119-$C119)/6)</f>
        <v>0.31</v>
      </c>
      <c r="F119" s="216">
        <f t="shared" ref="F119:F121" si="39">E119+(($I119-$C119)/6)</f>
        <v>0.31</v>
      </c>
      <c r="G119" s="216">
        <f t="shared" ref="G119:G121" si="40">F119+(($I119-$C119)/6)</f>
        <v>0.31</v>
      </c>
      <c r="H119" s="216">
        <f t="shared" ref="H119:H121" si="41">G119+(($I119-$C119)/6)</f>
        <v>0.31</v>
      </c>
      <c r="I119" s="217">
        <f>$C$119</f>
        <v>0.31</v>
      </c>
      <c r="J119" t="s">
        <v>169</v>
      </c>
      <c r="L119" s="54"/>
      <c r="N119" s="568" t="s">
        <v>965</v>
      </c>
    </row>
    <row r="120" spans="1:14" x14ac:dyDescent="0.25">
      <c r="B120" s="214">
        <v>2</v>
      </c>
      <c r="C120" s="215">
        <v>0.31</v>
      </c>
      <c r="D120" s="216">
        <f>C120+(($I120-$C120)/6)</f>
        <v>0.34166666666666667</v>
      </c>
      <c r="E120" s="216">
        <f t="shared" si="38"/>
        <v>0.37333333333333335</v>
      </c>
      <c r="F120" s="216">
        <f t="shared" si="39"/>
        <v>0.40500000000000003</v>
      </c>
      <c r="G120" s="216">
        <f t="shared" si="40"/>
        <v>0.4366666666666667</v>
      </c>
      <c r="H120" s="216">
        <f t="shared" si="41"/>
        <v>0.46833333333333338</v>
      </c>
      <c r="I120" s="218">
        <v>0.5</v>
      </c>
      <c r="J120" t="s">
        <v>391</v>
      </c>
      <c r="L120" s="54"/>
    </row>
    <row r="121" spans="1:14" x14ac:dyDescent="0.25">
      <c r="B121" s="214">
        <v>3</v>
      </c>
      <c r="C121" s="215">
        <v>0.31</v>
      </c>
      <c r="D121" s="216">
        <f>C121+(($I121-$C121)/6)</f>
        <v>0.3833333333333333</v>
      </c>
      <c r="E121" s="216">
        <f t="shared" si="38"/>
        <v>0.45666666666666667</v>
      </c>
      <c r="F121" s="216">
        <f t="shared" si="39"/>
        <v>0.53</v>
      </c>
      <c r="G121" s="216">
        <f t="shared" si="40"/>
        <v>0.60333333333333339</v>
      </c>
      <c r="H121" s="216">
        <f t="shared" si="41"/>
        <v>0.67666666666666675</v>
      </c>
      <c r="I121" s="217">
        <v>0.75</v>
      </c>
      <c r="J121" t="s">
        <v>392</v>
      </c>
      <c r="L121" s="54"/>
    </row>
    <row r="122" spans="1:14" ht="15.75" thickBot="1" x14ac:dyDescent="0.3">
      <c r="B122" s="219">
        <v>4</v>
      </c>
      <c r="C122" s="220">
        <v>0.31</v>
      </c>
      <c r="D122" s="221">
        <f>C122+(($G$122-$C$122)/4)</f>
        <v>0.48249999999999998</v>
      </c>
      <c r="E122" s="221">
        <f t="shared" ref="E122:F122" si="42">D122+(($G$122-$C$122)/4)</f>
        <v>0.65500000000000003</v>
      </c>
      <c r="F122" s="221">
        <f t="shared" si="42"/>
        <v>0.82750000000000001</v>
      </c>
      <c r="G122" s="221">
        <v>1</v>
      </c>
      <c r="H122" s="221">
        <v>1</v>
      </c>
      <c r="I122" s="222">
        <v>1</v>
      </c>
      <c r="J122" t="s">
        <v>393</v>
      </c>
      <c r="L122" s="54"/>
    </row>
    <row r="123" spans="1:14" ht="15.75" thickBot="1" x14ac:dyDescent="0.3">
      <c r="B123" s="204"/>
      <c r="I123" s="205"/>
    </row>
    <row r="124" spans="1:14" ht="30" x14ac:dyDescent="0.25">
      <c r="B124" s="279" t="s">
        <v>39</v>
      </c>
      <c r="C124" s="382">
        <f>'Baseline Statistics'!C12</f>
        <v>2022</v>
      </c>
      <c r="D124" s="382">
        <f>'Baseline Statistics'!D12</f>
        <v>2025</v>
      </c>
      <c r="E124" s="382">
        <f>'Baseline Statistics'!E12</f>
        <v>2030</v>
      </c>
      <c r="F124" s="382">
        <f>'Baseline Statistics'!F12</f>
        <v>2035</v>
      </c>
      <c r="G124" s="382">
        <f>'Baseline Statistics'!G12</f>
        <v>2040</v>
      </c>
      <c r="H124" s="382">
        <f>'Baseline Statistics'!H12</f>
        <v>2045</v>
      </c>
      <c r="I124" s="383">
        <f>'Baseline Statistics'!I12</f>
        <v>2050</v>
      </c>
    </row>
    <row r="125" spans="1:14" ht="30" x14ac:dyDescent="0.25">
      <c r="B125" s="223" t="s">
        <v>40</v>
      </c>
      <c r="C125" s="30">
        <f>C71+(C74-C128)*$O$98/0.0036+(C77-C131)*$O$98/0.0036+(SUM(C80:C82)-SUM(C134:C136))*$O98/0.0036</f>
        <v>190232678.42172083</v>
      </c>
      <c r="D125" s="30">
        <f t="shared" ref="D125:I125" si="43">D71+(D74-D128)*$O$98/0.0036+(D77-D131)*$O$98/0.0036+(SUM(D80:D82)-SUM(D134:D136))*$O98/0.0036</f>
        <v>201026260.99259534</v>
      </c>
      <c r="E125" s="30">
        <f t="shared" si="43"/>
        <v>211165494.64366904</v>
      </c>
      <c r="F125" s="30">
        <f t="shared" si="43"/>
        <v>215435874.03835514</v>
      </c>
      <c r="G125" s="30">
        <f t="shared" si="43"/>
        <v>222515760.01425236</v>
      </c>
      <c r="H125" s="30">
        <f>H71+(H74-H128)*$O$98/0.0036+(H77-H131)*$O$98/0.0036+(SUM(H80:H82)-SUM(H134:H136))*$O98/0.0036</f>
        <v>229023913.90408963</v>
      </c>
      <c r="I125" s="31">
        <f t="shared" si="43"/>
        <v>236279425.74053684</v>
      </c>
      <c r="J125" t="s">
        <v>41</v>
      </c>
    </row>
    <row r="126" spans="1:14" ht="30" x14ac:dyDescent="0.25">
      <c r="B126" s="223" t="s">
        <v>42</v>
      </c>
      <c r="C126" s="30">
        <f t="shared" ref="C126:I126" si="44">C72+(C75-C129)*$O$98/0.0036+(C78-C132)*$O$98/0.0036</f>
        <v>114692341.22762345</v>
      </c>
      <c r="D126" s="30">
        <f t="shared" si="44"/>
        <v>118030121.91904336</v>
      </c>
      <c r="E126" s="30">
        <f t="shared" si="44"/>
        <v>123445513.0915615</v>
      </c>
      <c r="F126" s="30">
        <f t="shared" si="44"/>
        <v>127874171.47141723</v>
      </c>
      <c r="G126" s="30">
        <f t="shared" si="44"/>
        <v>132271898.48829</v>
      </c>
      <c r="H126" s="30">
        <f t="shared" si="44"/>
        <v>136638694.14217976</v>
      </c>
      <c r="I126" s="31">
        <f t="shared" si="44"/>
        <v>140974558.4330866</v>
      </c>
      <c r="J126" t="s">
        <v>41</v>
      </c>
    </row>
    <row r="127" spans="1:14" ht="30" x14ac:dyDescent="0.25">
      <c r="B127" s="223" t="s">
        <v>370</v>
      </c>
      <c r="C127" s="30">
        <f>C73+(C76-C130)/0.0036+(C79-C133)/0.0036</f>
        <v>155686792.50978607</v>
      </c>
      <c r="D127" s="30">
        <f t="shared" ref="D127:I127" si="45">D73+(D76-D130)/$O$95*$O$96/0.0036+(D79-D133)/$O$95*$O$97/0.0036</f>
        <v>159981375.73162398</v>
      </c>
      <c r="E127" s="30">
        <f t="shared" si="45"/>
        <v>167179680.84648141</v>
      </c>
      <c r="F127" s="30">
        <f t="shared" si="45"/>
        <v>173806136.22217077</v>
      </c>
      <c r="G127" s="30">
        <f t="shared" si="45"/>
        <v>180406069.53215882</v>
      </c>
      <c r="H127" s="30">
        <f t="shared" si="45"/>
        <v>186963743.2173745</v>
      </c>
      <c r="I127" s="31">
        <f t="shared" si="45"/>
        <v>205877278.85296816</v>
      </c>
      <c r="J127" t="s">
        <v>41</v>
      </c>
    </row>
    <row r="128" spans="1:14" x14ac:dyDescent="0.25">
      <c r="B128" s="223" t="s">
        <v>372</v>
      </c>
      <c r="C128" s="30">
        <f t="shared" ref="C128:I128" si="46">C74*(1-(C118-$C118)/(1-$C118))</f>
        <v>699924.77452800004</v>
      </c>
      <c r="D128" s="30">
        <f t="shared" si="46"/>
        <v>735832.24666219996</v>
      </c>
      <c r="E128" s="30">
        <f t="shared" si="46"/>
        <v>768771.97448155296</v>
      </c>
      <c r="F128" s="30">
        <f t="shared" si="46"/>
        <v>778355.37439392495</v>
      </c>
      <c r="G128" s="30">
        <f t="shared" si="46"/>
        <v>799051.18430055375</v>
      </c>
      <c r="H128" s="30">
        <f t="shared" si="46"/>
        <v>817155.67844413093</v>
      </c>
      <c r="I128" s="31">
        <f t="shared" si="46"/>
        <v>835398.51812798879</v>
      </c>
      <c r="J128" t="s">
        <v>120</v>
      </c>
    </row>
    <row r="129" spans="1:10" ht="30" x14ac:dyDescent="0.25">
      <c r="B129" s="223" t="s">
        <v>373</v>
      </c>
      <c r="C129" s="30">
        <f t="shared" ref="C129:I136" si="47">(C75-C107)*(1-(C$118-$C$118)/(1-$C$118))+C107</f>
        <v>99989.253504000008</v>
      </c>
      <c r="D129" s="30">
        <f t="shared" si="47"/>
        <v>101781.64605092083</v>
      </c>
      <c r="E129" s="30">
        <f t="shared" si="47"/>
        <v>105275.29170456085</v>
      </c>
      <c r="F129" s="30">
        <f t="shared" si="47"/>
        <v>107825.83175051493</v>
      </c>
      <c r="G129" s="30">
        <f t="shared" si="47"/>
        <v>110257.48835536971</v>
      </c>
      <c r="H129" s="30">
        <f t="shared" si="47"/>
        <v>112570.26151912521</v>
      </c>
      <c r="I129" s="31">
        <f t="shared" si="47"/>
        <v>114764.15124178136</v>
      </c>
      <c r="J129" t="s">
        <v>120</v>
      </c>
    </row>
    <row r="130" spans="1:10" ht="36.75" customHeight="1" x14ac:dyDescent="0.25">
      <c r="B130" s="223" t="s">
        <v>374</v>
      </c>
      <c r="C130" s="30">
        <f t="shared" si="47"/>
        <v>93739.925159999999</v>
      </c>
      <c r="D130" s="30">
        <f t="shared" si="47"/>
        <v>95962.212764735348</v>
      </c>
      <c r="E130" s="30">
        <f t="shared" si="47"/>
        <v>99898.227746811492</v>
      </c>
      <c r="F130" s="30">
        <f t="shared" si="47"/>
        <v>103458.96422265355</v>
      </c>
      <c r="G130" s="30">
        <f t="shared" si="47"/>
        <v>106971.46627383382</v>
      </c>
      <c r="H130" s="30">
        <f t="shared" si="47"/>
        <v>110426.37639353045</v>
      </c>
      <c r="I130" s="31">
        <f t="shared" si="47"/>
        <v>121117.55345613477</v>
      </c>
      <c r="J130" t="s">
        <v>120</v>
      </c>
    </row>
    <row r="131" spans="1:10" x14ac:dyDescent="0.25">
      <c r="B131" s="223" t="s">
        <v>375</v>
      </c>
      <c r="C131" s="30">
        <f t="shared" si="47"/>
        <v>357135.92553191498</v>
      </c>
      <c r="D131" s="30">
        <f t="shared" si="47"/>
        <v>375367.81361979141</v>
      </c>
      <c r="E131" s="30">
        <f t="shared" si="47"/>
        <v>392073.59785346332</v>
      </c>
      <c r="F131" s="30">
        <f t="shared" si="47"/>
        <v>396831.65063126362</v>
      </c>
      <c r="G131" s="30">
        <f t="shared" si="47"/>
        <v>407271.04826314608</v>
      </c>
      <c r="H131" s="30">
        <f t="shared" si="47"/>
        <v>416378.90925334702</v>
      </c>
      <c r="I131" s="31">
        <f t="shared" si="47"/>
        <v>425511.22994880774</v>
      </c>
      <c r="J131" t="s">
        <v>120</v>
      </c>
    </row>
    <row r="132" spans="1:10" ht="30" x14ac:dyDescent="0.25">
      <c r="B132" s="223" t="s">
        <v>376</v>
      </c>
      <c r="C132" s="30">
        <f t="shared" si="47"/>
        <v>16945.48</v>
      </c>
      <c r="D132" s="30">
        <f t="shared" si="47"/>
        <v>17438.627976102347</v>
      </c>
      <c r="E132" s="30">
        <f t="shared" si="47"/>
        <v>18238.737223362015</v>
      </c>
      <c r="F132" s="30">
        <f t="shared" si="47"/>
        <v>18893.059396921439</v>
      </c>
      <c r="G132" s="30">
        <f t="shared" si="47"/>
        <v>19542.811546125351</v>
      </c>
      <c r="H132" s="30">
        <f t="shared" si="47"/>
        <v>20187.993670973756</v>
      </c>
      <c r="I132" s="31">
        <f t="shared" si="47"/>
        <v>20828.605771466646</v>
      </c>
      <c r="J132" t="s">
        <v>120</v>
      </c>
    </row>
    <row r="133" spans="1:10" ht="30" x14ac:dyDescent="0.25">
      <c r="B133" s="223" t="s">
        <v>378</v>
      </c>
      <c r="C133" s="30">
        <f t="shared" si="47"/>
        <v>4125.6000000000004</v>
      </c>
      <c r="D133" s="30">
        <f t="shared" si="47"/>
        <v>4184.0030168202202</v>
      </c>
      <c r="E133" s="30">
        <f t="shared" si="47"/>
        <v>4314.0764091962865</v>
      </c>
      <c r="F133" s="30">
        <f t="shared" si="47"/>
        <v>4424.2769675947493</v>
      </c>
      <c r="G133" s="30">
        <f t="shared" si="47"/>
        <v>4528.8572611327336</v>
      </c>
      <c r="H133" s="30">
        <f t="shared" si="47"/>
        <v>4627.4182643621716</v>
      </c>
      <c r="I133" s="31">
        <f t="shared" si="47"/>
        <v>5022.4220689339372</v>
      </c>
      <c r="J133" t="s">
        <v>120</v>
      </c>
    </row>
    <row r="134" spans="1:10" x14ac:dyDescent="0.25">
      <c r="B134" s="234" t="s">
        <v>62</v>
      </c>
      <c r="C134" s="46">
        <f t="shared" si="47"/>
        <v>6227585.5710199699</v>
      </c>
      <c r="D134" s="46">
        <f t="shared" si="47"/>
        <v>6397249.5031804452</v>
      </c>
      <c r="E134" s="46">
        <f t="shared" si="47"/>
        <v>6556756.481768379</v>
      </c>
      <c r="F134" s="46">
        <f t="shared" si="47"/>
        <v>6624656.4464592952</v>
      </c>
      <c r="G134" s="46">
        <f t="shared" si="47"/>
        <v>6735580.1286342116</v>
      </c>
      <c r="H134" s="46">
        <f t="shared" si="47"/>
        <v>6837862.0410675546</v>
      </c>
      <c r="I134" s="47">
        <f t="shared" si="47"/>
        <v>6958353.6020887122</v>
      </c>
      <c r="J134" t="s">
        <v>122</v>
      </c>
    </row>
    <row r="135" spans="1:10" x14ac:dyDescent="0.25">
      <c r="B135" s="234" t="s">
        <v>63</v>
      </c>
      <c r="C135" s="46">
        <f t="shared" si="47"/>
        <v>2844830.6881454801</v>
      </c>
      <c r="D135" s="46">
        <f t="shared" si="47"/>
        <v>2067417.2862015609</v>
      </c>
      <c r="E135" s="46">
        <f t="shared" si="47"/>
        <v>2093769.0264870834</v>
      </c>
      <c r="F135" s="46">
        <f t="shared" si="47"/>
        <v>2098448.3074723631</v>
      </c>
      <c r="G135" s="46">
        <f t="shared" si="47"/>
        <v>2113409.692727929</v>
      </c>
      <c r="H135" s="46">
        <f t="shared" si="47"/>
        <v>2125785.1595442607</v>
      </c>
      <c r="I135" s="47">
        <f t="shared" si="47"/>
        <v>2136621.3891943824</v>
      </c>
      <c r="J135" t="s">
        <v>122</v>
      </c>
    </row>
    <row r="136" spans="1:10" ht="15.75" thickBot="1" x14ac:dyDescent="0.3">
      <c r="B136" s="263" t="s">
        <v>64</v>
      </c>
      <c r="C136" s="136">
        <f t="shared" si="47"/>
        <v>3471299.9999999995</v>
      </c>
      <c r="D136" s="136">
        <f t="shared" si="47"/>
        <v>2357147.390673032</v>
      </c>
      <c r="E136" s="136">
        <f t="shared" si="47"/>
        <v>2344791.6933647725</v>
      </c>
      <c r="F136" s="136">
        <f t="shared" si="47"/>
        <v>2321375.2125796932</v>
      </c>
      <c r="G136" s="136">
        <f t="shared" si="47"/>
        <v>2302960.0497084106</v>
      </c>
      <c r="H136" s="136">
        <f t="shared" si="47"/>
        <v>2283123.2918421496</v>
      </c>
      <c r="I136" s="137">
        <f t="shared" si="47"/>
        <v>2262410.5561537636</v>
      </c>
      <c r="J136" t="s">
        <v>122</v>
      </c>
    </row>
    <row r="137" spans="1:10" ht="15.75" thickBot="1" x14ac:dyDescent="0.3">
      <c r="B137" s="376"/>
      <c r="C137" s="7"/>
      <c r="D137" s="7"/>
      <c r="E137" s="7"/>
      <c r="F137" s="7"/>
      <c r="G137" s="7"/>
      <c r="H137" s="7"/>
      <c r="I137" s="7"/>
    </row>
    <row r="138" spans="1:10" x14ac:dyDescent="0.25">
      <c r="A138" s="616" t="s">
        <v>394</v>
      </c>
      <c r="B138" s="384" t="s">
        <v>340</v>
      </c>
      <c r="C138" s="26">
        <f>C30*'Baseline User Input'!$L84</f>
        <v>42035433.977642238</v>
      </c>
      <c r="D138" s="26">
        <f>D30*'Baseline User Input'!$L84</f>
        <v>43303229.52134183</v>
      </c>
      <c r="E138" s="26">
        <f>E30*'Baseline User Input'!$L84</f>
        <v>45365340.531206019</v>
      </c>
      <c r="F138" s="26">
        <f>F30*'Baseline User Input'!$L84</f>
        <v>47282273.833739154</v>
      </c>
      <c r="G138" s="26">
        <f>G30*'Baseline User Input'!$L84</f>
        <v>49201655.326952413</v>
      </c>
      <c r="H138" s="26">
        <f>H30*'Baseline User Input'!$L84</f>
        <v>51119200.677155562</v>
      </c>
      <c r="I138" s="27">
        <f>I30*'Baseline User Input'!$L84</f>
        <v>56433365.776955739</v>
      </c>
      <c r="J138" t="s">
        <v>192</v>
      </c>
    </row>
    <row r="139" spans="1:10" x14ac:dyDescent="0.25">
      <c r="A139" s="617"/>
      <c r="B139" s="266" t="s">
        <v>118</v>
      </c>
      <c r="C139" s="30">
        <f>C33*'Baseline User Input'!$M84</f>
        <v>44379.570213773382</v>
      </c>
      <c r="D139" s="30">
        <f>D33*'Baseline User Input'!$M84</f>
        <v>45718.065288625017</v>
      </c>
      <c r="E139" s="30">
        <f>E33*'Baseline User Input'!$M84</f>
        <v>47895.171403421831</v>
      </c>
      <c r="F139" s="30">
        <f>F33*'Baseline User Input'!$M84</f>
        <v>49919.003871528097</v>
      </c>
      <c r="G139" s="30">
        <f>G33*'Baseline User Input'!$M84</f>
        <v>51945.421055430161</v>
      </c>
      <c r="H139" s="30">
        <f>H33*'Baseline User Input'!$M84</f>
        <v>53969.899702485367</v>
      </c>
      <c r="I139" s="31">
        <f>I33*'Baseline User Input'!$M84</f>
        <v>59580.413044624394</v>
      </c>
      <c r="J139" t="s">
        <v>120</v>
      </c>
    </row>
    <row r="140" spans="1:10" ht="15.75" thickBot="1" x14ac:dyDescent="0.3">
      <c r="A140" s="621"/>
      <c r="B140" s="386" t="s">
        <v>61</v>
      </c>
      <c r="C140" s="32">
        <f>C36*'Baseline User Input'!$N84</f>
        <v>257.57218485192641</v>
      </c>
      <c r="D140" s="32">
        <f>D36*'Baseline User Input'!$N84</f>
        <v>265.34060395067826</v>
      </c>
      <c r="E140" s="32">
        <f>E36*'Baseline User Input'!$N84</f>
        <v>277.97619226173111</v>
      </c>
      <c r="F140" s="32">
        <f>F36*'Baseline User Input'!$N84</f>
        <v>289.72220395299843</v>
      </c>
      <c r="G140" s="32">
        <f>G36*'Baseline User Input'!$N84</f>
        <v>301.48321693633625</v>
      </c>
      <c r="H140" s="32">
        <f>H36*'Baseline User Input'!$N84</f>
        <v>313.23297895062109</v>
      </c>
      <c r="I140" s="33">
        <f>I36*'Baseline User Input'!$N84</f>
        <v>345.7955335836341</v>
      </c>
      <c r="J140" t="s">
        <v>120</v>
      </c>
    </row>
    <row r="141" spans="1:10" ht="15.75" thickBot="1" x14ac:dyDescent="0.3"/>
    <row r="142" spans="1:10" x14ac:dyDescent="0.25">
      <c r="A142" s="616" t="s">
        <v>395</v>
      </c>
      <c r="B142" s="384" t="s">
        <v>340</v>
      </c>
      <c r="C142" s="26">
        <f t="shared" ref="C142:I142" si="48">C138+(C139-C143)*$O$98/0.0036+(C140-C144)*$O$98/0.0036</f>
        <v>42035433.977642238</v>
      </c>
      <c r="D142" s="26">
        <f t="shared" si="48"/>
        <v>43303229.52134183</v>
      </c>
      <c r="E142" s="26">
        <f t="shared" si="48"/>
        <v>45365340.531206019</v>
      </c>
      <c r="F142" s="26">
        <f t="shared" si="48"/>
        <v>47282273.833739154</v>
      </c>
      <c r="G142" s="26">
        <f t="shared" si="48"/>
        <v>49201655.326952413</v>
      </c>
      <c r="H142" s="26">
        <f t="shared" si="48"/>
        <v>51119200.677155562</v>
      </c>
      <c r="I142" s="27">
        <f t="shared" si="48"/>
        <v>56433365.776955739</v>
      </c>
      <c r="J142" t="s">
        <v>192</v>
      </c>
    </row>
    <row r="143" spans="1:10" x14ac:dyDescent="0.25">
      <c r="A143" s="617"/>
      <c r="B143" s="266" t="s">
        <v>118</v>
      </c>
      <c r="C143" s="30">
        <f t="shared" ref="C143:I144" si="49">C139*(1-C85*(C$118-$C$118)/(1-$C$118))</f>
        <v>44379.570213773382</v>
      </c>
      <c r="D143" s="30">
        <f t="shared" si="49"/>
        <v>45718.065288625017</v>
      </c>
      <c r="E143" s="30">
        <f t="shared" si="49"/>
        <v>47895.171403421831</v>
      </c>
      <c r="F143" s="30">
        <f t="shared" si="49"/>
        <v>49919.003871528097</v>
      </c>
      <c r="G143" s="30">
        <f t="shared" si="49"/>
        <v>51945.421055430161</v>
      </c>
      <c r="H143" s="30">
        <f t="shared" si="49"/>
        <v>53969.899702485367</v>
      </c>
      <c r="I143" s="31">
        <f t="shared" si="49"/>
        <v>59580.413044624394</v>
      </c>
      <c r="J143" t="s">
        <v>120</v>
      </c>
    </row>
    <row r="144" spans="1:10" ht="15.75" thickBot="1" x14ac:dyDescent="0.3">
      <c r="A144" s="621"/>
      <c r="B144" s="386" t="s">
        <v>61</v>
      </c>
      <c r="C144" s="32">
        <f t="shared" si="49"/>
        <v>257.57218485192641</v>
      </c>
      <c r="D144" s="32">
        <f t="shared" si="49"/>
        <v>265.34060395067826</v>
      </c>
      <c r="E144" s="32">
        <f t="shared" si="49"/>
        <v>277.97619226173111</v>
      </c>
      <c r="F144" s="32">
        <f t="shared" si="49"/>
        <v>289.72220395299843</v>
      </c>
      <c r="G144" s="32">
        <f t="shared" si="49"/>
        <v>301.48321693633625</v>
      </c>
      <c r="H144" s="32">
        <f t="shared" si="49"/>
        <v>313.23297895062109</v>
      </c>
      <c r="I144" s="33">
        <f t="shared" si="49"/>
        <v>345.7955335836341</v>
      </c>
      <c r="J144" t="s">
        <v>120</v>
      </c>
    </row>
    <row r="145" spans="1:10" ht="15.75" thickBot="1" x14ac:dyDescent="0.3"/>
    <row r="146" spans="1:10" x14ac:dyDescent="0.25">
      <c r="A146" s="616" t="s">
        <v>396</v>
      </c>
      <c r="B146" s="384" t="s">
        <v>340</v>
      </c>
      <c r="C146" s="26">
        <f>C142*-'5. Energy'!C$53</f>
        <v>-73445.720403568266</v>
      </c>
      <c r="D146" s="26">
        <f>D142*-'5. Energy'!D$53</f>
        <v>-1145631.4507903045</v>
      </c>
      <c r="E146" s="26">
        <f>E142*-'5. Energy'!E$53</f>
        <v>-2321109.5897882632</v>
      </c>
      <c r="F146" s="26">
        <f>F142*-'5. Energy'!F$53</f>
        <v>-3587477.1250380706</v>
      </c>
      <c r="G146" s="26">
        <f>G142*-'5. Energy'!G$53</f>
        <v>-4948821.1269450672</v>
      </c>
      <c r="H146" s="26">
        <f>H142*-'5. Energy'!H$53</f>
        <v>-6404786.2816966157</v>
      </c>
      <c r="I146" s="27">
        <f>I142*-'5. Energy'!I$53</f>
        <v>-8465004.8665433601</v>
      </c>
      <c r="J146" t="s">
        <v>192</v>
      </c>
    </row>
    <row r="147" spans="1:10" x14ac:dyDescent="0.25">
      <c r="A147" s="617"/>
      <c r="B147" s="266" t="s">
        <v>118</v>
      </c>
      <c r="C147" s="30">
        <f>C143*-'5. Energy'!C$53</f>
        <v>-77.541473873803227</v>
      </c>
      <c r="D147" s="30">
        <f>D143*-'5. Energy'!D$53</f>
        <v>-1209.5184133580615</v>
      </c>
      <c r="E147" s="30">
        <f>E143*-'5. Energy'!E$53</f>
        <v>-2450.5479369776394</v>
      </c>
      <c r="F147" s="30">
        <f>F143*-'5. Energy'!F$53</f>
        <v>-3787.5353694602923</v>
      </c>
      <c r="G147" s="30">
        <f>G143*-'5. Energy'!G$53</f>
        <v>-5224.7956996347048</v>
      </c>
      <c r="H147" s="30">
        <f>H143*-'5. Energy'!H$53</f>
        <v>-6761.953799357696</v>
      </c>
      <c r="I147" s="31">
        <f>I143*-'5. Energy'!I$53</f>
        <v>-8937.0619566936584</v>
      </c>
      <c r="J147" t="s">
        <v>120</v>
      </c>
    </row>
    <row r="148" spans="1:10" ht="15.75" thickBot="1" x14ac:dyDescent="0.3">
      <c r="A148" s="621"/>
      <c r="B148" s="386" t="s">
        <v>61</v>
      </c>
      <c r="C148" s="32">
        <f>C144*-'5. Energy'!C$53</f>
        <v>-0.45003876211751842</v>
      </c>
      <c r="D148" s="32">
        <f>D144*-'5. Energy'!D$53</f>
        <v>-7.0198584359112175</v>
      </c>
      <c r="E148" s="32">
        <f>E144*-'5. Energy'!E$53</f>
        <v>-14.222602498656421</v>
      </c>
      <c r="F148" s="32">
        <f>F144*-'5. Energy'!F$53</f>
        <v>-21.982271473486815</v>
      </c>
      <c r="G148" s="32">
        <f>G144*-'5. Energy'!G$53</f>
        <v>-30.323908890451523</v>
      </c>
      <c r="H148" s="32">
        <f>H144*-'5. Energy'!H$53</f>
        <v>-39.245337563629796</v>
      </c>
      <c r="I148" s="33">
        <f>I144*-'5. Energy'!I$53</f>
        <v>-51.869330037545112</v>
      </c>
      <c r="J148" t="s">
        <v>120</v>
      </c>
    </row>
    <row r="149" spans="1:10" ht="15.75" thickBot="1" x14ac:dyDescent="0.3"/>
    <row r="150" spans="1:10" ht="15" customHeight="1" x14ac:dyDescent="0.25">
      <c r="A150" s="616" t="s">
        <v>397</v>
      </c>
      <c r="B150" s="384" t="s">
        <v>61</v>
      </c>
      <c r="C150" s="26">
        <f t="shared" ref="C150:H150" si="50">SUM(C131:C133,C148)</f>
        <v>378206.55549315282</v>
      </c>
      <c r="D150" s="26">
        <f t="shared" si="50"/>
        <v>396983.42475427809</v>
      </c>
      <c r="E150" s="26">
        <f t="shared" si="50"/>
        <v>414612.18888352299</v>
      </c>
      <c r="F150" s="26">
        <f t="shared" si="50"/>
        <v>420127.00472430629</v>
      </c>
      <c r="G150" s="26">
        <f t="shared" si="50"/>
        <v>431312.39316151373</v>
      </c>
      <c r="H150" s="26">
        <f t="shared" si="50"/>
        <v>441155.0758511193</v>
      </c>
      <c r="I150" s="27">
        <f>SUM(I131:I133,I148)</f>
        <v>451310.38845917076</v>
      </c>
      <c r="J150" t="s">
        <v>120</v>
      </c>
    </row>
    <row r="151" spans="1:10" x14ac:dyDescent="0.25">
      <c r="A151" s="617"/>
      <c r="B151" s="266" t="s">
        <v>372</v>
      </c>
      <c r="C151" s="30">
        <f t="shared" ref="C151:H151" si="51">C128</f>
        <v>699924.77452800004</v>
      </c>
      <c r="D151" s="30">
        <f t="shared" si="51"/>
        <v>735832.24666219996</v>
      </c>
      <c r="E151" s="30">
        <f t="shared" si="51"/>
        <v>768771.97448155296</v>
      </c>
      <c r="F151" s="30">
        <f t="shared" si="51"/>
        <v>778355.37439392495</v>
      </c>
      <c r="G151" s="30">
        <f t="shared" si="51"/>
        <v>799051.18430055375</v>
      </c>
      <c r="H151" s="30">
        <f t="shared" si="51"/>
        <v>817155.67844413093</v>
      </c>
      <c r="I151" s="31">
        <f>I128</f>
        <v>835398.51812798879</v>
      </c>
      <c r="J151" t="s">
        <v>120</v>
      </c>
    </row>
    <row r="152" spans="1:10" x14ac:dyDescent="0.25">
      <c r="A152" s="617"/>
      <c r="B152" s="266" t="s">
        <v>398</v>
      </c>
      <c r="C152" s="30">
        <f>-MIN('1. Landuse'!C72,(C150+C151))</f>
        <v>0</v>
      </c>
      <c r="D152" s="30">
        <f>-MIN('1. Landuse'!D72,(D150+D151))</f>
        <v>-53857.125</v>
      </c>
      <c r="E152" s="30">
        <f>-MIN('1. Landuse'!E72,(E150+E151))</f>
        <v>-114961.49999999999</v>
      </c>
      <c r="F152" s="30">
        <f>-MIN('1. Landuse'!F72,(F150+F151))</f>
        <v>-183313.12499999997</v>
      </c>
      <c r="G152" s="30">
        <f>-MIN('1. Landuse'!G72,(G150+G151))</f>
        <v>-258911.99999999994</v>
      </c>
      <c r="H152" s="30">
        <f>-MIN('1. Landuse'!H72,(H150+H151))</f>
        <v>-341758.12499999988</v>
      </c>
      <c r="I152" s="31">
        <f>-MIN('1. Landuse'!I72,(I150+I151))</f>
        <v>-431851.5</v>
      </c>
      <c r="J152" t="s">
        <v>120</v>
      </c>
    </row>
    <row r="153" spans="1:10" ht="15.75" thickBot="1" x14ac:dyDescent="0.3">
      <c r="A153" s="621"/>
      <c r="B153" s="386" t="s">
        <v>399</v>
      </c>
      <c r="C153" s="32">
        <f t="shared" ref="C153:H153" si="52">MIN(C152+C150,0)</f>
        <v>0</v>
      </c>
      <c r="D153" s="32">
        <f t="shared" si="52"/>
        <v>0</v>
      </c>
      <c r="E153" s="32">
        <f t="shared" si="52"/>
        <v>0</v>
      </c>
      <c r="F153" s="32">
        <f t="shared" si="52"/>
        <v>0</v>
      </c>
      <c r="G153" s="32">
        <f t="shared" si="52"/>
        <v>0</v>
      </c>
      <c r="H153" s="32">
        <f t="shared" si="52"/>
        <v>0</v>
      </c>
      <c r="I153" s="33">
        <f>MIN(I152+I150,0)</f>
        <v>0</v>
      </c>
      <c r="J153" t="s">
        <v>120</v>
      </c>
    </row>
    <row r="154" spans="1:10" ht="15.75" thickBot="1" x14ac:dyDescent="0.3">
      <c r="B154" s="376"/>
      <c r="C154" s="7"/>
      <c r="D154" s="7"/>
      <c r="E154" s="7"/>
      <c r="F154" s="7"/>
      <c r="G154" s="7"/>
      <c r="H154" s="7"/>
      <c r="I154" s="7"/>
    </row>
    <row r="155" spans="1:10" ht="45" x14ac:dyDescent="0.25">
      <c r="A155" s="616" t="s">
        <v>400</v>
      </c>
      <c r="B155" s="384" t="s">
        <v>401</v>
      </c>
      <c r="C155" s="26">
        <f>'5. Energy'!C70</f>
        <v>190232678.42172083</v>
      </c>
      <c r="D155" s="26">
        <f>'5. Energy'!D70</f>
        <v>182596859.64235857</v>
      </c>
      <c r="E155" s="26">
        <f>'5. Energy'!E70</f>
        <v>171512788.6455965</v>
      </c>
      <c r="F155" s="26">
        <f>'5. Energy'!F70</f>
        <v>153232389.77286464</v>
      </c>
      <c r="G155" s="26">
        <f>'5. Energy'!G70</f>
        <v>134867340.69425243</v>
      </c>
      <c r="H155" s="26">
        <f>'5. Energy'!H70</f>
        <v>113675584.91844518</v>
      </c>
      <c r="I155" s="27">
        <f>'5. Energy'!I70</f>
        <v>88704205.794041932</v>
      </c>
      <c r="J155" t="s">
        <v>192</v>
      </c>
    </row>
    <row r="156" spans="1:10" ht="45" x14ac:dyDescent="0.25">
      <c r="A156" s="617"/>
      <c r="B156" s="266" t="s">
        <v>402</v>
      </c>
      <c r="C156" s="30">
        <f>'5. Energy'!C71</f>
        <v>114692341.22762345</v>
      </c>
      <c r="D156" s="30">
        <f>'5. Energy'!D71</f>
        <v>107209523.26928014</v>
      </c>
      <c r="E156" s="30">
        <f>'5. Energy'!E71</f>
        <v>100264885.7563007</v>
      </c>
      <c r="F156" s="30">
        <f>'5. Energy'!F71</f>
        <v>90952655.736907721</v>
      </c>
      <c r="G156" s="30">
        <f>'5. Energy'!G71</f>
        <v>80170317.808289915</v>
      </c>
      <c r="H156" s="30">
        <f>'5. Energy'!H71</f>
        <v>67820356.461157545</v>
      </c>
      <c r="I156" s="31">
        <f>'5. Energy'!I71</f>
        <v>52924778.379581526</v>
      </c>
      <c r="J156" t="s">
        <v>192</v>
      </c>
    </row>
    <row r="157" spans="1:10" ht="30" x14ac:dyDescent="0.25">
      <c r="A157" s="617"/>
      <c r="B157" s="266" t="s">
        <v>43</v>
      </c>
      <c r="C157" s="30">
        <f>C127+C146</f>
        <v>155613346.78938249</v>
      </c>
      <c r="D157" s="30">
        <f t="shared" ref="D157:H157" si="53">D127+D146</f>
        <v>158835744.28083366</v>
      </c>
      <c r="E157" s="30">
        <f t="shared" si="53"/>
        <v>164858571.25669315</v>
      </c>
      <c r="F157" s="30">
        <f t="shared" si="53"/>
        <v>170218659.09713271</v>
      </c>
      <c r="G157" s="30">
        <f t="shared" si="53"/>
        <v>175457248.40521374</v>
      </c>
      <c r="H157" s="30">
        <f t="shared" si="53"/>
        <v>180558956.93567789</v>
      </c>
      <c r="I157" s="31">
        <f>I127+I146</f>
        <v>197412273.9864248</v>
      </c>
      <c r="J157" t="s">
        <v>192</v>
      </c>
    </row>
    <row r="158" spans="1:10" ht="30" x14ac:dyDescent="0.25">
      <c r="A158" s="617"/>
      <c r="B158" s="266" t="s">
        <v>403</v>
      </c>
      <c r="C158" s="30">
        <f>MAX(C157-'5. Energy'!C50,0)</f>
        <v>155613346.78938249</v>
      </c>
      <c r="D158" s="30">
        <f>MAX(D157-'5. Energy'!D50,0)</f>
        <v>140080936.78083366</v>
      </c>
      <c r="E158" s="30">
        <f>MAX(E157-'5. Energy'!E50,0)</f>
        <v>122078691.25669315</v>
      </c>
      <c r="F158" s="30">
        <f>MAX(F157-'5. Energy'!F50,0)</f>
        <v>97910319.097132713</v>
      </c>
      <c r="G158" s="30">
        <f>MAX(G157-'5. Energy'!G50,0)</f>
        <v>67635898.405213743</v>
      </c>
      <c r="H158" s="30">
        <f>MAX(H157-'5. Energy'!H50,0)</f>
        <v>30804806.935677886</v>
      </c>
      <c r="I158" s="31">
        <f>MAX(I157-'5. Energy'!I50,0)</f>
        <v>0</v>
      </c>
      <c r="J158" t="s">
        <v>192</v>
      </c>
    </row>
    <row r="159" spans="1:10" x14ac:dyDescent="0.25">
      <c r="A159" s="617"/>
      <c r="B159" s="266" t="s">
        <v>118</v>
      </c>
      <c r="C159" s="30">
        <f t="shared" ref="C159:I159" si="54">SUM(C128:C130,C147,C153)</f>
        <v>893576.41171812627</v>
      </c>
      <c r="D159" s="30">
        <f t="shared" si="54"/>
        <v>932366.5870644981</v>
      </c>
      <c r="E159" s="30">
        <f t="shared" si="54"/>
        <v>971494.9459959477</v>
      </c>
      <c r="F159" s="30">
        <f t="shared" si="54"/>
        <v>985852.63499763317</v>
      </c>
      <c r="G159" s="30">
        <f t="shared" si="54"/>
        <v>1011055.3432301226</v>
      </c>
      <c r="H159" s="30">
        <f t="shared" si="54"/>
        <v>1033390.3625574289</v>
      </c>
      <c r="I159" s="31">
        <f t="shared" si="54"/>
        <v>1062343.1608692114</v>
      </c>
      <c r="J159" t="s">
        <v>120</v>
      </c>
    </row>
    <row r="160" spans="1:10" ht="15.75" thickBot="1" x14ac:dyDescent="0.3">
      <c r="A160" s="621"/>
      <c r="B160" s="386" t="s">
        <v>61</v>
      </c>
      <c r="C160" s="32">
        <f t="shared" ref="C160:I160" si="55">MAX(C150+C152,0)</f>
        <v>378206.55549315282</v>
      </c>
      <c r="D160" s="32">
        <f t="shared" si="55"/>
        <v>343126.29975427809</v>
      </c>
      <c r="E160" s="32">
        <f t="shared" si="55"/>
        <v>299650.68888352299</v>
      </c>
      <c r="F160" s="32">
        <f t="shared" si="55"/>
        <v>236813.87972430632</v>
      </c>
      <c r="G160" s="32">
        <f t="shared" si="55"/>
        <v>172400.39316151378</v>
      </c>
      <c r="H160" s="32">
        <f t="shared" si="55"/>
        <v>99396.950851119414</v>
      </c>
      <c r="I160" s="33">
        <f t="shared" si="55"/>
        <v>19458.888459170761</v>
      </c>
      <c r="J160" t="s">
        <v>120</v>
      </c>
    </row>
    <row r="161" spans="1:10" x14ac:dyDescent="0.25">
      <c r="B161" s="22"/>
      <c r="C161" s="22"/>
      <c r="D161" s="22"/>
      <c r="E161" s="22"/>
      <c r="F161" s="22"/>
      <c r="G161" s="22"/>
      <c r="H161" s="22"/>
      <c r="I161" s="22"/>
    </row>
    <row r="162" spans="1:10" ht="15.75" thickBot="1" x14ac:dyDescent="0.3"/>
    <row r="163" spans="1:10" x14ac:dyDescent="0.25">
      <c r="A163" s="209">
        <v>4</v>
      </c>
      <c r="B163" s="210"/>
      <c r="C163" s="575" t="s">
        <v>404</v>
      </c>
      <c r="D163" s="576"/>
      <c r="E163" s="576"/>
      <c r="F163" s="576"/>
      <c r="G163" s="576"/>
      <c r="H163" s="576"/>
      <c r="I163" s="577"/>
    </row>
    <row r="164" spans="1:10" x14ac:dyDescent="0.25">
      <c r="B164" s="211" t="s">
        <v>33</v>
      </c>
      <c r="C164" s="212">
        <f>'Baseline Statistics'!C12</f>
        <v>2022</v>
      </c>
      <c r="D164" s="212">
        <f>'Baseline Statistics'!D12</f>
        <v>2025</v>
      </c>
      <c r="E164" s="212">
        <f>'Baseline Statistics'!E12</f>
        <v>2030</v>
      </c>
      <c r="F164" s="212">
        <f>'Baseline Statistics'!F12</f>
        <v>2035</v>
      </c>
      <c r="G164" s="212">
        <f>'Baseline Statistics'!G12</f>
        <v>2040</v>
      </c>
      <c r="H164" s="212">
        <f>'Baseline Statistics'!H12</f>
        <v>2045</v>
      </c>
      <c r="I164" s="213">
        <f>'Baseline Statistics'!I12</f>
        <v>2050</v>
      </c>
    </row>
    <row r="165" spans="1:10" x14ac:dyDescent="0.25">
      <c r="B165" s="58" t="s">
        <v>34</v>
      </c>
      <c r="C165" s="64">
        <f t="shared" ref="C165:I165" si="56">VLOOKUP($A163,$B166:$I169,COLUMN()-1,TRUE)</f>
        <v>1</v>
      </c>
      <c r="D165" s="64">
        <f t="shared" si="56"/>
        <v>0.93333333333333335</v>
      </c>
      <c r="E165" s="64">
        <f t="shared" si="56"/>
        <v>0.8666666666666667</v>
      </c>
      <c r="F165" s="64">
        <f t="shared" si="56"/>
        <v>0.8</v>
      </c>
      <c r="G165" s="64">
        <f t="shared" si="56"/>
        <v>0.73333333333333339</v>
      </c>
      <c r="H165" s="64">
        <f t="shared" si="56"/>
        <v>0.66666666666666674</v>
      </c>
      <c r="I165" s="65">
        <f t="shared" si="56"/>
        <v>0.6</v>
      </c>
      <c r="J165" s="21" t="str">
        <f>VLOOKUP($A163,$B166:$J169,COLUMN()-1,TRUE)</f>
        <v>Major changes to supply chains, packaging norms, consumption rates etc. (-40% by 2050)</v>
      </c>
    </row>
    <row r="166" spans="1:10" x14ac:dyDescent="0.25">
      <c r="B166" s="214">
        <v>1</v>
      </c>
      <c r="C166" s="215">
        <v>1</v>
      </c>
      <c r="D166" s="216">
        <f>C166+(($I166-$C166)/6)</f>
        <v>1.0166666666666666</v>
      </c>
      <c r="E166" s="216">
        <f t="shared" ref="E166:E169" si="57">D166+(($I166-$C166)/6)</f>
        <v>1.0333333333333332</v>
      </c>
      <c r="F166" s="216">
        <f t="shared" ref="F166:F169" si="58">E166+(($I166-$C166)/6)</f>
        <v>1.0499999999999998</v>
      </c>
      <c r="G166" s="216">
        <f t="shared" ref="G166:G169" si="59">F166+(($I166-$C166)/6)</f>
        <v>1.0666666666666664</v>
      </c>
      <c r="H166" s="216">
        <f t="shared" ref="H166:H169" si="60">G166+(($I166-$C166)/6)</f>
        <v>1.083333333333333</v>
      </c>
      <c r="I166" s="217">
        <v>1.1000000000000001</v>
      </c>
      <c r="J166" t="s">
        <v>405</v>
      </c>
    </row>
    <row r="167" spans="1:10" x14ac:dyDescent="0.25">
      <c r="B167" s="214">
        <v>2</v>
      </c>
      <c r="C167" s="215">
        <v>1</v>
      </c>
      <c r="D167" s="216">
        <f>C167+(($I167-$C167)/6)</f>
        <v>1</v>
      </c>
      <c r="E167" s="216">
        <f t="shared" si="57"/>
        <v>1</v>
      </c>
      <c r="F167" s="216">
        <f t="shared" si="58"/>
        <v>1</v>
      </c>
      <c r="G167" s="216">
        <f t="shared" si="59"/>
        <v>1</v>
      </c>
      <c r="H167" s="216">
        <f t="shared" si="60"/>
        <v>1</v>
      </c>
      <c r="I167" s="218">
        <v>1</v>
      </c>
      <c r="J167" t="s">
        <v>273</v>
      </c>
    </row>
    <row r="168" spans="1:10" x14ac:dyDescent="0.25">
      <c r="B168" s="214">
        <v>3</v>
      </c>
      <c r="C168" s="215">
        <v>1</v>
      </c>
      <c r="D168" s="216">
        <f>C168+(($I168-$C168)/6)</f>
        <v>0.98333333333333339</v>
      </c>
      <c r="E168" s="216">
        <f t="shared" si="57"/>
        <v>0.96666666666666679</v>
      </c>
      <c r="F168" s="216">
        <f t="shared" si="58"/>
        <v>0.95000000000000018</v>
      </c>
      <c r="G168" s="216">
        <f t="shared" si="59"/>
        <v>0.93333333333333357</v>
      </c>
      <c r="H168" s="216">
        <f t="shared" si="60"/>
        <v>0.91666666666666696</v>
      </c>
      <c r="I168" s="217">
        <v>0.9</v>
      </c>
      <c r="J168" t="s">
        <v>406</v>
      </c>
    </row>
    <row r="169" spans="1:10" ht="15.75" thickBot="1" x14ac:dyDescent="0.3">
      <c r="B169" s="219">
        <v>4</v>
      </c>
      <c r="C169" s="220">
        <v>1</v>
      </c>
      <c r="D169" s="221">
        <f>C169+(($I169-$C169)/6)</f>
        <v>0.93333333333333335</v>
      </c>
      <c r="E169" s="221">
        <f t="shared" si="57"/>
        <v>0.8666666666666667</v>
      </c>
      <c r="F169" s="221">
        <f t="shared" si="58"/>
        <v>0.8</v>
      </c>
      <c r="G169" s="221">
        <f t="shared" si="59"/>
        <v>0.73333333333333339</v>
      </c>
      <c r="H169" s="221">
        <f t="shared" si="60"/>
        <v>0.66666666666666674</v>
      </c>
      <c r="I169" s="222">
        <v>0.6</v>
      </c>
      <c r="J169" t="s">
        <v>407</v>
      </c>
    </row>
    <row r="170" spans="1:10" ht="15.75" thickBot="1" x14ac:dyDescent="0.3">
      <c r="B170" s="204"/>
      <c r="I170" s="205"/>
    </row>
    <row r="171" spans="1:10" ht="30" x14ac:dyDescent="0.25">
      <c r="B171" s="229" t="s">
        <v>39</v>
      </c>
      <c r="C171" s="230">
        <f>C187</f>
        <v>2022</v>
      </c>
      <c r="D171" s="230">
        <f t="shared" ref="D171:I171" si="61">D187</f>
        <v>2025</v>
      </c>
      <c r="E171" s="230">
        <f t="shared" si="61"/>
        <v>2030</v>
      </c>
      <c r="F171" s="230">
        <f t="shared" si="61"/>
        <v>2035</v>
      </c>
      <c r="G171" s="230">
        <f t="shared" si="61"/>
        <v>2040</v>
      </c>
      <c r="H171" s="230">
        <f t="shared" si="61"/>
        <v>2045</v>
      </c>
      <c r="I171" s="231">
        <f t="shared" si="61"/>
        <v>2050</v>
      </c>
    </row>
    <row r="172" spans="1:10" ht="30" x14ac:dyDescent="0.25">
      <c r="B172" s="310" t="s">
        <v>408</v>
      </c>
      <c r="C172" s="30">
        <f t="shared" ref="C172:I172" si="62">$P$11*C165</f>
        <v>485.73426082959861</v>
      </c>
      <c r="D172" s="30">
        <f t="shared" si="62"/>
        <v>453.35197677429204</v>
      </c>
      <c r="E172" s="30">
        <f t="shared" si="62"/>
        <v>420.96969271898547</v>
      </c>
      <c r="F172" s="30">
        <f t="shared" si="62"/>
        <v>388.5874086636789</v>
      </c>
      <c r="G172" s="30">
        <f t="shared" si="62"/>
        <v>356.20512460837233</v>
      </c>
      <c r="H172" s="30">
        <f t="shared" si="62"/>
        <v>323.82284055306576</v>
      </c>
      <c r="I172" s="31">
        <f t="shared" si="62"/>
        <v>291.44055649775913</v>
      </c>
      <c r="J172" t="s">
        <v>409</v>
      </c>
    </row>
    <row r="173" spans="1:10" ht="15.75" thickBot="1" x14ac:dyDescent="0.3">
      <c r="B173" s="387" t="s">
        <v>410</v>
      </c>
      <c r="C173" s="32">
        <f>C172*'Baseline Statistics'!C17/1000</f>
        <v>45260.718424102</v>
      </c>
      <c r="D173" s="32">
        <f>D172*'Baseline Statistics'!D17/1000</f>
        <v>43476.907924631378</v>
      </c>
      <c r="E173" s="32">
        <f>E172*'Baseline Statistics'!E17/1000</f>
        <v>42240.098967423</v>
      </c>
      <c r="F173" s="32">
        <f>F172*'Baseline Statistics'!F17/1000</f>
        <v>40413.090501022605</v>
      </c>
      <c r="G173" s="32">
        <f>G172*'Baseline Statistics'!G17/1000</f>
        <v>38349.043715337364</v>
      </c>
      <c r="H173" s="32">
        <f>H172*'Baseline Statistics'!H17/1000</f>
        <v>36047.958610367285</v>
      </c>
      <c r="I173" s="33">
        <f>I172*'Baseline Statistics'!I17/1000</f>
        <v>33509.835186112345</v>
      </c>
      <c r="J173" t="s">
        <v>116</v>
      </c>
    </row>
    <row r="174" spans="1:10" ht="15.75" thickBot="1" x14ac:dyDescent="0.3"/>
    <row r="175" spans="1:10" ht="30" x14ac:dyDescent="0.25">
      <c r="B175" s="297" t="s">
        <v>411</v>
      </c>
      <c r="C175" s="26">
        <f>$P18*SUM('Background Calcs. Housing'!D20:D21,'Background Calcs. Housing'!D23)*'Baseline Statistics'!C40</f>
        <v>0</v>
      </c>
      <c r="D175" s="26">
        <f>$P18*SUM('Background Calcs. Housing'!E20:E21,'Background Calcs. Housing'!E23)*'Baseline Statistics'!D40</f>
        <v>49.125745976884907</v>
      </c>
      <c r="E175" s="26">
        <f>$P18*SUM('Background Calcs. Housing'!F20:F21,'Background Calcs. Housing'!F23)*'Baseline Statistics'!E40</f>
        <v>129.20929970641441</v>
      </c>
      <c r="F175" s="26">
        <f>$P18*SUM('Background Calcs. Housing'!G20:G21,'Background Calcs. Housing'!G23)*'Baseline Statistics'!F40</f>
        <v>202.98570064658867</v>
      </c>
      <c r="G175" s="26">
        <f>$P18*SUM('Background Calcs. Housing'!H20:H21,'Background Calcs. Housing'!H23)*'Baseline Statistics'!G40</f>
        <v>276.31795860401121</v>
      </c>
      <c r="H175" s="26">
        <f>$P18*SUM('Background Calcs. Housing'!I20:I21,'Background Calcs. Housing'!I23)*'Baseline Statistics'!H40</f>
        <v>349.19832139216459</v>
      </c>
      <c r="I175" s="27">
        <f>$P18*SUM('Background Calcs. Housing'!J20:J21,'Background Calcs. Housing'!J23)*'Baseline Statistics'!I40</f>
        <v>551.87155970855474</v>
      </c>
      <c r="J175" t="s">
        <v>113</v>
      </c>
    </row>
    <row r="176" spans="1:10" ht="30" x14ac:dyDescent="0.25">
      <c r="B176" s="310" t="s">
        <v>412</v>
      </c>
      <c r="C176" s="30">
        <f>$P19*'Background Calcs. Housing'!D22*'Baseline Statistics'!C40</f>
        <v>0</v>
      </c>
      <c r="D176" s="30">
        <f>$P19*'Background Calcs. Housing'!E22*'Baseline Statistics'!D40</f>
        <v>31.535411646308464</v>
      </c>
      <c r="E176" s="30">
        <f>$P19*'Background Calcs. Housing'!F22*'Baseline Statistics'!E40</f>
        <v>82.804722995608117</v>
      </c>
      <c r="F176" s="30">
        <f>$P19*'Background Calcs. Housing'!G22*'Baseline Statistics'!F40</f>
        <v>129.71720191931078</v>
      </c>
      <c r="G176" s="30">
        <f>$P19*'Background Calcs. Housing'!H22*'Baseline Statistics'!G40</f>
        <v>176.66746276419269</v>
      </c>
      <c r="H176" s="30">
        <f>$P19*'Background Calcs. Housing'!I22*'Baseline Statistics'!H40</f>
        <v>223.3638328446807</v>
      </c>
      <c r="I176" s="31">
        <f>$P19*'Background Calcs. Housing'!J22*'Baseline Statistics'!I40</f>
        <v>353.20071676879428</v>
      </c>
      <c r="J176" t="s">
        <v>113</v>
      </c>
    </row>
    <row r="177" spans="1:14" ht="15.75" thickBot="1" x14ac:dyDescent="0.3">
      <c r="B177" s="387" t="s">
        <v>111</v>
      </c>
      <c r="C177" s="66">
        <f t="shared" ref="C177:I177" si="63">$P$17+SUM(C175:C176)</f>
        <v>2355.8081390900002</v>
      </c>
      <c r="D177" s="66">
        <f>$P$17+SUM(D175:D176)</f>
        <v>2436.4692967131937</v>
      </c>
      <c r="E177" s="66">
        <f t="shared" si="63"/>
        <v>2567.8221617920226</v>
      </c>
      <c r="F177" s="66">
        <f t="shared" si="63"/>
        <v>2688.5110416558996</v>
      </c>
      <c r="G177" s="66">
        <f t="shared" si="63"/>
        <v>2808.793560458204</v>
      </c>
      <c r="H177" s="66">
        <f t="shared" si="63"/>
        <v>2928.3702933268455</v>
      </c>
      <c r="I177" s="67">
        <f t="shared" si="63"/>
        <v>3260.8804155673492</v>
      </c>
      <c r="J177" t="s">
        <v>113</v>
      </c>
    </row>
    <row r="178" spans="1:14" ht="15.75" thickBot="1" x14ac:dyDescent="0.3"/>
    <row r="179" spans="1:14" x14ac:dyDescent="0.25">
      <c r="A179" s="209">
        <v>4</v>
      </c>
      <c r="B179" s="210"/>
      <c r="C179" s="575" t="s">
        <v>413</v>
      </c>
      <c r="D179" s="576"/>
      <c r="E179" s="576"/>
      <c r="F179" s="576"/>
      <c r="G179" s="576"/>
      <c r="H179" s="576"/>
      <c r="I179" s="577"/>
      <c r="L179" s="54"/>
    </row>
    <row r="180" spans="1:14" x14ac:dyDescent="0.25">
      <c r="B180" s="211" t="s">
        <v>33</v>
      </c>
      <c r="C180" s="212">
        <f>'Baseline Statistics'!C12</f>
        <v>2022</v>
      </c>
      <c r="D180" s="212">
        <f>'Baseline Statistics'!D12</f>
        <v>2025</v>
      </c>
      <c r="E180" s="212">
        <f>'Baseline Statistics'!E12</f>
        <v>2030</v>
      </c>
      <c r="F180" s="212">
        <f>'Baseline Statistics'!F12</f>
        <v>2035</v>
      </c>
      <c r="G180" s="212">
        <f>'Baseline Statistics'!G12</f>
        <v>2040</v>
      </c>
      <c r="H180" s="212">
        <f>'Baseline Statistics'!H12</f>
        <v>2045</v>
      </c>
      <c r="I180" s="213">
        <f>'Baseline Statistics'!I12</f>
        <v>2050</v>
      </c>
      <c r="L180" s="54"/>
    </row>
    <row r="181" spans="1:14" x14ac:dyDescent="0.25">
      <c r="B181" s="58" t="s">
        <v>34</v>
      </c>
      <c r="C181" s="64">
        <f t="shared" ref="C181:I181" si="64">VLOOKUP($A179,$B182:$I185,COLUMN()-1,TRUE)</f>
        <v>0.38</v>
      </c>
      <c r="D181" s="64">
        <f t="shared" si="64"/>
        <v>0.44166666666666665</v>
      </c>
      <c r="E181" s="64">
        <f t="shared" si="64"/>
        <v>0.5033333333333333</v>
      </c>
      <c r="F181" s="64">
        <f t="shared" si="64"/>
        <v>0.56499999999999995</v>
      </c>
      <c r="G181" s="64">
        <f t="shared" si="64"/>
        <v>0.62666666666666659</v>
      </c>
      <c r="H181" s="64">
        <f t="shared" si="64"/>
        <v>0.68833333333333324</v>
      </c>
      <c r="I181" s="65">
        <f t="shared" si="64"/>
        <v>0.75</v>
      </c>
      <c r="J181" s="24" t="str">
        <f>VLOOKUP($A179,$B182:$J185,COLUMN()-1,TRUE)</f>
        <v>75% of inorganic waste recycled by 2050 (all currently divertible waste, plus upstream shift towards recyclable packaging etc.)</v>
      </c>
    </row>
    <row r="182" spans="1:14" x14ac:dyDescent="0.25">
      <c r="B182" s="214">
        <v>1</v>
      </c>
      <c r="C182" s="215">
        <f>'Baseline User Input'!$AJ$17</f>
        <v>0.38</v>
      </c>
      <c r="D182" s="216">
        <f>C182+(($I182-$C182)/6)</f>
        <v>0.34833333333333333</v>
      </c>
      <c r="E182" s="216">
        <f t="shared" ref="E182:E185" si="65">D182+(($I182-$C182)/6)</f>
        <v>0.31666666666666665</v>
      </c>
      <c r="F182" s="216">
        <f t="shared" ref="F182:F185" si="66">E182+(($I182-$C182)/6)</f>
        <v>0.28499999999999998</v>
      </c>
      <c r="G182" s="216">
        <f t="shared" ref="G182:G185" si="67">F182+(($I182-$C182)/6)</f>
        <v>0.2533333333333333</v>
      </c>
      <c r="H182" s="216">
        <f t="shared" ref="H182:H185" si="68">G182+(($I182-$C182)/6)</f>
        <v>0.22166666666666662</v>
      </c>
      <c r="I182" s="217">
        <f>C182*0.5</f>
        <v>0.19</v>
      </c>
      <c r="J182" t="s">
        <v>414</v>
      </c>
      <c r="L182" s="54"/>
      <c r="N182" s="377"/>
    </row>
    <row r="183" spans="1:14" x14ac:dyDescent="0.25">
      <c r="B183" s="214">
        <v>2</v>
      </c>
      <c r="C183" s="215">
        <f>'Baseline User Input'!$AJ$17</f>
        <v>0.38</v>
      </c>
      <c r="D183" s="216">
        <f>C183+(($I183-$C183)/6)</f>
        <v>0.38</v>
      </c>
      <c r="E183" s="216">
        <f t="shared" si="65"/>
        <v>0.38</v>
      </c>
      <c r="F183" s="216">
        <f t="shared" si="66"/>
        <v>0.38</v>
      </c>
      <c r="G183" s="216">
        <f t="shared" si="67"/>
        <v>0.38</v>
      </c>
      <c r="H183" s="216">
        <f t="shared" si="68"/>
        <v>0.38</v>
      </c>
      <c r="I183" s="218">
        <f>$C$183</f>
        <v>0.38</v>
      </c>
      <c r="J183" t="s">
        <v>415</v>
      </c>
    </row>
    <row r="184" spans="1:14" x14ac:dyDescent="0.25">
      <c r="B184" s="214">
        <v>3</v>
      </c>
      <c r="C184" s="215">
        <f>'Baseline User Input'!$AJ$17</f>
        <v>0.38</v>
      </c>
      <c r="D184" s="216">
        <f>C184+(($I184-$C184)/6)</f>
        <v>0.4</v>
      </c>
      <c r="E184" s="216">
        <f t="shared" si="65"/>
        <v>0.42000000000000004</v>
      </c>
      <c r="F184" s="216">
        <f t="shared" si="66"/>
        <v>0.44000000000000006</v>
      </c>
      <c r="G184" s="216">
        <f t="shared" si="67"/>
        <v>0.46000000000000008</v>
      </c>
      <c r="H184" s="216">
        <f t="shared" si="68"/>
        <v>0.48000000000000009</v>
      </c>
      <c r="I184" s="217">
        <v>0.5</v>
      </c>
      <c r="J184" t="s">
        <v>416</v>
      </c>
      <c r="L184" s="12"/>
    </row>
    <row r="185" spans="1:14" ht="15.75" thickBot="1" x14ac:dyDescent="0.3">
      <c r="B185" s="219">
        <v>4</v>
      </c>
      <c r="C185" s="220">
        <f>'Baseline User Input'!$AJ$17</f>
        <v>0.38</v>
      </c>
      <c r="D185" s="221">
        <f>C185+(($I185-$C185)/6)</f>
        <v>0.44166666666666665</v>
      </c>
      <c r="E185" s="221">
        <f t="shared" si="65"/>
        <v>0.5033333333333333</v>
      </c>
      <c r="F185" s="221">
        <f t="shared" si="66"/>
        <v>0.56499999999999995</v>
      </c>
      <c r="G185" s="221">
        <f t="shared" si="67"/>
        <v>0.62666666666666659</v>
      </c>
      <c r="H185" s="221">
        <f t="shared" si="68"/>
        <v>0.68833333333333324</v>
      </c>
      <c r="I185" s="222">
        <v>0.75</v>
      </c>
      <c r="J185" t="s">
        <v>417</v>
      </c>
    </row>
    <row r="186" spans="1:14" ht="15.75" thickBot="1" x14ac:dyDescent="0.3">
      <c r="B186" s="204"/>
      <c r="I186" s="205"/>
    </row>
    <row r="187" spans="1:14" ht="24.75" customHeight="1" x14ac:dyDescent="0.25">
      <c r="B187" s="229" t="s">
        <v>39</v>
      </c>
      <c r="C187" s="230">
        <f>'Baseline Statistics'!C12</f>
        <v>2022</v>
      </c>
      <c r="D187" s="230">
        <f>'Baseline Statistics'!D12</f>
        <v>2025</v>
      </c>
      <c r="E187" s="230">
        <f>'Baseline Statistics'!E12</f>
        <v>2030</v>
      </c>
      <c r="F187" s="230">
        <f>'Baseline Statistics'!F12</f>
        <v>2035</v>
      </c>
      <c r="G187" s="230">
        <f>'Baseline Statistics'!G12</f>
        <v>2040</v>
      </c>
      <c r="H187" s="230">
        <f>'Baseline Statistics'!H12</f>
        <v>2045</v>
      </c>
      <c r="I187" s="231">
        <f>'Baseline Statistics'!I12</f>
        <v>2050</v>
      </c>
    </row>
    <row r="188" spans="1:14" ht="19.5" customHeight="1" x14ac:dyDescent="0.25">
      <c r="B188" s="310" t="s">
        <v>410</v>
      </c>
      <c r="C188" s="70">
        <f>C173</f>
        <v>45260.718424102</v>
      </c>
      <c r="D188" s="70">
        <f t="shared" ref="D188:H188" si="69">D173</f>
        <v>43476.907924631378</v>
      </c>
      <c r="E188" s="70">
        <f t="shared" si="69"/>
        <v>42240.098967423</v>
      </c>
      <c r="F188" s="70">
        <f t="shared" si="69"/>
        <v>40413.090501022605</v>
      </c>
      <c r="G188" s="70">
        <f t="shared" si="69"/>
        <v>38349.043715337364</v>
      </c>
      <c r="H188" s="70">
        <f t="shared" si="69"/>
        <v>36047.958610367285</v>
      </c>
      <c r="I188" s="71">
        <f>I173</f>
        <v>33509.835186112345</v>
      </c>
      <c r="J188" t="s">
        <v>116</v>
      </c>
    </row>
    <row r="189" spans="1:14" x14ac:dyDescent="0.25">
      <c r="B189" s="310" t="s">
        <v>418</v>
      </c>
      <c r="C189" s="70">
        <f>C188*(1-'Baseline User Input'!$AJ16)</f>
        <v>38598.340672074184</v>
      </c>
      <c r="D189" s="70">
        <f>D188*(1-'Baseline User Input'!$AJ16)</f>
        <v>37077.107078125642</v>
      </c>
      <c r="E189" s="70">
        <f>E188*(1-'Baseline User Input'!$AJ16)</f>
        <v>36022.356399418335</v>
      </c>
      <c r="F189" s="70">
        <f>F188*(1-'Baseline User Input'!$AJ16)</f>
        <v>34464.28357927208</v>
      </c>
      <c r="G189" s="70">
        <f>G188*(1-'Baseline User Input'!$AJ16)</f>
        <v>32704.064480439705</v>
      </c>
      <c r="H189" s="70">
        <f>H188*(1-'Baseline User Input'!$AJ16)</f>
        <v>30741.699102921219</v>
      </c>
      <c r="I189" s="71">
        <f>I188*(1-'Baseline User Input'!$AJ16)</f>
        <v>28577.187446716609</v>
      </c>
      <c r="J189" t="s">
        <v>419</v>
      </c>
    </row>
    <row r="190" spans="1:14" ht="15.75" thickBot="1" x14ac:dyDescent="0.3">
      <c r="B190" s="387" t="s">
        <v>420</v>
      </c>
      <c r="C190" s="66">
        <f>C189*C181</f>
        <v>14667.369455388191</v>
      </c>
      <c r="D190" s="66">
        <f t="shared" ref="D190:H190" si="70">D189*D181</f>
        <v>16375.722292838826</v>
      </c>
      <c r="E190" s="66">
        <f t="shared" si="70"/>
        <v>18131.252721040561</v>
      </c>
      <c r="F190" s="66">
        <f t="shared" si="70"/>
        <v>19472.320222288723</v>
      </c>
      <c r="G190" s="66">
        <f t="shared" si="70"/>
        <v>20494.547074408878</v>
      </c>
      <c r="H190" s="66">
        <f t="shared" si="70"/>
        <v>21160.536215844102</v>
      </c>
      <c r="I190" s="67">
        <f>I189*I181</f>
        <v>21432.890585037458</v>
      </c>
      <c r="J190" t="s">
        <v>421</v>
      </c>
    </row>
    <row r="191" spans="1:14" x14ac:dyDescent="0.25">
      <c r="G191" s="7"/>
      <c r="H191" s="7"/>
      <c r="I191" s="7"/>
    </row>
    <row r="192" spans="1:14" ht="15.75" thickBot="1" x14ac:dyDescent="0.3"/>
    <row r="193" spans="1:12" x14ac:dyDescent="0.25">
      <c r="A193" s="209">
        <v>4</v>
      </c>
      <c r="B193" s="210"/>
      <c r="C193" s="575" t="s">
        <v>422</v>
      </c>
      <c r="D193" s="576"/>
      <c r="E193" s="576"/>
      <c r="F193" s="576"/>
      <c r="G193" s="576"/>
      <c r="H193" s="576"/>
      <c r="I193" s="577"/>
      <c r="L193" s="54"/>
    </row>
    <row r="194" spans="1:12" x14ac:dyDescent="0.25">
      <c r="B194" s="214" t="s">
        <v>33</v>
      </c>
      <c r="C194" s="212">
        <f>C180</f>
        <v>2022</v>
      </c>
      <c r="D194" s="212">
        <f t="shared" ref="D194:I194" si="71">D180</f>
        <v>2025</v>
      </c>
      <c r="E194" s="212">
        <f t="shared" si="71"/>
        <v>2030</v>
      </c>
      <c r="F194" s="212">
        <f t="shared" si="71"/>
        <v>2035</v>
      </c>
      <c r="G194" s="212">
        <f t="shared" si="71"/>
        <v>2040</v>
      </c>
      <c r="H194" s="212">
        <f t="shared" si="71"/>
        <v>2045</v>
      </c>
      <c r="I194" s="213">
        <f t="shared" si="71"/>
        <v>2050</v>
      </c>
      <c r="L194" s="54"/>
    </row>
    <row r="195" spans="1:12" x14ac:dyDescent="0.25">
      <c r="B195" s="58" t="s">
        <v>34</v>
      </c>
      <c r="C195" s="59">
        <f t="shared" ref="C195:I195" si="72">VLOOKUP($A193,$B196:$I199,COLUMN()-1,TRUE)</f>
        <v>0.1</v>
      </c>
      <c r="D195" s="59">
        <f t="shared" si="72"/>
        <v>0.25</v>
      </c>
      <c r="E195" s="59">
        <f t="shared" si="72"/>
        <v>0.4</v>
      </c>
      <c r="F195" s="59">
        <f t="shared" si="72"/>
        <v>0.55000000000000004</v>
      </c>
      <c r="G195" s="59">
        <f t="shared" si="72"/>
        <v>0.70000000000000007</v>
      </c>
      <c r="H195" s="59">
        <f t="shared" si="72"/>
        <v>0.85000000000000009</v>
      </c>
      <c r="I195" s="60">
        <f t="shared" si="72"/>
        <v>1</v>
      </c>
      <c r="J195" s="24" t="str">
        <f>VLOOKUP($A193,$B196:$J199,COLUMN()-1,TRUE)</f>
        <v>100% of greenwaste diverted from landfill by 2050</v>
      </c>
    </row>
    <row r="196" spans="1:12" x14ac:dyDescent="0.25">
      <c r="B196" s="214">
        <v>1</v>
      </c>
      <c r="C196" s="216">
        <f>'Baseline User Input'!$AJ$18</f>
        <v>0.1</v>
      </c>
      <c r="D196" s="216">
        <f t="shared" ref="D196" si="73">C196+(($I196-$C196)/6)</f>
        <v>0.1</v>
      </c>
      <c r="E196" s="216">
        <f t="shared" ref="E196" si="74">D196+(($I196-$C196)/6)</f>
        <v>0.1</v>
      </c>
      <c r="F196" s="216">
        <f>E196+(($I196-$C196)/6)</f>
        <v>0.1</v>
      </c>
      <c r="G196" s="216">
        <f t="shared" ref="G196" si="75">F196+(($I196-$C196)/6)</f>
        <v>0.1</v>
      </c>
      <c r="H196" s="216">
        <f t="shared" ref="H196" si="76">G196+(($I196-$C196)/6)</f>
        <v>0.1</v>
      </c>
      <c r="I196" s="218">
        <f>$C196</f>
        <v>0.1</v>
      </c>
      <c r="J196" t="s">
        <v>169</v>
      </c>
      <c r="L196" s="54"/>
    </row>
    <row r="197" spans="1:12" x14ac:dyDescent="0.25">
      <c r="B197" s="214">
        <v>2</v>
      </c>
      <c r="C197" s="216">
        <f>'Baseline User Input'!$AJ$18</f>
        <v>0.1</v>
      </c>
      <c r="D197" s="216">
        <f t="shared" ref="D197:H198" si="77">C197+(($I197-$C197)/6)</f>
        <v>0.125</v>
      </c>
      <c r="E197" s="216">
        <f t="shared" si="77"/>
        <v>0.15</v>
      </c>
      <c r="F197" s="216">
        <f>E197+(($I197-$C197)/6)</f>
        <v>0.17499999999999999</v>
      </c>
      <c r="G197" s="216">
        <f t="shared" si="77"/>
        <v>0.19999999999999998</v>
      </c>
      <c r="H197" s="216">
        <f t="shared" si="77"/>
        <v>0.22499999999999998</v>
      </c>
      <c r="I197" s="218">
        <v>0.25</v>
      </c>
      <c r="J197" t="s">
        <v>423</v>
      </c>
    </row>
    <row r="198" spans="1:12" x14ac:dyDescent="0.25">
      <c r="B198" s="214">
        <v>3</v>
      </c>
      <c r="C198" s="216">
        <f>'Baseline User Input'!$AJ$18</f>
        <v>0.1</v>
      </c>
      <c r="D198" s="216">
        <f t="shared" si="77"/>
        <v>0.16666666666666669</v>
      </c>
      <c r="E198" s="216">
        <f t="shared" si="77"/>
        <v>0.23333333333333334</v>
      </c>
      <c r="F198" s="216">
        <f t="shared" si="77"/>
        <v>0.3</v>
      </c>
      <c r="G198" s="216">
        <f t="shared" si="77"/>
        <v>0.36666666666666664</v>
      </c>
      <c r="H198" s="216">
        <f t="shared" si="77"/>
        <v>0.43333333333333329</v>
      </c>
      <c r="I198" s="217">
        <v>0.5</v>
      </c>
      <c r="J198" t="s">
        <v>424</v>
      </c>
    </row>
    <row r="199" spans="1:12" ht="15.75" thickBot="1" x14ac:dyDescent="0.3">
      <c r="B199" s="219">
        <v>4</v>
      </c>
      <c r="C199" s="221">
        <f>'Baseline User Input'!$AJ$18</f>
        <v>0.1</v>
      </c>
      <c r="D199" s="221">
        <f t="shared" ref="D199:H199" si="78">C199+(($I199-$C199)/6)</f>
        <v>0.25</v>
      </c>
      <c r="E199" s="221">
        <f t="shared" si="78"/>
        <v>0.4</v>
      </c>
      <c r="F199" s="221">
        <f t="shared" si="78"/>
        <v>0.55000000000000004</v>
      </c>
      <c r="G199" s="221">
        <f t="shared" si="78"/>
        <v>0.70000000000000007</v>
      </c>
      <c r="H199" s="221">
        <f t="shared" si="78"/>
        <v>0.85000000000000009</v>
      </c>
      <c r="I199" s="222">
        <v>1</v>
      </c>
      <c r="J199" t="s">
        <v>425</v>
      </c>
    </row>
    <row r="200" spans="1:12" ht="15.75" thickBot="1" x14ac:dyDescent="0.3">
      <c r="B200" s="204"/>
      <c r="I200" s="205"/>
    </row>
    <row r="201" spans="1:12" ht="30" x14ac:dyDescent="0.25">
      <c r="B201" s="229" t="s">
        <v>39</v>
      </c>
      <c r="C201" s="388">
        <f>C194</f>
        <v>2022</v>
      </c>
      <c r="D201" s="388">
        <f t="shared" ref="D201:I201" si="79">D194</f>
        <v>2025</v>
      </c>
      <c r="E201" s="388">
        <f t="shared" si="79"/>
        <v>2030</v>
      </c>
      <c r="F201" s="388">
        <f t="shared" si="79"/>
        <v>2035</v>
      </c>
      <c r="G201" s="388">
        <f t="shared" si="79"/>
        <v>2040</v>
      </c>
      <c r="H201" s="388">
        <f t="shared" si="79"/>
        <v>2045</v>
      </c>
      <c r="I201" s="389">
        <f t="shared" si="79"/>
        <v>2050</v>
      </c>
    </row>
    <row r="202" spans="1:12" x14ac:dyDescent="0.25">
      <c r="B202" s="310" t="s">
        <v>410</v>
      </c>
      <c r="C202" s="30">
        <f t="shared" ref="C202:I202" si="80">C188</f>
        <v>45260.718424102</v>
      </c>
      <c r="D202" s="30">
        <f t="shared" si="80"/>
        <v>43476.907924631378</v>
      </c>
      <c r="E202" s="30">
        <f t="shared" si="80"/>
        <v>42240.098967423</v>
      </c>
      <c r="F202" s="30">
        <f t="shared" si="80"/>
        <v>40413.090501022605</v>
      </c>
      <c r="G202" s="30">
        <f t="shared" si="80"/>
        <v>38349.043715337364</v>
      </c>
      <c r="H202" s="30">
        <f t="shared" si="80"/>
        <v>36047.958610367285</v>
      </c>
      <c r="I202" s="31">
        <f t="shared" si="80"/>
        <v>33509.835186112345</v>
      </c>
    </row>
    <row r="203" spans="1:12" x14ac:dyDescent="0.25">
      <c r="B203" s="310" t="s">
        <v>426</v>
      </c>
      <c r="C203" s="30">
        <f>C202*'Baseline User Input'!$AJ16</f>
        <v>6662.3777520278145</v>
      </c>
      <c r="D203" s="30">
        <f>D202*'Baseline User Input'!$AJ16</f>
        <v>6399.8008465057383</v>
      </c>
      <c r="E203" s="30">
        <f>E202*'Baseline User Input'!$AJ16</f>
        <v>6217.7425680046654</v>
      </c>
      <c r="F203" s="30">
        <f>F202*'Baseline User Input'!$AJ16</f>
        <v>5948.8069217505272</v>
      </c>
      <c r="G203" s="30">
        <f>G202*'Baseline User Input'!$AJ16</f>
        <v>5644.9792348976598</v>
      </c>
      <c r="H203" s="30">
        <f>H202*'Baseline User Input'!$AJ16</f>
        <v>5306.2595074460642</v>
      </c>
      <c r="I203" s="31">
        <f>I202*'Baseline User Input'!$AJ16</f>
        <v>4932.6477393957366</v>
      </c>
    </row>
    <row r="204" spans="1:12" ht="15.75" thickBot="1" x14ac:dyDescent="0.3">
      <c r="B204" s="387" t="s">
        <v>420</v>
      </c>
      <c r="C204" s="32">
        <f>C203*C195</f>
        <v>666.23777520278145</v>
      </c>
      <c r="D204" s="32">
        <f t="shared" ref="D204:H204" si="81">D203*D195</f>
        <v>1599.9502116264346</v>
      </c>
      <c r="E204" s="32">
        <f t="shared" si="81"/>
        <v>2487.0970272018662</v>
      </c>
      <c r="F204" s="32">
        <f t="shared" si="81"/>
        <v>3271.84380696279</v>
      </c>
      <c r="G204" s="32">
        <f t="shared" si="81"/>
        <v>3951.4854644283623</v>
      </c>
      <c r="H204" s="32">
        <f t="shared" si="81"/>
        <v>4510.3205813291552</v>
      </c>
      <c r="I204" s="33">
        <f>I203*I195</f>
        <v>4932.6477393957366</v>
      </c>
    </row>
    <row r="205" spans="1:12" ht="15.75" thickBot="1" x14ac:dyDescent="0.3">
      <c r="B205" s="7"/>
      <c r="C205" s="7"/>
      <c r="D205" s="7"/>
      <c r="E205" s="7"/>
      <c r="F205" s="7"/>
      <c r="G205" s="7"/>
      <c r="H205" s="7"/>
      <c r="I205" s="7"/>
    </row>
    <row r="206" spans="1:12" ht="30" x14ac:dyDescent="0.25">
      <c r="B206" s="297" t="s">
        <v>223</v>
      </c>
      <c r="C206" s="390">
        <f>C201</f>
        <v>2022</v>
      </c>
      <c r="D206" s="390">
        <f t="shared" ref="D206:I206" si="82">D201</f>
        <v>2025</v>
      </c>
      <c r="E206" s="390">
        <f t="shared" si="82"/>
        <v>2030</v>
      </c>
      <c r="F206" s="390">
        <f t="shared" si="82"/>
        <v>2035</v>
      </c>
      <c r="G206" s="390">
        <f t="shared" si="82"/>
        <v>2040</v>
      </c>
      <c r="H206" s="390">
        <f t="shared" si="82"/>
        <v>2045</v>
      </c>
      <c r="I206" s="391">
        <f t="shared" si="82"/>
        <v>2050</v>
      </c>
    </row>
    <row r="207" spans="1:12" x14ac:dyDescent="0.25">
      <c r="B207" s="392" t="s">
        <v>115</v>
      </c>
      <c r="C207" s="30">
        <f>C188-C190-C204</f>
        <v>29927.111193511028</v>
      </c>
      <c r="D207" s="30">
        <f>D188-D190-D204</f>
        <v>25501.235420166118</v>
      </c>
      <c r="E207" s="30">
        <f t="shared" ref="E207:I207" si="83">E188-E190-E204</f>
        <v>21621.749219180572</v>
      </c>
      <c r="F207" s="30">
        <f t="shared" si="83"/>
        <v>17668.92647177109</v>
      </c>
      <c r="G207" s="30">
        <f t="shared" si="83"/>
        <v>13903.011176500124</v>
      </c>
      <c r="H207" s="30">
        <f t="shared" si="83"/>
        <v>10377.101813194027</v>
      </c>
      <c r="I207" s="31">
        <f t="shared" si="83"/>
        <v>7144.2968616791504</v>
      </c>
    </row>
    <row r="208" spans="1:12" ht="15.75" thickBot="1" x14ac:dyDescent="0.3">
      <c r="B208" s="385" t="s">
        <v>427</v>
      </c>
      <c r="C208" s="32">
        <f>C204</f>
        <v>666.23777520278145</v>
      </c>
      <c r="D208" s="32">
        <f>D204</f>
        <v>1599.9502116264346</v>
      </c>
      <c r="E208" s="32">
        <f t="shared" ref="E208:I208" si="84">E204</f>
        <v>2487.0970272018662</v>
      </c>
      <c r="F208" s="32">
        <f t="shared" si="84"/>
        <v>3271.84380696279</v>
      </c>
      <c r="G208" s="32">
        <f t="shared" si="84"/>
        <v>3951.4854644283623</v>
      </c>
      <c r="H208" s="32">
        <f t="shared" si="84"/>
        <v>4510.3205813291552</v>
      </c>
      <c r="I208" s="33">
        <f t="shared" si="84"/>
        <v>4932.6477393957366</v>
      </c>
    </row>
  </sheetData>
  <protectedRanges>
    <protectedRange sqref="C11:C19 H11:H19 P11:P12 C22:I26 C39:I41 C28:I37 P14:P24" name="Range2"/>
    <protectedRange sqref="A179:A185 A162:A173 A187:A192 A175:A177 B27 B21 B38 A7:A56 A200:A1048576" name="Range1"/>
    <protectedRange sqref="O30:S32" name="Range2_3"/>
    <protectedRange sqref="O53:Q60 O64:Q75" name="Range2_4"/>
    <protectedRange sqref="B61:I61 A116:A161 A57:A68 A70:A114" name="Range1_1"/>
    <protectedRange sqref="A193:A199" name="Range1_2"/>
    <protectedRange sqref="A1:A5" name="Range1_1_1"/>
    <protectedRange sqref="A6" name="Range1_3"/>
  </protectedRanges>
  <mergeCells count="39">
    <mergeCell ref="F8:F10"/>
    <mergeCell ref="G8:G10"/>
    <mergeCell ref="N8:N10"/>
    <mergeCell ref="O8:O10"/>
    <mergeCell ref="F11:F14"/>
    <mergeCell ref="Q8:Q10"/>
    <mergeCell ref="P8:P10"/>
    <mergeCell ref="N28:R28"/>
    <mergeCell ref="I8:I10"/>
    <mergeCell ref="H8:H10"/>
    <mergeCell ref="N17:N19"/>
    <mergeCell ref="N11:N12"/>
    <mergeCell ref="N21:N24"/>
    <mergeCell ref="A8:A10"/>
    <mergeCell ref="B8:B10"/>
    <mergeCell ref="D8:D10"/>
    <mergeCell ref="C8:C10"/>
    <mergeCell ref="A11:A19"/>
    <mergeCell ref="A155:A160"/>
    <mergeCell ref="A150:A153"/>
    <mergeCell ref="A142:A144"/>
    <mergeCell ref="A146:A148"/>
    <mergeCell ref="A22:A24"/>
    <mergeCell ref="A28:A30"/>
    <mergeCell ref="A31:A33"/>
    <mergeCell ref="A34:A36"/>
    <mergeCell ref="A39:A41"/>
    <mergeCell ref="A138:A140"/>
    <mergeCell ref="C193:I193"/>
    <mergeCell ref="C163:I163"/>
    <mergeCell ref="C179:I179"/>
    <mergeCell ref="C116:I116"/>
    <mergeCell ref="F16:F19"/>
    <mergeCell ref="N42:Q42"/>
    <mergeCell ref="N51:Q51"/>
    <mergeCell ref="N62:Q62"/>
    <mergeCell ref="N78:Q78"/>
    <mergeCell ref="C62:I62"/>
    <mergeCell ref="C44:I44"/>
  </mergeCells>
  <phoneticPr fontId="19" type="noConversion"/>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C3046-5C99-40A9-9F4B-E97967CD077C}">
  <sheetPr codeName="Sheet1">
    <tabColor theme="9" tint="0.59999389629810485"/>
  </sheetPr>
  <dimension ref="A1:P115"/>
  <sheetViews>
    <sheetView showGridLines="0" zoomScale="80" zoomScaleNormal="80" workbookViewId="0">
      <selection activeCell="M17" sqref="M17"/>
    </sheetView>
  </sheetViews>
  <sheetFormatPr defaultRowHeight="15" x14ac:dyDescent="0.25"/>
  <cols>
    <col min="2" max="2" width="16.85546875" customWidth="1"/>
    <col min="3" max="3" width="13.28515625" customWidth="1"/>
    <col min="4" max="9" width="15.28515625" bestFit="1" customWidth="1"/>
    <col min="10" max="10" width="11" bestFit="1" customWidth="1"/>
    <col min="11" max="11" width="10.28515625" bestFit="1" customWidth="1"/>
  </cols>
  <sheetData>
    <row r="1" spans="1:13" ht="23.25" x14ac:dyDescent="0.35">
      <c r="A1" s="35" t="s">
        <v>44</v>
      </c>
    </row>
    <row r="2" spans="1:13" ht="23.25" x14ac:dyDescent="0.35">
      <c r="A2" s="35" t="s">
        <v>428</v>
      </c>
    </row>
    <row r="4" spans="1:13" x14ac:dyDescent="0.25">
      <c r="A4" s="4" t="s">
        <v>47</v>
      </c>
      <c r="B4" s="1"/>
    </row>
    <row r="5" spans="1:13" x14ac:dyDescent="0.25">
      <c r="A5" s="39" t="s">
        <v>155</v>
      </c>
      <c r="K5" s="55"/>
    </row>
    <row r="6" spans="1:13" x14ac:dyDescent="0.25">
      <c r="A6" s="39" t="s">
        <v>156</v>
      </c>
      <c r="K6" s="55"/>
    </row>
    <row r="7" spans="1:13" ht="15.75" thickBot="1" x14ac:dyDescent="0.3"/>
    <row r="8" spans="1:13" x14ac:dyDescent="0.25">
      <c r="A8" s="209">
        <v>4</v>
      </c>
      <c r="B8" s="252"/>
      <c r="C8" s="575" t="s">
        <v>429</v>
      </c>
      <c r="D8" s="576"/>
      <c r="E8" s="576"/>
      <c r="F8" s="576"/>
      <c r="G8" s="576"/>
      <c r="H8" s="576"/>
      <c r="I8" s="577"/>
      <c r="M8" s="54"/>
    </row>
    <row r="9" spans="1:13" x14ac:dyDescent="0.25">
      <c r="B9" s="214" t="s">
        <v>33</v>
      </c>
      <c r="C9" s="393">
        <f t="shared" ref="C9:I9" si="0">C16</f>
        <v>2022</v>
      </c>
      <c r="D9" s="393">
        <f t="shared" si="0"/>
        <v>2025</v>
      </c>
      <c r="E9" s="393">
        <f t="shared" si="0"/>
        <v>2030</v>
      </c>
      <c r="F9" s="393">
        <f t="shared" si="0"/>
        <v>2035</v>
      </c>
      <c r="G9" s="393">
        <f t="shared" si="0"/>
        <v>2040</v>
      </c>
      <c r="H9" s="393">
        <f t="shared" si="0"/>
        <v>2045</v>
      </c>
      <c r="I9" s="394">
        <f t="shared" si="0"/>
        <v>2050</v>
      </c>
      <c r="M9" s="54"/>
    </row>
    <row r="10" spans="1:13" x14ac:dyDescent="0.25">
      <c r="B10" s="58" t="s">
        <v>34</v>
      </c>
      <c r="C10" s="59">
        <f>VLOOKUP($A8,$B11:$I14,COLUMN()-1,TRUE)</f>
        <v>0.87094932271959102</v>
      </c>
      <c r="D10" s="59">
        <f t="shared" ref="D10:I10" si="1">VLOOKUP($A8,$B11:$I14,COLUMN()-1,TRUE)</f>
        <v>0.91396621514639398</v>
      </c>
      <c r="E10" s="59">
        <f t="shared" si="1"/>
        <v>0.95698310757319693</v>
      </c>
      <c r="F10" s="59">
        <f t="shared" si="1"/>
        <v>1</v>
      </c>
      <c r="G10" s="59">
        <f t="shared" si="1"/>
        <v>1</v>
      </c>
      <c r="H10" s="59">
        <f t="shared" si="1"/>
        <v>1</v>
      </c>
      <c r="I10" s="60">
        <f t="shared" si="1"/>
        <v>1</v>
      </c>
      <c r="J10" s="24" t="str">
        <f>VLOOKUP($A8,$B11:$J14,COLUMN()-1,TRUE)</f>
        <v>All electricity generation renewable by 2035. Significant infrastructure changes and technological advancement required.</v>
      </c>
    </row>
    <row r="11" spans="1:13" x14ac:dyDescent="0.25">
      <c r="B11" s="214">
        <v>1</v>
      </c>
      <c r="C11" s="216">
        <f>'Background Calcs. Electricity'!$D$23</f>
        <v>0.87094932271959102</v>
      </c>
      <c r="D11" s="216">
        <f t="shared" ref="D11:H11" si="2">$C11</f>
        <v>0.87094932271959102</v>
      </c>
      <c r="E11" s="216">
        <f t="shared" si="2"/>
        <v>0.87094932271959102</v>
      </c>
      <c r="F11" s="216">
        <f t="shared" si="2"/>
        <v>0.87094932271959102</v>
      </c>
      <c r="G11" s="216">
        <f t="shared" si="2"/>
        <v>0.87094932271959102</v>
      </c>
      <c r="H11" s="216">
        <f t="shared" si="2"/>
        <v>0.87094932271959102</v>
      </c>
      <c r="I11" s="217">
        <f>$C11</f>
        <v>0.87094932271959102</v>
      </c>
      <c r="J11" t="s">
        <v>169</v>
      </c>
    </row>
    <row r="12" spans="1:13" x14ac:dyDescent="0.25">
      <c r="B12" s="214">
        <v>2</v>
      </c>
      <c r="C12" s="216">
        <f>'Background Calcs. Electricity'!$D$23</f>
        <v>0.87094932271959102</v>
      </c>
      <c r="D12" s="216">
        <f>C12+(($I12-$C12)/6)</f>
        <v>0.87675565153772161</v>
      </c>
      <c r="E12" s="216">
        <f t="shared" ref="E12:H13" si="3">D12+(($I12-$C12)/6)</f>
        <v>0.8825619803558522</v>
      </c>
      <c r="F12" s="216">
        <f t="shared" si="3"/>
        <v>0.8883683091739828</v>
      </c>
      <c r="G12" s="216">
        <f t="shared" si="3"/>
        <v>0.89417463799211339</v>
      </c>
      <c r="H12" s="216">
        <f t="shared" si="3"/>
        <v>0.89998096681024398</v>
      </c>
      <c r="I12" s="217">
        <f>$C12*1.04</f>
        <v>0.90578729562837468</v>
      </c>
      <c r="J12" t="s">
        <v>430</v>
      </c>
    </row>
    <row r="13" spans="1:13" x14ac:dyDescent="0.25">
      <c r="B13" s="214">
        <v>3</v>
      </c>
      <c r="C13" s="216">
        <f>'Background Calcs. Electricity'!$D$23</f>
        <v>0.87094932271959102</v>
      </c>
      <c r="D13" s="216">
        <f>C13+(($I13-$C13)/6)</f>
        <v>0.88245776893299255</v>
      </c>
      <c r="E13" s="216">
        <f t="shared" si="3"/>
        <v>0.89396621514639407</v>
      </c>
      <c r="F13" s="216">
        <f t="shared" si="3"/>
        <v>0.9054746613597956</v>
      </c>
      <c r="G13" s="216">
        <f t="shared" si="3"/>
        <v>0.91698310757319712</v>
      </c>
      <c r="H13" s="216">
        <f t="shared" si="3"/>
        <v>0.92849155378659864</v>
      </c>
      <c r="I13" s="217">
        <v>0.94</v>
      </c>
      <c r="J13" t="s">
        <v>431</v>
      </c>
    </row>
    <row r="14" spans="1:13" ht="15.75" thickBot="1" x14ac:dyDescent="0.3">
      <c r="B14" s="219">
        <v>4</v>
      </c>
      <c r="C14" s="221">
        <f>'Background Calcs. Electricity'!$D$23</f>
        <v>0.87094932271959102</v>
      </c>
      <c r="D14" s="221">
        <f>C14+(($F14-$C14)/3)</f>
        <v>0.91396621514639398</v>
      </c>
      <c r="E14" s="221">
        <f>D14+(($F14-$C14)/3)</f>
        <v>0.95698310757319693</v>
      </c>
      <c r="F14" s="221">
        <v>1</v>
      </c>
      <c r="G14" s="221">
        <v>1</v>
      </c>
      <c r="H14" s="221">
        <v>1</v>
      </c>
      <c r="I14" s="222">
        <v>1</v>
      </c>
      <c r="J14" t="s">
        <v>432</v>
      </c>
    </row>
    <row r="15" spans="1:13" ht="15.75" thickBot="1" x14ac:dyDescent="0.3">
      <c r="C15" s="39"/>
    </row>
    <row r="16" spans="1:13" ht="39.6" customHeight="1" x14ac:dyDescent="0.25">
      <c r="B16" s="406" t="s">
        <v>318</v>
      </c>
      <c r="C16" s="230">
        <f t="shared" ref="C16:I16" si="4">C33</f>
        <v>2022</v>
      </c>
      <c r="D16" s="230">
        <f t="shared" si="4"/>
        <v>2025</v>
      </c>
      <c r="E16" s="230">
        <f t="shared" si="4"/>
        <v>2030</v>
      </c>
      <c r="F16" s="230">
        <f t="shared" si="4"/>
        <v>2035</v>
      </c>
      <c r="G16" s="230">
        <f t="shared" si="4"/>
        <v>2040</v>
      </c>
      <c r="H16" s="230">
        <f t="shared" si="4"/>
        <v>2045</v>
      </c>
      <c r="I16" s="231">
        <f t="shared" si="4"/>
        <v>2050</v>
      </c>
      <c r="J16" t="s">
        <v>107</v>
      </c>
    </row>
    <row r="17" spans="1:14" x14ac:dyDescent="0.25">
      <c r="B17" s="138" t="s">
        <v>123</v>
      </c>
      <c r="C17" s="235">
        <f>'4. Buildings'!C155/1000000</f>
        <v>190.23267842172083</v>
      </c>
      <c r="D17" s="235">
        <f>'4. Buildings'!D155/1000000</f>
        <v>182.59685964235857</v>
      </c>
      <c r="E17" s="235">
        <f>'4. Buildings'!E155/1000000</f>
        <v>171.51278864559652</v>
      </c>
      <c r="F17" s="235">
        <f>'4. Buildings'!F155/1000000</f>
        <v>153.23238977286465</v>
      </c>
      <c r="G17" s="235">
        <f>'4. Buildings'!G155/1000000</f>
        <v>134.86734069425242</v>
      </c>
      <c r="H17" s="235">
        <f>'4. Buildings'!H155/1000000</f>
        <v>113.67558491844518</v>
      </c>
      <c r="I17" s="236">
        <f>'4. Buildings'!I155/1000000</f>
        <v>88.704205794041926</v>
      </c>
      <c r="J17" t="s">
        <v>433</v>
      </c>
    </row>
    <row r="18" spans="1:14" x14ac:dyDescent="0.25">
      <c r="B18" s="138" t="s">
        <v>325</v>
      </c>
      <c r="C18" s="235">
        <f>'4. Buildings'!C156/1000000</f>
        <v>114.69234122762344</v>
      </c>
      <c r="D18" s="235">
        <f>'4. Buildings'!D156/1000000</f>
        <v>107.20952326928014</v>
      </c>
      <c r="E18" s="235">
        <f>'4. Buildings'!E156/1000000</f>
        <v>100.2648857563007</v>
      </c>
      <c r="F18" s="235">
        <f>'4. Buildings'!F156/1000000</f>
        <v>90.952655736907715</v>
      </c>
      <c r="G18" s="235">
        <f>'4. Buildings'!G156/1000000</f>
        <v>80.170317808289909</v>
      </c>
      <c r="H18" s="235">
        <f>'4. Buildings'!H156/1000000</f>
        <v>67.820356461157544</v>
      </c>
      <c r="I18" s="236">
        <f>'4. Buildings'!I156/1000000</f>
        <v>52.924778379581525</v>
      </c>
      <c r="J18" t="s">
        <v>433</v>
      </c>
    </row>
    <row r="19" spans="1:14" x14ac:dyDescent="0.25">
      <c r="B19" s="138" t="s">
        <v>326</v>
      </c>
      <c r="C19" s="235">
        <f>'4. Buildings'!C157/1000000</f>
        <v>155.61334678938249</v>
      </c>
      <c r="D19" s="235">
        <f>'4. Buildings'!D157/1000000</f>
        <v>158.83574428083367</v>
      </c>
      <c r="E19" s="235">
        <f>'4. Buildings'!E157/1000000</f>
        <v>164.85857125669315</v>
      </c>
      <c r="F19" s="235">
        <f>'4. Buildings'!F157/1000000</f>
        <v>170.2186590971327</v>
      </c>
      <c r="G19" s="235">
        <f>'4. Buildings'!G157/1000000</f>
        <v>175.45724840521373</v>
      </c>
      <c r="H19" s="235">
        <f>'4. Buildings'!H157/1000000</f>
        <v>180.55895693567788</v>
      </c>
      <c r="I19" s="236">
        <f>'4. Buildings'!I157/1000000</f>
        <v>197.41227398642479</v>
      </c>
      <c r="J19" t="s">
        <v>433</v>
      </c>
    </row>
    <row r="20" spans="1:14" x14ac:dyDescent="0.25">
      <c r="B20" s="138" t="s">
        <v>434</v>
      </c>
      <c r="C20" s="235">
        <f>'3. Transport'!C283/1000000</f>
        <v>0</v>
      </c>
      <c r="D20" s="235">
        <f>'3. Transport'!D283/1000000</f>
        <v>43.411516256927577</v>
      </c>
      <c r="E20" s="235">
        <f>'3. Transport'!E283/1000000</f>
        <v>93.894966864359333</v>
      </c>
      <c r="F20" s="235">
        <f>'3. Transport'!F283/1000000</f>
        <v>149.56878499848781</v>
      </c>
      <c r="G20" s="235">
        <f>'3. Transport'!G283/1000000</f>
        <v>211.68066941122976</v>
      </c>
      <c r="H20" s="235">
        <f>'3. Transport'!H283/1000000</f>
        <v>279.92874779533292</v>
      </c>
      <c r="I20" s="236">
        <f>'3. Transport'!I283/1000000</f>
        <v>364.97146019080543</v>
      </c>
      <c r="J20" t="s">
        <v>433</v>
      </c>
      <c r="M20" s="54"/>
    </row>
    <row r="21" spans="1:14" ht="15.75" thickBot="1" x14ac:dyDescent="0.3">
      <c r="B21" s="139" t="s">
        <v>214</v>
      </c>
      <c r="C21" s="395">
        <f>SUM(C17:C20)</f>
        <v>460.53836643872677</v>
      </c>
      <c r="D21" s="395">
        <f t="shared" ref="D21:H21" si="5">SUM(D17:D20)</f>
        <v>492.05364344939994</v>
      </c>
      <c r="E21" s="395">
        <f>SUM(E17:E20)</f>
        <v>530.53121252294977</v>
      </c>
      <c r="F21" s="395">
        <f t="shared" si="5"/>
        <v>563.97248960539287</v>
      </c>
      <c r="G21" s="395">
        <f t="shared" si="5"/>
        <v>602.1755763189858</v>
      </c>
      <c r="H21" s="395">
        <f t="shared" si="5"/>
        <v>641.98364611061356</v>
      </c>
      <c r="I21" s="396">
        <f>SUM(I17:I20)</f>
        <v>704.01271835085367</v>
      </c>
      <c r="J21" t="s">
        <v>433</v>
      </c>
    </row>
    <row r="22" spans="1:14" ht="15.75" thickBot="1" x14ac:dyDescent="0.3"/>
    <row r="23" spans="1:14" ht="30.75" customHeight="1" x14ac:dyDescent="0.25">
      <c r="B23" s="72"/>
      <c r="C23" s="230">
        <f t="shared" ref="C23:I23" si="6">C33</f>
        <v>2022</v>
      </c>
      <c r="D23" s="230">
        <f t="shared" si="6"/>
        <v>2025</v>
      </c>
      <c r="E23" s="230">
        <f t="shared" si="6"/>
        <v>2030</v>
      </c>
      <c r="F23" s="230">
        <f t="shared" si="6"/>
        <v>2035</v>
      </c>
      <c r="G23" s="230">
        <f t="shared" si="6"/>
        <v>2040</v>
      </c>
      <c r="H23" s="230">
        <f t="shared" si="6"/>
        <v>2045</v>
      </c>
      <c r="I23" s="231">
        <f t="shared" si="6"/>
        <v>2050</v>
      </c>
      <c r="J23" t="s">
        <v>107</v>
      </c>
    </row>
    <row r="24" spans="1:14" ht="45.75" thickBot="1" x14ac:dyDescent="0.3">
      <c r="B24" s="140" t="s">
        <v>435</v>
      </c>
      <c r="C24" s="397">
        <f>'Baseline User Input'!$L62*C21/$C21</f>
        <v>39038.283000000003</v>
      </c>
      <c r="D24" s="397">
        <f>'Baseline User Input'!$L62*D21/$C21</f>
        <v>41709.726667722614</v>
      </c>
      <c r="E24" s="397">
        <f>'Baseline User Input'!$L62*E21/$C21</f>
        <v>44971.340335788504</v>
      </c>
      <c r="F24" s="397">
        <f>'Baseline User Input'!$L62*F21/$C21</f>
        <v>47806.044529319617</v>
      </c>
      <c r="G24" s="397">
        <f>'Baseline User Input'!$L62*G21/$C21</f>
        <v>51044.391254113514</v>
      </c>
      <c r="H24" s="397">
        <f>'Baseline User Input'!$L62*H21/$C21</f>
        <v>54418.786977593532</v>
      </c>
      <c r="I24" s="398">
        <f>'Baseline User Input'!$L62*I21/$C21</f>
        <v>59676.782082468497</v>
      </c>
      <c r="J24" t="s">
        <v>433</v>
      </c>
      <c r="K24" s="39" t="s">
        <v>436</v>
      </c>
    </row>
    <row r="25" spans="1:14" ht="17.25" customHeight="1" thickBot="1" x14ac:dyDescent="0.3">
      <c r="C25" s="399"/>
      <c r="D25" s="8"/>
      <c r="E25" s="8"/>
      <c r="F25" s="8"/>
      <c r="G25" s="8"/>
      <c r="H25" s="8"/>
      <c r="I25" s="8"/>
    </row>
    <row r="26" spans="1:14" ht="31.9" customHeight="1" x14ac:dyDescent="0.25">
      <c r="B26" s="406" t="s">
        <v>437</v>
      </c>
      <c r="C26" s="230">
        <f t="shared" ref="C26:I26" si="7">C33</f>
        <v>2022</v>
      </c>
      <c r="D26" s="230">
        <f t="shared" si="7"/>
        <v>2025</v>
      </c>
      <c r="E26" s="230">
        <f t="shared" si="7"/>
        <v>2030</v>
      </c>
      <c r="F26" s="230">
        <f t="shared" si="7"/>
        <v>2035</v>
      </c>
      <c r="G26" s="230">
        <f t="shared" si="7"/>
        <v>2040</v>
      </c>
      <c r="H26" s="230">
        <f t="shared" si="7"/>
        <v>2045</v>
      </c>
      <c r="I26" s="231">
        <f t="shared" si="7"/>
        <v>2050</v>
      </c>
      <c r="J26" t="s">
        <v>107</v>
      </c>
    </row>
    <row r="27" spans="1:14" x14ac:dyDescent="0.25">
      <c r="B27" s="138" t="s">
        <v>123</v>
      </c>
      <c r="C27" s="141">
        <f>C17*'Background Calcs. Electricity'!P$27</f>
        <v>20358.899882900674</v>
      </c>
      <c r="D27" s="141">
        <f>D17*'Background Calcs. Electricity'!Q$27</f>
        <v>11800.132906788085</v>
      </c>
      <c r="E27" s="141">
        <f>E17*'Background Calcs. Electricity'!R$27</f>
        <v>6995.892074364644</v>
      </c>
      <c r="F27" s="141">
        <f>F17*'Background Calcs. Electricity'!S$27</f>
        <v>2476.0083413975349</v>
      </c>
      <c r="G27" s="141">
        <f>G17*'Background Calcs. Electricity'!T$27</f>
        <v>1242.2613558150947</v>
      </c>
      <c r="H27" s="141">
        <f>H17*'Background Calcs. Electricity'!U$27</f>
        <v>289.22278821788251</v>
      </c>
      <c r="I27" s="142">
        <f>I17*'Background Calcs. Electricity'!V$27</f>
        <v>-17.939736626822352</v>
      </c>
      <c r="J27" t="s">
        <v>113</v>
      </c>
    </row>
    <row r="28" spans="1:14" x14ac:dyDescent="0.25">
      <c r="B28" s="138" t="s">
        <v>325</v>
      </c>
      <c r="C28" s="141">
        <f>C18*'Background Calcs. Electricity'!P$27</f>
        <v>12274.49411826215</v>
      </c>
      <c r="D28" s="141">
        <f>D18*'Background Calcs. Electricity'!Q$27</f>
        <v>6928.3043855668948</v>
      </c>
      <c r="E28" s="141">
        <f>E18*'Background Calcs. Electricity'!R$27</f>
        <v>4089.737710748776</v>
      </c>
      <c r="F28" s="141">
        <f>F18*'Background Calcs. Electricity'!S$27</f>
        <v>1469.6601326302725</v>
      </c>
      <c r="G28" s="141">
        <f>G18*'Background Calcs. Electricity'!T$27</f>
        <v>738.44777530263525</v>
      </c>
      <c r="H28" s="141">
        <f>H18*'Background Calcs. Electricity'!U$27</f>
        <v>172.55413823205123</v>
      </c>
      <c r="I28" s="142">
        <f>I18*'Background Calcs. Electricity'!V$27</f>
        <v>-10.703625342941828</v>
      </c>
      <c r="J28" t="s">
        <v>113</v>
      </c>
    </row>
    <row r="29" spans="1:14" x14ac:dyDescent="0.25">
      <c r="B29" s="138" t="s">
        <v>326</v>
      </c>
      <c r="C29" s="141">
        <f>C19*'Background Calcs. Electricity'!P$27</f>
        <v>16653.902862603045</v>
      </c>
      <c r="D29" s="141">
        <f>D19*'Background Calcs. Electricity'!Q$27</f>
        <v>10264.59544010498</v>
      </c>
      <c r="E29" s="141">
        <f>E19*'Background Calcs. Electricity'!R$27</f>
        <v>6724.4709922416014</v>
      </c>
      <c r="F29" s="141">
        <f>F19*'Background Calcs. Electricity'!S$27</f>
        <v>2750.4812814753818</v>
      </c>
      <c r="G29" s="141">
        <f>G19*'Background Calcs. Electricity'!T$27</f>
        <v>1616.1344782913447</v>
      </c>
      <c r="H29" s="141">
        <f>H19*'Background Calcs. Electricity'!U$27</f>
        <v>459.39297343501721</v>
      </c>
      <c r="I29" s="142">
        <f>I19*'Background Calcs. Electricity'!V$27</f>
        <v>-39.925099047067185</v>
      </c>
      <c r="J29" t="s">
        <v>113</v>
      </c>
    </row>
    <row r="30" spans="1:14" ht="15.75" thickBot="1" x14ac:dyDescent="0.3">
      <c r="B30" s="139" t="s">
        <v>89</v>
      </c>
      <c r="C30" s="143">
        <f>C20*'Background Calcs. Electricity'!P27</f>
        <v>0</v>
      </c>
      <c r="D30" s="143">
        <f>D20*'Background Calcs. Electricity'!Q27</f>
        <v>2805.424269181151</v>
      </c>
      <c r="E30" s="143">
        <f>E20*'Background Calcs. Electricity'!R27</f>
        <v>3829.912974398876</v>
      </c>
      <c r="F30" s="143">
        <f>F20*'Background Calcs. Electricity'!S27</f>
        <v>2416.8099173934002</v>
      </c>
      <c r="G30" s="143">
        <f>G20*'Background Calcs. Electricity'!T27</f>
        <v>1949.7879473933135</v>
      </c>
      <c r="H30" s="143">
        <f>H20*'Background Calcs. Electricity'!U27</f>
        <v>712.21778183759864</v>
      </c>
      <c r="I30" s="144">
        <f>I20*'Background Calcs. Electricity'!V27</f>
        <v>-73.812642969062125</v>
      </c>
      <c r="J30" t="s">
        <v>113</v>
      </c>
    </row>
    <row r="31" spans="1:14" ht="15.75" thickBot="1" x14ac:dyDescent="0.3">
      <c r="B31" s="14"/>
      <c r="C31" s="14"/>
    </row>
    <row r="32" spans="1:14" x14ac:dyDescent="0.25">
      <c r="A32" s="209">
        <v>4</v>
      </c>
      <c r="B32" s="210"/>
      <c r="C32" s="575" t="s">
        <v>438</v>
      </c>
      <c r="D32" s="576"/>
      <c r="E32" s="576"/>
      <c r="F32" s="576"/>
      <c r="G32" s="576"/>
      <c r="H32" s="576"/>
      <c r="I32" s="577"/>
      <c r="N32" s="54"/>
    </row>
    <row r="33" spans="2:16" x14ac:dyDescent="0.25">
      <c r="B33" s="211" t="s">
        <v>33</v>
      </c>
      <c r="C33" s="212">
        <f>'Baseline Statistics'!C12</f>
        <v>2022</v>
      </c>
      <c r="D33" s="212">
        <f>'Baseline Statistics'!D12</f>
        <v>2025</v>
      </c>
      <c r="E33" s="212">
        <f>'Baseline Statistics'!E12</f>
        <v>2030</v>
      </c>
      <c r="F33" s="212">
        <f>'Baseline Statistics'!F12</f>
        <v>2035</v>
      </c>
      <c r="G33" s="212">
        <f>'Baseline Statistics'!G12</f>
        <v>2040</v>
      </c>
      <c r="H33" s="212">
        <f>'Baseline Statistics'!H12</f>
        <v>2045</v>
      </c>
      <c r="I33" s="213">
        <f>'Baseline Statistics'!I12</f>
        <v>2050</v>
      </c>
    </row>
    <row r="34" spans="2:16" x14ac:dyDescent="0.25">
      <c r="B34" s="58" t="s">
        <v>34</v>
      </c>
      <c r="C34" s="64">
        <f t="shared" ref="C34:I34" si="8">VLOOKUP($A32,$B35:$I38,COLUMN()-1,TRUE)</f>
        <v>1.1648223645894001E-2</v>
      </c>
      <c r="D34" s="64">
        <f t="shared" si="8"/>
        <v>0.17637351970491166</v>
      </c>
      <c r="E34" s="64">
        <f t="shared" si="8"/>
        <v>0.34109881576392931</v>
      </c>
      <c r="F34" s="64">
        <f t="shared" si="8"/>
        <v>0.50582411182294695</v>
      </c>
      <c r="G34" s="64">
        <f t="shared" si="8"/>
        <v>0.6705494078819646</v>
      </c>
      <c r="H34" s="64">
        <f t="shared" si="8"/>
        <v>0.83527470394098224</v>
      </c>
      <c r="I34" s="65">
        <f t="shared" si="8"/>
        <v>1</v>
      </c>
      <c r="J34" s="21" t="str">
        <f>VLOOKUP($A32,$B35:$J38,COLUMN()-1,TRUE)</f>
        <v>All available north-facing roof area utilised by 2050</v>
      </c>
    </row>
    <row r="35" spans="2:16" x14ac:dyDescent="0.25">
      <c r="B35" s="214">
        <v>1</v>
      </c>
      <c r="C35" s="215">
        <f>'Baseline User Input'!$L$67/'Baseline Statistics'!$C$39</f>
        <v>1.1648223645894001E-2</v>
      </c>
      <c r="D35" s="216">
        <f t="shared" ref="D35:D38" si="9">C35+(($I35-$C35)/6)</f>
        <v>2.6373519704911669E-2</v>
      </c>
      <c r="E35" s="216">
        <f t="shared" ref="E35:E38" si="10">D35+(($I35-$C35)/6)</f>
        <v>4.1098815763929333E-2</v>
      </c>
      <c r="F35" s="216">
        <f t="shared" ref="F35:F38" si="11">E35+(($I35-$C35)/6)</f>
        <v>5.5824111822946998E-2</v>
      </c>
      <c r="G35" s="216">
        <f t="shared" ref="G35:G38" si="12">F35+(($I35-$C35)/6)</f>
        <v>7.0549407881964663E-2</v>
      </c>
      <c r="H35" s="216">
        <f t="shared" ref="H35:H38" si="13">G35+(($I35-$C35)/6)</f>
        <v>8.5274703940982327E-2</v>
      </c>
      <c r="I35" s="217">
        <v>0.1</v>
      </c>
      <c r="J35" t="s">
        <v>439</v>
      </c>
    </row>
    <row r="36" spans="2:16" x14ac:dyDescent="0.25">
      <c r="B36" s="214">
        <v>2</v>
      </c>
      <c r="C36" s="215">
        <f>'Baseline User Input'!$L$67/'Baseline Statistics'!$C$39</f>
        <v>1.1648223645894001E-2</v>
      </c>
      <c r="D36" s="216">
        <f t="shared" si="9"/>
        <v>5.1373519704911663E-2</v>
      </c>
      <c r="E36" s="216">
        <f t="shared" si="10"/>
        <v>9.1098815763929336E-2</v>
      </c>
      <c r="F36" s="216">
        <f t="shared" si="11"/>
        <v>0.13082411182294701</v>
      </c>
      <c r="G36" s="216">
        <f t="shared" si="12"/>
        <v>0.17054940788196468</v>
      </c>
      <c r="H36" s="216">
        <f t="shared" si="13"/>
        <v>0.21027470394098235</v>
      </c>
      <c r="I36" s="218">
        <v>0.25</v>
      </c>
      <c r="J36" t="s">
        <v>440</v>
      </c>
    </row>
    <row r="37" spans="2:16" x14ac:dyDescent="0.25">
      <c r="B37" s="214">
        <v>3</v>
      </c>
      <c r="C37" s="215">
        <f>'Baseline User Input'!$L$67/'Baseline Statistics'!$C$39</f>
        <v>1.1648223645894001E-2</v>
      </c>
      <c r="D37" s="216">
        <f t="shared" si="9"/>
        <v>9.3040186371578334E-2</v>
      </c>
      <c r="E37" s="216">
        <f t="shared" si="10"/>
        <v>0.17443214909726268</v>
      </c>
      <c r="F37" s="216">
        <f t="shared" si="11"/>
        <v>0.25582411182294701</v>
      </c>
      <c r="G37" s="216">
        <f t="shared" si="12"/>
        <v>0.33721607454863134</v>
      </c>
      <c r="H37" s="216">
        <f t="shared" si="13"/>
        <v>0.41860803727431567</v>
      </c>
      <c r="I37" s="217">
        <v>0.5</v>
      </c>
      <c r="J37" t="s">
        <v>441</v>
      </c>
    </row>
    <row r="38" spans="2:16" ht="15.75" thickBot="1" x14ac:dyDescent="0.3">
      <c r="B38" s="219">
        <v>4</v>
      </c>
      <c r="C38" s="220">
        <f>'Baseline User Input'!$L$67/'Baseline Statistics'!$C$39</f>
        <v>1.1648223645894001E-2</v>
      </c>
      <c r="D38" s="221">
        <f t="shared" si="9"/>
        <v>0.17637351970491166</v>
      </c>
      <c r="E38" s="221">
        <f t="shared" si="10"/>
        <v>0.34109881576392931</v>
      </c>
      <c r="F38" s="221">
        <f t="shared" si="11"/>
        <v>0.50582411182294695</v>
      </c>
      <c r="G38" s="221">
        <f t="shared" si="12"/>
        <v>0.6705494078819646</v>
      </c>
      <c r="H38" s="221">
        <f t="shared" si="13"/>
        <v>0.83527470394098224</v>
      </c>
      <c r="I38" s="222">
        <v>1</v>
      </c>
      <c r="J38" t="s">
        <v>442</v>
      </c>
    </row>
    <row r="39" spans="2:16" ht="15.75" thickBot="1" x14ac:dyDescent="0.3"/>
    <row r="40" spans="2:16" ht="30" x14ac:dyDescent="0.25">
      <c r="B40" s="229" t="s">
        <v>443</v>
      </c>
      <c r="C40" s="230">
        <f>C33</f>
        <v>2022</v>
      </c>
      <c r="D40" s="230">
        <f t="shared" ref="D40:I40" si="14">D33</f>
        <v>2025</v>
      </c>
      <c r="E40" s="230">
        <f t="shared" si="14"/>
        <v>2030</v>
      </c>
      <c r="F40" s="230">
        <f t="shared" si="14"/>
        <v>2035</v>
      </c>
      <c r="G40" s="230">
        <f t="shared" si="14"/>
        <v>2040</v>
      </c>
      <c r="H40" s="230">
        <f t="shared" si="14"/>
        <v>2045</v>
      </c>
      <c r="I40" s="231">
        <f t="shared" si="14"/>
        <v>2050</v>
      </c>
    </row>
    <row r="41" spans="2:16" ht="30.75" thickBot="1" x14ac:dyDescent="0.3">
      <c r="B41" s="400" t="s">
        <v>444</v>
      </c>
      <c r="C41" s="32">
        <f>ROUND(C34*'Baseline Statistics'!C39,0)</f>
        <v>400</v>
      </c>
      <c r="D41" s="32">
        <f>ROUND(D34*'Baseline Statistics'!D39,0)</f>
        <v>6229</v>
      </c>
      <c r="E41" s="32">
        <f>ROUND(E34*'Baseline Statistics'!E39,0)</f>
        <v>12588</v>
      </c>
      <c r="F41" s="32">
        <f>ROUND(F34*'Baseline Statistics'!F39,0)</f>
        <v>19416</v>
      </c>
      <c r="G41" s="32">
        <f>ROUND(G34*'Baseline Statistics'!G39,0)</f>
        <v>26730</v>
      </c>
      <c r="H41" s="32">
        <f>ROUND(H34*'Baseline Statistics'!H39,0)</f>
        <v>34532</v>
      </c>
      <c r="I41" s="33">
        <f>ROUND(I34*'Baseline Statistics'!I39,0)</f>
        <v>42821</v>
      </c>
    </row>
    <row r="42" spans="2:16" ht="15.75" thickBot="1" x14ac:dyDescent="0.3"/>
    <row r="43" spans="2:16" x14ac:dyDescent="0.25">
      <c r="B43" s="28" t="s">
        <v>445</v>
      </c>
      <c r="C43" s="230">
        <f>C40</f>
        <v>2022</v>
      </c>
      <c r="D43" s="230">
        <f>D40</f>
        <v>2025</v>
      </c>
      <c r="E43" s="230">
        <f t="shared" ref="E43:I43" si="15">E40</f>
        <v>2030</v>
      </c>
      <c r="F43" s="230">
        <f t="shared" si="15"/>
        <v>2035</v>
      </c>
      <c r="G43" s="230">
        <f t="shared" si="15"/>
        <v>2040</v>
      </c>
      <c r="H43" s="230">
        <f t="shared" si="15"/>
        <v>2045</v>
      </c>
      <c r="I43" s="231">
        <f t="shared" si="15"/>
        <v>2050</v>
      </c>
    </row>
    <row r="44" spans="2:16" x14ac:dyDescent="0.25">
      <c r="B44" s="234" t="s">
        <v>852</v>
      </c>
      <c r="C44" s="94">
        <f>'Emissions Factors, etc,'!$C161</f>
        <v>0.75</v>
      </c>
      <c r="D44" s="94">
        <f>'Emissions Factors, etc,'!$C161</f>
        <v>0.75</v>
      </c>
      <c r="E44" s="94">
        <f>'Emissions Factors, etc,'!$C161</f>
        <v>0.75</v>
      </c>
      <c r="F44" s="94">
        <f>'Emissions Factors, etc,'!$C161</f>
        <v>0.75</v>
      </c>
      <c r="G44" s="94">
        <f>'Emissions Factors, etc,'!$C161</f>
        <v>0.75</v>
      </c>
      <c r="H44" s="94">
        <f>'Emissions Factors, etc,'!$C161</f>
        <v>0.75</v>
      </c>
      <c r="I44" s="129">
        <f>'Emissions Factors, etc,'!$C161</f>
        <v>0.75</v>
      </c>
      <c r="J44" s="401"/>
      <c r="P44" s="11"/>
    </row>
    <row r="45" spans="2:16" x14ac:dyDescent="0.25">
      <c r="B45" s="234" t="s">
        <v>446</v>
      </c>
      <c r="C45" s="30">
        <f>ROUND((C$41-$C$41),0)</f>
        <v>0</v>
      </c>
      <c r="D45" s="30">
        <f t="shared" ref="D45:H45" si="16">ROUND((D$41-$C$41),0)</f>
        <v>5829</v>
      </c>
      <c r="E45" s="30">
        <f t="shared" si="16"/>
        <v>12188</v>
      </c>
      <c r="F45" s="30">
        <f t="shared" si="16"/>
        <v>19016</v>
      </c>
      <c r="G45" s="30">
        <f t="shared" si="16"/>
        <v>26330</v>
      </c>
      <c r="H45" s="30">
        <f t="shared" si="16"/>
        <v>34132</v>
      </c>
      <c r="I45" s="31">
        <f>ROUND((I$41-$C$41),0)</f>
        <v>42421</v>
      </c>
    </row>
    <row r="46" spans="2:16" x14ac:dyDescent="0.25">
      <c r="B46" s="234" t="s">
        <v>447</v>
      </c>
      <c r="C46" s="30">
        <f t="shared" ref="C46:I46" si="17">ROUND((C$41-$C$41)*(1-C$44),0)</f>
        <v>0</v>
      </c>
      <c r="D46" s="30">
        <f t="shared" si="17"/>
        <v>1457</v>
      </c>
      <c r="E46" s="30">
        <f t="shared" si="17"/>
        <v>3047</v>
      </c>
      <c r="F46" s="30">
        <f t="shared" si="17"/>
        <v>4754</v>
      </c>
      <c r="G46" s="30">
        <f t="shared" si="17"/>
        <v>6583</v>
      </c>
      <c r="H46" s="30">
        <f t="shared" si="17"/>
        <v>8533</v>
      </c>
      <c r="I46" s="31">
        <f t="shared" si="17"/>
        <v>10605</v>
      </c>
    </row>
    <row r="47" spans="2:16" x14ac:dyDescent="0.25">
      <c r="B47" s="234" t="s">
        <v>448</v>
      </c>
      <c r="C47" s="30">
        <v>0</v>
      </c>
      <c r="D47" s="30">
        <f>D45*'Emissions Factors, etc,'!$C160</f>
        <v>26230.5</v>
      </c>
      <c r="E47" s="30">
        <f>E45*'Emissions Factors, etc,'!$C160</f>
        <v>54846</v>
      </c>
      <c r="F47" s="30">
        <f>F45*'Emissions Factors, etc,'!$C160</f>
        <v>85572</v>
      </c>
      <c r="G47" s="30">
        <f>G45*'Emissions Factors, etc,'!$C160</f>
        <v>118485</v>
      </c>
      <c r="H47" s="30">
        <f>H45*'Emissions Factors, etc,'!$C160</f>
        <v>153594</v>
      </c>
      <c r="I47" s="31">
        <f>I45*'Emissions Factors, etc,'!$C160</f>
        <v>190894.5</v>
      </c>
      <c r="J47" t="s">
        <v>449</v>
      </c>
    </row>
    <row r="48" spans="2:16" x14ac:dyDescent="0.25">
      <c r="B48" s="402" t="s">
        <v>445</v>
      </c>
      <c r="C48" s="145">
        <f>C47*'Emissions Factors, etc,'!$C159</f>
        <v>0</v>
      </c>
      <c r="D48" s="145">
        <f>D47*'Emissions Factors, etc,'!$C159</f>
        <v>34099650</v>
      </c>
      <c r="E48" s="145">
        <f>E47*'Emissions Factors, etc,'!$C159</f>
        <v>71299800</v>
      </c>
      <c r="F48" s="145">
        <f>F47*'Emissions Factors, etc,'!$C159</f>
        <v>111243600</v>
      </c>
      <c r="G48" s="145">
        <f>G47*'Emissions Factors, etc,'!$C159</f>
        <v>154030500</v>
      </c>
      <c r="H48" s="145">
        <f>H47*'Emissions Factors, etc,'!$C159</f>
        <v>199672200</v>
      </c>
      <c r="I48" s="146">
        <f>I47*'Emissions Factors, etc,'!$C159</f>
        <v>248162850</v>
      </c>
      <c r="J48" t="s">
        <v>450</v>
      </c>
    </row>
    <row r="49" spans="1:10" x14ac:dyDescent="0.25">
      <c r="B49" s="403" t="s">
        <v>451</v>
      </c>
      <c r="C49" s="404">
        <f>'3. Transport'!C193</f>
        <v>0</v>
      </c>
      <c r="D49" s="404">
        <f>'3. Transport'!D193</f>
        <v>0.16666666666666666</v>
      </c>
      <c r="E49" s="404">
        <f>'3. Transport'!E193</f>
        <v>0.33333333333333331</v>
      </c>
      <c r="F49" s="404">
        <f>'3. Transport'!F193</f>
        <v>0.5</v>
      </c>
      <c r="G49" s="404">
        <f>'3. Transport'!G193</f>
        <v>0.66666666666666663</v>
      </c>
      <c r="H49" s="404">
        <f>'3. Transport'!H193</f>
        <v>0.83333333333333326</v>
      </c>
      <c r="I49" s="405">
        <f>'3. Transport'!I193</f>
        <v>1</v>
      </c>
    </row>
    <row r="50" spans="1:10" x14ac:dyDescent="0.25">
      <c r="B50" s="402" t="s">
        <v>398</v>
      </c>
      <c r="C50" s="145">
        <f>C48*(C49*'Baseline User Input'!$L73+(1-C49)*'Baseline User Input'!$L72)</f>
        <v>0</v>
      </c>
      <c r="D50" s="145">
        <f>D48*(D49*'Baseline User Input'!$L73+(1-D49)*'Baseline User Input'!$L72)</f>
        <v>18754807.5</v>
      </c>
      <c r="E50" s="145">
        <f>E48*(E49*'Baseline User Input'!$L73+(1-E49)*'Baseline User Input'!$L72)</f>
        <v>42779880.000000007</v>
      </c>
      <c r="F50" s="145">
        <f>F48*(F49*'Baseline User Input'!$L73+(1-F49)*'Baseline User Input'!$L72)</f>
        <v>72308340</v>
      </c>
      <c r="G50" s="145">
        <f>G48*(G49*'Baseline User Input'!$L73+(1-G49)*'Baseline User Input'!$L72)</f>
        <v>107821350</v>
      </c>
      <c r="H50" s="145">
        <f>H48*(H49*'Baseline User Input'!$L73+(1-H49)*'Baseline User Input'!$L72)</f>
        <v>149754150</v>
      </c>
      <c r="I50" s="146">
        <f>I48*(I49*'Baseline User Input'!$L73+(1-I49)*'Baseline User Input'!$L72)</f>
        <v>198530280</v>
      </c>
      <c r="J50" t="s">
        <v>450</v>
      </c>
    </row>
    <row r="51" spans="1:10" x14ac:dyDescent="0.25">
      <c r="B51" s="402" t="s">
        <v>452</v>
      </c>
      <c r="C51" s="145">
        <v>0</v>
      </c>
      <c r="D51" s="145">
        <f t="shared" ref="D51:I51" si="18">D48-D50</f>
        <v>15344842.5</v>
      </c>
      <c r="E51" s="145">
        <f t="shared" si="18"/>
        <v>28519919.999999993</v>
      </c>
      <c r="F51" s="145">
        <f t="shared" si="18"/>
        <v>38935260</v>
      </c>
      <c r="G51" s="145">
        <f t="shared" si="18"/>
        <v>46209150</v>
      </c>
      <c r="H51" s="145">
        <f t="shared" si="18"/>
        <v>49918050</v>
      </c>
      <c r="I51" s="146">
        <f t="shared" si="18"/>
        <v>49632570</v>
      </c>
      <c r="J51" t="s">
        <v>450</v>
      </c>
    </row>
    <row r="52" spans="1:10" x14ac:dyDescent="0.25">
      <c r="B52" s="402" t="s">
        <v>453</v>
      </c>
      <c r="C52" s="30">
        <f>'Baseline User Input'!L63</f>
        <v>277</v>
      </c>
      <c r="D52" s="145">
        <f>$C52*(D47+'Baseline User Input'!$L68)/'Baseline User Input'!$L68</f>
        <v>4818.1553125</v>
      </c>
      <c r="E52" s="145">
        <f>$C52*(E47+'Baseline User Input'!$L68)/'Baseline User Input'!$L68</f>
        <v>9772.2137500000008</v>
      </c>
      <c r="F52" s="145">
        <f>$C52*(F47+'Baseline User Input'!$L68)/'Baseline User Input'!$L68</f>
        <v>15091.6525</v>
      </c>
      <c r="G52" s="145">
        <f>$C52*(G47+'Baseline User Input'!$L68)/'Baseline User Input'!$L68</f>
        <v>20789.715625000001</v>
      </c>
      <c r="H52" s="145">
        <f>$C52*(H47+'Baseline User Input'!$L68)/'Baseline User Input'!$L68</f>
        <v>26867.96125</v>
      </c>
      <c r="I52" s="146">
        <f>$C52*(I47+'Baseline User Input'!$L68)/'Baseline User Input'!$L68</f>
        <v>33325.610312500001</v>
      </c>
      <c r="J52" t="s">
        <v>433</v>
      </c>
    </row>
    <row r="53" spans="1:10" ht="15.75" thickBot="1" x14ac:dyDescent="0.3">
      <c r="B53" s="263" t="s">
        <v>454</v>
      </c>
      <c r="C53" s="130">
        <f>C34*(1-C44)*'Emissions Factors, etc,'!$C162</f>
        <v>1.7472335468841E-3</v>
      </c>
      <c r="D53" s="130">
        <f>D34*(1-D44)*'Emissions Factors, etc,'!$C162</f>
        <v>2.645602795573675E-2</v>
      </c>
      <c r="E53" s="130">
        <f>E34*(1-E44)*'Emissions Factors, etc,'!$C162</f>
        <v>5.1164822364589392E-2</v>
      </c>
      <c r="F53" s="130">
        <f>F34*(1-F44)*'Emissions Factors, etc,'!$C162</f>
        <v>7.5873616773442037E-2</v>
      </c>
      <c r="G53" s="130">
        <f>G34*(1-G44)*'Emissions Factors, etc,'!$C162</f>
        <v>0.10058241118229469</v>
      </c>
      <c r="H53" s="130">
        <f>H34*(1-H44)*'Emissions Factors, etc,'!$C162</f>
        <v>0.12529120559114734</v>
      </c>
      <c r="I53" s="131">
        <f>I34*(1-I44)*'Emissions Factors, etc,'!$C162</f>
        <v>0.15</v>
      </c>
    </row>
    <row r="54" spans="1:10" ht="15.75" thickBot="1" x14ac:dyDescent="0.3"/>
    <row r="55" spans="1:10" x14ac:dyDescent="0.25">
      <c r="A55" s="209">
        <v>3</v>
      </c>
      <c r="B55" s="210"/>
      <c r="C55" s="575" t="s">
        <v>853</v>
      </c>
      <c r="D55" s="576"/>
      <c r="E55" s="576"/>
      <c r="F55" s="576"/>
      <c r="G55" s="576"/>
      <c r="H55" s="576"/>
      <c r="I55" s="577"/>
    </row>
    <row r="56" spans="1:10" x14ac:dyDescent="0.25">
      <c r="B56" s="211" t="s">
        <v>33</v>
      </c>
      <c r="C56" s="212">
        <f>'Baseline Statistics'!C12</f>
        <v>2022</v>
      </c>
      <c r="D56" s="212">
        <f>'Baseline Statistics'!D12</f>
        <v>2025</v>
      </c>
      <c r="E56" s="212">
        <f>'Baseline Statistics'!E12</f>
        <v>2030</v>
      </c>
      <c r="F56" s="212">
        <f>'Baseline Statistics'!F12</f>
        <v>2035</v>
      </c>
      <c r="G56" s="212">
        <f>'Baseline Statistics'!G12</f>
        <v>2040</v>
      </c>
      <c r="H56" s="212">
        <f>'Baseline Statistics'!H12</f>
        <v>2045</v>
      </c>
      <c r="I56" s="213">
        <f>'Baseline Statistics'!I12</f>
        <v>2050</v>
      </c>
    </row>
    <row r="57" spans="1:10" x14ac:dyDescent="0.25">
      <c r="B57" s="58" t="s">
        <v>34</v>
      </c>
      <c r="C57" s="64">
        <f t="shared" ref="C57:I57" si="19">VLOOKUP($A55,$B58:$I61,COLUMN()-1,TRUE)</f>
        <v>0</v>
      </c>
      <c r="D57" s="64">
        <f t="shared" si="19"/>
        <v>8.3333333333333329E-2</v>
      </c>
      <c r="E57" s="64">
        <f t="shared" si="19"/>
        <v>0.16666666666666666</v>
      </c>
      <c r="F57" s="64">
        <f t="shared" si="19"/>
        <v>0.25</v>
      </c>
      <c r="G57" s="64">
        <f t="shared" si="19"/>
        <v>0.33333333333333331</v>
      </c>
      <c r="H57" s="64">
        <f t="shared" si="19"/>
        <v>0.41666666666666663</v>
      </c>
      <c r="I57" s="65">
        <f t="shared" si="19"/>
        <v>0.5</v>
      </c>
      <c r="J57" s="24" t="str">
        <f>VLOOKUP($A55,$B58:$J61,COLUMN()-1,TRUE)</f>
        <v>50% of available commercial/industrial rooftop has solar PV by 2050</v>
      </c>
    </row>
    <row r="58" spans="1:10" x14ac:dyDescent="0.25">
      <c r="B58" s="214">
        <v>1</v>
      </c>
      <c r="C58" s="215">
        <v>0</v>
      </c>
      <c r="D58" s="216">
        <f t="shared" ref="D58:H58" si="20">C58+(($I58-$C58)/6)</f>
        <v>0</v>
      </c>
      <c r="E58" s="216">
        <f t="shared" si="20"/>
        <v>0</v>
      </c>
      <c r="F58" s="216">
        <f t="shared" si="20"/>
        <v>0</v>
      </c>
      <c r="G58" s="216">
        <f t="shared" si="20"/>
        <v>0</v>
      </c>
      <c r="H58" s="216">
        <f t="shared" si="20"/>
        <v>0</v>
      </c>
      <c r="I58" s="217">
        <v>0</v>
      </c>
      <c r="J58" t="s">
        <v>35</v>
      </c>
    </row>
    <row r="59" spans="1:10" x14ac:dyDescent="0.25">
      <c r="B59" s="214">
        <v>2</v>
      </c>
      <c r="C59" s="215">
        <v>0</v>
      </c>
      <c r="D59" s="216">
        <f t="shared" ref="D59:H59" si="21">C59+(($I59-$C59)/6)</f>
        <v>1.6666666666666666E-2</v>
      </c>
      <c r="E59" s="216">
        <f t="shared" si="21"/>
        <v>3.3333333333333333E-2</v>
      </c>
      <c r="F59" s="216">
        <f t="shared" si="21"/>
        <v>0.05</v>
      </c>
      <c r="G59" s="216">
        <f t="shared" si="21"/>
        <v>6.6666666666666666E-2</v>
      </c>
      <c r="H59" s="216">
        <f t="shared" si="21"/>
        <v>8.3333333333333329E-2</v>
      </c>
      <c r="I59" s="218">
        <v>0.1</v>
      </c>
      <c r="J59" t="s">
        <v>455</v>
      </c>
    </row>
    <row r="60" spans="1:10" x14ac:dyDescent="0.25">
      <c r="B60" s="214">
        <v>3</v>
      </c>
      <c r="C60" s="215">
        <v>0</v>
      </c>
      <c r="D60" s="216">
        <f t="shared" ref="D60:H60" si="22">C60+(($I60-$C60)/6)</f>
        <v>8.3333333333333329E-2</v>
      </c>
      <c r="E60" s="216">
        <f t="shared" si="22"/>
        <v>0.16666666666666666</v>
      </c>
      <c r="F60" s="216">
        <f t="shared" si="22"/>
        <v>0.25</v>
      </c>
      <c r="G60" s="216">
        <f t="shared" si="22"/>
        <v>0.33333333333333331</v>
      </c>
      <c r="H60" s="216">
        <f t="shared" si="22"/>
        <v>0.41666666666666663</v>
      </c>
      <c r="I60" s="217">
        <v>0.5</v>
      </c>
      <c r="J60" t="s">
        <v>456</v>
      </c>
    </row>
    <row r="61" spans="1:10" ht="15.75" thickBot="1" x14ac:dyDescent="0.3">
      <c r="B61" s="219">
        <v>4</v>
      </c>
      <c r="C61" s="220">
        <v>0</v>
      </c>
      <c r="D61" s="221">
        <f t="shared" ref="D61:H61" si="23">C61+(($I61-$C61)/6)</f>
        <v>0.16666666666666666</v>
      </c>
      <c r="E61" s="221">
        <f t="shared" si="23"/>
        <v>0.33333333333333331</v>
      </c>
      <c r="F61" s="221">
        <f t="shared" si="23"/>
        <v>0.5</v>
      </c>
      <c r="G61" s="221">
        <f t="shared" si="23"/>
        <v>0.66666666666666663</v>
      </c>
      <c r="H61" s="221">
        <f t="shared" si="23"/>
        <v>0.83333333333333326</v>
      </c>
      <c r="I61" s="222">
        <v>1</v>
      </c>
      <c r="J61" t="s">
        <v>457</v>
      </c>
    </row>
    <row r="62" spans="1:10" ht="15.75" thickBot="1" x14ac:dyDescent="0.3">
      <c r="B62" s="204"/>
      <c r="I62" s="205"/>
    </row>
    <row r="63" spans="1:10" x14ac:dyDescent="0.25">
      <c r="B63" s="28" t="s">
        <v>445</v>
      </c>
      <c r="C63" s="230">
        <f>C56</f>
        <v>2022</v>
      </c>
      <c r="D63" s="230">
        <f t="shared" ref="D63:I63" si="24">D56</f>
        <v>2025</v>
      </c>
      <c r="E63" s="230">
        <f t="shared" si="24"/>
        <v>2030</v>
      </c>
      <c r="F63" s="230">
        <f t="shared" si="24"/>
        <v>2035</v>
      </c>
      <c r="G63" s="230">
        <f t="shared" si="24"/>
        <v>2040</v>
      </c>
      <c r="H63" s="230">
        <f t="shared" si="24"/>
        <v>2045</v>
      </c>
      <c r="I63" s="231">
        <f t="shared" si="24"/>
        <v>2050</v>
      </c>
    </row>
    <row r="64" spans="1:10" x14ac:dyDescent="0.25">
      <c r="B64" s="403" t="s">
        <v>458</v>
      </c>
      <c r="C64" s="68">
        <f>'Baseline User Input'!L70</f>
        <v>2500000</v>
      </c>
      <c r="D64" s="68">
        <f>$C64*'2. Industry'!D21</f>
        <v>2700000</v>
      </c>
      <c r="E64" s="68">
        <f>$C64*'2. Industry'!E21</f>
        <v>2900000</v>
      </c>
      <c r="F64" s="68">
        <f>$C64*'2. Industry'!F21</f>
        <v>3050000</v>
      </c>
      <c r="G64" s="68">
        <f>$C64*'2. Industry'!G21</f>
        <v>3225000</v>
      </c>
      <c r="H64" s="68">
        <f>$C64*'2. Industry'!H21</f>
        <v>3400000.0000000005</v>
      </c>
      <c r="I64" s="69">
        <f>$C64*'2. Industry'!I21</f>
        <v>3625000</v>
      </c>
      <c r="J64" t="s">
        <v>459</v>
      </c>
    </row>
    <row r="65" spans="1:14" x14ac:dyDescent="0.25">
      <c r="B65" s="234" t="s">
        <v>460</v>
      </c>
      <c r="C65" s="30">
        <f>C64*C57</f>
        <v>0</v>
      </c>
      <c r="D65" s="30">
        <f>D64*D57</f>
        <v>225000</v>
      </c>
      <c r="E65" s="30">
        <f>E64*E57</f>
        <v>483333.33333333331</v>
      </c>
      <c r="F65" s="30">
        <f t="shared" ref="F65:H65" si="25">F64*F57</f>
        <v>762500</v>
      </c>
      <c r="G65" s="30">
        <f t="shared" si="25"/>
        <v>1075000</v>
      </c>
      <c r="H65" s="30">
        <f t="shared" si="25"/>
        <v>1416666.6666666667</v>
      </c>
      <c r="I65" s="31">
        <f>I64*I57</f>
        <v>1812500</v>
      </c>
      <c r="J65" t="s">
        <v>459</v>
      </c>
    </row>
    <row r="66" spans="1:14" x14ac:dyDescent="0.25">
      <c r="B66" s="234" t="s">
        <v>461</v>
      </c>
      <c r="C66" s="30">
        <f>C65*'Emissions Factors, etc,'!$C158/'Emissions Factors, etc,'!$C157/1000</f>
        <v>0</v>
      </c>
      <c r="D66" s="30">
        <f>D65*'Emissions Factors, etc,'!$C158/'Emissions Factors, etc,'!$C157/1000</f>
        <v>22500</v>
      </c>
      <c r="E66" s="30">
        <f>E65*'Emissions Factors, etc,'!$C158/'Emissions Factors, etc,'!$C157/1000</f>
        <v>48333.333333333336</v>
      </c>
      <c r="F66" s="30">
        <f>F65*'Emissions Factors, etc,'!$C158/'Emissions Factors, etc,'!$C157/1000</f>
        <v>76250</v>
      </c>
      <c r="G66" s="30">
        <f>G65*'Emissions Factors, etc,'!$C158/'Emissions Factors, etc,'!$C157/1000</f>
        <v>107500</v>
      </c>
      <c r="H66" s="30">
        <f>H65*'Emissions Factors, etc,'!$C158/'Emissions Factors, etc,'!$C157/1000</f>
        <v>141666.66666666666</v>
      </c>
      <c r="I66" s="31">
        <f>I65*'Emissions Factors, etc,'!$C158/'Emissions Factors, etc,'!$C157/1000</f>
        <v>181250</v>
      </c>
      <c r="J66" t="s">
        <v>449</v>
      </c>
    </row>
    <row r="67" spans="1:14" x14ac:dyDescent="0.25">
      <c r="B67" s="73" t="s">
        <v>445</v>
      </c>
      <c r="C67" s="30">
        <f>C66*'Emissions Factors, etc,'!$C159*'Baseline User Input'!$L71</f>
        <v>0</v>
      </c>
      <c r="D67" s="30">
        <f>D66*'Emissions Factors, etc,'!$C159*'Baseline User Input'!$L71</f>
        <v>29250000</v>
      </c>
      <c r="E67" s="30">
        <f>E66*'Emissions Factors, etc,'!$C159*'Baseline User Input'!$L71</f>
        <v>62833333.333333336</v>
      </c>
      <c r="F67" s="30">
        <f>F66*'Emissions Factors, etc,'!$C159*'Baseline User Input'!$L71</f>
        <v>99125000</v>
      </c>
      <c r="G67" s="30">
        <f>G66*'Emissions Factors, etc,'!$C159*'Baseline User Input'!$L71</f>
        <v>139750000</v>
      </c>
      <c r="H67" s="30">
        <f>H66*'Emissions Factors, etc,'!$C159*'Baseline User Input'!$L71</f>
        <v>184166666.66666666</v>
      </c>
      <c r="I67" s="31">
        <f>I66*'Emissions Factors, etc,'!$C159*'Baseline User Input'!$L71</f>
        <v>235625000</v>
      </c>
      <c r="J67" t="s">
        <v>192</v>
      </c>
      <c r="M67" s="7"/>
    </row>
    <row r="68" spans="1:14" x14ac:dyDescent="0.25">
      <c r="B68" s="403" t="s">
        <v>462</v>
      </c>
      <c r="C68" s="68">
        <f>'4. Buildings'!C125</f>
        <v>190232678.42172083</v>
      </c>
      <c r="D68" s="68">
        <f>'4. Buildings'!D125</f>
        <v>201026260.99259534</v>
      </c>
      <c r="E68" s="68">
        <f>'4. Buildings'!E125</f>
        <v>211165494.64366904</v>
      </c>
      <c r="F68" s="68">
        <f>'4. Buildings'!F125</f>
        <v>215435874.03835514</v>
      </c>
      <c r="G68" s="68">
        <f>'4. Buildings'!G125</f>
        <v>222515760.01425236</v>
      </c>
      <c r="H68" s="68">
        <f>'4. Buildings'!H125</f>
        <v>229023913.90408963</v>
      </c>
      <c r="I68" s="69">
        <f>'4. Buildings'!I125</f>
        <v>236279425.74053684</v>
      </c>
      <c r="J68" t="s">
        <v>192</v>
      </c>
    </row>
    <row r="69" spans="1:14" x14ac:dyDescent="0.25">
      <c r="B69" s="403" t="s">
        <v>463</v>
      </c>
      <c r="C69" s="68">
        <f>'4. Buildings'!C126</f>
        <v>114692341.22762345</v>
      </c>
      <c r="D69" s="68">
        <f>'4. Buildings'!D126</f>
        <v>118030121.91904336</v>
      </c>
      <c r="E69" s="68">
        <f>'4. Buildings'!E126</f>
        <v>123445513.0915615</v>
      </c>
      <c r="F69" s="68">
        <f>'4. Buildings'!F126</f>
        <v>127874171.47141723</v>
      </c>
      <c r="G69" s="68">
        <f>'4. Buildings'!G126</f>
        <v>132271898.48829</v>
      </c>
      <c r="H69" s="68">
        <f>'4. Buildings'!H126</f>
        <v>136638694.14217976</v>
      </c>
      <c r="I69" s="69">
        <f>'4. Buildings'!I126</f>
        <v>140974558.4330866</v>
      </c>
      <c r="J69" t="s">
        <v>192</v>
      </c>
    </row>
    <row r="70" spans="1:14" x14ac:dyDescent="0.25">
      <c r="B70" s="234" t="s">
        <v>464</v>
      </c>
      <c r="C70" s="30">
        <f t="shared" ref="C70:G70" si="26">MAX(C68-C68/SUM(C68:C69)*C67,0)</f>
        <v>190232678.42172083</v>
      </c>
      <c r="D70" s="30">
        <f t="shared" si="26"/>
        <v>182596859.64235857</v>
      </c>
      <c r="E70" s="30">
        <f>MAX(E68-E68/SUM(E68:E69)*E67,0)</f>
        <v>171512788.6455965</v>
      </c>
      <c r="F70" s="30">
        <f t="shared" si="26"/>
        <v>153232389.77286464</v>
      </c>
      <c r="G70" s="30">
        <f t="shared" si="26"/>
        <v>134867340.69425243</v>
      </c>
      <c r="H70" s="30">
        <f>MAX(H68-H68/SUM(H68:H69)*H67,0)</f>
        <v>113675584.91844518</v>
      </c>
      <c r="I70" s="31">
        <f>MAX(I68-I68/SUM(I68:I69)*I67,0)</f>
        <v>88704205.794041932</v>
      </c>
      <c r="J70" t="s">
        <v>192</v>
      </c>
    </row>
    <row r="71" spans="1:14" x14ac:dyDescent="0.25">
      <c r="B71" s="234" t="s">
        <v>465</v>
      </c>
      <c r="C71" s="30">
        <f>MAX(C69-C69/SUM(C68:C69)*C67,0)</f>
        <v>114692341.22762345</v>
      </c>
      <c r="D71" s="30">
        <f t="shared" ref="D71:H71" si="27">MAX(D69-D69/SUM(D68:D69)*D67,0)</f>
        <v>107209523.26928014</v>
      </c>
      <c r="E71" s="30">
        <f>MAX(E69-E69/SUM(E68:E69)*E67,0)</f>
        <v>100264885.7563007</v>
      </c>
      <c r="F71" s="30">
        <f t="shared" si="27"/>
        <v>90952655.736907721</v>
      </c>
      <c r="G71" s="30">
        <f t="shared" si="27"/>
        <v>80170317.808289915</v>
      </c>
      <c r="H71" s="30">
        <f t="shared" si="27"/>
        <v>67820356.461157545</v>
      </c>
      <c r="I71" s="31">
        <f>MAX(I69-I69/SUM(I68:I69)*I67,0)</f>
        <v>52924778.379581526</v>
      </c>
      <c r="J71" t="s">
        <v>192</v>
      </c>
    </row>
    <row r="72" spans="1:14" x14ac:dyDescent="0.25">
      <c r="B72" s="234" t="s">
        <v>466</v>
      </c>
      <c r="C72" s="30">
        <f>MAX((C67-C68)/1000000,0)</f>
        <v>0</v>
      </c>
      <c r="D72" s="30">
        <f t="shared" ref="D72:H72" si="28">MAX((D67-D68)/1000000,0)</f>
        <v>0</v>
      </c>
      <c r="E72" s="30">
        <f t="shared" si="28"/>
        <v>0</v>
      </c>
      <c r="F72" s="30">
        <f t="shared" si="28"/>
        <v>0</v>
      </c>
      <c r="G72" s="30">
        <f t="shared" si="28"/>
        <v>0</v>
      </c>
      <c r="H72" s="30">
        <f t="shared" si="28"/>
        <v>0</v>
      </c>
      <c r="I72" s="31">
        <f>MAX((I67-I68-I69)/1000000,0)</f>
        <v>0</v>
      </c>
      <c r="J72" t="s">
        <v>433</v>
      </c>
    </row>
    <row r="73" spans="1:14" x14ac:dyDescent="0.25">
      <c r="B73" s="234" t="s">
        <v>467</v>
      </c>
      <c r="C73" s="30">
        <f>(4800000/'Baseline Statistics'!$C17)*C72</f>
        <v>0</v>
      </c>
      <c r="D73" s="30">
        <f>(4800000/'Baseline Statistics'!$C17)*D72</f>
        <v>0</v>
      </c>
      <c r="E73" s="30">
        <f>(4800000/'Baseline Statistics'!$C17)*E72</f>
        <v>0</v>
      </c>
      <c r="F73" s="30">
        <f>(4800000/'Baseline Statistics'!$C17)*F72</f>
        <v>0</v>
      </c>
      <c r="G73" s="30">
        <f>(4800000/'Baseline Statistics'!$C17)*G72</f>
        <v>0</v>
      </c>
      <c r="H73" s="30">
        <f>(4800000/'Baseline Statistics'!$C17)*H72</f>
        <v>0</v>
      </c>
      <c r="I73" s="31">
        <f>(4800000/'Baseline Statistics'!$C17)*I72</f>
        <v>0</v>
      </c>
      <c r="J73" t="s">
        <v>433</v>
      </c>
    </row>
    <row r="74" spans="1:14" ht="15.75" thickBot="1" x14ac:dyDescent="0.3">
      <c r="B74" s="263" t="s">
        <v>468</v>
      </c>
      <c r="C74" s="32">
        <f>C52+C73</f>
        <v>277</v>
      </c>
      <c r="D74" s="32">
        <f t="shared" ref="D74:H74" si="29">D52+D73</f>
        <v>4818.1553125</v>
      </c>
      <c r="E74" s="32">
        <f>E52+E73</f>
        <v>9772.2137500000008</v>
      </c>
      <c r="F74" s="32">
        <f t="shared" si="29"/>
        <v>15091.6525</v>
      </c>
      <c r="G74" s="32">
        <f t="shared" si="29"/>
        <v>20789.715625000001</v>
      </c>
      <c r="H74" s="32">
        <f t="shared" si="29"/>
        <v>26867.96125</v>
      </c>
      <c r="I74" s="33">
        <f>I52+I73</f>
        <v>33325.610312500001</v>
      </c>
      <c r="J74" t="s">
        <v>433</v>
      </c>
    </row>
    <row r="75" spans="1:14" ht="15.75" thickBot="1" x14ac:dyDescent="0.3"/>
    <row r="76" spans="1:14" x14ac:dyDescent="0.25">
      <c r="A76" s="209">
        <v>3</v>
      </c>
      <c r="B76" s="210"/>
      <c r="C76" s="575" t="s">
        <v>469</v>
      </c>
      <c r="D76" s="576"/>
      <c r="E76" s="576"/>
      <c r="F76" s="576"/>
      <c r="G76" s="576"/>
      <c r="H76" s="576"/>
      <c r="I76" s="577"/>
      <c r="N76" s="12"/>
    </row>
    <row r="77" spans="1:14" x14ac:dyDescent="0.25">
      <c r="B77" s="211" t="s">
        <v>33</v>
      </c>
      <c r="C77" s="212">
        <f>'Baseline Statistics'!C12</f>
        <v>2022</v>
      </c>
      <c r="D77" s="212">
        <f>'Baseline Statistics'!D12</f>
        <v>2025</v>
      </c>
      <c r="E77" s="212">
        <f>'Baseline Statistics'!E12</f>
        <v>2030</v>
      </c>
      <c r="F77" s="212">
        <f>'Baseline Statistics'!F12</f>
        <v>2035</v>
      </c>
      <c r="G77" s="212">
        <f>'Baseline Statistics'!G12</f>
        <v>2040</v>
      </c>
      <c r="H77" s="212">
        <f>'Baseline Statistics'!H12</f>
        <v>2045</v>
      </c>
      <c r="I77" s="213">
        <f>'Baseline Statistics'!I12</f>
        <v>2050</v>
      </c>
      <c r="N77" s="12"/>
    </row>
    <row r="78" spans="1:14" x14ac:dyDescent="0.25">
      <c r="B78" s="58" t="s">
        <v>34</v>
      </c>
      <c r="C78" s="64">
        <f>VLOOKUP($A76,$B79:$I82,COLUMN()-1,TRUE)</f>
        <v>0</v>
      </c>
      <c r="D78" s="64">
        <f t="shared" ref="D78:I78" si="30">VLOOKUP($A76,$B79:$I82,COLUMN()-1,TRUE)</f>
        <v>4.1666666666666664E-2</v>
      </c>
      <c r="E78" s="64">
        <f t="shared" si="30"/>
        <v>8.3333333333333329E-2</v>
      </c>
      <c r="F78" s="64">
        <f t="shared" si="30"/>
        <v>0.125</v>
      </c>
      <c r="G78" s="64">
        <f t="shared" si="30"/>
        <v>0.16666666666666666</v>
      </c>
      <c r="H78" s="64">
        <f t="shared" si="30"/>
        <v>0.20833333333333331</v>
      </c>
      <c r="I78" s="65">
        <f t="shared" si="30"/>
        <v>0.25</v>
      </c>
      <c r="J78" s="24" t="str">
        <f>VLOOKUP($A76,$B79:$J82,COLUMN()-1,TRUE)</f>
        <v xml:space="preserve"> Biofuel makes up 5% of all fuel sales by 2030, 25% by 2050</v>
      </c>
    </row>
    <row r="79" spans="1:14" x14ac:dyDescent="0.25">
      <c r="B79" s="214">
        <v>1</v>
      </c>
      <c r="C79" s="215">
        <v>0</v>
      </c>
      <c r="D79" s="216">
        <f t="shared" ref="D79:D82" si="31">C79+(($I79-$C79)/6)</f>
        <v>0</v>
      </c>
      <c r="E79" s="216">
        <f t="shared" ref="E79:E82" si="32">D79+(($I79-$C79)/6)</f>
        <v>0</v>
      </c>
      <c r="F79" s="216">
        <f t="shared" ref="F79:F82" si="33">E79+(($I79-$C79)/6)</f>
        <v>0</v>
      </c>
      <c r="G79" s="216">
        <f t="shared" ref="G79:G82" si="34">F79+(($I79-$C79)/6)</f>
        <v>0</v>
      </c>
      <c r="H79" s="216">
        <f t="shared" ref="H79:H82" si="35">G79+(($I79-$C79)/6)</f>
        <v>0</v>
      </c>
      <c r="I79" s="217">
        <v>0</v>
      </c>
      <c r="J79" t="s">
        <v>169</v>
      </c>
    </row>
    <row r="80" spans="1:14" x14ac:dyDescent="0.25">
      <c r="B80" s="214">
        <v>2</v>
      </c>
      <c r="C80" s="215">
        <v>0</v>
      </c>
      <c r="D80" s="216">
        <f t="shared" ref="D80" si="36">C80+(($I80-$C80)/6)</f>
        <v>2.4999999999999998E-2</v>
      </c>
      <c r="E80" s="216">
        <f t="shared" ref="E80" si="37">D80+(($I80-$C80)/6)</f>
        <v>4.9999999999999996E-2</v>
      </c>
      <c r="F80" s="216">
        <f t="shared" ref="F80" si="38">E80+(($I80-$C80)/6)</f>
        <v>7.4999999999999997E-2</v>
      </c>
      <c r="G80" s="216">
        <f t="shared" ref="G80" si="39">F80+(($I80-$C80)/6)</f>
        <v>9.9999999999999992E-2</v>
      </c>
      <c r="H80" s="216">
        <f t="shared" ref="H80" si="40">G80+(($I80-$C80)/6)</f>
        <v>0.12499999999999999</v>
      </c>
      <c r="I80" s="217">
        <v>0.15</v>
      </c>
      <c r="J80" t="s">
        <v>470</v>
      </c>
    </row>
    <row r="81" spans="2:10" x14ac:dyDescent="0.25">
      <c r="B81" s="214">
        <v>3</v>
      </c>
      <c r="C81" s="215">
        <v>0</v>
      </c>
      <c r="D81" s="216">
        <f t="shared" si="31"/>
        <v>4.1666666666666664E-2</v>
      </c>
      <c r="E81" s="216">
        <f t="shared" si="32"/>
        <v>8.3333333333333329E-2</v>
      </c>
      <c r="F81" s="216">
        <f t="shared" si="33"/>
        <v>0.125</v>
      </c>
      <c r="G81" s="216">
        <f t="shared" si="34"/>
        <v>0.16666666666666666</v>
      </c>
      <c r="H81" s="216">
        <f t="shared" si="35"/>
        <v>0.20833333333333331</v>
      </c>
      <c r="I81" s="217">
        <v>0.25</v>
      </c>
      <c r="J81" t="s">
        <v>855</v>
      </c>
    </row>
    <row r="82" spans="2:10" ht="15.75" thickBot="1" x14ac:dyDescent="0.3">
      <c r="B82" s="219">
        <v>4</v>
      </c>
      <c r="C82" s="220">
        <v>0</v>
      </c>
      <c r="D82" s="221">
        <f t="shared" si="31"/>
        <v>8.3333333333333329E-2</v>
      </c>
      <c r="E82" s="221">
        <f t="shared" si="32"/>
        <v>0.16666666666666666</v>
      </c>
      <c r="F82" s="221">
        <f t="shared" si="33"/>
        <v>0.25</v>
      </c>
      <c r="G82" s="221">
        <f t="shared" si="34"/>
        <v>0.33333333333333331</v>
      </c>
      <c r="H82" s="221">
        <f t="shared" si="35"/>
        <v>0.41666666666666663</v>
      </c>
      <c r="I82" s="222">
        <v>0.5</v>
      </c>
      <c r="J82" t="s">
        <v>854</v>
      </c>
    </row>
    <row r="83" spans="2:10" ht="15.75" thickBot="1" x14ac:dyDescent="0.3">
      <c r="B83" s="204"/>
      <c r="I83" s="205"/>
    </row>
    <row r="84" spans="2:10" x14ac:dyDescent="0.25">
      <c r="B84" s="29" t="s">
        <v>471</v>
      </c>
      <c r="C84" s="280">
        <f>'Baseline Statistics'!C12</f>
        <v>2022</v>
      </c>
      <c r="D84" s="280">
        <f>'Baseline Statistics'!D12</f>
        <v>2025</v>
      </c>
      <c r="E84" s="280">
        <f>'Baseline Statistics'!E12</f>
        <v>2030</v>
      </c>
      <c r="F84" s="280">
        <f>'Baseline Statistics'!F12</f>
        <v>2035</v>
      </c>
      <c r="G84" s="280">
        <f>'Baseline Statistics'!G12</f>
        <v>2040</v>
      </c>
      <c r="H84" s="280">
        <f>'Baseline Statistics'!H12</f>
        <v>2045</v>
      </c>
      <c r="I84" s="281">
        <f>'Baseline Statistics'!I12</f>
        <v>2050</v>
      </c>
    </row>
    <row r="85" spans="2:10" x14ac:dyDescent="0.25">
      <c r="B85" s="316" t="s">
        <v>248</v>
      </c>
      <c r="C85" s="327">
        <f>'3. Transport'!C261</f>
        <v>36790440.061202846</v>
      </c>
      <c r="D85" s="327">
        <f>'3. Transport'!D261</f>
        <v>30291851.498692468</v>
      </c>
      <c r="E85" s="327">
        <f>'3. Transport'!E261</f>
        <v>24604089.563922942</v>
      </c>
      <c r="F85" s="327">
        <f>'3. Transport'!F261</f>
        <v>18402282.969150677</v>
      </c>
      <c r="G85" s="327">
        <f>'3. Transport'!G261</f>
        <v>12108762.501417613</v>
      </c>
      <c r="H85" s="327">
        <f>'3. Transport'!H261</f>
        <v>5915169.6544338511</v>
      </c>
      <c r="I85" s="328">
        <f>'3. Transport'!I261</f>
        <v>0</v>
      </c>
    </row>
    <row r="86" spans="2:10" x14ac:dyDescent="0.25">
      <c r="B86" s="316" t="s">
        <v>249</v>
      </c>
      <c r="C86" s="327">
        <f>'3. Transport'!C262</f>
        <v>8353453.6432471676</v>
      </c>
      <c r="D86" s="327">
        <f>'3. Transport'!D262</f>
        <v>6877916.5685843043</v>
      </c>
      <c r="E86" s="327">
        <f>'3. Transport'!E262</f>
        <v>5586481.7399472017</v>
      </c>
      <c r="F86" s="327">
        <f>'3. Transport'!F262</f>
        <v>4178330.4971887073</v>
      </c>
      <c r="G86" s="327">
        <f>'3. Transport'!G262</f>
        <v>2749355.160319183</v>
      </c>
      <c r="H86" s="327">
        <f>'3. Transport'!H262</f>
        <v>1343068.8901262367</v>
      </c>
      <c r="I86" s="328">
        <f>'3. Transport'!I262</f>
        <v>0</v>
      </c>
    </row>
    <row r="87" spans="2:10" x14ac:dyDescent="0.25">
      <c r="B87" s="316" t="s">
        <v>250</v>
      </c>
      <c r="C87" s="327">
        <f>'3. Transport'!C263</f>
        <v>3404243.6177032739</v>
      </c>
      <c r="D87" s="327">
        <f>'3. Transport'!D263</f>
        <v>3259012.4974189578</v>
      </c>
      <c r="E87" s="327">
        <f>'3. Transport'!E263</f>
        <v>3189927.8377591586</v>
      </c>
      <c r="F87" s="327">
        <f>'3. Transport'!F263</f>
        <v>3047285.8238789109</v>
      </c>
      <c r="G87" s="327">
        <f>'3. Transport'!G263</f>
        <v>2857387.1315481924</v>
      </c>
      <c r="H87" s="327">
        <f>'3. Transport'!H263</f>
        <v>2623150.326350553</v>
      </c>
      <c r="I87" s="328">
        <f>'3. Transport'!I263</f>
        <v>2599739.9079596126</v>
      </c>
    </row>
    <row r="88" spans="2:10" x14ac:dyDescent="0.25">
      <c r="B88" s="316" t="s">
        <v>251</v>
      </c>
      <c r="C88" s="327">
        <f>'3. Transport'!C264</f>
        <v>18536711.417872287</v>
      </c>
      <c r="D88" s="327">
        <f>'3. Transport'!D264</f>
        <v>18050046.942480706</v>
      </c>
      <c r="E88" s="327">
        <f>'3. Transport'!E264</f>
        <v>17663438.272872973</v>
      </c>
      <c r="F88" s="327">
        <f>'3. Transport'!F264</f>
        <v>16757616.820153868</v>
      </c>
      <c r="G88" s="327">
        <f>'3. Transport'!G264</f>
        <v>15716456.432427382</v>
      </c>
      <c r="H88" s="327">
        <f>'3. Transport'!H264</f>
        <v>14461259.250343138</v>
      </c>
      <c r="I88" s="328">
        <f>'3. Transport'!I264</f>
        <v>13092781.25692798</v>
      </c>
    </row>
    <row r="89" spans="2:10" x14ac:dyDescent="0.25">
      <c r="B89" s="316" t="s">
        <v>305</v>
      </c>
      <c r="C89" s="327">
        <f>'3. Transport'!C265</f>
        <v>875123.71500684612</v>
      </c>
      <c r="D89" s="327">
        <f>'3. Transport'!D265</f>
        <v>792998.4691602214</v>
      </c>
      <c r="E89" s="327">
        <f>'3. Transport'!E265</f>
        <v>710067.78246752813</v>
      </c>
      <c r="F89" s="327">
        <f>'3. Transport'!F265</f>
        <v>586774.78218264144</v>
      </c>
      <c r="G89" s="327">
        <f>'3. Transport'!G265</f>
        <v>427784.52370618534</v>
      </c>
      <c r="H89" s="327">
        <f>'3. Transport'!H265</f>
        <v>232345.42031935343</v>
      </c>
      <c r="I89" s="328">
        <f>'3. Transport'!I265</f>
        <v>0</v>
      </c>
    </row>
    <row r="90" spans="2:10" x14ac:dyDescent="0.25">
      <c r="B90" s="316" t="s">
        <v>210</v>
      </c>
      <c r="C90" s="327">
        <f>'3. Transport'!C266</f>
        <v>603881.656249461</v>
      </c>
      <c r="D90" s="327">
        <f>'3. Transport'!D266</f>
        <v>628059.08704135893</v>
      </c>
      <c r="E90" s="327">
        <f>'3. Transport'!E266</f>
        <v>651970.84760549874</v>
      </c>
      <c r="F90" s="327">
        <f>'3. Transport'!F266</f>
        <v>652709.1851742079</v>
      </c>
      <c r="G90" s="327">
        <f>'3. Transport'!G266</f>
        <v>643661.90123722458</v>
      </c>
      <c r="H90" s="327">
        <f>'3. Transport'!H266</f>
        <v>621719.67818149668</v>
      </c>
      <c r="I90" s="328">
        <f>'3. Transport'!I266</f>
        <v>680598.44562561042</v>
      </c>
    </row>
    <row r="91" spans="2:10" x14ac:dyDescent="0.25">
      <c r="B91" s="316" t="str">
        <f>'3. Transport'!B271</f>
        <v>Off-road diesel</v>
      </c>
      <c r="C91" s="327">
        <f>'3. Transport'!C271</f>
        <v>5648525.7968623694</v>
      </c>
      <c r="D91" s="327">
        <f>'3. Transport'!D271</f>
        <v>5315250.5340658417</v>
      </c>
      <c r="E91" s="327">
        <f>'3. Transport'!E271</f>
        <v>4983577.4925315361</v>
      </c>
      <c r="F91" s="327">
        <f>'3. Transport'!F271</f>
        <v>4661424.8908140333</v>
      </c>
      <c r="G91" s="327">
        <f>'3. Transport'!G271</f>
        <v>4347521.0228265831</v>
      </c>
      <c r="H91" s="327">
        <f>'3. Transport'!H271</f>
        <v>4041920.3711370323</v>
      </c>
      <c r="I91" s="328">
        <f>'3. Transport'!I271</f>
        <v>3718692.1014209054</v>
      </c>
    </row>
    <row r="92" spans="2:10" ht="15.75" thickBot="1" x14ac:dyDescent="0.3">
      <c r="B92" s="330" t="str">
        <f>'3. Transport'!B272</f>
        <v>Off-road petrol</v>
      </c>
      <c r="C92" s="349">
        <f>'3. Transport'!C272</f>
        <v>533194.78349569347</v>
      </c>
      <c r="D92" s="349">
        <f>'3. Transport'!D272</f>
        <v>501735.13579611608</v>
      </c>
      <c r="E92" s="349">
        <f>'3. Transport'!E272</f>
        <v>470426.73039404169</v>
      </c>
      <c r="F92" s="349">
        <f>'3. Transport'!F272</f>
        <v>440017.0106011795</v>
      </c>
      <c r="G92" s="349">
        <f>'3. Transport'!G272</f>
        <v>410385.93322821253</v>
      </c>
      <c r="H92" s="349">
        <f>'3. Transport'!H272</f>
        <v>381538.64117826463</v>
      </c>
      <c r="I92" s="350">
        <f>'3. Transport'!I272</f>
        <v>351027.38328745164</v>
      </c>
    </row>
    <row r="93" spans="2:10" ht="15.75" thickBot="1" x14ac:dyDescent="0.3">
      <c r="B93" s="204"/>
      <c r="I93" s="205"/>
    </row>
    <row r="94" spans="2:10" x14ac:dyDescent="0.25">
      <c r="B94" s="29" t="s">
        <v>472</v>
      </c>
      <c r="C94" s="280">
        <f>'Baseline Statistics'!C12</f>
        <v>2022</v>
      </c>
      <c r="D94" s="280">
        <f>'Baseline Statistics'!D12</f>
        <v>2025</v>
      </c>
      <c r="E94" s="280">
        <f>'Baseline Statistics'!E12</f>
        <v>2030</v>
      </c>
      <c r="F94" s="280">
        <f>'Baseline Statistics'!F12</f>
        <v>2035</v>
      </c>
      <c r="G94" s="280">
        <f>'Baseline Statistics'!G12</f>
        <v>2040</v>
      </c>
      <c r="H94" s="280">
        <f>'Baseline Statistics'!H12</f>
        <v>2045</v>
      </c>
      <c r="I94" s="281">
        <f>'Baseline Statistics'!I12</f>
        <v>2050</v>
      </c>
    </row>
    <row r="95" spans="2:10" x14ac:dyDescent="0.25">
      <c r="B95" s="299" t="s">
        <v>248</v>
      </c>
      <c r="C95" s="300">
        <f>C85*(1-C$78)</f>
        <v>36790440.061202846</v>
      </c>
      <c r="D95" s="300">
        <f t="shared" ref="D95:I95" si="41">D85*(1-D$78)</f>
        <v>29029691.019580282</v>
      </c>
      <c r="E95" s="300">
        <f t="shared" si="41"/>
        <v>22553748.766929362</v>
      </c>
      <c r="F95" s="300">
        <f>F85*(1-F$78)</f>
        <v>16101997.598006843</v>
      </c>
      <c r="G95" s="300">
        <f t="shared" si="41"/>
        <v>10090635.417848011</v>
      </c>
      <c r="H95" s="300">
        <f t="shared" si="41"/>
        <v>4682842.6430934658</v>
      </c>
      <c r="I95" s="336">
        <f t="shared" si="41"/>
        <v>0</v>
      </c>
    </row>
    <row r="96" spans="2:10" x14ac:dyDescent="0.25">
      <c r="B96" s="299" t="s">
        <v>249</v>
      </c>
      <c r="C96" s="300">
        <f t="shared" ref="C96:I96" si="42">C86*(1-C$78)</f>
        <v>8353453.6432471676</v>
      </c>
      <c r="D96" s="300">
        <f t="shared" si="42"/>
        <v>6591336.7115599588</v>
      </c>
      <c r="E96" s="300">
        <f t="shared" si="42"/>
        <v>5120941.5949516017</v>
      </c>
      <c r="F96" s="300">
        <f>F86*(1-F$78)</f>
        <v>3656039.1850401191</v>
      </c>
      <c r="G96" s="300">
        <f t="shared" si="42"/>
        <v>2291129.300265986</v>
      </c>
      <c r="H96" s="300">
        <f t="shared" si="42"/>
        <v>1063262.8713499375</v>
      </c>
      <c r="I96" s="336">
        <f t="shared" si="42"/>
        <v>0</v>
      </c>
    </row>
    <row r="97" spans="2:10" x14ac:dyDescent="0.25">
      <c r="B97" s="299" t="s">
        <v>250</v>
      </c>
      <c r="C97" s="300">
        <f t="shared" ref="C97:I97" si="43">C87*(1-C$78)</f>
        <v>3404243.6177032739</v>
      </c>
      <c r="D97" s="300">
        <f t="shared" si="43"/>
        <v>3123220.3100265013</v>
      </c>
      <c r="E97" s="300">
        <f t="shared" si="43"/>
        <v>2924100.5179458954</v>
      </c>
      <c r="F97" s="300">
        <f t="shared" si="43"/>
        <v>2666375.0958940471</v>
      </c>
      <c r="G97" s="300">
        <f t="shared" si="43"/>
        <v>2381155.9429568271</v>
      </c>
      <c r="H97" s="300">
        <f t="shared" si="43"/>
        <v>2076660.6750275213</v>
      </c>
      <c r="I97" s="336">
        <f t="shared" si="43"/>
        <v>1949804.9309697095</v>
      </c>
    </row>
    <row r="98" spans="2:10" x14ac:dyDescent="0.25">
      <c r="B98" s="299" t="s">
        <v>251</v>
      </c>
      <c r="C98" s="300">
        <f t="shared" ref="C98:I98" si="44">C88*(1-C$78)</f>
        <v>18536711.417872287</v>
      </c>
      <c r="D98" s="300">
        <f t="shared" si="44"/>
        <v>17297961.653210677</v>
      </c>
      <c r="E98" s="300">
        <f t="shared" si="44"/>
        <v>16191485.083466891</v>
      </c>
      <c r="F98" s="300">
        <f t="shared" si="44"/>
        <v>14662914.717634635</v>
      </c>
      <c r="G98" s="300">
        <f t="shared" si="44"/>
        <v>13097047.027022818</v>
      </c>
      <c r="H98" s="300">
        <f t="shared" si="44"/>
        <v>11448496.906521652</v>
      </c>
      <c r="I98" s="336">
        <f t="shared" si="44"/>
        <v>9819585.9426959846</v>
      </c>
    </row>
    <row r="99" spans="2:10" x14ac:dyDescent="0.25">
      <c r="B99" s="299" t="s">
        <v>305</v>
      </c>
      <c r="C99" s="300">
        <f t="shared" ref="C99:I99" si="45">C89*(1-C$78)</f>
        <v>875123.71500684612</v>
      </c>
      <c r="D99" s="300">
        <f t="shared" si="45"/>
        <v>759956.86627854558</v>
      </c>
      <c r="E99" s="300">
        <f t="shared" si="45"/>
        <v>650895.46726190078</v>
      </c>
      <c r="F99" s="300">
        <f t="shared" si="45"/>
        <v>513427.93440981128</v>
      </c>
      <c r="G99" s="300">
        <f t="shared" si="45"/>
        <v>356487.10308848781</v>
      </c>
      <c r="H99" s="300">
        <f t="shared" si="45"/>
        <v>183940.12441948816</v>
      </c>
      <c r="I99" s="336">
        <f t="shared" si="45"/>
        <v>0</v>
      </c>
    </row>
    <row r="100" spans="2:10" x14ac:dyDescent="0.25">
      <c r="B100" s="299" t="s">
        <v>210</v>
      </c>
      <c r="C100" s="300">
        <f t="shared" ref="C100" si="46">C90*(1-C$78)</f>
        <v>603881.656249461</v>
      </c>
      <c r="D100" s="300">
        <f>D90*(1-D$78)</f>
        <v>601889.95841463562</v>
      </c>
      <c r="E100" s="300">
        <f t="shared" ref="E100:I100" si="47">E90*(1-E$78)</f>
        <v>597639.94363837386</v>
      </c>
      <c r="F100" s="300">
        <f t="shared" si="47"/>
        <v>571120.53702743188</v>
      </c>
      <c r="G100" s="300">
        <f t="shared" si="47"/>
        <v>536384.91769768717</v>
      </c>
      <c r="H100" s="300">
        <f t="shared" si="47"/>
        <v>492194.74522701825</v>
      </c>
      <c r="I100" s="336">
        <f t="shared" si="47"/>
        <v>510448.83421920781</v>
      </c>
    </row>
    <row r="101" spans="2:10" x14ac:dyDescent="0.25">
      <c r="B101" s="299" t="s">
        <v>473</v>
      </c>
      <c r="C101" s="300">
        <f t="shared" ref="C101:I101" si="48">C91*(1-C$78)</f>
        <v>5648525.7968623694</v>
      </c>
      <c r="D101" s="300">
        <f t="shared" si="48"/>
        <v>5093781.7618130986</v>
      </c>
      <c r="E101" s="300">
        <f t="shared" si="48"/>
        <v>4568279.3681539083</v>
      </c>
      <c r="F101" s="300">
        <f t="shared" si="48"/>
        <v>4078746.7794622793</v>
      </c>
      <c r="G101" s="300">
        <f t="shared" si="48"/>
        <v>3622934.1856888193</v>
      </c>
      <c r="H101" s="300">
        <f t="shared" si="48"/>
        <v>3199853.6271501509</v>
      </c>
      <c r="I101" s="336">
        <f t="shared" si="48"/>
        <v>2789019.0760656791</v>
      </c>
    </row>
    <row r="102" spans="2:10" x14ac:dyDescent="0.25">
      <c r="B102" s="299" t="s">
        <v>474</v>
      </c>
      <c r="C102" s="300">
        <f t="shared" ref="C102:I102" si="49">C92*(1-C$78)</f>
        <v>533194.78349569347</v>
      </c>
      <c r="D102" s="300">
        <f t="shared" si="49"/>
        <v>480829.50513794459</v>
      </c>
      <c r="E102" s="300">
        <f t="shared" si="49"/>
        <v>431224.50286120485</v>
      </c>
      <c r="F102" s="300">
        <f t="shared" si="49"/>
        <v>385014.88427603204</v>
      </c>
      <c r="G102" s="300">
        <f t="shared" si="49"/>
        <v>341988.27769017714</v>
      </c>
      <c r="H102" s="300">
        <f t="shared" si="49"/>
        <v>302051.42426612618</v>
      </c>
      <c r="I102" s="336">
        <f t="shared" si="49"/>
        <v>263270.53746558871</v>
      </c>
    </row>
    <row r="103" spans="2:10" x14ac:dyDescent="0.25">
      <c r="B103" s="299" t="s">
        <v>73</v>
      </c>
      <c r="C103" s="290">
        <f t="shared" ref="C103:H103" si="50">(C85+C87+C92)-(C95+C97+C102)</f>
        <v>0</v>
      </c>
      <c r="D103" s="290">
        <f t="shared" si="50"/>
        <v>1418858.2971628159</v>
      </c>
      <c r="E103" s="290">
        <f t="shared" si="50"/>
        <v>2355370.3443396799</v>
      </c>
      <c r="F103" s="290">
        <f>(F85+F87+F92)-(F95+F97+F102)</f>
        <v>2736198.2254538424</v>
      </c>
      <c r="G103" s="290">
        <f t="shared" si="50"/>
        <v>2562755.9276990015</v>
      </c>
      <c r="H103" s="290">
        <f t="shared" si="50"/>
        <v>1858303.8795755571</v>
      </c>
      <c r="I103" s="291">
        <f>(I85+I87+I92)-(I95+I97+I102)</f>
        <v>737691.82281176606</v>
      </c>
    </row>
    <row r="104" spans="2:10" ht="15.75" thickBot="1" x14ac:dyDescent="0.3">
      <c r="B104" s="302" t="s">
        <v>74</v>
      </c>
      <c r="C104" s="292">
        <f t="shared" ref="C104:H104" si="51">(C86+C88+C89+C90+C91)-(C96+C98+C99+C100+C101)</f>
        <v>0</v>
      </c>
      <c r="D104" s="292">
        <f t="shared" si="51"/>
        <v>1319344.6500555202</v>
      </c>
      <c r="E104" s="292">
        <f t="shared" si="51"/>
        <v>2466294.6779520661</v>
      </c>
      <c r="F104" s="292">
        <f>(F86+F88+F89+F90+F91)-(F96+F98+F99+F100+F101)</f>
        <v>3354607.0219391808</v>
      </c>
      <c r="G104" s="292">
        <f t="shared" si="51"/>
        <v>3980796.5067527592</v>
      </c>
      <c r="H104" s="292">
        <f t="shared" si="51"/>
        <v>4312565.3354390115</v>
      </c>
      <c r="I104" s="293">
        <f>(I86+I88+I89+I90+I91)-(I96+I98+I99+I100+I101)</f>
        <v>4373017.9509936236</v>
      </c>
    </row>
    <row r="105" spans="2:10" ht="15.75" thickBot="1" x14ac:dyDescent="0.3">
      <c r="B105" s="204"/>
      <c r="I105" s="205"/>
    </row>
    <row r="106" spans="2:10" x14ac:dyDescent="0.25">
      <c r="B106" s="597" t="s">
        <v>310</v>
      </c>
      <c r="C106" s="631">
        <f>'Baseline Statistics'!C12</f>
        <v>2022</v>
      </c>
      <c r="D106" s="615">
        <v>2023</v>
      </c>
      <c r="E106" s="615">
        <v>2028</v>
      </c>
      <c r="F106" s="634">
        <f>'Baseline Statistics'!F12</f>
        <v>2035</v>
      </c>
      <c r="G106" s="634">
        <f>'Baseline Statistics'!G12</f>
        <v>2040</v>
      </c>
      <c r="H106" s="634">
        <f>'Baseline Statistics'!H12</f>
        <v>2045</v>
      </c>
      <c r="I106" s="637">
        <f>'Baseline Statistics'!I12</f>
        <v>2050</v>
      </c>
    </row>
    <row r="107" spans="2:10" x14ac:dyDescent="0.25">
      <c r="B107" s="598"/>
      <c r="C107" s="632"/>
      <c r="D107" s="579"/>
      <c r="E107" s="579"/>
      <c r="F107" s="635"/>
      <c r="G107" s="635"/>
      <c r="H107" s="635"/>
      <c r="I107" s="638"/>
    </row>
    <row r="108" spans="2:10" x14ac:dyDescent="0.25">
      <c r="B108" s="598"/>
      <c r="C108" s="633"/>
      <c r="D108" s="579"/>
      <c r="E108" s="579"/>
      <c r="F108" s="636"/>
      <c r="G108" s="636"/>
      <c r="H108" s="636"/>
      <c r="I108" s="639"/>
    </row>
    <row r="109" spans="2:10" x14ac:dyDescent="0.25">
      <c r="B109" s="234" t="s">
        <v>68</v>
      </c>
      <c r="C109" s="290">
        <f>SUM(C95,C97,C102)</f>
        <v>40727878.462401815</v>
      </c>
      <c r="D109" s="290">
        <f t="shared" ref="D109:I109" si="52">SUM(D95,D97,D102)</f>
        <v>32633740.834744729</v>
      </c>
      <c r="E109" s="290">
        <f t="shared" si="52"/>
        <v>25909073.787736464</v>
      </c>
      <c r="F109" s="290">
        <f t="shared" si="52"/>
        <v>19153387.578176923</v>
      </c>
      <c r="G109" s="290">
        <f t="shared" si="52"/>
        <v>12813779.638495017</v>
      </c>
      <c r="H109" s="290">
        <f t="shared" si="52"/>
        <v>7061554.7423871132</v>
      </c>
      <c r="I109" s="291">
        <f t="shared" si="52"/>
        <v>2213075.4684352982</v>
      </c>
      <c r="J109" t="s">
        <v>122</v>
      </c>
    </row>
    <row r="110" spans="2:10" x14ac:dyDescent="0.25">
      <c r="B110" s="234" t="s">
        <v>69</v>
      </c>
      <c r="C110" s="290">
        <f>SUM(C96,C98:C101)</f>
        <v>34017696.22923813</v>
      </c>
      <c r="D110" s="290">
        <f t="shared" ref="D110:I110" si="53">SUM(D96,D98:D101)</f>
        <v>30344926.951276913</v>
      </c>
      <c r="E110" s="290">
        <f t="shared" si="53"/>
        <v>27129241.457472675</v>
      </c>
      <c r="F110" s="290">
        <f t="shared" si="53"/>
        <v>23482249.153574277</v>
      </c>
      <c r="G110" s="290">
        <f t="shared" si="53"/>
        <v>19903982.533763796</v>
      </c>
      <c r="H110" s="290">
        <f t="shared" si="53"/>
        <v>16387748.274668247</v>
      </c>
      <c r="I110" s="291">
        <f t="shared" si="53"/>
        <v>13119053.852980871</v>
      </c>
      <c r="J110" t="s">
        <v>122</v>
      </c>
    </row>
    <row r="111" spans="2:10" x14ac:dyDescent="0.25">
      <c r="B111" s="234" t="s">
        <v>70</v>
      </c>
      <c r="C111" s="290">
        <f>'3. Transport'!C268</f>
        <v>4350044.3909544628</v>
      </c>
      <c r="D111" s="290">
        <f>'3. Transport'!D268</f>
        <v>5056610.5216258653</v>
      </c>
      <c r="E111" s="290">
        <f>'3. Transport'!E268</f>
        <v>6033369.5345101226</v>
      </c>
      <c r="F111" s="290">
        <f>'3. Transport'!F268</f>
        <v>6908616.3540641926</v>
      </c>
      <c r="G111" s="290">
        <f>'3. Transport'!G268</f>
        <v>7923939.9708424956</v>
      </c>
      <c r="H111" s="290">
        <f>'3. Transport'!H268</f>
        <v>9030084.3908048868</v>
      </c>
      <c r="I111" s="291">
        <f>'3. Transport'!I268</f>
        <v>10372528.647041941</v>
      </c>
      <c r="J111" t="s">
        <v>122</v>
      </c>
    </row>
    <row r="112" spans="2:10" x14ac:dyDescent="0.25">
      <c r="B112" s="234" t="s">
        <v>127</v>
      </c>
      <c r="C112" s="290">
        <f>'3. Transport'!C269</f>
        <v>578623.93901467754</v>
      </c>
      <c r="D112" s="290">
        <f>'3. Transport'!D269</f>
        <v>585595.30803308089</v>
      </c>
      <c r="E112" s="290">
        <f>'3. Transport'!E269</f>
        <v>602316.18200659996</v>
      </c>
      <c r="F112" s="290">
        <f>'3. Transport'!F269</f>
        <v>613522.69987819425</v>
      </c>
      <c r="G112" s="290">
        <f>'3. Transport'!G269</f>
        <v>623971.62899082957</v>
      </c>
      <c r="H112" s="290">
        <f>'3. Transport'!H269</f>
        <v>633662.96934450616</v>
      </c>
      <c r="I112" s="291">
        <f>'3. Transport'!I269</f>
        <v>642596.72093922365</v>
      </c>
      <c r="J112" t="s">
        <v>122</v>
      </c>
    </row>
    <row r="113" spans="2:10" x14ac:dyDescent="0.25">
      <c r="B113" s="234" t="s">
        <v>72</v>
      </c>
      <c r="C113" s="290">
        <f>'3. Transport'!C270</f>
        <v>538033.26885880088</v>
      </c>
      <c r="D113" s="290">
        <f>'3. Transport'!D270</f>
        <v>561905.24452888709</v>
      </c>
      <c r="E113" s="290">
        <f>'3. Transport'!E270</f>
        <v>604993.35348901968</v>
      </c>
      <c r="F113" s="290">
        <f>'3. Transport'!F270</f>
        <v>642155.82552805927</v>
      </c>
      <c r="G113" s="290">
        <f>'3. Transport'!G270</f>
        <v>677405.69334715675</v>
      </c>
      <c r="H113" s="290">
        <f>'3. Transport'!H270</f>
        <v>710714.02299426123</v>
      </c>
      <c r="I113" s="291">
        <f>'3. Transport'!I270</f>
        <v>821766.42916400603</v>
      </c>
      <c r="J113" t="s">
        <v>122</v>
      </c>
    </row>
    <row r="114" spans="2:10" x14ac:dyDescent="0.25">
      <c r="B114" s="234" t="s">
        <v>73</v>
      </c>
      <c r="C114" s="290">
        <f>C103</f>
        <v>0</v>
      </c>
      <c r="D114" s="290">
        <f t="shared" ref="D114:I115" si="54">D103</f>
        <v>1418858.2971628159</v>
      </c>
      <c r="E114" s="290">
        <f t="shared" si="54"/>
        <v>2355370.3443396799</v>
      </c>
      <c r="F114" s="290">
        <f t="shared" si="54"/>
        <v>2736198.2254538424</v>
      </c>
      <c r="G114" s="290">
        <f t="shared" si="54"/>
        <v>2562755.9276990015</v>
      </c>
      <c r="H114" s="290">
        <f t="shared" si="54"/>
        <v>1858303.8795755571</v>
      </c>
      <c r="I114" s="291">
        <f t="shared" si="54"/>
        <v>737691.82281176606</v>
      </c>
      <c r="J114" t="s">
        <v>122</v>
      </c>
    </row>
    <row r="115" spans="2:10" ht="15.75" thickBot="1" x14ac:dyDescent="0.3">
      <c r="B115" s="263" t="s">
        <v>74</v>
      </c>
      <c r="C115" s="292">
        <f>C104</f>
        <v>0</v>
      </c>
      <c r="D115" s="292">
        <f t="shared" si="54"/>
        <v>1319344.6500555202</v>
      </c>
      <c r="E115" s="292">
        <f t="shared" si="54"/>
        <v>2466294.6779520661</v>
      </c>
      <c r="F115" s="292">
        <f t="shared" si="54"/>
        <v>3354607.0219391808</v>
      </c>
      <c r="G115" s="292">
        <f t="shared" si="54"/>
        <v>3980796.5067527592</v>
      </c>
      <c r="H115" s="292">
        <f t="shared" si="54"/>
        <v>4312565.3354390115</v>
      </c>
      <c r="I115" s="293">
        <f t="shared" si="54"/>
        <v>4373017.9509936236</v>
      </c>
      <c r="J115" t="s">
        <v>122</v>
      </c>
    </row>
  </sheetData>
  <protectedRanges>
    <protectedRange sqref="A40:A41 A7:A38 A43:A1048576" name="Range1"/>
    <protectedRange sqref="A1:A5" name="Range1_1_1"/>
    <protectedRange sqref="A6" name="Range1_1"/>
  </protectedRanges>
  <mergeCells count="12">
    <mergeCell ref="C8:I8"/>
    <mergeCell ref="B106:B108"/>
    <mergeCell ref="D106:D108"/>
    <mergeCell ref="E106:E108"/>
    <mergeCell ref="C76:I76"/>
    <mergeCell ref="C55:I55"/>
    <mergeCell ref="C32:I32"/>
    <mergeCell ref="C106:C108"/>
    <mergeCell ref="F106:F108"/>
    <mergeCell ref="G106:G108"/>
    <mergeCell ref="H106:H108"/>
    <mergeCell ref="I106:I108"/>
  </mergeCells>
  <phoneticPr fontId="19"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82F9A-5C7C-478A-917C-E298718B1C0A}">
  <sheetPr codeName="Sheet14">
    <tabColor theme="8" tint="0.39997558519241921"/>
  </sheetPr>
  <dimension ref="A1:Q186"/>
  <sheetViews>
    <sheetView showGridLines="0" zoomScale="80" zoomScaleNormal="80" workbookViewId="0">
      <selection activeCell="L41" sqref="L41"/>
    </sheetView>
  </sheetViews>
  <sheetFormatPr defaultRowHeight="15" x14ac:dyDescent="0.25"/>
  <cols>
    <col min="2" max="2" width="28.85546875" bestFit="1" customWidth="1"/>
    <col min="3" max="3" width="12" bestFit="1" customWidth="1"/>
    <col min="4" max="9" width="12" customWidth="1"/>
    <col min="10" max="10" width="13.140625" bestFit="1" customWidth="1"/>
    <col min="11" max="12" width="45.5703125" customWidth="1"/>
    <col min="14" max="14" width="18.28515625" bestFit="1" customWidth="1"/>
    <col min="16" max="16" width="10.7109375" customWidth="1"/>
  </cols>
  <sheetData>
    <row r="1" spans="1:12" ht="23.25" x14ac:dyDescent="0.35">
      <c r="A1" s="35" t="s">
        <v>44</v>
      </c>
      <c r="F1" s="477"/>
    </row>
    <row r="2" spans="1:12" ht="23.25" x14ac:dyDescent="0.35">
      <c r="A2" s="35" t="s">
        <v>973</v>
      </c>
      <c r="F2" s="477"/>
    </row>
    <row r="4" spans="1:12" x14ac:dyDescent="0.25">
      <c r="A4" s="4" t="s">
        <v>878</v>
      </c>
      <c r="B4" s="1"/>
    </row>
    <row r="5" spans="1:12" x14ac:dyDescent="0.25">
      <c r="A5" s="39" t="s">
        <v>968</v>
      </c>
      <c r="J5" s="55"/>
    </row>
    <row r="6" spans="1:12" x14ac:dyDescent="0.25">
      <c r="A6" s="39" t="s">
        <v>970</v>
      </c>
      <c r="J6" s="55"/>
    </row>
    <row r="7" spans="1:12" x14ac:dyDescent="0.25">
      <c r="A7" s="39" t="s">
        <v>971</v>
      </c>
    </row>
    <row r="8" spans="1:12" x14ac:dyDescent="0.25">
      <c r="A8" s="39" t="s">
        <v>969</v>
      </c>
    </row>
    <row r="10" spans="1:12" x14ac:dyDescent="0.25">
      <c r="A10" s="4" t="s">
        <v>972</v>
      </c>
    </row>
    <row r="11" spans="1:12" ht="14.65" customHeight="1" x14ac:dyDescent="0.25">
      <c r="B11" s="190" t="s">
        <v>661</v>
      </c>
      <c r="C11" s="192">
        <f>'Baseline Statistics'!C12</f>
        <v>2022</v>
      </c>
      <c r="D11" s="192">
        <f>'Baseline Statistics'!D12</f>
        <v>2025</v>
      </c>
      <c r="E11" s="192">
        <f>'Baseline Statistics'!E12</f>
        <v>2030</v>
      </c>
      <c r="F11" s="192">
        <f>'Baseline Statistics'!F12</f>
        <v>2035</v>
      </c>
      <c r="G11" s="192">
        <f>'Baseline Statistics'!G12</f>
        <v>2040</v>
      </c>
      <c r="H11" s="192">
        <f>'Baseline Statistics'!H12</f>
        <v>2045</v>
      </c>
      <c r="I11" s="192">
        <f>'Baseline Statistics'!I12</f>
        <v>2050</v>
      </c>
      <c r="J11" s="189" t="s">
        <v>662</v>
      </c>
      <c r="K11" s="189" t="s">
        <v>335</v>
      </c>
      <c r="L11" s="189" t="s">
        <v>153</v>
      </c>
    </row>
    <row r="12" spans="1:12" x14ac:dyDescent="0.25">
      <c r="B12" s="191" t="s">
        <v>631</v>
      </c>
      <c r="C12" s="460">
        <v>0</v>
      </c>
      <c r="D12" s="460">
        <v>0</v>
      </c>
      <c r="E12" s="460">
        <v>0</v>
      </c>
      <c r="F12" s="460">
        <v>0</v>
      </c>
      <c r="G12" s="460">
        <v>0</v>
      </c>
      <c r="H12" s="460">
        <v>0</v>
      </c>
      <c r="I12" s="460">
        <v>0</v>
      </c>
      <c r="J12" s="167" t="s">
        <v>433</v>
      </c>
      <c r="K12" s="167" t="s">
        <v>961</v>
      </c>
      <c r="L12" s="167" t="s">
        <v>962</v>
      </c>
    </row>
    <row r="13" spans="1:12" x14ac:dyDescent="0.25">
      <c r="B13" s="191" t="s">
        <v>632</v>
      </c>
      <c r="C13" s="460">
        <v>70</v>
      </c>
      <c r="D13" s="460">
        <v>70</v>
      </c>
      <c r="E13" s="460">
        <v>70</v>
      </c>
      <c r="F13" s="460">
        <v>70</v>
      </c>
      <c r="G13" s="460">
        <v>70</v>
      </c>
      <c r="H13" s="460">
        <v>70</v>
      </c>
      <c r="I13" s="460">
        <v>70</v>
      </c>
      <c r="J13" s="167" t="s">
        <v>433</v>
      </c>
      <c r="K13" s="167" t="s">
        <v>963</v>
      </c>
      <c r="L13" s="167"/>
    </row>
    <row r="14" spans="1:12" x14ac:dyDescent="0.25">
      <c r="B14" s="191" t="s">
        <v>633</v>
      </c>
      <c r="C14" s="460">
        <v>0</v>
      </c>
      <c r="D14" s="460">
        <v>0</v>
      </c>
      <c r="E14" s="460">
        <v>0</v>
      </c>
      <c r="F14" s="460">
        <v>0</v>
      </c>
      <c r="G14" s="460">
        <v>0</v>
      </c>
      <c r="H14" s="460">
        <v>0</v>
      </c>
      <c r="I14" s="460">
        <v>0</v>
      </c>
      <c r="J14" s="167" t="s">
        <v>433</v>
      </c>
      <c r="K14" s="167" t="s">
        <v>961</v>
      </c>
      <c r="L14" s="167" t="s">
        <v>964</v>
      </c>
    </row>
    <row r="15" spans="1:12" x14ac:dyDescent="0.25">
      <c r="B15" s="191" t="s">
        <v>663</v>
      </c>
      <c r="C15" s="460">
        <v>263.80252397461953</v>
      </c>
      <c r="D15" s="460">
        <v>263.80252397461953</v>
      </c>
      <c r="E15" s="460">
        <v>263.80252397461953</v>
      </c>
      <c r="F15" s="460">
        <v>263.80252397461953</v>
      </c>
      <c r="G15" s="460">
        <v>263.80252397461953</v>
      </c>
      <c r="H15" s="460">
        <v>263.80252397461953</v>
      </c>
      <c r="I15" s="460">
        <v>263.80252397461953</v>
      </c>
      <c r="J15" s="167" t="s">
        <v>433</v>
      </c>
      <c r="K15" s="167" t="s">
        <v>961</v>
      </c>
      <c r="L15" s="167" t="s">
        <v>962</v>
      </c>
    </row>
    <row r="16" spans="1:12" x14ac:dyDescent="0.25">
      <c r="B16" s="191" t="s">
        <v>634</v>
      </c>
      <c r="C16" s="460">
        <v>0</v>
      </c>
      <c r="D16" s="460">
        <v>0</v>
      </c>
      <c r="E16" s="460">
        <v>0</v>
      </c>
      <c r="F16" s="460">
        <v>0</v>
      </c>
      <c r="G16" s="460">
        <v>0</v>
      </c>
      <c r="H16" s="460">
        <v>0</v>
      </c>
      <c r="I16" s="460">
        <v>0</v>
      </c>
      <c r="J16" s="167" t="s">
        <v>433</v>
      </c>
      <c r="K16" s="167" t="s">
        <v>961</v>
      </c>
      <c r="L16" s="167" t="s">
        <v>964</v>
      </c>
    </row>
    <row r="17" spans="1:12" x14ac:dyDescent="0.25">
      <c r="B17" s="191" t="s">
        <v>635</v>
      </c>
      <c r="C17" s="460">
        <v>0</v>
      </c>
      <c r="D17" s="460">
        <v>0</v>
      </c>
      <c r="E17" s="460">
        <v>0</v>
      </c>
      <c r="F17" s="460">
        <v>0</v>
      </c>
      <c r="G17" s="460">
        <v>0</v>
      </c>
      <c r="H17" s="460">
        <v>0</v>
      </c>
      <c r="I17" s="460">
        <v>0</v>
      </c>
      <c r="J17" s="167" t="s">
        <v>433</v>
      </c>
      <c r="K17" s="167" t="s">
        <v>961</v>
      </c>
      <c r="L17" s="167" t="s">
        <v>964</v>
      </c>
    </row>
    <row r="18" spans="1:12" x14ac:dyDescent="0.25">
      <c r="B18" s="193" t="s">
        <v>637</v>
      </c>
      <c r="C18" s="460">
        <v>825.84529010385791</v>
      </c>
      <c r="D18" s="460">
        <v>825.84529010385791</v>
      </c>
      <c r="E18" s="460">
        <v>825.84529010385791</v>
      </c>
      <c r="F18" s="460">
        <v>825.84529010385791</v>
      </c>
      <c r="G18" s="460">
        <v>825.84529010385791</v>
      </c>
      <c r="H18" s="460">
        <v>825.84529010385791</v>
      </c>
      <c r="I18" s="460">
        <v>825.84529010385791</v>
      </c>
      <c r="J18" s="167" t="s">
        <v>433</v>
      </c>
      <c r="K18" s="167" t="s">
        <v>961</v>
      </c>
      <c r="L18" s="167" t="s">
        <v>962</v>
      </c>
    </row>
    <row r="19" spans="1:12" ht="14.45" customHeight="1" x14ac:dyDescent="0.25">
      <c r="B19" s="193" t="s">
        <v>61</v>
      </c>
      <c r="C19" s="460">
        <v>776.88659186056179</v>
      </c>
      <c r="D19" s="460">
        <v>776.88659186056179</v>
      </c>
      <c r="E19" s="460">
        <v>776.88659186056179</v>
      </c>
      <c r="F19" s="460">
        <v>776.88659186056179</v>
      </c>
      <c r="G19" s="460">
        <v>776.88659186056179</v>
      </c>
      <c r="H19" s="460">
        <v>776.88659186056179</v>
      </c>
      <c r="I19" s="460">
        <v>776.88659186056179</v>
      </c>
      <c r="J19" s="167" t="s">
        <v>433</v>
      </c>
      <c r="K19" s="167" t="s">
        <v>961</v>
      </c>
      <c r="L19" s="167" t="s">
        <v>962</v>
      </c>
    </row>
    <row r="20" spans="1:12" x14ac:dyDescent="0.25">
      <c r="B20" s="194" t="s">
        <v>118</v>
      </c>
      <c r="C20" s="460">
        <v>437.77017936764008</v>
      </c>
      <c r="D20" s="460">
        <v>437.77017936764008</v>
      </c>
      <c r="E20" s="460">
        <v>437.77017936764008</v>
      </c>
      <c r="F20" s="460">
        <v>437.77017936764008</v>
      </c>
      <c r="G20" s="460">
        <v>437.77017936764008</v>
      </c>
      <c r="H20" s="460">
        <v>437.77017936764008</v>
      </c>
      <c r="I20" s="460">
        <v>437.77017936764008</v>
      </c>
      <c r="J20" s="167" t="s">
        <v>433</v>
      </c>
      <c r="K20" s="167" t="s">
        <v>961</v>
      </c>
      <c r="L20" s="167" t="s">
        <v>962</v>
      </c>
    </row>
    <row r="22" spans="1:12" x14ac:dyDescent="0.25">
      <c r="A22" s="4" t="s">
        <v>936</v>
      </c>
    </row>
    <row r="23" spans="1:12" ht="14.65" customHeight="1" x14ac:dyDescent="0.25">
      <c r="B23" s="190" t="s">
        <v>664</v>
      </c>
      <c r="C23" s="192">
        <f t="shared" ref="C23:I23" si="0">C11</f>
        <v>2022</v>
      </c>
      <c r="D23" s="192">
        <f t="shared" si="0"/>
        <v>2025</v>
      </c>
      <c r="E23" s="192">
        <f t="shared" si="0"/>
        <v>2030</v>
      </c>
      <c r="F23" s="192">
        <f t="shared" si="0"/>
        <v>2035</v>
      </c>
      <c r="G23" s="192">
        <f t="shared" si="0"/>
        <v>2040</v>
      </c>
      <c r="H23" s="192">
        <f t="shared" si="0"/>
        <v>2045</v>
      </c>
      <c r="I23" s="192">
        <f t="shared" si="0"/>
        <v>2050</v>
      </c>
      <c r="J23" s="189" t="s">
        <v>662</v>
      </c>
      <c r="K23" s="189" t="s">
        <v>335</v>
      </c>
      <c r="L23" s="189" t="s">
        <v>153</v>
      </c>
    </row>
    <row r="24" spans="1:12" x14ac:dyDescent="0.25">
      <c r="B24" s="191" t="s">
        <v>665</v>
      </c>
      <c r="C24" s="467">
        <f>2.1236044191/1000</f>
        <v>2.1236044190999998E-3</v>
      </c>
      <c r="D24" s="467">
        <f t="shared" ref="D24:I24" si="1">2.1236044191/1000</f>
        <v>2.1236044190999998E-3</v>
      </c>
      <c r="E24" s="467">
        <f t="shared" si="1"/>
        <v>2.1236044190999998E-3</v>
      </c>
      <c r="F24" s="467">
        <f t="shared" si="1"/>
        <v>2.1236044190999998E-3</v>
      </c>
      <c r="G24" s="467">
        <f t="shared" si="1"/>
        <v>2.1236044190999998E-3</v>
      </c>
      <c r="H24" s="467">
        <f t="shared" si="1"/>
        <v>2.1236044190999998E-3</v>
      </c>
      <c r="I24" s="467">
        <f t="shared" si="1"/>
        <v>2.1236044190999998E-3</v>
      </c>
      <c r="J24" s="167" t="s">
        <v>666</v>
      </c>
      <c r="K24" s="167" t="s">
        <v>667</v>
      </c>
      <c r="L24" s="167" t="s">
        <v>919</v>
      </c>
    </row>
    <row r="25" spans="1:12" x14ac:dyDescent="0.25">
      <c r="B25" s="191" t="s">
        <v>61</v>
      </c>
      <c r="C25" s="467">
        <f t="shared" ref="C25:I25" si="2">C24/$D$115</f>
        <v>8.8483517462499994E-2</v>
      </c>
      <c r="D25" s="467">
        <f t="shared" si="2"/>
        <v>8.8483517462499994E-2</v>
      </c>
      <c r="E25" s="467">
        <f t="shared" si="2"/>
        <v>8.8483517462499994E-2</v>
      </c>
      <c r="F25" s="467">
        <f t="shared" si="2"/>
        <v>8.8483517462499994E-2</v>
      </c>
      <c r="G25" s="467">
        <f t="shared" si="2"/>
        <v>8.8483517462499994E-2</v>
      </c>
      <c r="H25" s="467">
        <f t="shared" si="2"/>
        <v>8.8483517462499994E-2</v>
      </c>
      <c r="I25" s="467">
        <f t="shared" si="2"/>
        <v>8.8483517462499994E-2</v>
      </c>
      <c r="J25" s="167" t="s">
        <v>120</v>
      </c>
      <c r="K25" s="167" t="s">
        <v>667</v>
      </c>
      <c r="L25" s="167" t="s">
        <v>922</v>
      </c>
    </row>
    <row r="26" spans="1:12" x14ac:dyDescent="0.25">
      <c r="B26" s="191" t="s">
        <v>69</v>
      </c>
      <c r="C26" s="467">
        <f>2.7148722384/1000</f>
        <v>2.7148722383999999E-3</v>
      </c>
      <c r="D26" s="467">
        <f t="shared" ref="D26:I26" si="3">2.7148722384/1000</f>
        <v>2.7148722383999999E-3</v>
      </c>
      <c r="E26" s="467">
        <f t="shared" si="3"/>
        <v>2.7148722383999999E-3</v>
      </c>
      <c r="F26" s="467">
        <f t="shared" si="3"/>
        <v>2.7148722383999999E-3</v>
      </c>
      <c r="G26" s="467">
        <f t="shared" si="3"/>
        <v>2.7148722383999999E-3</v>
      </c>
      <c r="H26" s="467">
        <f t="shared" si="3"/>
        <v>2.7148722383999999E-3</v>
      </c>
      <c r="I26" s="467">
        <f t="shared" si="3"/>
        <v>2.7148722383999999E-3</v>
      </c>
      <c r="J26" s="167" t="s">
        <v>122</v>
      </c>
      <c r="K26" s="167" t="s">
        <v>667</v>
      </c>
      <c r="L26" s="167"/>
    </row>
    <row r="27" spans="1:12" x14ac:dyDescent="0.25">
      <c r="B27" s="191" t="s">
        <v>68</v>
      </c>
      <c r="C27" s="467">
        <f>2.4551709495/1000</f>
        <v>2.4551709494999999E-3</v>
      </c>
      <c r="D27" s="467">
        <f t="shared" ref="D27:I27" si="4">2.4551709495/1000</f>
        <v>2.4551709494999999E-3</v>
      </c>
      <c r="E27" s="467">
        <f t="shared" si="4"/>
        <v>2.4551709494999999E-3</v>
      </c>
      <c r="F27" s="467">
        <f t="shared" si="4"/>
        <v>2.4551709494999999E-3</v>
      </c>
      <c r="G27" s="467">
        <f t="shared" si="4"/>
        <v>2.4551709494999999E-3</v>
      </c>
      <c r="H27" s="467">
        <f t="shared" si="4"/>
        <v>2.4551709494999999E-3</v>
      </c>
      <c r="I27" s="467">
        <f t="shared" si="4"/>
        <v>2.4551709494999999E-3</v>
      </c>
      <c r="J27" s="167" t="s">
        <v>122</v>
      </c>
      <c r="K27" s="167" t="s">
        <v>667</v>
      </c>
      <c r="L27" s="167" t="s">
        <v>921</v>
      </c>
    </row>
    <row r="28" spans="1:12" x14ac:dyDescent="0.25">
      <c r="B28" s="191" t="s">
        <v>72</v>
      </c>
      <c r="C28" s="467">
        <f>(2.971635097/1000)/$D$117</f>
        <v>1.5092103082783137E-3</v>
      </c>
      <c r="D28" s="467">
        <f t="shared" ref="D28:I28" si="5">(2.971635097/1000)/$D$117</f>
        <v>1.5092103082783137E-3</v>
      </c>
      <c r="E28" s="467">
        <f t="shared" si="5"/>
        <v>1.5092103082783137E-3</v>
      </c>
      <c r="F28" s="467">
        <f t="shared" si="5"/>
        <v>1.5092103082783137E-3</v>
      </c>
      <c r="G28" s="467">
        <f t="shared" si="5"/>
        <v>1.5092103082783137E-3</v>
      </c>
      <c r="H28" s="467">
        <f t="shared" si="5"/>
        <v>1.5092103082783137E-3</v>
      </c>
      <c r="I28" s="467">
        <f t="shared" si="5"/>
        <v>1.5092103082783137E-3</v>
      </c>
      <c r="J28" s="167" t="s">
        <v>122</v>
      </c>
      <c r="K28" s="167" t="s">
        <v>667</v>
      </c>
      <c r="L28" s="167" t="s">
        <v>923</v>
      </c>
    </row>
    <row r="29" spans="1:12" x14ac:dyDescent="0.25">
      <c r="B29" s="191" t="s">
        <v>670</v>
      </c>
      <c r="C29" s="467">
        <f>53.7587265529/1000</f>
        <v>5.3758726552900003E-2</v>
      </c>
      <c r="D29" s="467">
        <f t="shared" ref="D29:I29" si="6">53.7587265529/1000</f>
        <v>5.3758726552900003E-2</v>
      </c>
      <c r="E29" s="467">
        <f t="shared" si="6"/>
        <v>5.3758726552900003E-2</v>
      </c>
      <c r="F29" s="467">
        <f t="shared" si="6"/>
        <v>5.3758726552900003E-2</v>
      </c>
      <c r="G29" s="467">
        <f t="shared" si="6"/>
        <v>5.3758726552900003E-2</v>
      </c>
      <c r="H29" s="467">
        <f t="shared" si="6"/>
        <v>5.3758726552900003E-2</v>
      </c>
      <c r="I29" s="467">
        <f t="shared" si="6"/>
        <v>5.3758726552900003E-2</v>
      </c>
      <c r="J29" s="167" t="s">
        <v>120</v>
      </c>
      <c r="K29" s="167" t="s">
        <v>667</v>
      </c>
      <c r="L29" s="167" t="s">
        <v>924</v>
      </c>
    </row>
    <row r="30" spans="1:12" x14ac:dyDescent="0.25">
      <c r="B30" s="191" t="s">
        <v>671</v>
      </c>
      <c r="C30" s="467">
        <f>1.9808252708/1000</f>
        <v>1.9808252707999999E-3</v>
      </c>
      <c r="D30" s="467">
        <f t="shared" ref="D30:I30" si="7">1.9808252708/1000</f>
        <v>1.9808252707999999E-3</v>
      </c>
      <c r="E30" s="467">
        <f t="shared" si="7"/>
        <v>1.9808252707999999E-3</v>
      </c>
      <c r="F30" s="467">
        <f t="shared" si="7"/>
        <v>1.9808252707999999E-3</v>
      </c>
      <c r="G30" s="467">
        <f t="shared" si="7"/>
        <v>1.9808252707999999E-3</v>
      </c>
      <c r="H30" s="467">
        <f t="shared" si="7"/>
        <v>1.9808252707999999E-3</v>
      </c>
      <c r="I30" s="467">
        <f t="shared" si="7"/>
        <v>1.9808252707999999E-3</v>
      </c>
      <c r="J30" s="167" t="s">
        <v>120</v>
      </c>
      <c r="K30" s="167" t="s">
        <v>667</v>
      </c>
      <c r="L30" s="167"/>
    </row>
    <row r="31" spans="1:12" x14ac:dyDescent="0.25">
      <c r="B31" s="191" t="s">
        <v>119</v>
      </c>
      <c r="C31" s="467">
        <f>C29+C30</f>
        <v>5.5739551823700002E-2</v>
      </c>
      <c r="D31" s="467">
        <f t="shared" ref="D31:I31" si="8">D29+D30</f>
        <v>5.5739551823700002E-2</v>
      </c>
      <c r="E31" s="467">
        <f t="shared" si="8"/>
        <v>5.5739551823700002E-2</v>
      </c>
      <c r="F31" s="467">
        <f t="shared" si="8"/>
        <v>5.5739551823700002E-2</v>
      </c>
      <c r="G31" s="467">
        <f t="shared" si="8"/>
        <v>5.5739551823700002E-2</v>
      </c>
      <c r="H31" s="467">
        <f t="shared" si="8"/>
        <v>5.5739551823700002E-2</v>
      </c>
      <c r="I31" s="467">
        <f t="shared" si="8"/>
        <v>5.5739551823700002E-2</v>
      </c>
      <c r="J31" s="167" t="s">
        <v>120</v>
      </c>
      <c r="K31" s="167" t="s">
        <v>667</v>
      </c>
      <c r="L31" s="167"/>
    </row>
    <row r="33" spans="2:17" x14ac:dyDescent="0.25">
      <c r="B33" s="190" t="s">
        <v>672</v>
      </c>
      <c r="C33" s="192">
        <f t="shared" ref="C33:I33" si="9">C11</f>
        <v>2022</v>
      </c>
      <c r="D33" s="192">
        <f t="shared" si="9"/>
        <v>2025</v>
      </c>
      <c r="E33" s="192">
        <f t="shared" si="9"/>
        <v>2030</v>
      </c>
      <c r="F33" s="192">
        <f t="shared" si="9"/>
        <v>2035</v>
      </c>
      <c r="G33" s="192">
        <f t="shared" si="9"/>
        <v>2040</v>
      </c>
      <c r="H33" s="192">
        <f t="shared" si="9"/>
        <v>2045</v>
      </c>
      <c r="I33" s="192">
        <f t="shared" si="9"/>
        <v>2050</v>
      </c>
      <c r="J33" s="189" t="s">
        <v>662</v>
      </c>
      <c r="K33" s="189" t="s">
        <v>335</v>
      </c>
      <c r="L33" s="189" t="s">
        <v>153</v>
      </c>
    </row>
    <row r="34" spans="2:17" x14ac:dyDescent="0.25">
      <c r="B34" s="195" t="s">
        <v>68</v>
      </c>
      <c r="C34" s="467">
        <f>C27</f>
        <v>2.4551709494999999E-3</v>
      </c>
      <c r="D34" s="467">
        <f t="shared" ref="D34:H34" si="10">D27</f>
        <v>2.4551709494999999E-3</v>
      </c>
      <c r="E34" s="467">
        <f t="shared" si="10"/>
        <v>2.4551709494999999E-3</v>
      </c>
      <c r="F34" s="467">
        <f t="shared" si="10"/>
        <v>2.4551709494999999E-3</v>
      </c>
      <c r="G34" s="467">
        <f t="shared" si="10"/>
        <v>2.4551709494999999E-3</v>
      </c>
      <c r="H34" s="467">
        <f t="shared" si="10"/>
        <v>2.4551709494999999E-3</v>
      </c>
      <c r="I34" s="467">
        <f t="shared" ref="I34" si="11">I27</f>
        <v>2.4551709494999999E-3</v>
      </c>
      <c r="J34" s="167" t="s">
        <v>122</v>
      </c>
      <c r="K34" s="167" t="s">
        <v>667</v>
      </c>
      <c r="L34" s="167"/>
    </row>
    <row r="35" spans="2:17" x14ac:dyDescent="0.25">
      <c r="B35" s="195" t="s">
        <v>69</v>
      </c>
      <c r="C35" s="467">
        <f>C26</f>
        <v>2.7148722383999999E-3</v>
      </c>
      <c r="D35" s="467">
        <f t="shared" ref="D35:H35" si="12">D26</f>
        <v>2.7148722383999999E-3</v>
      </c>
      <c r="E35" s="467">
        <f t="shared" si="12"/>
        <v>2.7148722383999999E-3</v>
      </c>
      <c r="F35" s="467">
        <f t="shared" si="12"/>
        <v>2.7148722383999999E-3</v>
      </c>
      <c r="G35" s="467">
        <f t="shared" si="12"/>
        <v>2.7148722383999999E-3</v>
      </c>
      <c r="H35" s="467">
        <f t="shared" si="12"/>
        <v>2.7148722383999999E-3</v>
      </c>
      <c r="I35" s="467">
        <f t="shared" ref="I35" si="13">I26</f>
        <v>2.7148722383999999E-3</v>
      </c>
      <c r="J35" s="167" t="s">
        <v>122</v>
      </c>
      <c r="K35" s="167" t="s">
        <v>667</v>
      </c>
      <c r="L35" s="167"/>
    </row>
    <row r="36" spans="2:17" x14ac:dyDescent="0.25">
      <c r="B36" s="195" t="s">
        <v>72</v>
      </c>
      <c r="C36" s="467">
        <f>1.618252002/1000</f>
        <v>1.6182520019999999E-3</v>
      </c>
      <c r="D36" s="467">
        <f t="shared" ref="D36:I36" si="14">1.618252002/1000</f>
        <v>1.6182520019999999E-3</v>
      </c>
      <c r="E36" s="467">
        <f t="shared" si="14"/>
        <v>1.6182520019999999E-3</v>
      </c>
      <c r="F36" s="467">
        <f t="shared" si="14"/>
        <v>1.6182520019999999E-3</v>
      </c>
      <c r="G36" s="467">
        <f t="shared" si="14"/>
        <v>1.6182520019999999E-3</v>
      </c>
      <c r="H36" s="467">
        <f t="shared" si="14"/>
        <v>1.6182520019999999E-3</v>
      </c>
      <c r="I36" s="467">
        <f t="shared" si="14"/>
        <v>1.6182520019999999E-3</v>
      </c>
      <c r="J36" s="167" t="s">
        <v>122</v>
      </c>
      <c r="K36" s="167" t="s">
        <v>667</v>
      </c>
      <c r="L36" s="167"/>
    </row>
    <row r="37" spans="2:17" x14ac:dyDescent="0.25">
      <c r="B37" s="195" t="s">
        <v>70</v>
      </c>
      <c r="C37" s="467">
        <f>2.5606217055/1000</f>
        <v>2.5606217054999999E-3</v>
      </c>
      <c r="D37" s="467">
        <f t="shared" ref="D37:I37" si="15">2.5606217055/1000</f>
        <v>2.5606217054999999E-3</v>
      </c>
      <c r="E37" s="467">
        <f t="shared" si="15"/>
        <v>2.5606217054999999E-3</v>
      </c>
      <c r="F37" s="467">
        <f t="shared" si="15"/>
        <v>2.5606217054999999E-3</v>
      </c>
      <c r="G37" s="467">
        <f t="shared" si="15"/>
        <v>2.5606217054999999E-3</v>
      </c>
      <c r="H37" s="467">
        <f t="shared" si="15"/>
        <v>2.5606217054999999E-3</v>
      </c>
      <c r="I37" s="467">
        <f t="shared" si="15"/>
        <v>2.5606217054999999E-3</v>
      </c>
      <c r="J37" s="167" t="s">
        <v>122</v>
      </c>
      <c r="K37" s="167" t="s">
        <v>667</v>
      </c>
      <c r="L37" s="167"/>
    </row>
    <row r="38" spans="2:17" x14ac:dyDescent="0.25">
      <c r="B38" s="195" t="s">
        <v>71</v>
      </c>
      <c r="C38" s="467">
        <f>2.2490364515/1000</f>
        <v>2.2490364515E-3</v>
      </c>
      <c r="D38" s="467">
        <f t="shared" ref="D38:I38" si="16">2.2490364515/1000</f>
        <v>2.2490364515E-3</v>
      </c>
      <c r="E38" s="467">
        <f t="shared" si="16"/>
        <v>2.2490364515E-3</v>
      </c>
      <c r="F38" s="467">
        <f t="shared" si="16"/>
        <v>2.2490364515E-3</v>
      </c>
      <c r="G38" s="467">
        <f t="shared" si="16"/>
        <v>2.2490364515E-3</v>
      </c>
      <c r="H38" s="467">
        <f t="shared" si="16"/>
        <v>2.2490364515E-3</v>
      </c>
      <c r="I38" s="467">
        <f t="shared" si="16"/>
        <v>2.2490364515E-3</v>
      </c>
      <c r="J38" s="167" t="s">
        <v>122</v>
      </c>
      <c r="K38" s="167" t="s">
        <v>667</v>
      </c>
      <c r="L38" s="167"/>
    </row>
    <row r="39" spans="2:17" x14ac:dyDescent="0.25">
      <c r="B39" s="195" t="s">
        <v>73</v>
      </c>
      <c r="C39" s="470">
        <f>0.09170556/1000</f>
        <v>9.1705560000000002E-5</v>
      </c>
      <c r="D39" s="470">
        <f t="shared" ref="D39:I39" si="17">0.09170556/1000</f>
        <v>9.1705560000000002E-5</v>
      </c>
      <c r="E39" s="470">
        <f t="shared" si="17"/>
        <v>9.1705560000000002E-5</v>
      </c>
      <c r="F39" s="470">
        <f t="shared" si="17"/>
        <v>9.1705560000000002E-5</v>
      </c>
      <c r="G39" s="470">
        <f t="shared" si="17"/>
        <v>9.1705560000000002E-5</v>
      </c>
      <c r="H39" s="470">
        <f t="shared" si="17"/>
        <v>9.1705560000000002E-5</v>
      </c>
      <c r="I39" s="470">
        <f t="shared" si="17"/>
        <v>9.1705560000000002E-5</v>
      </c>
      <c r="J39" s="167" t="s">
        <v>122</v>
      </c>
      <c r="K39" s="167" t="s">
        <v>667</v>
      </c>
      <c r="L39" s="167" t="s">
        <v>925</v>
      </c>
    </row>
    <row r="40" spans="2:17" x14ac:dyDescent="0.25">
      <c r="B40" s="195" t="s">
        <v>74</v>
      </c>
      <c r="C40" s="470">
        <f>0.03506547/1000</f>
        <v>3.5065470000000003E-5</v>
      </c>
      <c r="D40" s="470">
        <f t="shared" ref="D40:I40" si="18">0.03506547/1000</f>
        <v>3.5065470000000003E-5</v>
      </c>
      <c r="E40" s="470">
        <f t="shared" si="18"/>
        <v>3.5065470000000003E-5</v>
      </c>
      <c r="F40" s="470">
        <f t="shared" si="18"/>
        <v>3.5065470000000003E-5</v>
      </c>
      <c r="G40" s="470">
        <f t="shared" si="18"/>
        <v>3.5065470000000003E-5</v>
      </c>
      <c r="H40" s="470">
        <f t="shared" si="18"/>
        <v>3.5065470000000003E-5</v>
      </c>
      <c r="I40" s="470">
        <f t="shared" si="18"/>
        <v>3.5065470000000003E-5</v>
      </c>
      <c r="J40" s="167" t="s">
        <v>122</v>
      </c>
      <c r="K40" s="167" t="s">
        <v>667</v>
      </c>
      <c r="L40" s="167" t="s">
        <v>926</v>
      </c>
    </row>
    <row r="41" spans="2:17" x14ac:dyDescent="0.25">
      <c r="B41" s="191" t="s">
        <v>673</v>
      </c>
      <c r="C41" s="467">
        <v>3.4199999999999999E-3</v>
      </c>
      <c r="D41" s="467">
        <v>3.4199999999999999E-3</v>
      </c>
      <c r="E41" s="467">
        <v>3.4199999999999999E-3</v>
      </c>
      <c r="F41" s="467">
        <v>3.4199999999999999E-3</v>
      </c>
      <c r="G41" s="467">
        <v>3.4199999999999999E-3</v>
      </c>
      <c r="H41" s="467">
        <v>3.4199999999999999E-3</v>
      </c>
      <c r="I41" s="467">
        <v>3.4199999999999999E-3</v>
      </c>
      <c r="J41" s="167" t="s">
        <v>120</v>
      </c>
      <c r="K41" s="167"/>
      <c r="L41" s="667" t="s">
        <v>935</v>
      </c>
    </row>
    <row r="42" spans="2:17" x14ac:dyDescent="0.25">
      <c r="B42" s="191" t="s">
        <v>129</v>
      </c>
      <c r="C42" s="467">
        <f>2.9819107425/1000</f>
        <v>2.9819107425000002E-3</v>
      </c>
      <c r="D42" s="467">
        <f t="shared" ref="D42:I42" si="19">2.9819107425/1000</f>
        <v>2.9819107425000002E-3</v>
      </c>
      <c r="E42" s="467">
        <f t="shared" si="19"/>
        <v>2.9819107425000002E-3</v>
      </c>
      <c r="F42" s="467">
        <f t="shared" si="19"/>
        <v>2.9819107425000002E-3</v>
      </c>
      <c r="G42" s="467">
        <f t="shared" si="19"/>
        <v>2.9819107425000002E-3</v>
      </c>
      <c r="H42" s="467">
        <f t="shared" si="19"/>
        <v>2.9819107425000002E-3</v>
      </c>
      <c r="I42" s="467">
        <f t="shared" si="19"/>
        <v>2.9819107425000002E-3</v>
      </c>
      <c r="J42" s="167" t="s">
        <v>122</v>
      </c>
      <c r="K42" s="167" t="s">
        <v>667</v>
      </c>
      <c r="L42" s="167"/>
    </row>
    <row r="43" spans="2:17" x14ac:dyDescent="0.25">
      <c r="B43" s="191" t="s">
        <v>132</v>
      </c>
      <c r="C43" s="467">
        <f>3.0156660631/1000</f>
        <v>3.0156660630999998E-3</v>
      </c>
      <c r="D43" s="467">
        <f t="shared" ref="D43:I43" si="20">3.0156660631/1000</f>
        <v>3.0156660630999998E-3</v>
      </c>
      <c r="E43" s="467">
        <f t="shared" si="20"/>
        <v>3.0156660630999998E-3</v>
      </c>
      <c r="F43" s="467">
        <f t="shared" si="20"/>
        <v>3.0156660630999998E-3</v>
      </c>
      <c r="G43" s="467">
        <f t="shared" si="20"/>
        <v>3.0156660630999998E-3</v>
      </c>
      <c r="H43" s="467">
        <f t="shared" si="20"/>
        <v>3.0156660630999998E-3</v>
      </c>
      <c r="I43" s="467">
        <f t="shared" si="20"/>
        <v>3.0156660630999998E-3</v>
      </c>
      <c r="J43" s="167" t="s">
        <v>122</v>
      </c>
      <c r="K43" s="167" t="s">
        <v>667</v>
      </c>
      <c r="L43" s="167"/>
    </row>
    <row r="45" spans="2:17" x14ac:dyDescent="0.25">
      <c r="B45" s="190" t="s">
        <v>173</v>
      </c>
      <c r="C45" s="192">
        <f>C33</f>
        <v>2022</v>
      </c>
      <c r="D45" s="192">
        <f t="shared" ref="D45:I45" si="21">D33</f>
        <v>2025</v>
      </c>
      <c r="E45" s="192">
        <f t="shared" si="21"/>
        <v>2030</v>
      </c>
      <c r="F45" s="192">
        <f t="shared" si="21"/>
        <v>2035</v>
      </c>
      <c r="G45" s="192">
        <f t="shared" si="21"/>
        <v>2040</v>
      </c>
      <c r="H45" s="192">
        <f t="shared" si="21"/>
        <v>2045</v>
      </c>
      <c r="I45" s="192">
        <f t="shared" si="21"/>
        <v>2050</v>
      </c>
      <c r="J45" s="189" t="s">
        <v>662</v>
      </c>
      <c r="K45" s="189" t="s">
        <v>335</v>
      </c>
      <c r="L45" s="189" t="s">
        <v>153</v>
      </c>
      <c r="N45" s="38" t="s">
        <v>91</v>
      </c>
      <c r="O45" s="12"/>
      <c r="P45" s="12"/>
      <c r="Q45" s="12"/>
    </row>
    <row r="46" spans="2:17" x14ac:dyDescent="0.25">
      <c r="B46" s="191" t="s">
        <v>81</v>
      </c>
      <c r="C46" s="573">
        <f>((-7973+-1567)/2)/1000</f>
        <v>-4.7699999999999996</v>
      </c>
      <c r="D46" s="573">
        <f t="shared" ref="D46:I46" si="22">((-7973+-1567)/2)/1000</f>
        <v>-4.7699999999999996</v>
      </c>
      <c r="E46" s="573">
        <f t="shared" si="22"/>
        <v>-4.7699999999999996</v>
      </c>
      <c r="F46" s="573">
        <f t="shared" si="22"/>
        <v>-4.7699999999999996</v>
      </c>
      <c r="G46" s="573">
        <f t="shared" si="22"/>
        <v>-4.7699999999999996</v>
      </c>
      <c r="H46" s="573">
        <f t="shared" si="22"/>
        <v>-4.7699999999999996</v>
      </c>
      <c r="I46" s="573">
        <f t="shared" si="22"/>
        <v>-4.7699999999999996</v>
      </c>
      <c r="J46" s="167" t="s">
        <v>674</v>
      </c>
      <c r="K46" s="167" t="s">
        <v>667</v>
      </c>
      <c r="L46" s="167" t="s">
        <v>927</v>
      </c>
      <c r="N46" s="474"/>
      <c r="O46" s="474"/>
      <c r="P46" s="475" t="s">
        <v>662</v>
      </c>
      <c r="Q46" s="474"/>
    </row>
    <row r="47" spans="2:17" x14ac:dyDescent="0.25">
      <c r="B47" s="191" t="s">
        <v>83</v>
      </c>
      <c r="C47" s="573">
        <v>-17</v>
      </c>
      <c r="D47" s="573">
        <v>-17</v>
      </c>
      <c r="E47" s="573">
        <v>-17</v>
      </c>
      <c r="F47" s="573">
        <v>-17</v>
      </c>
      <c r="G47" s="573">
        <v>-17</v>
      </c>
      <c r="H47" s="573">
        <v>-17</v>
      </c>
      <c r="I47" s="573">
        <v>-17</v>
      </c>
      <c r="J47" s="167" t="s">
        <v>674</v>
      </c>
      <c r="K47" s="167"/>
      <c r="L47" s="666"/>
      <c r="N47" s="474" t="s">
        <v>928</v>
      </c>
      <c r="O47" s="474">
        <f>-36655/1000</f>
        <v>-36.655000000000001</v>
      </c>
      <c r="P47" s="463" t="s">
        <v>674</v>
      </c>
      <c r="Q47" s="463" t="s">
        <v>667</v>
      </c>
    </row>
    <row r="49" spans="2:12" x14ac:dyDescent="0.25">
      <c r="B49" s="190" t="s">
        <v>87</v>
      </c>
      <c r="C49" s="192">
        <f>C45</f>
        <v>2022</v>
      </c>
      <c r="D49" s="192">
        <f t="shared" ref="D49:I49" si="23">D45</f>
        <v>2025</v>
      </c>
      <c r="E49" s="192">
        <f t="shared" si="23"/>
        <v>2030</v>
      </c>
      <c r="F49" s="192">
        <f t="shared" si="23"/>
        <v>2035</v>
      </c>
      <c r="G49" s="192">
        <f t="shared" si="23"/>
        <v>2040</v>
      </c>
      <c r="H49" s="192">
        <f t="shared" si="23"/>
        <v>2045</v>
      </c>
      <c r="I49" s="192">
        <f t="shared" si="23"/>
        <v>2050</v>
      </c>
      <c r="J49" s="189" t="s">
        <v>662</v>
      </c>
      <c r="K49" s="189" t="s">
        <v>335</v>
      </c>
      <c r="L49" s="189" t="s">
        <v>153</v>
      </c>
    </row>
    <row r="50" spans="2:12" x14ac:dyDescent="0.25">
      <c r="B50" s="191" t="s">
        <v>58</v>
      </c>
      <c r="C50" s="467">
        <v>0.2317715551</v>
      </c>
      <c r="D50" s="467">
        <v>0.2317715551</v>
      </c>
      <c r="E50" s="467">
        <v>0.2317715551</v>
      </c>
      <c r="F50" s="467">
        <v>0.2317715551</v>
      </c>
      <c r="G50" s="467">
        <v>0.2317715551</v>
      </c>
      <c r="H50" s="467">
        <v>0.2317715551</v>
      </c>
      <c r="I50" s="467">
        <v>0.2317715551</v>
      </c>
      <c r="J50" s="167" t="s">
        <v>117</v>
      </c>
      <c r="K50" s="167" t="s">
        <v>667</v>
      </c>
      <c r="L50" s="167" t="s">
        <v>929</v>
      </c>
    </row>
    <row r="51" spans="2:12" x14ac:dyDescent="0.25">
      <c r="B51" s="191" t="s">
        <v>675</v>
      </c>
      <c r="C51" s="467">
        <v>0.72428610969999996</v>
      </c>
      <c r="D51" s="467">
        <v>0.72428610969999996</v>
      </c>
      <c r="E51" s="467">
        <v>0.72428610969999996</v>
      </c>
      <c r="F51" s="467">
        <v>0.72428610969999996</v>
      </c>
      <c r="G51" s="467">
        <v>0.72428610969999996</v>
      </c>
      <c r="H51" s="467">
        <v>0.72428610969999996</v>
      </c>
      <c r="I51" s="467">
        <v>0.72428610969999996</v>
      </c>
      <c r="J51" s="167" t="s">
        <v>117</v>
      </c>
      <c r="K51" s="167" t="s">
        <v>667</v>
      </c>
      <c r="L51" s="167" t="s">
        <v>930</v>
      </c>
    </row>
    <row r="52" spans="2:12" x14ac:dyDescent="0.25">
      <c r="B52" s="191" t="s">
        <v>59</v>
      </c>
      <c r="C52" s="467">
        <v>0.17560000000000001</v>
      </c>
      <c r="D52" s="467">
        <v>0.17560000000000001</v>
      </c>
      <c r="E52" s="467">
        <v>0.17560000000000001</v>
      </c>
      <c r="F52" s="467">
        <v>0.17560000000000001</v>
      </c>
      <c r="G52" s="467">
        <v>0.17560000000000001</v>
      </c>
      <c r="H52" s="467">
        <v>0.17560000000000001</v>
      </c>
      <c r="I52" s="467">
        <v>0.17560000000000001</v>
      </c>
      <c r="J52" s="167" t="s">
        <v>117</v>
      </c>
      <c r="K52" s="167" t="s">
        <v>667</v>
      </c>
      <c r="L52" s="167" t="s">
        <v>676</v>
      </c>
    </row>
    <row r="53" spans="2:12" x14ac:dyDescent="0.25">
      <c r="B53" s="191" t="s">
        <v>931</v>
      </c>
      <c r="C53" s="467">
        <f>190.4/1000</f>
        <v>0.19040000000000001</v>
      </c>
      <c r="D53" s="467">
        <f t="shared" ref="D53:I53" si="24">190.4/1000</f>
        <v>0.19040000000000001</v>
      </c>
      <c r="E53" s="467">
        <f t="shared" si="24"/>
        <v>0.19040000000000001</v>
      </c>
      <c r="F53" s="467">
        <f t="shared" si="24"/>
        <v>0.19040000000000001</v>
      </c>
      <c r="G53" s="467">
        <f t="shared" si="24"/>
        <v>0.19040000000000001</v>
      </c>
      <c r="H53" s="467">
        <f t="shared" si="24"/>
        <v>0.19040000000000001</v>
      </c>
      <c r="I53" s="467">
        <f t="shared" si="24"/>
        <v>0.19040000000000001</v>
      </c>
      <c r="J53" s="167" t="s">
        <v>678</v>
      </c>
      <c r="K53" s="167" t="s">
        <v>667</v>
      </c>
      <c r="L53" s="167" t="s">
        <v>669</v>
      </c>
    </row>
    <row r="54" spans="2:12" x14ac:dyDescent="0.25">
      <c r="B54" s="191" t="s">
        <v>932</v>
      </c>
      <c r="C54" s="467">
        <f>48.4748589949/1000</f>
        <v>4.8474858994900005E-2</v>
      </c>
      <c r="D54" s="467">
        <f t="shared" ref="D54:I54" si="25">48.4748589949/1000</f>
        <v>4.8474858994900005E-2</v>
      </c>
      <c r="E54" s="467">
        <f t="shared" si="25"/>
        <v>4.8474858994900005E-2</v>
      </c>
      <c r="F54" s="467">
        <f t="shared" si="25"/>
        <v>4.8474858994900005E-2</v>
      </c>
      <c r="G54" s="467">
        <f t="shared" si="25"/>
        <v>4.8474858994900005E-2</v>
      </c>
      <c r="H54" s="467">
        <f t="shared" si="25"/>
        <v>4.8474858994900005E-2</v>
      </c>
      <c r="I54" s="467">
        <f t="shared" si="25"/>
        <v>4.8474858994900005E-2</v>
      </c>
      <c r="J54" s="167" t="s">
        <v>678</v>
      </c>
      <c r="K54" s="167" t="s">
        <v>667</v>
      </c>
      <c r="L54" s="167" t="s">
        <v>669</v>
      </c>
    </row>
    <row r="55" spans="2:12" x14ac:dyDescent="0.25">
      <c r="B55" s="191" t="s">
        <v>677</v>
      </c>
      <c r="C55" s="467">
        <f>C53*'Baseline Statistics'!C$40</f>
        <v>0.51664158415841588</v>
      </c>
      <c r="D55" s="467">
        <f>D53*'Baseline Statistics'!D$40</f>
        <v>0.51701872752498801</v>
      </c>
      <c r="E55" s="467">
        <f>E53*'Baseline Statistics'!E$40</f>
        <v>0.51767337759111232</v>
      </c>
      <c r="F55" s="467">
        <f>F53*'Baseline Statistics'!F$40</f>
        <v>0.5158816173405586</v>
      </c>
      <c r="G55" s="467">
        <f>G53*'Baseline Statistics'!G$40</f>
        <v>0.5142228131349873</v>
      </c>
      <c r="H55" s="467">
        <f>H53*'Baseline Statistics'!H$40</f>
        <v>0.51268269556383339</v>
      </c>
      <c r="I55" s="467">
        <f>I53*'Baseline Statistics'!I$40</f>
        <v>0.51124896662852337</v>
      </c>
      <c r="J55" s="167" t="s">
        <v>680</v>
      </c>
      <c r="K55" s="167" t="s">
        <v>667</v>
      </c>
      <c r="L55" s="167" t="s">
        <v>668</v>
      </c>
    </row>
    <row r="56" spans="2:12" x14ac:dyDescent="0.25">
      <c r="B56" s="191" t="s">
        <v>679</v>
      </c>
      <c r="C56" s="467">
        <f>C54*'Baseline Statistics'!C$40</f>
        <v>0.13153428541481604</v>
      </c>
      <c r="D56" s="467">
        <f>D54*'Baseline Statistics'!D$40</f>
        <v>0.13163030417277533</v>
      </c>
      <c r="E56" s="467">
        <f>E54*'Baseline Statistics'!E$40</f>
        <v>0.13179697470663235</v>
      </c>
      <c r="F56" s="467">
        <f>F54*'Baseline Statistics'!F$40</f>
        <v>0.13134080177859528</v>
      </c>
      <c r="G56" s="467">
        <f>G54*'Baseline Statistics'!G$40</f>
        <v>0.13091847877457627</v>
      </c>
      <c r="H56" s="467">
        <f>H54*'Baseline Statistics'!H$40</f>
        <v>0.13052637277616633</v>
      </c>
      <c r="I56" s="467">
        <f>I54*'Baseline Statistics'!I$40</f>
        <v>0.13016135277629207</v>
      </c>
      <c r="J56" s="167" t="s">
        <v>680</v>
      </c>
      <c r="K56" s="167" t="s">
        <v>667</v>
      </c>
      <c r="L56" s="167" t="s">
        <v>668</v>
      </c>
    </row>
    <row r="57" spans="2:12" x14ac:dyDescent="0.25">
      <c r="B57" s="9"/>
      <c r="C57" s="487"/>
      <c r="D57" s="487"/>
      <c r="E57" s="487"/>
      <c r="F57" s="487"/>
      <c r="G57" s="487"/>
      <c r="H57" s="487"/>
      <c r="I57" s="487"/>
    </row>
    <row r="58" spans="2:12" x14ac:dyDescent="0.25">
      <c r="B58" s="4" t="s">
        <v>938</v>
      </c>
    </row>
    <row r="59" spans="2:12" x14ac:dyDescent="0.25">
      <c r="B59" s="490" t="s">
        <v>157</v>
      </c>
      <c r="C59" s="490" t="s">
        <v>575</v>
      </c>
      <c r="D59" s="490" t="s">
        <v>107</v>
      </c>
      <c r="E59" s="484" t="s">
        <v>335</v>
      </c>
      <c r="F59" s="484" t="s">
        <v>856</v>
      </c>
    </row>
    <row r="60" spans="2:12" x14ac:dyDescent="0.25">
      <c r="B60" s="640" t="s">
        <v>942</v>
      </c>
      <c r="C60" s="641"/>
      <c r="D60" s="642"/>
      <c r="E60" s="484"/>
      <c r="F60" s="484"/>
    </row>
    <row r="61" spans="2:12" x14ac:dyDescent="0.25">
      <c r="B61" s="167" t="s">
        <v>580</v>
      </c>
      <c r="C61" s="468">
        <v>2423.1717710193002</v>
      </c>
      <c r="D61" s="167" t="s">
        <v>944</v>
      </c>
      <c r="E61" s="34" t="s">
        <v>667</v>
      </c>
      <c r="F61" s="34"/>
    </row>
    <row r="62" spans="2:12" x14ac:dyDescent="0.25">
      <c r="B62" s="167" t="s">
        <v>582</v>
      </c>
      <c r="C62" s="468">
        <v>1679.0778953733</v>
      </c>
      <c r="D62" s="167" t="s">
        <v>944</v>
      </c>
      <c r="E62" s="34" t="s">
        <v>667</v>
      </c>
      <c r="F62" s="34"/>
    </row>
    <row r="63" spans="2:12" x14ac:dyDescent="0.25">
      <c r="B63" s="167" t="s">
        <v>584</v>
      </c>
      <c r="C63" s="468">
        <v>348.71229536840002</v>
      </c>
      <c r="D63" s="167" t="s">
        <v>944</v>
      </c>
      <c r="E63" s="34" t="s">
        <v>667</v>
      </c>
      <c r="F63" s="34"/>
    </row>
    <row r="64" spans="2:12" x14ac:dyDescent="0.25">
      <c r="B64" s="167" t="s">
        <v>585</v>
      </c>
      <c r="C64" s="468">
        <v>504</v>
      </c>
      <c r="D64" s="167" t="s">
        <v>944</v>
      </c>
      <c r="E64" s="34" t="s">
        <v>667</v>
      </c>
      <c r="F64" s="34"/>
    </row>
    <row r="65" spans="2:6" x14ac:dyDescent="0.25">
      <c r="B65" s="167" t="s">
        <v>587</v>
      </c>
      <c r="C65" s="468">
        <v>644.31599378980002</v>
      </c>
      <c r="D65" s="167" t="s">
        <v>944</v>
      </c>
      <c r="E65" s="34" t="s">
        <v>667</v>
      </c>
      <c r="F65" s="34"/>
    </row>
    <row r="66" spans="2:6" x14ac:dyDescent="0.25">
      <c r="B66" s="167" t="s">
        <v>588</v>
      </c>
      <c r="C66" s="468">
        <v>224</v>
      </c>
      <c r="D66" s="167" t="s">
        <v>944</v>
      </c>
      <c r="E66" s="34" t="s">
        <v>667</v>
      </c>
      <c r="F66" s="34"/>
    </row>
    <row r="67" spans="2:6" x14ac:dyDescent="0.25">
      <c r="B67" s="167" t="s">
        <v>589</v>
      </c>
      <c r="C67" s="468">
        <v>250.96842105260001</v>
      </c>
      <c r="D67" s="167" t="s">
        <v>944</v>
      </c>
      <c r="E67" s="34" t="s">
        <v>667</v>
      </c>
      <c r="F67" s="34"/>
    </row>
    <row r="68" spans="2:6" x14ac:dyDescent="0.25">
      <c r="B68" s="640" t="s">
        <v>939</v>
      </c>
      <c r="C68" s="641"/>
      <c r="D68" s="642"/>
      <c r="E68" s="484" t="s">
        <v>335</v>
      </c>
      <c r="F68" s="484" t="s">
        <v>856</v>
      </c>
    </row>
    <row r="69" spans="2:6" x14ac:dyDescent="0.25">
      <c r="B69" s="167" t="s">
        <v>580</v>
      </c>
      <c r="C69" s="480">
        <v>242.82602049740001</v>
      </c>
      <c r="D69" s="167" t="s">
        <v>944</v>
      </c>
      <c r="E69" s="34" t="s">
        <v>667</v>
      </c>
      <c r="F69" s="34"/>
    </row>
    <row r="70" spans="2:6" x14ac:dyDescent="0.25">
      <c r="B70" s="167" t="s">
        <v>582</v>
      </c>
      <c r="C70" s="480">
        <v>23.325164019500001</v>
      </c>
      <c r="D70" s="167" t="s">
        <v>944</v>
      </c>
      <c r="E70" s="34" t="s">
        <v>667</v>
      </c>
      <c r="F70" s="34"/>
    </row>
    <row r="71" spans="2:6" x14ac:dyDescent="0.25">
      <c r="B71" s="167" t="s">
        <v>584</v>
      </c>
      <c r="C71" s="480">
        <v>3.8135568569</v>
      </c>
      <c r="D71" s="167" t="s">
        <v>944</v>
      </c>
      <c r="E71" s="34" t="s">
        <v>667</v>
      </c>
      <c r="F71" s="34"/>
    </row>
    <row r="72" spans="2:6" x14ac:dyDescent="0.25">
      <c r="B72" s="167" t="s">
        <v>585</v>
      </c>
      <c r="C72" s="480">
        <v>65.52</v>
      </c>
      <c r="D72" s="167" t="s">
        <v>944</v>
      </c>
      <c r="E72" s="34" t="s">
        <v>667</v>
      </c>
      <c r="F72" s="34"/>
    </row>
    <row r="73" spans="2:6" x14ac:dyDescent="0.25">
      <c r="B73" s="167" t="s">
        <v>587</v>
      </c>
      <c r="C73" s="480">
        <v>8.3256162012000008</v>
      </c>
      <c r="D73" s="167" t="s">
        <v>944</v>
      </c>
      <c r="E73" s="34" t="s">
        <v>667</v>
      </c>
      <c r="F73" s="34"/>
    </row>
    <row r="74" spans="2:6" x14ac:dyDescent="0.25">
      <c r="B74" s="167" t="s">
        <v>588</v>
      </c>
      <c r="C74" s="480">
        <v>2.8425067915</v>
      </c>
      <c r="D74" s="167" t="s">
        <v>944</v>
      </c>
      <c r="E74" s="34" t="s">
        <v>667</v>
      </c>
      <c r="F74" s="34"/>
    </row>
    <row r="75" spans="2:6" x14ac:dyDescent="0.25">
      <c r="B75" s="167" t="s">
        <v>589</v>
      </c>
      <c r="C75" s="480">
        <v>5.6</v>
      </c>
      <c r="D75" s="167" t="s">
        <v>944</v>
      </c>
      <c r="E75" s="34" t="s">
        <v>667</v>
      </c>
      <c r="F75" s="34"/>
    </row>
    <row r="76" spans="2:6" x14ac:dyDescent="0.25">
      <c r="B76" s="640" t="s">
        <v>940</v>
      </c>
      <c r="C76" s="641"/>
      <c r="D76" s="642"/>
      <c r="E76" s="484" t="s">
        <v>335</v>
      </c>
      <c r="F76" s="484" t="s">
        <v>856</v>
      </c>
    </row>
    <row r="77" spans="2:6" x14ac:dyDescent="0.25">
      <c r="B77" s="167" t="s">
        <v>580</v>
      </c>
      <c r="C77" s="468">
        <v>11.720790191700001</v>
      </c>
      <c r="D77" s="167" t="s">
        <v>944</v>
      </c>
      <c r="E77" s="34" t="s">
        <v>667</v>
      </c>
      <c r="F77" s="34"/>
    </row>
    <row r="78" spans="2:6" x14ac:dyDescent="0.25">
      <c r="B78" s="167" t="s">
        <v>582</v>
      </c>
      <c r="C78" s="468">
        <v>0</v>
      </c>
      <c r="D78" s="167" t="s">
        <v>944</v>
      </c>
      <c r="E78" s="34" t="s">
        <v>667</v>
      </c>
      <c r="F78" s="34"/>
    </row>
    <row r="79" spans="2:6" x14ac:dyDescent="0.25">
      <c r="B79" s="167" t="s">
        <v>584</v>
      </c>
      <c r="C79" s="468">
        <v>0</v>
      </c>
      <c r="D79" s="167" t="s">
        <v>944</v>
      </c>
      <c r="E79" s="34" t="s">
        <v>667</v>
      </c>
      <c r="F79" s="34"/>
    </row>
    <row r="80" spans="2:6" x14ac:dyDescent="0.25">
      <c r="B80" s="167" t="s">
        <v>585</v>
      </c>
      <c r="C80" s="468">
        <v>0</v>
      </c>
      <c r="D80" s="167" t="s">
        <v>944</v>
      </c>
      <c r="E80" s="34" t="s">
        <v>667</v>
      </c>
      <c r="F80" s="34"/>
    </row>
    <row r="81" spans="1:6" x14ac:dyDescent="0.25">
      <c r="B81" s="167" t="s">
        <v>587</v>
      </c>
      <c r="C81" s="468">
        <v>0</v>
      </c>
      <c r="D81" s="167" t="s">
        <v>944</v>
      </c>
      <c r="E81" s="34" t="s">
        <v>667</v>
      </c>
      <c r="F81" s="34"/>
    </row>
    <row r="82" spans="1:6" x14ac:dyDescent="0.25">
      <c r="B82" s="167" t="s">
        <v>588</v>
      </c>
      <c r="C82" s="468">
        <v>0</v>
      </c>
      <c r="D82" s="167" t="s">
        <v>944</v>
      </c>
      <c r="E82" s="34" t="s">
        <v>667</v>
      </c>
      <c r="F82" s="34"/>
    </row>
    <row r="83" spans="1:6" x14ac:dyDescent="0.25">
      <c r="B83" s="167" t="s">
        <v>589</v>
      </c>
      <c r="C83" s="468">
        <v>0</v>
      </c>
      <c r="D83" s="167" t="s">
        <v>944</v>
      </c>
      <c r="E83" s="34" t="s">
        <v>667</v>
      </c>
      <c r="F83" s="34"/>
    </row>
    <row r="84" spans="1:6" x14ac:dyDescent="0.25">
      <c r="B84" s="640" t="s">
        <v>941</v>
      </c>
      <c r="C84" s="641"/>
      <c r="D84" s="642"/>
      <c r="E84" s="484" t="s">
        <v>335</v>
      </c>
      <c r="F84" s="484" t="s">
        <v>856</v>
      </c>
    </row>
    <row r="85" spans="1:6" x14ac:dyDescent="0.25">
      <c r="B85" s="167" t="s">
        <v>580</v>
      </c>
      <c r="C85" s="468">
        <v>377.18994056629998</v>
      </c>
      <c r="D85" s="167" t="s">
        <v>944</v>
      </c>
      <c r="E85" s="34" t="s">
        <v>667</v>
      </c>
      <c r="F85" s="34"/>
    </row>
    <row r="86" spans="1:6" x14ac:dyDescent="0.25">
      <c r="B86" s="167" t="s">
        <v>582</v>
      </c>
      <c r="C86" s="468">
        <v>226.6411563067</v>
      </c>
      <c r="D86" s="167" t="s">
        <v>944</v>
      </c>
      <c r="E86" s="34" t="s">
        <v>667</v>
      </c>
      <c r="F86" s="34"/>
    </row>
    <row r="87" spans="1:6" x14ac:dyDescent="0.25">
      <c r="B87" s="167" t="s">
        <v>584</v>
      </c>
      <c r="C87" s="468">
        <v>31.5189306366</v>
      </c>
      <c r="D87" s="167" t="s">
        <v>944</v>
      </c>
      <c r="E87" s="34" t="s">
        <v>667</v>
      </c>
      <c r="F87" s="34"/>
    </row>
    <row r="88" spans="1:6" x14ac:dyDescent="0.25">
      <c r="B88" s="167" t="s">
        <v>585</v>
      </c>
      <c r="C88" s="468">
        <v>290.9211642857</v>
      </c>
      <c r="D88" s="167" t="s">
        <v>944</v>
      </c>
      <c r="E88" s="34" t="s">
        <v>667</v>
      </c>
      <c r="F88" s="34"/>
    </row>
    <row r="89" spans="1:6" x14ac:dyDescent="0.25">
      <c r="B89" s="167" t="s">
        <v>587</v>
      </c>
      <c r="C89" s="468">
        <v>72.477677152699997</v>
      </c>
      <c r="D89" s="167" t="s">
        <v>944</v>
      </c>
      <c r="E89" s="34" t="s">
        <v>667</v>
      </c>
      <c r="F89" s="34"/>
    </row>
    <row r="90" spans="1:6" x14ac:dyDescent="0.25">
      <c r="B90" s="167" t="s">
        <v>588</v>
      </c>
      <c r="C90" s="468">
        <v>66.315599648499997</v>
      </c>
      <c r="D90" s="167" t="s">
        <v>944</v>
      </c>
      <c r="E90" s="34" t="s">
        <v>667</v>
      </c>
      <c r="F90" s="34"/>
    </row>
    <row r="91" spans="1:6" x14ac:dyDescent="0.25">
      <c r="B91" s="167" t="s">
        <v>589</v>
      </c>
      <c r="C91" s="468">
        <v>61.500801503799998</v>
      </c>
      <c r="D91" s="167" t="s">
        <v>944</v>
      </c>
      <c r="E91" s="34" t="s">
        <v>667</v>
      </c>
      <c r="F91" s="34"/>
    </row>
    <row r="92" spans="1:6" x14ac:dyDescent="0.25">
      <c r="A92" s="4"/>
    </row>
    <row r="93" spans="1:6" x14ac:dyDescent="0.25">
      <c r="B93" s="491" t="s">
        <v>946</v>
      </c>
      <c r="C93" s="157"/>
      <c r="D93" s="157" t="s">
        <v>107</v>
      </c>
      <c r="E93" s="157" t="s">
        <v>335</v>
      </c>
      <c r="F93" s="157" t="s">
        <v>856</v>
      </c>
    </row>
    <row r="94" spans="1:6" x14ac:dyDescent="0.25">
      <c r="B94" s="162" t="s">
        <v>618</v>
      </c>
      <c r="C94" s="167">
        <v>5.8999999999999999E-3</v>
      </c>
      <c r="D94" s="167" t="s">
        <v>617</v>
      </c>
      <c r="E94" s="661"/>
      <c r="F94" s="34"/>
    </row>
    <row r="95" spans="1:6" ht="15" customHeight="1" x14ac:dyDescent="0.25">
      <c r="B95" s="162" t="s">
        <v>619</v>
      </c>
      <c r="C95" s="167">
        <v>0.1</v>
      </c>
      <c r="D95" s="167" t="s">
        <v>620</v>
      </c>
      <c r="E95" s="661"/>
      <c r="F95" s="34"/>
    </row>
    <row r="96" spans="1:6" x14ac:dyDescent="0.25">
      <c r="A96" s="4"/>
    </row>
    <row r="97" spans="1:14" x14ac:dyDescent="0.25">
      <c r="B97" s="491" t="s">
        <v>967</v>
      </c>
      <c r="C97" s="157"/>
      <c r="D97" s="157" t="s">
        <v>107</v>
      </c>
      <c r="E97" s="157" t="s">
        <v>335</v>
      </c>
      <c r="F97" s="157" t="s">
        <v>856</v>
      </c>
    </row>
    <row r="98" spans="1:14" x14ac:dyDescent="0.25">
      <c r="B98" s="418" t="s">
        <v>603</v>
      </c>
      <c r="C98" s="182">
        <v>0.46</v>
      </c>
      <c r="D98" s="167" t="s">
        <v>600</v>
      </c>
      <c r="E98" s="34" t="s">
        <v>966</v>
      </c>
      <c r="F98" s="34"/>
    </row>
    <row r="99" spans="1:14" x14ac:dyDescent="0.25">
      <c r="B99" s="34" t="s">
        <v>604</v>
      </c>
      <c r="C99" s="182">
        <v>0.18</v>
      </c>
      <c r="D99" s="167" t="s">
        <v>600</v>
      </c>
      <c r="E99" s="34" t="s">
        <v>966</v>
      </c>
      <c r="F99" s="34"/>
    </row>
    <row r="100" spans="1:14" x14ac:dyDescent="0.25">
      <c r="B100" s="34" t="s">
        <v>605</v>
      </c>
      <c r="C100" s="182">
        <v>0.21</v>
      </c>
      <c r="D100" s="167" t="s">
        <v>600</v>
      </c>
      <c r="E100" s="34" t="s">
        <v>966</v>
      </c>
      <c r="F100" s="34"/>
    </row>
    <row r="101" spans="1:14" x14ac:dyDescent="0.25">
      <c r="B101" s="34" t="s">
        <v>606</v>
      </c>
      <c r="C101" s="182">
        <v>0.13600000000000001</v>
      </c>
      <c r="D101" s="167" t="s">
        <v>600</v>
      </c>
      <c r="E101" s="34" t="s">
        <v>966</v>
      </c>
      <c r="F101" s="34"/>
    </row>
    <row r="102" spans="1:14" x14ac:dyDescent="0.25">
      <c r="A102" s="4"/>
    </row>
    <row r="103" spans="1:14" x14ac:dyDescent="0.25">
      <c r="B103" s="157"/>
      <c r="C103" s="157"/>
      <c r="D103" s="157" t="s">
        <v>107</v>
      </c>
      <c r="E103" s="157" t="s">
        <v>335</v>
      </c>
      <c r="F103" s="157" t="s">
        <v>856</v>
      </c>
    </row>
    <row r="104" spans="1:14" x14ac:dyDescent="0.25">
      <c r="B104" s="162" t="s">
        <v>945</v>
      </c>
      <c r="C104" s="165">
        <v>0.01</v>
      </c>
      <c r="D104" s="167" t="s">
        <v>617</v>
      </c>
      <c r="E104" s="661"/>
      <c r="F104" s="34"/>
    </row>
    <row r="105" spans="1:14" x14ac:dyDescent="0.25">
      <c r="B105" s="1"/>
      <c r="C105" s="6"/>
    </row>
    <row r="107" spans="1:14" x14ac:dyDescent="0.25">
      <c r="A107" s="4" t="s">
        <v>933</v>
      </c>
    </row>
    <row r="108" spans="1:14" x14ac:dyDescent="0.25">
      <c r="B108" s="190"/>
      <c r="C108" s="192">
        <f>C49</f>
        <v>2022</v>
      </c>
      <c r="D108" s="192">
        <f t="shared" ref="D108:I108" si="26">D49</f>
        <v>2025</v>
      </c>
      <c r="E108" s="192">
        <f t="shared" si="26"/>
        <v>2030</v>
      </c>
      <c r="F108" s="192">
        <f t="shared" si="26"/>
        <v>2035</v>
      </c>
      <c r="G108" s="192">
        <f t="shared" si="26"/>
        <v>2040</v>
      </c>
      <c r="H108" s="192">
        <f t="shared" si="26"/>
        <v>2045</v>
      </c>
      <c r="I108" s="192">
        <f t="shared" si="26"/>
        <v>2050</v>
      </c>
      <c r="J108" s="189" t="s">
        <v>662</v>
      </c>
      <c r="K108" s="189" t="s">
        <v>335</v>
      </c>
      <c r="L108" s="189" t="s">
        <v>153</v>
      </c>
      <c r="N108" s="12"/>
    </row>
    <row r="109" spans="1:14" x14ac:dyDescent="0.25">
      <c r="B109" s="488" t="s">
        <v>134</v>
      </c>
      <c r="C109" s="469">
        <v>28</v>
      </c>
      <c r="D109" s="469">
        <v>28</v>
      </c>
      <c r="E109" s="469">
        <v>28</v>
      </c>
      <c r="F109" s="469">
        <v>28</v>
      </c>
      <c r="G109" s="469">
        <v>28</v>
      </c>
      <c r="H109" s="469">
        <v>28</v>
      </c>
      <c r="I109" s="469">
        <v>28</v>
      </c>
      <c r="J109" s="167" t="s">
        <v>135</v>
      </c>
      <c r="K109" s="167" t="s">
        <v>934</v>
      </c>
      <c r="L109" s="167"/>
    </row>
    <row r="110" spans="1:14" x14ac:dyDescent="0.25">
      <c r="B110" s="488" t="s">
        <v>137</v>
      </c>
      <c r="C110" s="469">
        <v>265</v>
      </c>
      <c r="D110" s="469">
        <v>265</v>
      </c>
      <c r="E110" s="469">
        <v>265</v>
      </c>
      <c r="F110" s="469">
        <v>265</v>
      </c>
      <c r="G110" s="469">
        <v>265</v>
      </c>
      <c r="H110" s="469">
        <v>265</v>
      </c>
      <c r="I110" s="469">
        <v>265</v>
      </c>
      <c r="J110" s="167" t="s">
        <v>138</v>
      </c>
      <c r="K110" s="167" t="s">
        <v>934</v>
      </c>
      <c r="L110" s="167"/>
    </row>
    <row r="111" spans="1:14" x14ac:dyDescent="0.25">
      <c r="B111" s="488" t="s">
        <v>112</v>
      </c>
      <c r="C111" s="469">
        <v>1</v>
      </c>
      <c r="D111" s="469">
        <v>1</v>
      </c>
      <c r="E111" s="469">
        <v>1</v>
      </c>
      <c r="F111" s="469">
        <v>1</v>
      </c>
      <c r="G111" s="469">
        <v>1</v>
      </c>
      <c r="H111" s="469">
        <v>1</v>
      </c>
      <c r="I111" s="469">
        <v>1</v>
      </c>
      <c r="J111" s="167" t="s">
        <v>113</v>
      </c>
      <c r="K111" s="167" t="s">
        <v>934</v>
      </c>
      <c r="L111" s="167"/>
    </row>
    <row r="112" spans="1:14" x14ac:dyDescent="0.25">
      <c r="B112" s="465"/>
      <c r="C112" s="489"/>
      <c r="D112" s="489"/>
      <c r="E112" s="489"/>
      <c r="F112" s="489"/>
      <c r="G112" s="489"/>
      <c r="H112" s="489"/>
      <c r="I112" s="489"/>
    </row>
    <row r="113" spans="1:12" x14ac:dyDescent="0.25">
      <c r="A113" s="465" t="s">
        <v>917</v>
      </c>
    </row>
    <row r="114" spans="1:12" x14ac:dyDescent="0.25">
      <c r="B114" s="189"/>
      <c r="C114" s="189" t="s">
        <v>666</v>
      </c>
      <c r="D114" s="189" t="s">
        <v>120</v>
      </c>
      <c r="E114" s="189" t="s">
        <v>335</v>
      </c>
      <c r="F114" s="189" t="s">
        <v>153</v>
      </c>
    </row>
    <row r="115" spans="1:12" x14ac:dyDescent="0.25">
      <c r="B115" s="464" t="s">
        <v>61</v>
      </c>
      <c r="C115" s="34">
        <v>1</v>
      </c>
      <c r="D115" s="34">
        <f>24/1000</f>
        <v>2.4E-2</v>
      </c>
      <c r="E115" s="34" t="s">
        <v>918</v>
      </c>
      <c r="F115" s="34"/>
    </row>
    <row r="116" spans="1:12" x14ac:dyDescent="0.25">
      <c r="B116" s="189"/>
      <c r="C116" s="189" t="s">
        <v>666</v>
      </c>
      <c r="D116" s="189" t="s">
        <v>122</v>
      </c>
      <c r="E116" s="189" t="s">
        <v>335</v>
      </c>
      <c r="F116" s="189" t="s">
        <v>153</v>
      </c>
    </row>
    <row r="117" spans="1:12" x14ac:dyDescent="0.25">
      <c r="B117" s="464" t="s">
        <v>72</v>
      </c>
      <c r="C117" s="34">
        <v>1</v>
      </c>
      <c r="D117" s="34">
        <v>1.9690000000000001</v>
      </c>
      <c r="E117" s="34" t="s">
        <v>920</v>
      </c>
      <c r="F117" s="34"/>
    </row>
    <row r="118" spans="1:12" x14ac:dyDescent="0.25">
      <c r="B118" s="9"/>
    </row>
    <row r="119" spans="1:12" x14ac:dyDescent="0.25">
      <c r="A119" s="4" t="s">
        <v>937</v>
      </c>
    </row>
    <row r="120" spans="1:12" x14ac:dyDescent="0.25">
      <c r="B120" s="147" t="s">
        <v>489</v>
      </c>
      <c r="C120" s="149">
        <f>'Baseline Statistics'!C16</f>
        <v>2022</v>
      </c>
      <c r="D120" s="149">
        <f>'Baseline Statistics'!D16</f>
        <v>2025</v>
      </c>
      <c r="E120" s="149">
        <f>'Baseline Statistics'!E16</f>
        <v>2030</v>
      </c>
      <c r="F120" s="149">
        <f>'Baseline Statistics'!F16</f>
        <v>2035</v>
      </c>
      <c r="G120" s="149">
        <f>'Baseline Statistics'!G16</f>
        <v>2040</v>
      </c>
      <c r="H120" s="149">
        <f>'Baseline Statistics'!H16</f>
        <v>2045</v>
      </c>
      <c r="I120" s="149">
        <f>'Baseline Statistics'!I16</f>
        <v>2050</v>
      </c>
      <c r="J120" s="148" t="s">
        <v>107</v>
      </c>
      <c r="K120" s="189" t="s">
        <v>335</v>
      </c>
      <c r="L120" s="189" t="s">
        <v>153</v>
      </c>
    </row>
    <row r="121" spans="1:12" x14ac:dyDescent="0.25">
      <c r="B121" s="150" t="s">
        <v>490</v>
      </c>
      <c r="C121" s="471">
        <v>9.5</v>
      </c>
      <c r="D121" s="471">
        <v>9.5</v>
      </c>
      <c r="E121" s="471">
        <v>9.5</v>
      </c>
      <c r="F121" s="471">
        <v>9.5</v>
      </c>
      <c r="G121" s="471">
        <v>9.5</v>
      </c>
      <c r="H121" s="471">
        <v>9.5</v>
      </c>
      <c r="I121" s="471">
        <v>9.5</v>
      </c>
      <c r="J121" s="155" t="s">
        <v>491</v>
      </c>
      <c r="K121" s="34"/>
      <c r="L121" s="34" t="s">
        <v>948</v>
      </c>
    </row>
    <row r="122" spans="1:12" x14ac:dyDescent="0.25">
      <c r="B122" s="150" t="s">
        <v>492</v>
      </c>
      <c r="C122" s="471">
        <v>10</v>
      </c>
      <c r="D122" s="471">
        <v>10</v>
      </c>
      <c r="E122" s="471">
        <v>10</v>
      </c>
      <c r="F122" s="471">
        <v>10</v>
      </c>
      <c r="G122" s="471">
        <v>10</v>
      </c>
      <c r="H122" s="471">
        <v>10</v>
      </c>
      <c r="I122" s="471">
        <v>10</v>
      </c>
      <c r="J122" s="155" t="s">
        <v>491</v>
      </c>
      <c r="K122" s="34"/>
      <c r="L122" s="34" t="s">
        <v>948</v>
      </c>
    </row>
    <row r="123" spans="1:12" x14ac:dyDescent="0.25">
      <c r="B123" s="150" t="s">
        <v>493</v>
      </c>
      <c r="C123" s="471">
        <v>30</v>
      </c>
      <c r="D123" s="471">
        <v>30</v>
      </c>
      <c r="E123" s="471">
        <v>30</v>
      </c>
      <c r="F123" s="471">
        <v>30</v>
      </c>
      <c r="G123" s="471">
        <v>30</v>
      </c>
      <c r="H123" s="471">
        <v>30</v>
      </c>
      <c r="I123" s="471">
        <v>30</v>
      </c>
      <c r="J123" s="155" t="s">
        <v>491</v>
      </c>
      <c r="K123" s="34"/>
      <c r="L123" s="34" t="s">
        <v>948</v>
      </c>
    </row>
    <row r="124" spans="1:12" x14ac:dyDescent="0.25">
      <c r="B124" s="150" t="s">
        <v>494</v>
      </c>
      <c r="C124" s="471">
        <v>40</v>
      </c>
      <c r="D124" s="471">
        <v>40</v>
      </c>
      <c r="E124" s="471">
        <v>40</v>
      </c>
      <c r="F124" s="471">
        <v>40</v>
      </c>
      <c r="G124" s="471">
        <v>40</v>
      </c>
      <c r="H124" s="471">
        <v>40</v>
      </c>
      <c r="I124" s="471">
        <v>40</v>
      </c>
      <c r="J124" s="155" t="s">
        <v>491</v>
      </c>
      <c r="K124" s="34"/>
      <c r="L124" s="34" t="s">
        <v>948</v>
      </c>
    </row>
    <row r="125" spans="1:12" x14ac:dyDescent="0.25">
      <c r="B125" s="150" t="s">
        <v>495</v>
      </c>
      <c r="C125" s="471">
        <v>30</v>
      </c>
      <c r="D125" s="471">
        <v>30</v>
      </c>
      <c r="E125" s="471">
        <v>30</v>
      </c>
      <c r="F125" s="471">
        <v>30</v>
      </c>
      <c r="G125" s="471">
        <v>30</v>
      </c>
      <c r="H125" s="471">
        <v>30</v>
      </c>
      <c r="I125" s="471">
        <v>30</v>
      </c>
      <c r="J125" s="155" t="s">
        <v>491</v>
      </c>
      <c r="K125" s="34"/>
      <c r="L125" s="34" t="s">
        <v>948</v>
      </c>
    </row>
    <row r="126" spans="1:12" x14ac:dyDescent="0.25">
      <c r="B126" s="150" t="s">
        <v>496</v>
      </c>
      <c r="C126" s="471">
        <v>11</v>
      </c>
      <c r="D126" s="471">
        <v>11</v>
      </c>
      <c r="E126" s="471">
        <v>11</v>
      </c>
      <c r="F126" s="471">
        <v>11</v>
      </c>
      <c r="G126" s="471">
        <v>11</v>
      </c>
      <c r="H126" s="471">
        <v>11</v>
      </c>
      <c r="I126" s="471">
        <v>11</v>
      </c>
      <c r="J126" s="155" t="s">
        <v>497</v>
      </c>
      <c r="K126" s="34"/>
      <c r="L126" s="34" t="s">
        <v>948</v>
      </c>
    </row>
    <row r="127" spans="1:12" x14ac:dyDescent="0.25">
      <c r="B127" s="156" t="s">
        <v>498</v>
      </c>
      <c r="C127" s="471">
        <v>60</v>
      </c>
      <c r="D127" s="471">
        <v>60</v>
      </c>
      <c r="E127" s="471">
        <v>60</v>
      </c>
      <c r="F127" s="471">
        <v>60</v>
      </c>
      <c r="G127" s="471">
        <v>60</v>
      </c>
      <c r="H127" s="471">
        <v>60</v>
      </c>
      <c r="I127" s="471">
        <v>60</v>
      </c>
      <c r="J127" s="155" t="s">
        <v>497</v>
      </c>
      <c r="K127" s="34"/>
      <c r="L127" s="34" t="s">
        <v>948</v>
      </c>
    </row>
    <row r="128" spans="1:12" x14ac:dyDescent="0.25">
      <c r="B128" s="150" t="s">
        <v>499</v>
      </c>
      <c r="C128" s="471">
        <v>120</v>
      </c>
      <c r="D128" s="471">
        <v>120</v>
      </c>
      <c r="E128" s="471">
        <v>120</v>
      </c>
      <c r="F128" s="471">
        <v>120</v>
      </c>
      <c r="G128" s="471">
        <v>120</v>
      </c>
      <c r="H128" s="471">
        <v>120</v>
      </c>
      <c r="I128" s="471">
        <v>120</v>
      </c>
      <c r="J128" s="155" t="s">
        <v>497</v>
      </c>
      <c r="K128" s="34"/>
      <c r="L128" s="34" t="s">
        <v>948</v>
      </c>
    </row>
    <row r="129" spans="1:12" x14ac:dyDescent="0.25">
      <c r="B129" s="150" t="s">
        <v>500</v>
      </c>
      <c r="C129" s="471">
        <f>C128*3</f>
        <v>360</v>
      </c>
      <c r="D129" s="471">
        <f t="shared" ref="D129:I129" si="27">D128*3</f>
        <v>360</v>
      </c>
      <c r="E129" s="471">
        <f t="shared" si="27"/>
        <v>360</v>
      </c>
      <c r="F129" s="471">
        <f t="shared" si="27"/>
        <v>360</v>
      </c>
      <c r="G129" s="471">
        <f t="shared" si="27"/>
        <v>360</v>
      </c>
      <c r="H129" s="471">
        <f t="shared" si="27"/>
        <v>360</v>
      </c>
      <c r="I129" s="471">
        <f t="shared" si="27"/>
        <v>360</v>
      </c>
      <c r="J129" s="155" t="s">
        <v>497</v>
      </c>
      <c r="K129" s="34"/>
      <c r="L129" s="34" t="s">
        <v>948</v>
      </c>
    </row>
    <row r="130" spans="1:12" x14ac:dyDescent="0.25">
      <c r="B130" s="150" t="s">
        <v>501</v>
      </c>
      <c r="C130" s="471">
        <v>150</v>
      </c>
      <c r="D130" s="471">
        <v>150</v>
      </c>
      <c r="E130" s="471">
        <v>150</v>
      </c>
      <c r="F130" s="471">
        <v>150</v>
      </c>
      <c r="G130" s="471">
        <v>150</v>
      </c>
      <c r="H130" s="471">
        <v>150</v>
      </c>
      <c r="I130" s="471">
        <v>150</v>
      </c>
      <c r="J130" s="155" t="s">
        <v>497</v>
      </c>
      <c r="K130" s="34"/>
      <c r="L130" s="34" t="s">
        <v>948</v>
      </c>
    </row>
    <row r="131" spans="1:12" x14ac:dyDescent="0.25">
      <c r="B131" s="150" t="s">
        <v>502</v>
      </c>
      <c r="C131" s="472">
        <v>0.78</v>
      </c>
      <c r="D131" s="472">
        <v>0.78</v>
      </c>
      <c r="E131" s="472">
        <v>0.78</v>
      </c>
      <c r="F131" s="472">
        <v>0.78</v>
      </c>
      <c r="G131" s="472">
        <v>0.78</v>
      </c>
      <c r="H131" s="472">
        <v>0.78</v>
      </c>
      <c r="I131" s="472">
        <v>0.78</v>
      </c>
      <c r="J131" s="155" t="s">
        <v>519</v>
      </c>
      <c r="K131" s="34" t="s">
        <v>960</v>
      </c>
      <c r="L131" s="34"/>
    </row>
    <row r="132" spans="1:12" x14ac:dyDescent="0.25">
      <c r="B132" s="150" t="s">
        <v>503</v>
      </c>
      <c r="C132" s="472">
        <v>0.21</v>
      </c>
      <c r="D132" s="472">
        <v>0.21</v>
      </c>
      <c r="E132" s="472">
        <v>0.21</v>
      </c>
      <c r="F132" s="472">
        <v>0.21</v>
      </c>
      <c r="G132" s="472">
        <v>0.21</v>
      </c>
      <c r="H132" s="472">
        <v>0.21</v>
      </c>
      <c r="I132" s="472">
        <v>0.21</v>
      </c>
      <c r="J132" s="155" t="s">
        <v>519</v>
      </c>
      <c r="K132" s="34" t="s">
        <v>960</v>
      </c>
      <c r="L132" s="34"/>
    </row>
    <row r="133" spans="1:12" x14ac:dyDescent="0.25">
      <c r="B133" s="150" t="s">
        <v>504</v>
      </c>
      <c r="C133" s="472">
        <v>0.35</v>
      </c>
      <c r="D133" s="472">
        <v>0.35</v>
      </c>
      <c r="E133" s="472">
        <v>0.35</v>
      </c>
      <c r="F133" s="472">
        <v>0.35</v>
      </c>
      <c r="G133" s="472">
        <v>0.35</v>
      </c>
      <c r="H133" s="472">
        <v>0.35</v>
      </c>
      <c r="I133" s="472">
        <v>0.35</v>
      </c>
      <c r="J133" s="155" t="s">
        <v>505</v>
      </c>
      <c r="K133" s="34"/>
      <c r="L133" s="34" t="s">
        <v>948</v>
      </c>
    </row>
    <row r="134" spans="1:12" x14ac:dyDescent="0.25">
      <c r="B134" s="150" t="s">
        <v>506</v>
      </c>
      <c r="C134" s="472">
        <v>0.9</v>
      </c>
      <c r="D134" s="472">
        <v>0.9</v>
      </c>
      <c r="E134" s="472">
        <v>0.9</v>
      </c>
      <c r="F134" s="472">
        <v>0.9</v>
      </c>
      <c r="G134" s="472">
        <v>0.9</v>
      </c>
      <c r="H134" s="472">
        <v>0.9</v>
      </c>
      <c r="I134" s="472">
        <v>0.9</v>
      </c>
      <c r="J134" s="155" t="s">
        <v>505</v>
      </c>
      <c r="K134" s="34"/>
      <c r="L134" s="34" t="s">
        <v>948</v>
      </c>
    </row>
    <row r="135" spans="1:12" x14ac:dyDescent="0.25">
      <c r="B135" s="150" t="s">
        <v>507</v>
      </c>
      <c r="C135" s="471">
        <v>36</v>
      </c>
      <c r="D135" s="471">
        <v>36</v>
      </c>
      <c r="E135" s="471">
        <v>36</v>
      </c>
      <c r="F135" s="471">
        <v>36</v>
      </c>
      <c r="G135" s="471">
        <v>36</v>
      </c>
      <c r="H135" s="471">
        <v>36</v>
      </c>
      <c r="I135" s="471">
        <v>36</v>
      </c>
      <c r="J135" s="155" t="s">
        <v>508</v>
      </c>
      <c r="K135" s="34"/>
      <c r="L135" s="34" t="s">
        <v>948</v>
      </c>
    </row>
    <row r="136" spans="1:12" x14ac:dyDescent="0.25">
      <c r="B136" s="150" t="s">
        <v>509</v>
      </c>
      <c r="C136" s="473">
        <v>3.6</v>
      </c>
      <c r="D136" s="473">
        <v>3.6</v>
      </c>
      <c r="E136" s="473">
        <v>3.6</v>
      </c>
      <c r="F136" s="473">
        <v>3.6</v>
      </c>
      <c r="G136" s="473">
        <v>3.6</v>
      </c>
      <c r="H136" s="473">
        <v>3.6</v>
      </c>
      <c r="I136" s="473">
        <v>3.6</v>
      </c>
      <c r="J136" s="155" t="s">
        <v>510</v>
      </c>
      <c r="K136" s="665"/>
      <c r="L136" s="34" t="s">
        <v>948</v>
      </c>
    </row>
    <row r="137" spans="1:12" x14ac:dyDescent="0.25">
      <c r="B137" s="150" t="s">
        <v>511</v>
      </c>
      <c r="C137" s="473">
        <f t="shared" ref="C137:I137" si="28">C135*C133/C134/C136</f>
        <v>3.8888888888888888</v>
      </c>
      <c r="D137" s="473">
        <f t="shared" si="28"/>
        <v>3.8888888888888888</v>
      </c>
      <c r="E137" s="473">
        <f t="shared" si="28"/>
        <v>3.8888888888888888</v>
      </c>
      <c r="F137" s="473">
        <f t="shared" si="28"/>
        <v>3.8888888888888888</v>
      </c>
      <c r="G137" s="473">
        <f t="shared" si="28"/>
        <v>3.8888888888888888</v>
      </c>
      <c r="H137" s="473">
        <f t="shared" si="28"/>
        <v>3.8888888888888888</v>
      </c>
      <c r="I137" s="473">
        <f t="shared" si="28"/>
        <v>3.8888888888888888</v>
      </c>
      <c r="J137" s="155" t="s">
        <v>512</v>
      </c>
      <c r="K137" s="661"/>
      <c r="L137" s="34"/>
    </row>
    <row r="138" spans="1:12" x14ac:dyDescent="0.25">
      <c r="B138" s="150" t="s">
        <v>513</v>
      </c>
      <c r="C138" s="473">
        <f t="shared" ref="C138:I138" si="29">130/450</f>
        <v>0.28888888888888886</v>
      </c>
      <c r="D138" s="473">
        <f t="shared" si="29"/>
        <v>0.28888888888888886</v>
      </c>
      <c r="E138" s="473">
        <f t="shared" si="29"/>
        <v>0.28888888888888886</v>
      </c>
      <c r="F138" s="473">
        <f t="shared" si="29"/>
        <v>0.28888888888888886</v>
      </c>
      <c r="G138" s="473">
        <f t="shared" si="29"/>
        <v>0.28888888888888886</v>
      </c>
      <c r="H138" s="473">
        <f t="shared" si="29"/>
        <v>0.28888888888888886</v>
      </c>
      <c r="I138" s="473">
        <f t="shared" si="29"/>
        <v>0.28888888888888886</v>
      </c>
      <c r="J138" s="155" t="s">
        <v>514</v>
      </c>
      <c r="K138" s="661"/>
      <c r="L138" s="34"/>
    </row>
    <row r="139" spans="1:12" x14ac:dyDescent="0.25">
      <c r="B139" s="158" t="s">
        <v>526</v>
      </c>
      <c r="C139" s="34">
        <v>40</v>
      </c>
      <c r="D139" s="34">
        <v>40</v>
      </c>
      <c r="E139" s="34">
        <v>40</v>
      </c>
      <c r="F139" s="34">
        <v>40</v>
      </c>
      <c r="G139" s="34">
        <v>40</v>
      </c>
      <c r="H139" s="34">
        <v>40</v>
      </c>
      <c r="I139" s="34">
        <v>40</v>
      </c>
      <c r="J139" s="34" t="s">
        <v>527</v>
      </c>
      <c r="K139" s="34"/>
      <c r="L139" s="34" t="s">
        <v>948</v>
      </c>
    </row>
    <row r="140" spans="1:12" x14ac:dyDescent="0.25">
      <c r="B140" s="158" t="s">
        <v>528</v>
      </c>
      <c r="C140" s="34">
        <v>3.5000000000000003E-2</v>
      </c>
      <c r="D140" s="34">
        <v>3.5000000000000003E-2</v>
      </c>
      <c r="E140" s="34">
        <v>3.5000000000000003E-2</v>
      </c>
      <c r="F140" s="34">
        <v>3.5000000000000003E-2</v>
      </c>
      <c r="G140" s="34">
        <v>3.5000000000000003E-2</v>
      </c>
      <c r="H140" s="34">
        <v>3.5000000000000003E-2</v>
      </c>
      <c r="I140" s="34">
        <v>3.5000000000000003E-2</v>
      </c>
      <c r="J140" s="34" t="s">
        <v>529</v>
      </c>
      <c r="K140" s="34"/>
      <c r="L140" s="34" t="s">
        <v>948</v>
      </c>
    </row>
    <row r="142" spans="1:12" x14ac:dyDescent="0.25">
      <c r="A142" s="4" t="s">
        <v>173</v>
      </c>
    </row>
    <row r="143" spans="1:12" x14ac:dyDescent="0.25">
      <c r="B143" s="157"/>
      <c r="C143" s="159">
        <f>'Baseline Statistics'!C12</f>
        <v>2022</v>
      </c>
      <c r="D143" s="159">
        <f>'Baseline Statistics'!D12</f>
        <v>2025</v>
      </c>
      <c r="E143" s="159">
        <f>'Baseline Statistics'!E12</f>
        <v>2030</v>
      </c>
      <c r="F143" s="159">
        <f>'Baseline Statistics'!F12</f>
        <v>2035</v>
      </c>
      <c r="G143" s="159">
        <f>'Baseline Statistics'!G12</f>
        <v>2040</v>
      </c>
      <c r="H143" s="159">
        <f>'Baseline Statistics'!H12</f>
        <v>2045</v>
      </c>
      <c r="I143" s="159">
        <f>'Baseline Statistics'!I12</f>
        <v>2050</v>
      </c>
      <c r="J143" s="148" t="s">
        <v>107</v>
      </c>
      <c r="K143" s="189" t="s">
        <v>335</v>
      </c>
      <c r="L143" s="189" t="s">
        <v>153</v>
      </c>
    </row>
    <row r="144" spans="1:12" x14ac:dyDescent="0.25">
      <c r="B144" s="158" t="s">
        <v>516</v>
      </c>
      <c r="C144" s="34">
        <v>15</v>
      </c>
      <c r="D144" s="34">
        <v>15</v>
      </c>
      <c r="E144" s="34">
        <v>15</v>
      </c>
      <c r="F144" s="34">
        <v>15</v>
      </c>
      <c r="G144" s="34">
        <v>15</v>
      </c>
      <c r="H144" s="34">
        <v>15</v>
      </c>
      <c r="I144" s="34">
        <v>15</v>
      </c>
      <c r="J144" s="34" t="s">
        <v>517</v>
      </c>
      <c r="K144" s="34"/>
      <c r="L144" s="34" t="s">
        <v>948</v>
      </c>
    </row>
    <row r="145" spans="1:12" x14ac:dyDescent="0.25">
      <c r="B145" s="158" t="s">
        <v>518</v>
      </c>
      <c r="C145" s="94">
        <v>0.03</v>
      </c>
      <c r="D145" s="94">
        <v>0.03</v>
      </c>
      <c r="E145" s="94">
        <v>0.03</v>
      </c>
      <c r="F145" s="94">
        <v>0.03</v>
      </c>
      <c r="G145" s="94">
        <v>0.03</v>
      </c>
      <c r="H145" s="94">
        <v>0.03</v>
      </c>
      <c r="I145" s="94">
        <v>0.03</v>
      </c>
      <c r="J145" s="34" t="s">
        <v>519</v>
      </c>
      <c r="K145" s="661"/>
      <c r="L145" s="34"/>
    </row>
    <row r="146" spans="1:12" x14ac:dyDescent="0.25">
      <c r="B146" s="158" t="s">
        <v>520</v>
      </c>
      <c r="C146" s="34">
        <v>900</v>
      </c>
      <c r="D146" s="34">
        <v>900</v>
      </c>
      <c r="E146" s="34">
        <v>900</v>
      </c>
      <c r="F146" s="34">
        <v>900</v>
      </c>
      <c r="G146" s="34">
        <v>900</v>
      </c>
      <c r="H146" s="34">
        <v>900</v>
      </c>
      <c r="I146" s="34">
        <v>900</v>
      </c>
      <c r="J146" s="160" t="s">
        <v>521</v>
      </c>
      <c r="K146" s="34"/>
      <c r="L146" s="34" t="s">
        <v>948</v>
      </c>
    </row>
    <row r="147" spans="1:12" ht="15" customHeight="1" x14ac:dyDescent="0.25">
      <c r="B147" s="158" t="s">
        <v>522</v>
      </c>
      <c r="C147" s="34">
        <v>2</v>
      </c>
      <c r="D147" s="34">
        <v>2</v>
      </c>
      <c r="E147" s="34">
        <v>2</v>
      </c>
      <c r="F147" s="34">
        <v>2</v>
      </c>
      <c r="G147" s="34">
        <v>2</v>
      </c>
      <c r="H147" s="34">
        <v>2</v>
      </c>
      <c r="I147" s="34">
        <v>2</v>
      </c>
      <c r="J147" s="34" t="s">
        <v>523</v>
      </c>
      <c r="K147" s="34"/>
      <c r="L147" s="34" t="s">
        <v>948</v>
      </c>
    </row>
    <row r="148" spans="1:12" x14ac:dyDescent="0.25">
      <c r="B148" s="158" t="s">
        <v>524</v>
      </c>
      <c r="C148" s="34">
        <v>0.5</v>
      </c>
      <c r="D148" s="34">
        <v>0.5</v>
      </c>
      <c r="E148" s="34">
        <v>0.5</v>
      </c>
      <c r="F148" s="34">
        <v>0.5</v>
      </c>
      <c r="G148" s="34">
        <v>0.5</v>
      </c>
      <c r="H148" s="34">
        <v>0.5</v>
      </c>
      <c r="I148" s="34">
        <v>0.5</v>
      </c>
      <c r="J148" s="34" t="s">
        <v>525</v>
      </c>
      <c r="K148" s="34"/>
      <c r="L148" s="34" t="s">
        <v>948</v>
      </c>
    </row>
    <row r="150" spans="1:12" x14ac:dyDescent="0.25">
      <c r="A150" s="4" t="s">
        <v>959</v>
      </c>
    </row>
    <row r="151" spans="1:12" x14ac:dyDescent="0.25">
      <c r="B151" s="157"/>
      <c r="C151" s="157"/>
      <c r="D151" s="157" t="s">
        <v>107</v>
      </c>
      <c r="E151" s="157" t="s">
        <v>335</v>
      </c>
      <c r="F151" s="157" t="s">
        <v>856</v>
      </c>
    </row>
    <row r="152" spans="1:12" x14ac:dyDescent="0.25">
      <c r="B152" s="167" t="s">
        <v>549</v>
      </c>
      <c r="C152" s="476">
        <v>0.5</v>
      </c>
      <c r="D152" s="167" t="s">
        <v>519</v>
      </c>
      <c r="E152" s="466" t="s">
        <v>958</v>
      </c>
      <c r="F152" s="34" t="s">
        <v>948</v>
      </c>
    </row>
    <row r="153" spans="1:12" x14ac:dyDescent="0.25">
      <c r="B153" s="167" t="s">
        <v>550</v>
      </c>
      <c r="C153" s="460">
        <v>277.77777777</v>
      </c>
      <c r="D153" s="167" t="s">
        <v>551</v>
      </c>
      <c r="E153" s="661"/>
      <c r="F153" s="34"/>
    </row>
    <row r="154" spans="1:12" x14ac:dyDescent="0.25">
      <c r="D154" s="25"/>
    </row>
    <row r="155" spans="1:12" ht="15" customHeight="1" x14ac:dyDescent="0.25">
      <c r="A155" s="4" t="s">
        <v>954</v>
      </c>
      <c r="D155" s="25"/>
    </row>
    <row r="156" spans="1:12" x14ac:dyDescent="0.25">
      <c r="B156" s="157"/>
      <c r="C156" s="157"/>
      <c r="D156" s="157" t="s">
        <v>107</v>
      </c>
      <c r="E156" s="157" t="s">
        <v>335</v>
      </c>
      <c r="F156" s="157" t="s">
        <v>856</v>
      </c>
    </row>
    <row r="157" spans="1:12" x14ac:dyDescent="0.25">
      <c r="B157" s="34" t="s">
        <v>572</v>
      </c>
      <c r="C157" s="34">
        <v>3</v>
      </c>
      <c r="D157" s="34" t="s">
        <v>953</v>
      </c>
      <c r="E157" s="661"/>
      <c r="F157" s="34"/>
    </row>
    <row r="158" spans="1:12" x14ac:dyDescent="0.25">
      <c r="B158" s="34" t="s">
        <v>571</v>
      </c>
      <c r="C158" s="34">
        <v>300</v>
      </c>
      <c r="D158" s="34" t="s">
        <v>571</v>
      </c>
      <c r="E158" s="70"/>
      <c r="F158" s="34" t="s">
        <v>948</v>
      </c>
    </row>
    <row r="159" spans="1:12" x14ac:dyDescent="0.25">
      <c r="B159" s="34" t="s">
        <v>955</v>
      </c>
      <c r="C159" s="460">
        <f>1300</f>
        <v>1300</v>
      </c>
      <c r="D159" s="34" t="s">
        <v>956</v>
      </c>
      <c r="E159" s="172"/>
      <c r="F159" s="34" t="s">
        <v>948</v>
      </c>
    </row>
    <row r="160" spans="1:12" x14ac:dyDescent="0.25">
      <c r="B160" s="34" t="s">
        <v>957</v>
      </c>
      <c r="C160" s="167">
        <v>4.5</v>
      </c>
      <c r="D160" s="172" t="s">
        <v>449</v>
      </c>
      <c r="E160" s="172"/>
      <c r="F160" s="34" t="s">
        <v>948</v>
      </c>
    </row>
    <row r="161" spans="1:7" x14ac:dyDescent="0.25">
      <c r="B161" s="34" t="s">
        <v>852</v>
      </c>
      <c r="C161" s="476">
        <v>0.75</v>
      </c>
      <c r="D161" s="460" t="s">
        <v>519</v>
      </c>
      <c r="E161" s="661"/>
      <c r="F161" s="34"/>
    </row>
    <row r="162" spans="1:7" x14ac:dyDescent="0.25">
      <c r="B162" s="34" t="s">
        <v>568</v>
      </c>
      <c r="C162" s="34">
        <v>0.6</v>
      </c>
      <c r="D162" s="34"/>
      <c r="E162" s="661"/>
      <c r="F162" s="34"/>
    </row>
    <row r="164" spans="1:7" x14ac:dyDescent="0.25">
      <c r="A164" s="4" t="s">
        <v>343</v>
      </c>
      <c r="D164" s="25"/>
      <c r="F164" s="54"/>
    </row>
    <row r="165" spans="1:7" x14ac:dyDescent="0.25">
      <c r="B165" s="485"/>
      <c r="C165" s="485" t="s">
        <v>72</v>
      </c>
      <c r="D165" s="485" t="s">
        <v>69</v>
      </c>
      <c r="E165" s="485" t="s">
        <v>68</v>
      </c>
      <c r="F165" s="484" t="s">
        <v>335</v>
      </c>
      <c r="G165" s="484" t="s">
        <v>856</v>
      </c>
    </row>
    <row r="166" spans="1:7" x14ac:dyDescent="0.25">
      <c r="B166" s="167" t="s">
        <v>344</v>
      </c>
      <c r="C166" s="476">
        <v>0.64454616322532932</v>
      </c>
      <c r="D166" s="476">
        <v>0.16265091909509877</v>
      </c>
      <c r="E166" s="476">
        <v>0</v>
      </c>
      <c r="F166" s="661"/>
      <c r="G166" s="34"/>
    </row>
    <row r="167" spans="1:7" x14ac:dyDescent="0.25">
      <c r="B167" s="167" t="s">
        <v>345</v>
      </c>
      <c r="C167" s="476">
        <v>0</v>
      </c>
      <c r="D167" s="476">
        <v>0.22224753360085514</v>
      </c>
      <c r="E167" s="476">
        <v>0</v>
      </c>
      <c r="F167" s="661"/>
      <c r="G167" s="34"/>
    </row>
    <row r="168" spans="1:7" x14ac:dyDescent="0.25">
      <c r="B168" s="173" t="s">
        <v>346</v>
      </c>
      <c r="C168" s="483">
        <f>SUM(C166:C167)</f>
        <v>0.64454616322532932</v>
      </c>
      <c r="D168" s="483">
        <f>SUM(D166:D167)</f>
        <v>0.38489845269595391</v>
      </c>
      <c r="E168" s="483">
        <f>SUM(E166:E167)</f>
        <v>0</v>
      </c>
      <c r="F168" s="661"/>
      <c r="G168" s="34"/>
    </row>
    <row r="169" spans="1:7" x14ac:dyDescent="0.25">
      <c r="B169" s="167" t="s">
        <v>347</v>
      </c>
      <c r="C169" s="476">
        <v>0.35545383677467068</v>
      </c>
      <c r="D169" s="476">
        <v>0.61510154730404609</v>
      </c>
      <c r="E169" s="476">
        <v>1</v>
      </c>
      <c r="F169" s="661"/>
      <c r="G169" s="34"/>
    </row>
    <row r="171" spans="1:7" x14ac:dyDescent="0.25">
      <c r="A171" s="4" t="s">
        <v>574</v>
      </c>
      <c r="D171" s="25"/>
      <c r="F171" s="54"/>
    </row>
    <row r="172" spans="1:7" x14ac:dyDescent="0.25">
      <c r="A172" s="4"/>
      <c r="B172" s="157"/>
      <c r="C172" s="157"/>
      <c r="D172" s="157" t="s">
        <v>107</v>
      </c>
      <c r="E172" s="157" t="s">
        <v>335</v>
      </c>
      <c r="F172" s="157" t="s">
        <v>856</v>
      </c>
    </row>
    <row r="173" spans="1:7" x14ac:dyDescent="0.25">
      <c r="A173" s="4"/>
      <c r="B173" s="167" t="s">
        <v>385</v>
      </c>
      <c r="C173" s="167">
        <v>3</v>
      </c>
      <c r="D173" s="30"/>
      <c r="E173" s="34"/>
      <c r="F173" s="34" t="s">
        <v>948</v>
      </c>
    </row>
    <row r="174" spans="1:7" x14ac:dyDescent="0.25">
      <c r="A174" s="4"/>
      <c r="B174" s="167" t="s">
        <v>386</v>
      </c>
      <c r="C174" s="167">
        <v>0.7</v>
      </c>
      <c r="D174" s="30"/>
      <c r="E174" s="34"/>
      <c r="F174" s="34" t="s">
        <v>948</v>
      </c>
    </row>
    <row r="175" spans="1:7" x14ac:dyDescent="0.25">
      <c r="A175" s="4"/>
      <c r="B175" s="167" t="s">
        <v>387</v>
      </c>
      <c r="C175" s="167">
        <v>0.3</v>
      </c>
      <c r="D175" s="30"/>
      <c r="E175" s="34"/>
      <c r="F175" s="34" t="s">
        <v>949</v>
      </c>
    </row>
    <row r="176" spans="1:7" ht="15" customHeight="1" x14ac:dyDescent="0.25">
      <c r="A176" s="4"/>
      <c r="B176" s="167" t="s">
        <v>388</v>
      </c>
      <c r="C176" s="167">
        <f>0.9/0.99</f>
        <v>0.90909090909090917</v>
      </c>
      <c r="D176" s="30"/>
      <c r="E176" s="661"/>
      <c r="F176" s="34"/>
    </row>
    <row r="177" spans="1:10" x14ac:dyDescent="0.25">
      <c r="A177" s="4" t="s">
        <v>857</v>
      </c>
      <c r="D177" s="25"/>
    </row>
    <row r="178" spans="1:10" x14ac:dyDescent="0.25">
      <c r="B178" s="157"/>
      <c r="C178" s="157"/>
      <c r="D178" s="157" t="s">
        <v>107</v>
      </c>
      <c r="E178" s="157" t="s">
        <v>335</v>
      </c>
      <c r="F178" s="157" t="s">
        <v>856</v>
      </c>
    </row>
    <row r="179" spans="1:10" x14ac:dyDescent="0.25">
      <c r="B179" s="167" t="s">
        <v>858</v>
      </c>
      <c r="C179" s="34">
        <v>30</v>
      </c>
      <c r="D179" s="34" t="s">
        <v>530</v>
      </c>
      <c r="E179" s="474"/>
      <c r="F179" s="34" t="s">
        <v>948</v>
      </c>
    </row>
    <row r="181" spans="1:10" x14ac:dyDescent="0.25">
      <c r="A181" s="4" t="s">
        <v>537</v>
      </c>
    </row>
    <row r="182" spans="1:10" ht="45" x14ac:dyDescent="0.25">
      <c r="B182" s="486" t="s">
        <v>159</v>
      </c>
      <c r="C182" s="484" t="s">
        <v>538</v>
      </c>
      <c r="D182" s="484" t="s">
        <v>539</v>
      </c>
      <c r="E182" s="484" t="s">
        <v>540</v>
      </c>
      <c r="F182" s="484" t="s">
        <v>541</v>
      </c>
      <c r="G182" s="484" t="s">
        <v>542</v>
      </c>
      <c r="H182" s="484" t="s">
        <v>543</v>
      </c>
      <c r="I182" s="484" t="s">
        <v>335</v>
      </c>
      <c r="J182" s="484" t="s">
        <v>856</v>
      </c>
    </row>
    <row r="183" spans="1:10" x14ac:dyDescent="0.25">
      <c r="B183" s="418" t="s">
        <v>160</v>
      </c>
      <c r="C183" s="167">
        <v>1.5</v>
      </c>
      <c r="D183" s="167">
        <v>7</v>
      </c>
      <c r="E183" s="167">
        <v>0.08</v>
      </c>
      <c r="F183" s="167">
        <v>1</v>
      </c>
      <c r="G183" s="482">
        <f>D183/$D$184</f>
        <v>2.3333333333333335</v>
      </c>
      <c r="H183" s="482">
        <v>1</v>
      </c>
      <c r="I183" s="661"/>
      <c r="J183" s="34"/>
    </row>
    <row r="184" spans="1:10" x14ac:dyDescent="0.25">
      <c r="B184" s="34" t="s">
        <v>161</v>
      </c>
      <c r="C184" s="167">
        <v>1</v>
      </c>
      <c r="D184" s="167">
        <v>3</v>
      </c>
      <c r="E184" s="167">
        <v>0.04</v>
      </c>
      <c r="F184" s="167">
        <v>0</v>
      </c>
      <c r="G184" s="482">
        <f>D184/$D$184</f>
        <v>1</v>
      </c>
      <c r="H184" s="482">
        <v>1</v>
      </c>
      <c r="I184" s="661"/>
      <c r="J184" s="34"/>
    </row>
    <row r="185" spans="1:10" x14ac:dyDescent="0.25">
      <c r="B185" s="34" t="s">
        <v>162</v>
      </c>
      <c r="C185" s="167">
        <v>2</v>
      </c>
      <c r="D185" s="167">
        <v>8</v>
      </c>
      <c r="E185" s="167">
        <v>0.55000000000000004</v>
      </c>
      <c r="F185" s="167">
        <v>1</v>
      </c>
      <c r="G185" s="482">
        <f>D185/$D$184</f>
        <v>2.6666666666666665</v>
      </c>
      <c r="H185" s="482">
        <f>'Emissions Factors, etc,'!C53/'Emissions Factors, etc,'!C54</f>
        <v>3.9278092592292393</v>
      </c>
      <c r="I185" s="661"/>
      <c r="J185" s="34"/>
    </row>
    <row r="186" spans="1:10" x14ac:dyDescent="0.25">
      <c r="B186" s="34" t="s">
        <v>163</v>
      </c>
      <c r="C186" s="167">
        <v>0.8</v>
      </c>
      <c r="D186" s="167">
        <v>6.2</v>
      </c>
      <c r="E186" s="167">
        <v>3.1E-2</v>
      </c>
      <c r="F186" s="167">
        <v>1</v>
      </c>
      <c r="G186" s="482">
        <f>D186/$D$184</f>
        <v>2.0666666666666669</v>
      </c>
      <c r="H186" s="482">
        <v>1</v>
      </c>
      <c r="I186" s="661"/>
      <c r="J186" s="34"/>
    </row>
  </sheetData>
  <protectedRanges>
    <protectedRange sqref="C121:I138" name="Range1_1"/>
    <protectedRange sqref="C157:C161" name="Range2_1"/>
    <protectedRange sqref="C183:H186" name="Range3"/>
    <protectedRange sqref="C98:D101" name="Range1_2"/>
    <protectedRange sqref="C104:C105 C59:C92 C94:C95" name="Range1_4"/>
    <protectedRange sqref="F1 A1:A4" name="Range1_1_1_1"/>
    <protectedRange sqref="F2" name="Range1_1_3"/>
    <protectedRange sqref="C162" name="Range2_1_3_1"/>
  </protectedRanges>
  <mergeCells count="4">
    <mergeCell ref="B60:D60"/>
    <mergeCell ref="B68:D68"/>
    <mergeCell ref="B76:D76"/>
    <mergeCell ref="B84:D84"/>
  </mergeCells>
  <phoneticPr fontId="19" type="noConversion"/>
  <hyperlinks>
    <hyperlink ref="E117" r:id="rId1" xr:uid="{9D127D18-A109-4EA5-BE57-7CDB496CD083}"/>
    <hyperlink ref="E152" r:id="rId2" xr:uid="{2FE25DF9-3FA5-4636-B31C-C2B1F440C905}"/>
  </hyperlinks>
  <pageMargins left="0.7" right="0.7" top="0.75" bottom="0.75" header="0.3" footer="0.3"/>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C7F10-FC1B-47B2-B3A1-7CC1E250718B}">
  <sheetPr codeName="Sheet11">
    <tabColor theme="0" tint="-0.249977111117893"/>
  </sheetPr>
  <dimension ref="A1:AE44"/>
  <sheetViews>
    <sheetView showGridLines="0" zoomScale="80" zoomScaleNormal="80" workbookViewId="0">
      <selection activeCell="Q38" sqref="Q38"/>
    </sheetView>
  </sheetViews>
  <sheetFormatPr defaultRowHeight="15" x14ac:dyDescent="0.25"/>
  <cols>
    <col min="2" max="2" width="16.28515625" customWidth="1"/>
    <col min="3" max="3" width="22.28515625" bestFit="1" customWidth="1"/>
    <col min="4" max="4" width="11.5703125" customWidth="1"/>
    <col min="5" max="5" width="11.85546875" customWidth="1"/>
    <col min="6" max="7" width="11.7109375" customWidth="1"/>
    <col min="8" max="8" width="11.28515625" customWidth="1"/>
    <col min="9" max="9" width="10.85546875" customWidth="1"/>
    <col min="10" max="10" width="11.28515625" bestFit="1" customWidth="1"/>
    <col min="11" max="11" width="10.85546875" bestFit="1" customWidth="1"/>
    <col min="12" max="12" width="23.7109375" customWidth="1"/>
    <col min="13" max="13" width="15.140625" customWidth="1"/>
    <col min="15" max="21" width="12.28515625" bestFit="1" customWidth="1"/>
    <col min="23" max="23" width="18.42578125" bestFit="1" customWidth="1"/>
    <col min="24" max="24" width="9.5703125" bestFit="1" customWidth="1"/>
    <col min="25" max="25" width="12.28515625" bestFit="1" customWidth="1"/>
    <col min="26" max="31" width="11.28515625" bestFit="1" customWidth="1"/>
  </cols>
  <sheetData>
    <row r="1" spans="1:31" ht="23.25" x14ac:dyDescent="0.35">
      <c r="A1" s="35" t="s">
        <v>44</v>
      </c>
    </row>
    <row r="2" spans="1:31" ht="23.25" x14ac:dyDescent="0.35">
      <c r="A2" s="35" t="s">
        <v>914</v>
      </c>
    </row>
    <row r="4" spans="1:31" x14ac:dyDescent="0.25">
      <c r="A4" s="4" t="s">
        <v>47</v>
      </c>
    </row>
    <row r="5" spans="1:31" x14ac:dyDescent="0.25">
      <c r="A5" s="39" t="s">
        <v>975</v>
      </c>
    </row>
    <row r="7" spans="1:31" x14ac:dyDescent="0.25">
      <c r="B7" s="646" t="s">
        <v>157</v>
      </c>
      <c r="C7" s="646" t="s">
        <v>317</v>
      </c>
      <c r="D7" s="493"/>
      <c r="E7" s="493"/>
      <c r="F7" s="493"/>
      <c r="G7" s="493"/>
      <c r="H7" s="493"/>
      <c r="I7" s="493"/>
      <c r="J7" s="493"/>
      <c r="K7" s="643" t="s">
        <v>107</v>
      </c>
      <c r="M7" s="647" t="s">
        <v>576</v>
      </c>
      <c r="N7" s="647"/>
      <c r="O7" s="647"/>
      <c r="P7" s="647"/>
      <c r="Q7" s="647"/>
      <c r="R7" s="647"/>
      <c r="S7" s="647"/>
      <c r="T7" s="647"/>
      <c r="U7" s="647"/>
      <c r="W7" s="647" t="s">
        <v>577</v>
      </c>
      <c r="X7" s="647"/>
      <c r="Y7" s="647"/>
      <c r="Z7" s="647"/>
      <c r="AA7" s="647"/>
      <c r="AB7" s="647"/>
      <c r="AC7" s="647"/>
      <c r="AD7" s="647"/>
      <c r="AE7" s="647"/>
    </row>
    <row r="8" spans="1:31" ht="12" customHeight="1" x14ac:dyDescent="0.25">
      <c r="B8" s="648"/>
      <c r="C8" s="648"/>
      <c r="D8" s="174">
        <f>'Baseline Statistics'!C12</f>
        <v>2022</v>
      </c>
      <c r="E8" s="174">
        <f>'Baseline Statistics'!D12</f>
        <v>2025</v>
      </c>
      <c r="F8" s="174">
        <f>'Baseline Statistics'!E12</f>
        <v>2030</v>
      </c>
      <c r="G8" s="174">
        <f>'Baseline Statistics'!F12</f>
        <v>2035</v>
      </c>
      <c r="H8" s="174">
        <f>'Baseline Statistics'!G12</f>
        <v>2040</v>
      </c>
      <c r="I8" s="174">
        <f>'Baseline Statistics'!H12</f>
        <v>2045</v>
      </c>
      <c r="J8" s="174">
        <f>'Baseline Statistics'!I12</f>
        <v>2050</v>
      </c>
      <c r="K8" s="644"/>
      <c r="M8" s="175" t="s">
        <v>317</v>
      </c>
      <c r="N8" s="175" t="s">
        <v>107</v>
      </c>
      <c r="O8" s="478">
        <f>'Baseline Statistics'!C12</f>
        <v>2022</v>
      </c>
      <c r="P8" s="479">
        <f>'Baseline Statistics'!D12</f>
        <v>2025</v>
      </c>
      <c r="Q8" s="479">
        <f>'Baseline Statistics'!E12</f>
        <v>2030</v>
      </c>
      <c r="R8" s="479">
        <f>'Baseline Statistics'!F12</f>
        <v>2035</v>
      </c>
      <c r="S8" s="479">
        <f>'Baseline Statistics'!G12</f>
        <v>2040</v>
      </c>
      <c r="T8" s="479">
        <f>'Baseline Statistics'!H12</f>
        <v>2045</v>
      </c>
      <c r="U8" s="479">
        <f>'Baseline Statistics'!I12</f>
        <v>2050</v>
      </c>
      <c r="W8" s="175" t="s">
        <v>317</v>
      </c>
      <c r="X8" s="175" t="s">
        <v>107</v>
      </c>
      <c r="Y8" s="478">
        <f>'Baseline Statistics'!C12</f>
        <v>2022</v>
      </c>
      <c r="Z8" s="479">
        <f>'Baseline Statistics'!D12</f>
        <v>2025</v>
      </c>
      <c r="AA8" s="479">
        <f>'Baseline Statistics'!E12</f>
        <v>2030</v>
      </c>
      <c r="AB8" s="479">
        <f>'Baseline Statistics'!F12</f>
        <v>2035</v>
      </c>
      <c r="AC8" s="479">
        <f>'Baseline Statistics'!G12</f>
        <v>2040</v>
      </c>
      <c r="AD8" s="479">
        <f>'Baseline Statistics'!H12</f>
        <v>2045</v>
      </c>
      <c r="AE8" s="479">
        <f>'Baseline Statistics'!I12</f>
        <v>2050</v>
      </c>
    </row>
    <row r="9" spans="1:31" x14ac:dyDescent="0.25">
      <c r="B9" s="648"/>
      <c r="C9" s="648"/>
      <c r="D9" s="176"/>
      <c r="E9" s="176"/>
      <c r="F9" s="176"/>
      <c r="G9" s="176"/>
      <c r="H9" s="176"/>
      <c r="I9" s="176"/>
      <c r="J9" s="176"/>
      <c r="K9" s="645"/>
      <c r="L9" s="6" t="s">
        <v>578</v>
      </c>
      <c r="M9" s="649" t="s">
        <v>942</v>
      </c>
      <c r="N9" s="650"/>
      <c r="O9" s="651"/>
      <c r="P9" s="172"/>
      <c r="Q9" s="172"/>
      <c r="R9" s="172"/>
      <c r="S9" s="172"/>
      <c r="T9" s="172"/>
      <c r="U9" s="172"/>
      <c r="W9" s="649" t="str">
        <f>'Emissions Factors, etc,'!B76</f>
        <v>Manure Management (N2O)</v>
      </c>
      <c r="X9" s="650"/>
      <c r="Y9" s="651"/>
      <c r="Z9" s="172"/>
      <c r="AA9" s="172"/>
      <c r="AB9" s="172"/>
      <c r="AC9" s="172"/>
      <c r="AD9" s="172"/>
      <c r="AE9" s="172"/>
    </row>
    <row r="10" spans="1:31" x14ac:dyDescent="0.25">
      <c r="B10" s="646" t="s">
        <v>579</v>
      </c>
      <c r="C10" s="177" t="s">
        <v>580</v>
      </c>
      <c r="D10" s="30">
        <f>'Baseline User Input'!BB14</f>
        <v>7400</v>
      </c>
      <c r="E10" s="30">
        <f>'Baseline User Input'!$BB14-('Background Calcs. Housing'!E47-'Background Calcs. Housing'!E$45)</f>
        <v>7363.1959999999999</v>
      </c>
      <c r="F10" s="30">
        <f>'Baseline User Input'!$BB14-('Background Calcs. Housing'!F47-'Background Calcs. Housing'!F$45)</f>
        <v>7303.2839999999997</v>
      </c>
      <c r="G10" s="30">
        <f>'Baseline User Input'!$BB14-('Background Calcs. Housing'!G47-'Background Calcs. Housing'!G$45)</f>
        <v>7247.5190000000002</v>
      </c>
      <c r="H10" s="30">
        <f>'Baseline User Input'!$BB14-('Background Calcs. Housing'!H47-'Background Calcs. Housing'!H$45)</f>
        <v>7191.7539999999999</v>
      </c>
      <c r="I10" s="30">
        <f>'Baseline User Input'!$BB14-('Background Calcs. Housing'!I47-'Background Calcs. Housing'!I$45)</f>
        <v>7136.0690000000004</v>
      </c>
      <c r="J10" s="30">
        <f>'Baseline User Input'!$BB14-('Background Calcs. Housing'!J47-'Background Calcs. Housing'!J$45)</f>
        <v>6981.7029999999995</v>
      </c>
      <c r="K10" s="34" t="s">
        <v>140</v>
      </c>
      <c r="L10" s="6" t="s">
        <v>581</v>
      </c>
      <c r="M10" s="178" t="s">
        <v>580</v>
      </c>
      <c r="N10" s="172" t="s">
        <v>943</v>
      </c>
      <c r="O10" s="172">
        <f>D20*'Emissions Factors, etc,'!$C61</f>
        <v>44014671.295696862</v>
      </c>
      <c r="P10" s="172">
        <f>E20*'Emissions Factors, etc,'!$C61</f>
        <v>43795763.733214855</v>
      </c>
      <c r="Q10" s="172">
        <f>F20*'Emissions Factors, etc,'!$C61</f>
        <v>43439411.437719211</v>
      </c>
      <c r="R10" s="172">
        <f>G20*'Emissions Factors, etc,'!$C61</f>
        <v>43107725.201934814</v>
      </c>
      <c r="S10" s="172">
        <f>H20*'Emissions Factors, etc,'!$C61</f>
        <v>42776038.96615041</v>
      </c>
      <c r="T10" s="172">
        <f>I20*'Emissions Factors, etc,'!$C61</f>
        <v>42444828.564650297</v>
      </c>
      <c r="U10" s="172">
        <f>J20*'Emissions Factors, etc,'!$C61</f>
        <v>41526670.625564948</v>
      </c>
      <c r="W10" s="179" t="s">
        <v>580</v>
      </c>
      <c r="X10" s="172" t="s">
        <v>943</v>
      </c>
      <c r="Y10" s="172">
        <f>D20*'Emissions Factors, etc,'!$C77</f>
        <v>212897.30005252457</v>
      </c>
      <c r="Z10" s="172">
        <f>E20*'Emissions Factors, etc,'!$C77</f>
        <v>211838.4524537228</v>
      </c>
      <c r="AA10" s="172">
        <f>F20*'Emissions Factors, etc,'!$C77</f>
        <v>210114.7898806489</v>
      </c>
      <c r="AB10" s="172">
        <f>G20*'Emissions Factors, etc,'!$C77</f>
        <v>208510.43610532067</v>
      </c>
      <c r="AC10" s="172">
        <f>H20*'Emissions Factors, etc,'!$C77</f>
        <v>206906.08232999238</v>
      </c>
      <c r="AD10" s="172">
        <f>I20*'Emissions Factors, etc,'!$C77</f>
        <v>205304.03014709713</v>
      </c>
      <c r="AE10" s="172">
        <f>J20*'Emissions Factors, etc,'!$C77</f>
        <v>200862.93492819063</v>
      </c>
    </row>
    <row r="11" spans="1:31" x14ac:dyDescent="0.25">
      <c r="B11" s="648"/>
      <c r="C11" s="177" t="s">
        <v>582</v>
      </c>
      <c r="D11" s="30">
        <f>'Baseline User Input'!BB15</f>
        <v>3300</v>
      </c>
      <c r="E11" s="30">
        <f>MAX('Baseline User Input'!$BB15-'Background Calcs. Housing'!E$45*'Baseline User Input'!$BB15/('Baseline User Input'!$BB$15+'Baseline User Input'!$BB$16+'Baseline User Input'!$BB$18)-'1. Landuse'!D$48*'Baseline User Input'!$BB15/('Baseline User Input'!$BB$15+'Baseline User Input'!$BB$16+'Baseline User Input'!$BB$18),0)</f>
        <v>3096.9354166666672</v>
      </c>
      <c r="F11" s="30">
        <f>MAX('Baseline User Input'!$BB15-'Background Calcs. Housing'!F$45*'Baseline User Input'!$BB15/('Baseline User Input'!$BB$15+'Baseline User Input'!$BB$16+'Baseline User Input'!$BB$18)-'1. Landuse'!E$48*'Baseline User Input'!$BB15/('Baseline User Input'!$BB$15+'Baseline User Input'!$BB$16+'Baseline User Input'!$BB$18),0)</f>
        <v>2882.3380208333333</v>
      </c>
      <c r="G11" s="30">
        <f>MAX('Baseline User Input'!$BB15-'Background Calcs. Housing'!G$45*'Baseline User Input'!$BB15/('Baseline User Input'!$BB$15+'Baseline User Input'!$BB$16+'Baseline User Input'!$BB$18)-'1. Landuse'!F$48*'Baseline User Input'!$BB15/('Baseline User Input'!$BB$15+'Baseline User Input'!$BB$16+'Baseline User Input'!$BB$18),0)</f>
        <v>2670.0093750000005</v>
      </c>
      <c r="H11" s="30">
        <f>MAX('Baseline User Input'!$BB15-'Background Calcs. Housing'!H$45*'Baseline User Input'!$BB15/('Baseline User Input'!$BB$15+'Baseline User Input'!$BB$16+'Baseline User Input'!$BB$18)-'1. Landuse'!G$48*'Baseline User Input'!$BB15/('Baseline User Input'!$BB$15+'Baseline User Input'!$BB$16+'Baseline User Input'!$BB$18),0)</f>
        <v>2457.4916666666668</v>
      </c>
      <c r="I11" s="30">
        <f>MAX('Baseline User Input'!$BB15-'Background Calcs. Housing'!I$45*'Baseline User Input'!$BB15/('Baseline User Input'!$BB$15+'Baseline User Input'!$BB$16+'Baseline User Input'!$BB$18)-'1. Landuse'!H$48*'Baseline User Input'!$BB15/('Baseline User Input'!$BB$15+'Baseline User Input'!$BB$16+'Baseline User Input'!$BB$18),0)</f>
        <v>2244.9739583333339</v>
      </c>
      <c r="J11" s="30">
        <f>MAX('Baseline User Input'!$BB15-'Background Calcs. Housing'!J$45*'Baseline User Input'!$BB15/('Baseline User Input'!$BB$15+'Baseline User Input'!$BB$16+'Baseline User Input'!$BB$18)-'1. Landuse'!I$48*'Baseline User Input'!$BB15/('Baseline User Input'!$BB$15+'Baseline User Input'!$BB$16+'Baseline User Input'!$BB$18),0)</f>
        <v>1982.921875</v>
      </c>
      <c r="K11" s="34" t="s">
        <v>140</v>
      </c>
      <c r="L11" s="6" t="s">
        <v>583</v>
      </c>
      <c r="M11" s="178" t="s">
        <v>582</v>
      </c>
      <c r="N11" s="172" t="s">
        <v>943</v>
      </c>
      <c r="O11" s="172">
        <f>D21*'Emissions Factors, etc,'!$C62</f>
        <v>11858639.701267665</v>
      </c>
      <c r="P11" s="172">
        <f>E21*'Emissions Factors, etc,'!$C62</f>
        <v>11128921.601316746</v>
      </c>
      <c r="Q11" s="172">
        <f>F21*'Emissions Factors, etc,'!$C62</f>
        <v>10357760.026159829</v>
      </c>
      <c r="R11" s="172">
        <f>G21*'Emissions Factors, etc,'!$C62</f>
        <v>9594751.2657975368</v>
      </c>
      <c r="S11" s="172">
        <f>H21*'Emissions Factors, etc,'!$C62</f>
        <v>8831063.1042023562</v>
      </c>
      <c r="T11" s="172">
        <f>I21*'Emissions Factors, etc,'!$C62</f>
        <v>8067374.9426071802</v>
      </c>
      <c r="U11" s="172">
        <f>J21*'Emissions Factors, etc,'!$C62</f>
        <v>7125683.6579960966</v>
      </c>
      <c r="W11" s="179" t="s">
        <v>582</v>
      </c>
      <c r="X11" s="172" t="s">
        <v>943</v>
      </c>
      <c r="Y11" s="172">
        <f>D21*'Emissions Factors, etc,'!$C78</f>
        <v>0</v>
      </c>
      <c r="Z11" s="172">
        <f>E21*'Emissions Factors, etc,'!$C78</f>
        <v>0</v>
      </c>
      <c r="AA11" s="172">
        <f>F21*'Emissions Factors, etc,'!$C78</f>
        <v>0</v>
      </c>
      <c r="AB11" s="172">
        <f>G21*'Emissions Factors, etc,'!$C78</f>
        <v>0</v>
      </c>
      <c r="AC11" s="172">
        <f>H21*'Emissions Factors, etc,'!$C78</f>
        <v>0</v>
      </c>
      <c r="AD11" s="172">
        <f>I21*'Emissions Factors, etc,'!$C78</f>
        <v>0</v>
      </c>
      <c r="AE11" s="172">
        <f>J21*'Emissions Factors, etc,'!$C78</f>
        <v>0</v>
      </c>
    </row>
    <row r="12" spans="1:31" x14ac:dyDescent="0.25">
      <c r="B12" s="648"/>
      <c r="C12" s="177" t="s">
        <v>584</v>
      </c>
      <c r="D12" s="30">
        <f>'Baseline User Input'!BB16</f>
        <v>6000</v>
      </c>
      <c r="E12" s="30">
        <f>MAX('Baseline User Input'!$BB16-'Background Calcs. Housing'!E$45*'Baseline User Input'!$BB16/('Baseline User Input'!$BB$15+'Baseline User Input'!$BB$16+'Baseline User Input'!$BB$18)-'1. Landuse'!D$48*'Baseline User Input'!$BB16/('Baseline User Input'!$BB$15+'Baseline User Input'!$BB$16+'Baseline User Input'!$BB$18),0)</f>
        <v>5630.791666666667</v>
      </c>
      <c r="F12" s="30">
        <f>MAX('Baseline User Input'!$BB16-'Background Calcs. Housing'!F$45*'Baseline User Input'!$BB16/('Baseline User Input'!$BB$15+'Baseline User Input'!$BB$16+'Baseline User Input'!$BB$18)-'1. Landuse'!E$48*'Baseline User Input'!$BB16/('Baseline User Input'!$BB$15+'Baseline User Input'!$BB$16+'Baseline User Input'!$BB$18),0)</f>
        <v>5240.6145833333339</v>
      </c>
      <c r="G12" s="30">
        <f>MAX('Baseline User Input'!$BB16-'Background Calcs. Housing'!G$45*'Baseline User Input'!$BB16/('Baseline User Input'!$BB$15+'Baseline User Input'!$BB$16+'Baseline User Input'!$BB$18)-'1. Landuse'!F$48*'Baseline User Input'!$BB16/('Baseline User Input'!$BB$15+'Baseline User Input'!$BB$16+'Baseline User Input'!$BB$18),0)</f>
        <v>4854.5625000000009</v>
      </c>
      <c r="H12" s="30">
        <f>MAX('Baseline User Input'!$BB16-'Background Calcs. Housing'!H$45*'Baseline User Input'!$BB16/('Baseline User Input'!$BB$15+'Baseline User Input'!$BB$16+'Baseline User Input'!$BB$18)-'1. Landuse'!G$48*'Baseline User Input'!$BB16/('Baseline User Input'!$BB$15+'Baseline User Input'!$BB$16+'Baseline User Input'!$BB$18),0)</f>
        <v>4468.1666666666679</v>
      </c>
      <c r="I12" s="30">
        <f>MAX('Baseline User Input'!$BB16-'Background Calcs. Housing'!I$45*'Baseline User Input'!$BB16/('Baseline User Input'!$BB$15+'Baseline User Input'!$BB$16+'Baseline User Input'!$BB$18)-'1. Landuse'!H$48*'Baseline User Input'!$BB16/('Baseline User Input'!$BB$15+'Baseline User Input'!$BB$16+'Baseline User Input'!$BB$18),0)</f>
        <v>4081.7708333333348</v>
      </c>
      <c r="J12" s="30">
        <f>MAX('Baseline User Input'!$BB16-'Background Calcs. Housing'!J$45*'Baseline User Input'!$BB16/('Baseline User Input'!$BB$15+'Baseline User Input'!$BB$16+'Baseline User Input'!$BB$18)-'1. Landuse'!I$48*'Baseline User Input'!$BB16/('Baseline User Input'!$BB$15+'Baseline User Input'!$BB$16+'Baseline User Input'!$BB$18),0)</f>
        <v>3605.3125</v>
      </c>
      <c r="K12" s="34" t="s">
        <v>140</v>
      </c>
      <c r="L12" s="6" t="s">
        <v>583</v>
      </c>
      <c r="M12" s="178" t="s">
        <v>584</v>
      </c>
      <c r="N12" s="172" t="s">
        <v>943</v>
      </c>
      <c r="O12" s="172">
        <f>D22*'Emissions Factors, etc,'!$C63</f>
        <v>17520441.325056877</v>
      </c>
      <c r="P12" s="172">
        <f>E22*'Emissions Factors, etc,'!$C63</f>
        <v>16442325.834908761</v>
      </c>
      <c r="Q12" s="172">
        <f>F22*'Emissions Factors, etc,'!$C63</f>
        <v>15302980.052421512</v>
      </c>
      <c r="R12" s="172">
        <f>G22*'Emissions Factors, etc,'!$C63</f>
        <v>14175679.57334524</v>
      </c>
      <c r="S12" s="172">
        <f>H22*'Emissions Factors, etc,'!$C63</f>
        <v>13047375.318984721</v>
      </c>
      <c r="T12" s="172">
        <f>I22*'Emissions Factors, etc,'!$C63</f>
        <v>11919071.064624203</v>
      </c>
      <c r="U12" s="172">
        <f>J22*'Emissions Factors, etc,'!$C63</f>
        <v>10527777.685790688</v>
      </c>
      <c r="W12" s="179" t="s">
        <v>584</v>
      </c>
      <c r="X12" s="172" t="s">
        <v>943</v>
      </c>
      <c r="Y12" s="172">
        <f>D22*'Emissions Factors, etc,'!$C79</f>
        <v>0</v>
      </c>
      <c r="Z12" s="172">
        <f>E22*'Emissions Factors, etc,'!$C79</f>
        <v>0</v>
      </c>
      <c r="AA12" s="172">
        <f>F22*'Emissions Factors, etc,'!$C79</f>
        <v>0</v>
      </c>
      <c r="AB12" s="172">
        <f>G22*'Emissions Factors, etc,'!$C79</f>
        <v>0</v>
      </c>
      <c r="AC12" s="172">
        <f>H22*'Emissions Factors, etc,'!$C79</f>
        <v>0</v>
      </c>
      <c r="AD12" s="172">
        <f>I22*'Emissions Factors, etc,'!$C79</f>
        <v>0</v>
      </c>
      <c r="AE12" s="172">
        <f>J22*'Emissions Factors, etc,'!$C79</f>
        <v>0</v>
      </c>
    </row>
    <row r="13" spans="1:31" x14ac:dyDescent="0.25">
      <c r="C13" s="177" t="s">
        <v>585</v>
      </c>
      <c r="D13" s="30">
        <f>'Baseline User Input'!BB17</f>
        <v>400</v>
      </c>
      <c r="E13" s="30">
        <f>'Baseline User Input'!$BB17+'Background Calcs. Housing'!E$45/5</f>
        <v>410.78</v>
      </c>
      <c r="F13" s="30">
        <f>'Baseline User Input'!$BB17+'Background Calcs. Housing'!F$45/5</f>
        <v>428.27</v>
      </c>
      <c r="G13" s="30">
        <f>'Baseline User Input'!$BB17+'Background Calcs. Housing'!G$45/5</f>
        <v>444.44</v>
      </c>
      <c r="H13" s="30">
        <f>'Baseline User Input'!$BB17+'Background Calcs. Housing'!H$45/5</f>
        <v>460.72</v>
      </c>
      <c r="I13" s="30">
        <f>'Baseline User Input'!$BB17+'Background Calcs. Housing'!I$45/5</f>
        <v>477</v>
      </c>
      <c r="J13" s="30">
        <f>'Baseline User Input'!$BB17+'Background Calcs. Housing'!J$45/5</f>
        <v>522.1</v>
      </c>
      <c r="K13" s="34" t="s">
        <v>140</v>
      </c>
      <c r="L13" s="6" t="s">
        <v>586</v>
      </c>
      <c r="M13" s="178" t="s">
        <v>585</v>
      </c>
      <c r="N13" s="172" t="s">
        <v>943</v>
      </c>
      <c r="O13" s="172">
        <f>D23*'Emissions Factors, etc,'!$C64</f>
        <v>169848</v>
      </c>
      <c r="P13" s="172">
        <f>E23*'Emissions Factors, etc,'!$C64</f>
        <v>174425.40359999999</v>
      </c>
      <c r="Q13" s="172">
        <f>F23*'Emissions Factors, etc,'!$C64</f>
        <v>181852.0074</v>
      </c>
      <c r="R13" s="172">
        <f>G23*'Emissions Factors, etc,'!$C64</f>
        <v>188718.1128</v>
      </c>
      <c r="S13" s="172">
        <f>H23*'Emissions Factors, etc,'!$C64</f>
        <v>195630.92640000003</v>
      </c>
      <c r="T13" s="172">
        <f>I23*'Emissions Factors, etc,'!$C64</f>
        <v>202543.74</v>
      </c>
      <c r="U13" s="172">
        <f>J23*'Emissions Factors, etc,'!$C64</f>
        <v>221694.10200000001</v>
      </c>
      <c r="W13" s="179" t="s">
        <v>585</v>
      </c>
      <c r="X13" s="172" t="s">
        <v>943</v>
      </c>
      <c r="Y13" s="172">
        <f>D23*'Emissions Factors, etc,'!$C80</f>
        <v>0</v>
      </c>
      <c r="Z13" s="172">
        <f>E23*'Emissions Factors, etc,'!$C80</f>
        <v>0</v>
      </c>
      <c r="AA13" s="172">
        <f>F23*'Emissions Factors, etc,'!$C80</f>
        <v>0</v>
      </c>
      <c r="AB13" s="172">
        <f>G23*'Emissions Factors, etc,'!$C80</f>
        <v>0</v>
      </c>
      <c r="AC13" s="172">
        <f>H23*'Emissions Factors, etc,'!$C80</f>
        <v>0</v>
      </c>
      <c r="AD13" s="172">
        <f>I23*'Emissions Factors, etc,'!$C80</f>
        <v>0</v>
      </c>
      <c r="AE13" s="172">
        <f>J23*'Emissions Factors, etc,'!$C80</f>
        <v>0</v>
      </c>
    </row>
    <row r="14" spans="1:31" x14ac:dyDescent="0.25">
      <c r="C14" s="177" t="s">
        <v>587</v>
      </c>
      <c r="D14" s="30">
        <f>'Baseline User Input'!BB18</f>
        <v>300</v>
      </c>
      <c r="E14" s="30">
        <f>'Baseline User Input'!$BB18+'Background Calcs. Housing'!E$45/5</f>
        <v>310.77999999999997</v>
      </c>
      <c r="F14" s="30">
        <f>'Baseline User Input'!$BB18+'Background Calcs. Housing'!F$45/5</f>
        <v>328.27</v>
      </c>
      <c r="G14" s="30">
        <f>'Baseline User Input'!$BB18+'Background Calcs. Housing'!G$45/5</f>
        <v>344.44</v>
      </c>
      <c r="H14" s="30">
        <f>'Baseline User Input'!$BB18+'Background Calcs. Housing'!H$45/5</f>
        <v>360.72</v>
      </c>
      <c r="I14" s="30">
        <f>'Baseline User Input'!$BB18+'Background Calcs. Housing'!I$45/5</f>
        <v>377</v>
      </c>
      <c r="J14" s="30">
        <f>'Baseline User Input'!$BB18+'Background Calcs. Housing'!J$45/5</f>
        <v>422.1</v>
      </c>
      <c r="K14" s="34" t="s">
        <v>140</v>
      </c>
      <c r="L14" s="6" t="s">
        <v>586</v>
      </c>
      <c r="M14" s="178" t="s">
        <v>587</v>
      </c>
      <c r="N14" s="172" t="s">
        <v>943</v>
      </c>
      <c r="O14" s="172">
        <f>D24*'Emissions Factors, etc,'!$C65</f>
        <v>872992.25800768123</v>
      </c>
      <c r="P14" s="172">
        <f>E24*'Emissions Factors, etc,'!$C65</f>
        <v>904361.77981209033</v>
      </c>
      <c r="Q14" s="172">
        <f>F24*'Emissions Factors, etc,'!$C65</f>
        <v>955257.22845393815</v>
      </c>
      <c r="R14" s="172">
        <f>G24*'Emissions Factors, etc,'!$C65</f>
        <v>1002311.5111605524</v>
      </c>
      <c r="S14" s="172">
        <f>H24*'Emissions Factors, etc,'!$C65</f>
        <v>1049685.8910284359</v>
      </c>
      <c r="T14" s="172">
        <f>I24*'Emissions Factors, etc,'!$C65</f>
        <v>1097060.2708963193</v>
      </c>
      <c r="U14" s="172">
        <f>J24*'Emissions Factors, etc,'!$C65</f>
        <v>1228300.1070168074</v>
      </c>
      <c r="W14" s="179" t="s">
        <v>587</v>
      </c>
      <c r="X14" s="172" t="s">
        <v>943</v>
      </c>
      <c r="Y14" s="172">
        <f>D24*'Emissions Factors, etc,'!$C81</f>
        <v>0</v>
      </c>
      <c r="Z14" s="172">
        <f>E24*'Emissions Factors, etc,'!$C81</f>
        <v>0</v>
      </c>
      <c r="AA14" s="172">
        <f>F24*'Emissions Factors, etc,'!$C81</f>
        <v>0</v>
      </c>
      <c r="AB14" s="172">
        <f>G24*'Emissions Factors, etc,'!$C81</f>
        <v>0</v>
      </c>
      <c r="AC14" s="172">
        <f>H24*'Emissions Factors, etc,'!$C81</f>
        <v>0</v>
      </c>
      <c r="AD14" s="172">
        <f>I24*'Emissions Factors, etc,'!$C81</f>
        <v>0</v>
      </c>
      <c r="AE14" s="172">
        <f>J24*'Emissions Factors, etc,'!$C81</f>
        <v>0</v>
      </c>
    </row>
    <row r="15" spans="1:31" x14ac:dyDescent="0.25">
      <c r="C15" s="177" t="s">
        <v>588</v>
      </c>
      <c r="D15" s="145">
        <f>'Baseline User Input'!BB19</f>
        <v>40</v>
      </c>
      <c r="E15" s="145">
        <f>'Baseline User Input'!$BB19+'Background Calcs. Housing'!E$45/5</f>
        <v>50.78</v>
      </c>
      <c r="F15" s="145">
        <f>'Baseline User Input'!$BB19+'Background Calcs. Housing'!F$45/5</f>
        <v>68.27000000000001</v>
      </c>
      <c r="G15" s="145">
        <f>'Baseline User Input'!$BB19+'Background Calcs. Housing'!G$45/5</f>
        <v>84.44</v>
      </c>
      <c r="H15" s="145">
        <f>'Baseline User Input'!$BB19+'Background Calcs. Housing'!H$45/5</f>
        <v>100.72</v>
      </c>
      <c r="I15" s="145">
        <f>'Baseline User Input'!$BB19+'Background Calcs. Housing'!I$45/5</f>
        <v>117.00000000000001</v>
      </c>
      <c r="J15" s="145">
        <f>'Baseline User Input'!$BB19+'Background Calcs. Housing'!J$45/5</f>
        <v>162.1</v>
      </c>
      <c r="K15" s="34" t="s">
        <v>140</v>
      </c>
      <c r="L15" s="6" t="s">
        <v>586</v>
      </c>
      <c r="M15" s="178" t="s">
        <v>588</v>
      </c>
      <c r="N15" s="172" t="s">
        <v>943</v>
      </c>
      <c r="O15" s="172">
        <f>D25*'Emissions Factors, etc,'!$C66</f>
        <v>125888</v>
      </c>
      <c r="P15" s="172">
        <f>E25*'Emissions Factors, etc,'!$C66</f>
        <v>159814.81600000002</v>
      </c>
      <c r="Q15" s="172">
        <f>F25*'Emissions Factors, etc,'!$C66</f>
        <v>214859.34400000001</v>
      </c>
      <c r="R15" s="172">
        <f>G25*'Emissions Factors, etc,'!$C66</f>
        <v>265749.56800000003</v>
      </c>
      <c r="S15" s="172">
        <f>H25*'Emissions Factors, etc,'!$C66</f>
        <v>316985.984</v>
      </c>
      <c r="T15" s="172">
        <f>I25*'Emissions Factors, etc,'!$C66</f>
        <v>368222.40000000008</v>
      </c>
      <c r="U15" s="172">
        <f>J25*'Emissions Factors, etc,'!$C66</f>
        <v>510161.12</v>
      </c>
      <c r="W15" s="179" t="s">
        <v>588</v>
      </c>
      <c r="X15" s="172" t="s">
        <v>943</v>
      </c>
      <c r="Y15" s="172">
        <f>D25*'Emissions Factors, etc,'!$C82</f>
        <v>0</v>
      </c>
      <c r="Z15" s="172">
        <f>E25*'Emissions Factors, etc,'!$C82</f>
        <v>0</v>
      </c>
      <c r="AA15" s="172">
        <f>F25*'Emissions Factors, etc,'!$C82</f>
        <v>0</v>
      </c>
      <c r="AB15" s="172">
        <f>G25*'Emissions Factors, etc,'!$C82</f>
        <v>0</v>
      </c>
      <c r="AC15" s="172">
        <f>H25*'Emissions Factors, etc,'!$C82</f>
        <v>0</v>
      </c>
      <c r="AD15" s="172">
        <f>I25*'Emissions Factors, etc,'!$C82</f>
        <v>0</v>
      </c>
      <c r="AE15" s="172">
        <f>J25*'Emissions Factors, etc,'!$C82</f>
        <v>0</v>
      </c>
    </row>
    <row r="16" spans="1:31" x14ac:dyDescent="0.25">
      <c r="C16" s="177" t="s">
        <v>589</v>
      </c>
      <c r="D16" s="145">
        <f>'Baseline User Input'!BB20</f>
        <v>15</v>
      </c>
      <c r="E16" s="145">
        <f>'Baseline User Input'!$BB20+'Background Calcs. Housing'!E$45/10</f>
        <v>20.39</v>
      </c>
      <c r="F16" s="145">
        <f>'Baseline User Input'!$BB20+'Background Calcs. Housing'!F$45/10</f>
        <v>29.135000000000002</v>
      </c>
      <c r="G16" s="145">
        <f>'Baseline User Input'!$BB20+'Background Calcs. Housing'!G$45/10</f>
        <v>37.22</v>
      </c>
      <c r="H16" s="145">
        <f>'Baseline User Input'!$BB20+'Background Calcs. Housing'!H$45/10</f>
        <v>45.36</v>
      </c>
      <c r="I16" s="145">
        <f>'Baseline User Input'!$BB20+'Background Calcs. Housing'!I$45/10</f>
        <v>53.500000000000007</v>
      </c>
      <c r="J16" s="145">
        <f>'Baseline User Input'!$BB20+'Background Calcs. Housing'!J$45/10</f>
        <v>76.05</v>
      </c>
      <c r="K16" s="34" t="s">
        <v>140</v>
      </c>
      <c r="L16" s="6" t="s">
        <v>590</v>
      </c>
      <c r="M16" s="178" t="s">
        <v>589</v>
      </c>
      <c r="N16" s="172" t="s">
        <v>943</v>
      </c>
      <c r="O16" s="172">
        <f>D26*'Emissions Factors, etc,'!$C67</f>
        <v>38147.199999995202</v>
      </c>
      <c r="P16" s="172">
        <f>E26*'Emissions Factors, etc,'!$C67</f>
        <v>51854.760533326815</v>
      </c>
      <c r="Q16" s="172">
        <f>F26*'Emissions Factors, etc,'!$C67</f>
        <v>74094.578133324016</v>
      </c>
      <c r="R16" s="172">
        <f>G26*'Emissions Factors, etc,'!$C67</f>
        <v>94655.918933321431</v>
      </c>
      <c r="S16" s="172">
        <f>H26*'Emissions Factors, etc,'!$C67</f>
        <v>115357.1327999855</v>
      </c>
      <c r="T16" s="172">
        <f>I26*'Emissions Factors, etc,'!$C67</f>
        <v>136058.34666664957</v>
      </c>
      <c r="U16" s="172">
        <f>J26*'Emissions Factors, etc,'!$C67</f>
        <v>193406.30399997567</v>
      </c>
      <c r="W16" s="179" t="s">
        <v>589</v>
      </c>
      <c r="X16" s="172" t="s">
        <v>943</v>
      </c>
      <c r="Y16" s="172">
        <f>D26*'Emissions Factors, etc,'!$C83</f>
        <v>0</v>
      </c>
      <c r="Z16" s="172">
        <f>E26*'Emissions Factors, etc,'!$C83</f>
        <v>0</v>
      </c>
      <c r="AA16" s="172">
        <f>F26*'Emissions Factors, etc,'!$C83</f>
        <v>0</v>
      </c>
      <c r="AB16" s="172">
        <f>G26*'Emissions Factors, etc,'!$C83</f>
        <v>0</v>
      </c>
      <c r="AC16" s="172">
        <f>H26*'Emissions Factors, etc,'!$C83</f>
        <v>0</v>
      </c>
      <c r="AD16" s="172">
        <f>I26*'Emissions Factors, etc,'!$C83</f>
        <v>0</v>
      </c>
      <c r="AE16" s="172">
        <f>J26*'Emissions Factors, etc,'!$C83</f>
        <v>0</v>
      </c>
    </row>
    <row r="17" spans="2:31" x14ac:dyDescent="0.25">
      <c r="C17" s="177" t="s">
        <v>214</v>
      </c>
      <c r="D17" s="115">
        <f>'Baseline User Input'!BB21</f>
        <v>17455</v>
      </c>
      <c r="E17" s="115">
        <f>SUM(E10:E16)</f>
        <v>16883.653083333331</v>
      </c>
      <c r="F17" s="115">
        <f t="shared" ref="F17" si="0">SUM(F10:F16)</f>
        <v>16280.181604166668</v>
      </c>
      <c r="G17" s="115">
        <f t="shared" ref="G17" si="1">SUM(G10:G16)</f>
        <v>15682.630875000003</v>
      </c>
      <c r="H17" s="115">
        <f t="shared" ref="H17" si="2">SUM(H10:H16)</f>
        <v>15084.932333333332</v>
      </c>
      <c r="I17" s="115">
        <f t="shared" ref="I17" si="3">SUM(I10:I16)</f>
        <v>14487.313791666671</v>
      </c>
      <c r="J17" s="115">
        <f t="shared" ref="J17" si="4">SUM(J10:J16)</f>
        <v>13752.287375</v>
      </c>
      <c r="K17" s="34" t="s">
        <v>140</v>
      </c>
      <c r="O17" s="7"/>
      <c r="P17" s="7"/>
      <c r="Q17" s="7"/>
      <c r="R17" s="7"/>
      <c r="S17" s="7"/>
      <c r="T17" s="7"/>
      <c r="U17" s="7"/>
      <c r="W17" s="1"/>
    </row>
    <row r="18" spans="2:31" x14ac:dyDescent="0.25">
      <c r="C18" s="177" t="s">
        <v>591</v>
      </c>
      <c r="D18" s="94">
        <f>'Baseline User Input'!BB22</f>
        <v>1</v>
      </c>
      <c r="E18" s="94">
        <f>E17/'Baseline User Input'!$BB21</f>
        <v>0.96726743530984427</v>
      </c>
      <c r="F18" s="94">
        <f>F17/'Baseline User Input'!$BB21</f>
        <v>0.93269444882077734</v>
      </c>
      <c r="G18" s="94">
        <f>G17/'Baseline User Input'!$BB21</f>
        <v>0.89846066313377271</v>
      </c>
      <c r="H18" s="94">
        <f>H17/'Baseline User Input'!$BB21</f>
        <v>0.86421840924281479</v>
      </c>
      <c r="I18" s="94">
        <f>I17/'Baseline User Input'!$BB21</f>
        <v>0.82998073856583621</v>
      </c>
      <c r="J18" s="94">
        <f>J17/'Baseline User Input'!$BB21</f>
        <v>0.78787094672013747</v>
      </c>
      <c r="K18" s="34"/>
      <c r="M18" s="649" t="str">
        <f>'Emissions Factors, etc,'!B68</f>
        <v>Manure Management (CH4)</v>
      </c>
      <c r="N18" s="650"/>
      <c r="O18" s="651"/>
      <c r="P18" s="172"/>
      <c r="Q18" s="172"/>
      <c r="R18" s="172"/>
      <c r="S18" s="172"/>
      <c r="T18" s="172"/>
      <c r="U18" s="172"/>
      <c r="W18" s="649">
        <f>'Emissions Factors, etc,'!H190</f>
        <v>0</v>
      </c>
      <c r="X18" s="650"/>
      <c r="Y18" s="651"/>
      <c r="Z18" s="172"/>
      <c r="AA18" s="172"/>
      <c r="AB18" s="172"/>
      <c r="AC18" s="172"/>
      <c r="AD18" s="172"/>
      <c r="AE18" s="172"/>
    </row>
    <row r="19" spans="2:31" x14ac:dyDescent="0.25">
      <c r="C19" s="83"/>
      <c r="M19" s="178" t="s">
        <v>580</v>
      </c>
      <c r="N19" s="172" t="s">
        <v>943</v>
      </c>
      <c r="O19" s="172">
        <f>D20*'Emissions Factors, etc,'!$C69</f>
        <v>4410709.7986451751</v>
      </c>
      <c r="P19" s="172">
        <f>E20*'Emissions Factors, etc,'!$C69</f>
        <v>4388773.0738574266</v>
      </c>
      <c r="Q19" s="172">
        <f>F20*'Emissions Factors, etc,'!$C69</f>
        <v>4353063.0136606116</v>
      </c>
      <c r="R19" s="172">
        <f>G20*'Emissions Factors, etc,'!$C69</f>
        <v>4319824.739076633</v>
      </c>
      <c r="S19" s="172">
        <f>H20*'Emissions Factors, etc,'!$C69</f>
        <v>4286586.4644926526</v>
      </c>
      <c r="T19" s="172">
        <f>I20*'Emissions Factors, etc,'!$C69</f>
        <v>4253395.8732578475</v>
      </c>
      <c r="U19" s="172">
        <f>J20*'Emissions Factors, etc,'!$C69</f>
        <v>4161387.2747743796</v>
      </c>
      <c r="W19" s="179" t="s">
        <v>580</v>
      </c>
      <c r="X19" s="172" t="s">
        <v>943</v>
      </c>
      <c r="Y19" s="172">
        <f>D20*'Emissions Factors, etc,'!$C85</f>
        <v>6851305.9819467897</v>
      </c>
      <c r="Z19" s="172">
        <f>E20*'Emissions Factors, etc,'!$C85</f>
        <v>6817230.9190603616</v>
      </c>
      <c r="AA19" s="172">
        <f>F20*'Emissions Factors, etc,'!$C85</f>
        <v>6761761.2644670652</v>
      </c>
      <c r="AB19" s="172">
        <f>G20*'Emissions Factors, etc,'!$C85</f>
        <v>6710131.118780138</v>
      </c>
      <c r="AC19" s="172">
        <f>H20*'Emissions Factors, etc,'!$C85</f>
        <v>6658500.9730932089</v>
      </c>
      <c r="AD19" s="172">
        <f>I20*'Emissions Factors, etc,'!$C85</f>
        <v>6606944.8955790596</v>
      </c>
      <c r="AE19" s="172">
        <f>J20*'Emissions Factors, etc,'!$C85</f>
        <v>6464024.8010913301</v>
      </c>
    </row>
    <row r="20" spans="2:31" x14ac:dyDescent="0.25">
      <c r="B20" s="646" t="s">
        <v>594</v>
      </c>
      <c r="C20" s="177" t="s">
        <v>580</v>
      </c>
      <c r="D20" s="168">
        <f>'Baseline User Input'!BB26</f>
        <v>18164.073972016526</v>
      </c>
      <c r="E20" s="168">
        <f>'Baseline User Input'!$BB26*E10/'Baseline User Input'!$BB14</f>
        <v>18073.734704656243</v>
      </c>
      <c r="F20" s="168">
        <f>'Baseline User Input'!$BB26*F10/'Baseline User Input'!$BB14</f>
        <v>17926.674434411452</v>
      </c>
      <c r="G20" s="168">
        <f>'Baseline User Input'!$BB26*G10/'Baseline User Input'!$BB14</f>
        <v>17789.793409404763</v>
      </c>
      <c r="H20" s="168">
        <f>'Baseline User Input'!$BB26*H10/'Baseline User Input'!$BB14</f>
        <v>17652.912384398071</v>
      </c>
      <c r="I20" s="168">
        <f>'Baseline User Input'!$BB26*I10/'Baseline User Input'!$BB14</f>
        <v>17516.227727758647</v>
      </c>
      <c r="J20" s="168">
        <f>'Baseline User Input'!$BB26*J10/'Baseline User Input'!$BB14</f>
        <v>17137.3202354932</v>
      </c>
      <c r="K20" s="167" t="s">
        <v>595</v>
      </c>
      <c r="M20" s="178" t="s">
        <v>582</v>
      </c>
      <c r="N20" s="172" t="s">
        <v>943</v>
      </c>
      <c r="O20" s="172">
        <f>D21*'Emissions Factors, etc,'!$C70</f>
        <v>164736.08332430988</v>
      </c>
      <c r="P20" s="172">
        <f>E21*'Emissions Factors, etc,'!$C70</f>
        <v>154599.09419697162</v>
      </c>
      <c r="Q20" s="172">
        <f>F21*'Emissions Factors, etc,'!$C70</f>
        <v>143886.38677843224</v>
      </c>
      <c r="R20" s="172">
        <f>G21*'Emissions Factors, etc,'!$C70</f>
        <v>133286.93541717838</v>
      </c>
      <c r="S20" s="172">
        <f>H21*'Emissions Factors, etc,'!$C70</f>
        <v>122678.04605115065</v>
      </c>
      <c r="T20" s="172">
        <f>I21*'Emissions Factors, etc,'!$C70</f>
        <v>112069.15668512297</v>
      </c>
      <c r="U20" s="172">
        <f>J21*'Emissions Factors, etc,'!$C70</f>
        <v>98987.510068362652</v>
      </c>
      <c r="W20" s="179" t="s">
        <v>582</v>
      </c>
      <c r="X20" s="172" t="s">
        <v>943</v>
      </c>
      <c r="Y20" s="172">
        <f>D21*'Emissions Factors, etc,'!$C86</f>
        <v>1600673.6921054586</v>
      </c>
      <c r="Z20" s="172">
        <f>E21*'Emissions Factors, etc,'!$C86</f>
        <v>1502176.6810933307</v>
      </c>
      <c r="AA20" s="172">
        <f>F21*'Emissions Factors, etc,'!$C86</f>
        <v>1398085.6490009795</v>
      </c>
      <c r="AB20" s="172">
        <f>G21*'Emissions Factors, etc,'!$C86</f>
        <v>1295095.0800719513</v>
      </c>
      <c r="AC20" s="172">
        <f>H21*'Emissions Factors, etc,'!$C86</f>
        <v>1192012.8058793123</v>
      </c>
      <c r="AD20" s="172">
        <f>I21*'Emissions Factors, etc,'!$C86</f>
        <v>1088930.5316866739</v>
      </c>
      <c r="AE20" s="172">
        <f>J21*'Emissions Factors, etc,'!$C86</f>
        <v>961821.47842816031</v>
      </c>
    </row>
    <row r="21" spans="2:31" x14ac:dyDescent="0.25">
      <c r="B21" s="648"/>
      <c r="C21" s="177" t="s">
        <v>582</v>
      </c>
      <c r="D21" s="168">
        <f>'Baseline User Input'!BB27</f>
        <v>7062.5905647046829</v>
      </c>
      <c r="E21" s="168">
        <f>'Baseline User Input'!$BB27*E11/'Baseline User Input'!$BB15</f>
        <v>6627.9960161362942</v>
      </c>
      <c r="F21" s="168">
        <f>'Baseline User Input'!$BB27*F11/'Baseline User Input'!$BB15</f>
        <v>6168.7191849172941</v>
      </c>
      <c r="G21" s="168">
        <f>'Baseline User Input'!$BB27*G11/'Baseline User Input'!$BB15</f>
        <v>5714.297884711531</v>
      </c>
      <c r="H21" s="168">
        <f>'Baseline User Input'!$BB27*H11/'Baseline User Input'!$BB15</f>
        <v>5259.4719569213294</v>
      </c>
      <c r="I21" s="168">
        <f>'Baseline User Input'!$BB27*I11/'Baseline User Input'!$BB15</f>
        <v>4804.6460291311296</v>
      </c>
      <c r="J21" s="168">
        <f>'Baseline User Input'!$BB27*J11/'Baseline User Input'!$BB15</f>
        <v>4243.8076742186422</v>
      </c>
      <c r="K21" s="167" t="s">
        <v>595</v>
      </c>
      <c r="M21" s="178" t="s">
        <v>584</v>
      </c>
      <c r="N21" s="172" t="s">
        <v>943</v>
      </c>
      <c r="O21" s="172">
        <f>D22*'Emissions Factors, etc,'!$C71</f>
        <v>191605.51560276159</v>
      </c>
      <c r="P21" s="172">
        <f>E22*'Emissions Factors, etc,'!$C71</f>
        <v>179815.12342389999</v>
      </c>
      <c r="Q21" s="172">
        <f>F22*'Emissions Factors, etc,'!$C71</f>
        <v>167355.10988582252</v>
      </c>
      <c r="R21" s="172">
        <f>G22*'Emissions Factors, etc,'!$C71</f>
        <v>155026.82513972191</v>
      </c>
      <c r="S21" s="172">
        <f>H22*'Emissions Factors, etc,'!$C71</f>
        <v>142687.56299428991</v>
      </c>
      <c r="T21" s="172">
        <f>I22*'Emissions Factors, etc,'!$C71</f>
        <v>130348.30084885794</v>
      </c>
      <c r="U21" s="172">
        <f>J22*'Emissions Factors, etc,'!$C71</f>
        <v>115132.96007859691</v>
      </c>
      <c r="W21" s="179" t="s">
        <v>584</v>
      </c>
      <c r="X21" s="172" t="s">
        <v>943</v>
      </c>
      <c r="Y21" s="172">
        <f>D22*'Emissions Factors, etc,'!$C87</f>
        <v>1583613.7187640162</v>
      </c>
      <c r="Z21" s="172">
        <f>E22*'Emissions Factors, etc,'!$C87</f>
        <v>1486166.4884725721</v>
      </c>
      <c r="AA21" s="172">
        <f>F22*'Emissions Factors, etc,'!$C87</f>
        <v>1383184.8581535725</v>
      </c>
      <c r="AB21" s="172">
        <f>G22*'Emissions Factors, etc,'!$C87</f>
        <v>1281291.9622662233</v>
      </c>
      <c r="AC21" s="172">
        <f>H22*'Emissions Factors, etc,'!$C87</f>
        <v>1179308.3385095699</v>
      </c>
      <c r="AD21" s="172">
        <f>I22*'Emissions Factors, etc,'!$C87</f>
        <v>1077324.7147529167</v>
      </c>
      <c r="AE21" s="172">
        <f>J22*'Emissions Factors, etc,'!$C87</f>
        <v>951570.38923856535</v>
      </c>
    </row>
    <row r="22" spans="2:31" x14ac:dyDescent="0.25">
      <c r="B22" s="648"/>
      <c r="C22" s="177" t="s">
        <v>584</v>
      </c>
      <c r="D22" s="168">
        <f>'Baseline User Input'!BB28</f>
        <v>50243.256569279445</v>
      </c>
      <c r="E22" s="168">
        <f>'Baseline User Input'!$BB28*E12/'Baseline User Input'!$BB16</f>
        <v>47151.551732748994</v>
      </c>
      <c r="F22" s="168">
        <f>'Baseline User Input'!$BB28*F12/'Baseline User Input'!$BB16</f>
        <v>43884.257181854031</v>
      </c>
      <c r="G22" s="168">
        <f>'Baseline User Input'!$BB28*G12/'Baseline User Input'!$BB16</f>
        <v>40651.504869850447</v>
      </c>
      <c r="H22" s="168">
        <f>'Baseline User Input'!$BB28*H12/'Baseline User Input'!$BB16</f>
        <v>37415.874037939248</v>
      </c>
      <c r="I22" s="168">
        <f>'Baseline User Input'!$BB28*I12/'Baseline User Input'!$BB16</f>
        <v>34180.243206028055</v>
      </c>
      <c r="J22" s="168">
        <f>'Baseline User Input'!$BB28*J12/'Baseline User Input'!$BB16</f>
        <v>30190.440158321719</v>
      </c>
      <c r="K22" s="167" t="s">
        <v>595</v>
      </c>
      <c r="M22" s="178" t="s">
        <v>585</v>
      </c>
      <c r="N22" s="172" t="s">
        <v>943</v>
      </c>
      <c r="O22" s="172">
        <f>D23*'Emissions Factors, etc,'!$C72</f>
        <v>22080.239999999998</v>
      </c>
      <c r="P22" s="172">
        <f>E23*'Emissions Factors, etc,'!$C72</f>
        <v>22675.302467999994</v>
      </c>
      <c r="Q22" s="172">
        <f>F23*'Emissions Factors, etc,'!$C72</f>
        <v>23640.760962</v>
      </c>
      <c r="R22" s="172">
        <f>G23*'Emissions Factors, etc,'!$C72</f>
        <v>24533.354663999999</v>
      </c>
      <c r="S22" s="172">
        <f>H23*'Emissions Factors, etc,'!$C72</f>
        <v>25432.020432000001</v>
      </c>
      <c r="T22" s="172">
        <f>I23*'Emissions Factors, etc,'!$C72</f>
        <v>26330.6862</v>
      </c>
      <c r="U22" s="172">
        <f>J23*'Emissions Factors, etc,'!$C72</f>
        <v>28820.233260000001</v>
      </c>
      <c r="W22" s="179" t="s">
        <v>585</v>
      </c>
      <c r="X22" s="172" t="s">
        <v>943</v>
      </c>
      <c r="Y22" s="172">
        <f>D23*'Emissions Factors, etc,'!$C88</f>
        <v>98040.432364280903</v>
      </c>
      <c r="Z22" s="172">
        <f>E23*'Emissions Factors, etc,'!$C88</f>
        <v>100682.62201649825</v>
      </c>
      <c r="AA22" s="172">
        <f>F23*'Emissions Factors, etc,'!$C88</f>
        <v>104969.43992162646</v>
      </c>
      <c r="AB22" s="172">
        <f>G23*'Emissions Factors, etc,'!$C88</f>
        <v>108932.72439995251</v>
      </c>
      <c r="AC22" s="172">
        <f>H23*'Emissions Factors, etc,'!$C88</f>
        <v>112922.96999717875</v>
      </c>
      <c r="AD22" s="172">
        <f>I23*'Emissions Factors, etc,'!$C88</f>
        <v>116913.21559440497</v>
      </c>
      <c r="AE22" s="172">
        <f>J23*'Emissions Factors, etc,'!$C88</f>
        <v>127967.27434347765</v>
      </c>
    </row>
    <row r="23" spans="2:31" x14ac:dyDescent="0.25">
      <c r="C23" s="177" t="s">
        <v>585</v>
      </c>
      <c r="D23" s="168">
        <f>'Baseline User Input'!BB29</f>
        <v>337</v>
      </c>
      <c r="E23" s="168">
        <f>'Baseline User Input'!$BB29*E13/'Baseline User Input'!$BB17</f>
        <v>346.08214999999996</v>
      </c>
      <c r="F23" s="168">
        <f>'Baseline User Input'!$BB29*F13/'Baseline User Input'!$BB17</f>
        <v>360.817475</v>
      </c>
      <c r="G23" s="168">
        <f>'Baseline User Input'!$BB29*G13/'Baseline User Input'!$BB17</f>
        <v>374.44069999999999</v>
      </c>
      <c r="H23" s="168">
        <f>'Baseline User Input'!$BB29*H13/'Baseline User Input'!$BB17</f>
        <v>388.15660000000003</v>
      </c>
      <c r="I23" s="168">
        <f>'Baseline User Input'!$BB29*I13/'Baseline User Input'!$BB17</f>
        <v>401.8725</v>
      </c>
      <c r="J23" s="168">
        <f>'Baseline User Input'!$BB29*J13/'Baseline User Input'!$BB17</f>
        <v>439.86925000000002</v>
      </c>
      <c r="K23" s="167" t="s">
        <v>595</v>
      </c>
      <c r="M23" s="178" t="s">
        <v>587</v>
      </c>
      <c r="N23" s="172" t="s">
        <v>943</v>
      </c>
      <c r="O23" s="172">
        <f>D24*'Emissions Factors, etc,'!$C73</f>
        <v>11280.487457776937</v>
      </c>
      <c r="P23" s="172">
        <f>E24*'Emissions Factors, etc,'!$C73</f>
        <v>11685.83297375972</v>
      </c>
      <c r="Q23" s="172">
        <f>F24*'Emissions Factors, etc,'!$C73</f>
        <v>12343.485392548115</v>
      </c>
      <c r="R23" s="172">
        <f>G24*'Emissions Factors, etc,'!$C73</f>
        <v>12951.503666522294</v>
      </c>
      <c r="S23" s="172">
        <f>H24*'Emissions Factors, etc,'!$C73</f>
        <v>13563.65811923099</v>
      </c>
      <c r="T23" s="172">
        <f>I24*'Emissions Factors, etc,'!$C73</f>
        <v>14175.812571939685</v>
      </c>
      <c r="U23" s="172">
        <f>J24*'Emissions Factors, etc,'!$C73</f>
        <v>15871.64585309215</v>
      </c>
      <c r="W23" s="179" t="s">
        <v>587</v>
      </c>
      <c r="X23" s="172" t="s">
        <v>943</v>
      </c>
      <c r="Y23" s="172">
        <f>D24*'Emissions Factors, etc,'!$C89</f>
        <v>98200.962947583044</v>
      </c>
      <c r="Z23" s="172">
        <f>E24*'Emissions Factors, etc,'!$C89</f>
        <v>101729.65088283284</v>
      </c>
      <c r="AA23" s="172">
        <f>F24*'Emissions Factors, etc,'!$C89</f>
        <v>107454.76702267693</v>
      </c>
      <c r="AB23" s="172">
        <f>G24*'Emissions Factors, etc,'!$C89</f>
        <v>112747.79892555167</v>
      </c>
      <c r="AC23" s="172">
        <f>H24*'Emissions Factors, etc,'!$C89</f>
        <v>118076.83784817385</v>
      </c>
      <c r="AD23" s="172">
        <f>I24*'Emissions Factors, etc,'!$C89</f>
        <v>123405.87677079602</v>
      </c>
      <c r="AE23" s="172">
        <f>J24*'Emissions Factors, etc,'!$C89</f>
        <v>138168.75486724934</v>
      </c>
    </row>
    <row r="24" spans="2:31" x14ac:dyDescent="0.25">
      <c r="C24" s="177" t="s">
        <v>587</v>
      </c>
      <c r="D24" s="168">
        <f>'Baseline User Input'!BB30</f>
        <v>1354.9132202552214</v>
      </c>
      <c r="E24" s="168">
        <f>'Baseline User Input'!$BB30*E14/'Baseline User Input'!$BB18</f>
        <v>1403.5997686363921</v>
      </c>
      <c r="F24" s="168">
        <f>'Baseline User Input'!$BB30*F14/'Baseline User Input'!$BB18</f>
        <v>1482.5912093772715</v>
      </c>
      <c r="G24" s="168">
        <f>'Baseline User Input'!$BB30*G14/'Baseline User Input'!$BB18</f>
        <v>1555.6210319490283</v>
      </c>
      <c r="H24" s="168">
        <f>'Baseline User Input'!$BB30*H14/'Baseline User Input'!$BB18</f>
        <v>1629.1476560348783</v>
      </c>
      <c r="I24" s="168">
        <f>'Baseline User Input'!$BB30*I14/'Baseline User Input'!$BB18</f>
        <v>1702.6742801207283</v>
      </c>
      <c r="J24" s="168">
        <f>'Baseline User Input'!$BB30*J14/'Baseline User Input'!$BB18</f>
        <v>1906.3629008990965</v>
      </c>
      <c r="K24" s="167" t="s">
        <v>595</v>
      </c>
      <c r="M24" s="178" t="s">
        <v>588</v>
      </c>
      <c r="N24" s="172" t="s">
        <v>943</v>
      </c>
      <c r="O24" s="172">
        <f>D25*'Emissions Factors, etc,'!$C74</f>
        <v>1597.488816823</v>
      </c>
      <c r="P24" s="172">
        <f>E25*'Emissions Factors, etc,'!$C74</f>
        <v>2028.0120529567987</v>
      </c>
      <c r="Q24" s="172">
        <f>F25*'Emissions Factors, etc,'!$C74</f>
        <v>2726.5140381126553</v>
      </c>
      <c r="R24" s="172">
        <f>G25*'Emissions Factors, etc,'!$C74</f>
        <v>3372.298892313353</v>
      </c>
      <c r="S24" s="172">
        <f>H25*'Emissions Factors, etc,'!$C74</f>
        <v>4022.4768407603137</v>
      </c>
      <c r="T24" s="172">
        <f>I25*'Emissions Factors, etc,'!$C74</f>
        <v>4672.6547892072758</v>
      </c>
      <c r="U24" s="172">
        <f>J25*'Emissions Factors, etc,'!$C74</f>
        <v>6473.8234301752082</v>
      </c>
      <c r="W24" s="179" t="s">
        <v>588</v>
      </c>
      <c r="X24" s="172" t="s">
        <v>943</v>
      </c>
      <c r="Y24" s="172">
        <f>D25*'Emissions Factors, etc,'!$C90</f>
        <v>37269.367002457002</v>
      </c>
      <c r="Z24" s="172">
        <f>E25*'Emissions Factors, etc,'!$C90</f>
        <v>47313.461409619165</v>
      </c>
      <c r="AA24" s="172">
        <f>F25*'Emissions Factors, etc,'!$C90</f>
        <v>63609.492131443491</v>
      </c>
      <c r="AB24" s="172">
        <f>G25*'Emissions Factors, etc,'!$C90</f>
        <v>78675.633742186721</v>
      </c>
      <c r="AC24" s="172">
        <f>H25*'Emissions Factors, etc,'!$C90</f>
        <v>93844.266112186728</v>
      </c>
      <c r="AD24" s="172">
        <f>I25*'Emissions Factors, etc,'!$C90</f>
        <v>109012.89848218675</v>
      </c>
      <c r="AE24" s="172">
        <f>J25*'Emissions Factors, etc,'!$C90</f>
        <v>151034.10977745699</v>
      </c>
    </row>
    <row r="25" spans="2:31" x14ac:dyDescent="0.25">
      <c r="C25" s="177" t="s">
        <v>588</v>
      </c>
      <c r="D25" s="168">
        <f>'Baseline User Input'!BB31</f>
        <v>562</v>
      </c>
      <c r="E25" s="168">
        <f>'Baseline User Input'!$BB31*E15/'Baseline User Input'!$BB19</f>
        <v>713.45900000000006</v>
      </c>
      <c r="F25" s="168">
        <f>'Baseline User Input'!$BB31*F15/'Baseline User Input'!$BB19</f>
        <v>959.19350000000009</v>
      </c>
      <c r="G25" s="168">
        <f>'Baseline User Input'!$BB31*G15/'Baseline User Input'!$BB19</f>
        <v>1186.3820000000001</v>
      </c>
      <c r="H25" s="168">
        <f>'Baseline User Input'!$BB31*H15/'Baseline User Input'!$BB19</f>
        <v>1415.116</v>
      </c>
      <c r="I25" s="168">
        <f>'Baseline User Input'!$BB31*I15/'Baseline User Input'!$BB19</f>
        <v>1643.8500000000004</v>
      </c>
      <c r="J25" s="168">
        <f>'Baseline User Input'!$BB31*J15/'Baseline User Input'!$BB19</f>
        <v>2277.5050000000001</v>
      </c>
      <c r="K25" s="167" t="s">
        <v>595</v>
      </c>
      <c r="M25" s="178" t="s">
        <v>589</v>
      </c>
      <c r="N25" s="172" t="s">
        <v>943</v>
      </c>
      <c r="O25" s="172">
        <f>D26*'Emissions Factors, etc,'!$C75</f>
        <v>851.19999999999993</v>
      </c>
      <c r="P25" s="172">
        <f>E26*'Emissions Factors, etc,'!$C75</f>
        <v>1157.0645333333334</v>
      </c>
      <c r="Q25" s="172">
        <f>F26*'Emissions Factors, etc,'!$C75</f>
        <v>1653.3141333333333</v>
      </c>
      <c r="R25" s="172">
        <f>G26*'Emissions Factors, etc,'!$C75</f>
        <v>2112.1109333333334</v>
      </c>
      <c r="S25" s="172">
        <f>H26*'Emissions Factors, etc,'!$C75</f>
        <v>2574.0288</v>
      </c>
      <c r="T25" s="172">
        <f>I26*'Emissions Factors, etc,'!$C75</f>
        <v>3035.9466666666672</v>
      </c>
      <c r="U25" s="172">
        <f>J26*'Emissions Factors, etc,'!$C75</f>
        <v>4315.5839999999998</v>
      </c>
      <c r="W25" s="179" t="s">
        <v>589</v>
      </c>
      <c r="X25" s="172" t="s">
        <v>943</v>
      </c>
      <c r="Y25" s="172">
        <f>D26*'Emissions Factors, etc,'!$C91</f>
        <v>9348.1218285775994</v>
      </c>
      <c r="Z25" s="172">
        <f>E26*'Emissions Factors, etc,'!$C91</f>
        <v>12707.213605646484</v>
      </c>
      <c r="AA25" s="172">
        <f>F26*'Emissions Factors, etc,'!$C91</f>
        <v>18157.168631707224</v>
      </c>
      <c r="AB25" s="172">
        <f>G26*'Emissions Factors, etc,'!$C91</f>
        <v>23195.806297310552</v>
      </c>
      <c r="AC25" s="172">
        <f>H26*'Emissions Factors, etc,'!$C91</f>
        <v>28268.720409618662</v>
      </c>
      <c r="AD25" s="172">
        <f>I26*'Emissions Factors, etc,'!$C91</f>
        <v>33341.634521926782</v>
      </c>
      <c r="AE25" s="172">
        <f>J26*'Emissions Factors, etc,'!$C91</f>
        <v>47394.977670888431</v>
      </c>
    </row>
    <row r="26" spans="2:31" x14ac:dyDescent="0.25">
      <c r="C26" s="177" t="s">
        <v>589</v>
      </c>
      <c r="D26" s="168">
        <f>'Baseline User Input'!BB32</f>
        <v>152</v>
      </c>
      <c r="E26" s="168">
        <f>'Baseline User Input'!$BB32*E16/'Baseline User Input'!$BB20</f>
        <v>206.61866666666668</v>
      </c>
      <c r="F26" s="168">
        <f>'Baseline User Input'!$BB32*F16/'Baseline User Input'!$BB20</f>
        <v>295.23466666666667</v>
      </c>
      <c r="G26" s="168">
        <f>'Baseline User Input'!$BB32*G16/'Baseline User Input'!$BB20</f>
        <v>377.16266666666667</v>
      </c>
      <c r="H26" s="168">
        <f>'Baseline User Input'!$BB32*H16/'Baseline User Input'!$BB20</f>
        <v>459.64800000000002</v>
      </c>
      <c r="I26" s="168">
        <f>'Baseline User Input'!$BB32*I16/'Baseline User Input'!$BB20</f>
        <v>542.13333333333344</v>
      </c>
      <c r="J26" s="168">
        <f>'Baseline User Input'!$BB32*J16/'Baseline User Input'!$BB20</f>
        <v>770.64</v>
      </c>
      <c r="K26" s="167" t="s">
        <v>595</v>
      </c>
    </row>
    <row r="27" spans="2:31" x14ac:dyDescent="0.25">
      <c r="C27" s="177" t="s">
        <v>214</v>
      </c>
      <c r="D27" s="181">
        <f>'Baseline User Input'!BB33</f>
        <v>77875.834326255877</v>
      </c>
      <c r="E27" s="181">
        <f t="shared" ref="E27:J27" si="5">SUM(E20:E26)</f>
        <v>74523.042038844593</v>
      </c>
      <c r="F27" s="181">
        <f t="shared" si="5"/>
        <v>71077.48765222673</v>
      </c>
      <c r="G27" s="181">
        <f t="shared" si="5"/>
        <v>67649.202562582432</v>
      </c>
      <c r="H27" s="181">
        <f t="shared" si="5"/>
        <v>64220.326635293539</v>
      </c>
      <c r="I27" s="181">
        <f t="shared" si="5"/>
        <v>60791.64707637189</v>
      </c>
      <c r="J27" s="181">
        <f t="shared" si="5"/>
        <v>56965.945218932662</v>
      </c>
      <c r="K27" s="167" t="s">
        <v>595</v>
      </c>
      <c r="M27" s="649" t="s">
        <v>598</v>
      </c>
      <c r="N27" s="650"/>
      <c r="O27" s="651"/>
      <c r="P27" s="172"/>
      <c r="Q27" s="172"/>
      <c r="R27" s="172"/>
      <c r="S27" s="172"/>
      <c r="T27" s="172"/>
      <c r="U27" s="172"/>
      <c r="W27" s="649" t="s">
        <v>592</v>
      </c>
      <c r="X27" s="650"/>
      <c r="Y27" s="651"/>
      <c r="Z27" s="172"/>
      <c r="AA27" s="172"/>
      <c r="AB27" s="172"/>
      <c r="AC27" s="172"/>
      <c r="AD27" s="172"/>
      <c r="AE27" s="172"/>
    </row>
    <row r="28" spans="2:31" x14ac:dyDescent="0.25">
      <c r="C28" s="177" t="s">
        <v>591</v>
      </c>
      <c r="D28" s="182">
        <f>'Baseline User Input'!BB34</f>
        <v>1</v>
      </c>
      <c r="E28" s="182">
        <f>E27/'Baseline User Input'!$BB33</f>
        <v>0.95694694873681896</v>
      </c>
      <c r="F28" s="182">
        <f>F27/'Baseline User Input'!$BB33</f>
        <v>0.91270274363228132</v>
      </c>
      <c r="G28" s="182">
        <f>G27/'Baseline User Input'!$BB33</f>
        <v>0.86868029277439751</v>
      </c>
      <c r="H28" s="182">
        <f>H27/'Baseline User Input'!$BB33</f>
        <v>0.82465025499754574</v>
      </c>
      <c r="I28" s="182">
        <f>I27/'Baseline User Input'!$BB33</f>
        <v>0.78062273877784905</v>
      </c>
      <c r="J28" s="182">
        <f>J27/'Baseline User Input'!$BB33</f>
        <v>0.73149707751800697</v>
      </c>
      <c r="K28" s="167"/>
      <c r="M28" s="179" t="s">
        <v>599</v>
      </c>
      <c r="N28" s="172" t="s">
        <v>943</v>
      </c>
      <c r="O28" s="172">
        <f>IF(OR('1. Landuse'!$A76=2,'1. Landuse'!$A76=4),'1. Landuse'!C80,0)</f>
        <v>0</v>
      </c>
      <c r="P28" s="172">
        <f>IF(OR('1. Landuse'!$A76=2,'1. Landuse'!$A76=4),'1. Landuse'!D80,0)</f>
        <v>0</v>
      </c>
      <c r="Q28" s="172">
        <f>IF(OR('1. Landuse'!$A76=2,'1. Landuse'!$A76=4),'1. Landuse'!E80,0)</f>
        <v>0</v>
      </c>
      <c r="R28" s="172">
        <f>IF(OR('1. Landuse'!$A76=2,'1. Landuse'!$A76=4),'1. Landuse'!F80,0)</f>
        <v>0</v>
      </c>
      <c r="S28" s="172">
        <f>IF(OR('1. Landuse'!$A76=2,'1. Landuse'!$A76=4),'1. Landuse'!G80,0)</f>
        <v>0</v>
      </c>
      <c r="T28" s="172">
        <f>IF(OR('1. Landuse'!$A76=2,'1. Landuse'!$A76=4),'1. Landuse'!H80,0)</f>
        <v>0</v>
      </c>
      <c r="U28" s="172">
        <f>IF(OR('1. Landuse'!$A76=2,'1. Landuse'!$A76=4),'1. Landuse'!I80,0)</f>
        <v>0</v>
      </c>
      <c r="W28" s="179" t="s">
        <v>593</v>
      </c>
      <c r="X28" s="172" t="s">
        <v>943</v>
      </c>
      <c r="Y28" s="172">
        <f>44/28*('Background Calcs. Agriculture'!D34*'Emissions Factors, etc,'!$C$94)*1000</f>
        <v>5475.7242571428569</v>
      </c>
      <c r="Z28" s="172">
        <f>44/28*(E34*'Emissions Factors, etc,'!$C$94)*1000</f>
        <v>5239.9776199970429</v>
      </c>
      <c r="AA28" s="172">
        <f>44/28*(F34*'Emissions Factors, etc,'!$C$94)*1000</f>
        <v>4941.9162530724989</v>
      </c>
      <c r="AB28" s="172">
        <f>44/28*(G34*'Emissions Factors, etc,'!$C$94)*1000</f>
        <v>4600.5163882047245</v>
      </c>
      <c r="AC28" s="172">
        <f>44/28*(H34*'Emissions Factors, etc,'!$C$94)*1000</f>
        <v>4233.0396433733549</v>
      </c>
      <c r="AD28" s="172">
        <f>44/28*(I34*'Emissions Factors, etc,'!$C$94)*1000</f>
        <v>3859.5838412478797</v>
      </c>
      <c r="AE28" s="172">
        <f>44/28*(J34*'Emissions Factors, etc,'!$C$94)*1000</f>
        <v>3474.1367419577728</v>
      </c>
    </row>
    <row r="29" spans="2:31" x14ac:dyDescent="0.25">
      <c r="M29" s="178" t="s">
        <v>601</v>
      </c>
      <c r="N29" s="172" t="s">
        <v>943</v>
      </c>
      <c r="O29" s="172">
        <f>SUM(O10:O16)*(-O28)</f>
        <v>0</v>
      </c>
      <c r="P29" s="172">
        <f t="shared" ref="P29:U29" si="6">SUM(P10:P16)*(-P28)</f>
        <v>0</v>
      </c>
      <c r="Q29" s="172">
        <f t="shared" si="6"/>
        <v>0</v>
      </c>
      <c r="R29" s="172">
        <f t="shared" si="6"/>
        <v>0</v>
      </c>
      <c r="S29" s="172">
        <f t="shared" si="6"/>
        <v>0</v>
      </c>
      <c r="T29" s="172">
        <f t="shared" si="6"/>
        <v>0</v>
      </c>
      <c r="U29" s="172">
        <f t="shared" si="6"/>
        <v>0</v>
      </c>
      <c r="W29" s="179" t="s">
        <v>596</v>
      </c>
      <c r="X29" s="172" t="s">
        <v>943</v>
      </c>
      <c r="Y29" s="172">
        <f>44/28*('Background Calcs. Agriculture'!D34*1000*'Emissions Factors, etc,'!$C$95*'Emissions Factors, etc,'!$C$104)</f>
        <v>928.08885714285725</v>
      </c>
      <c r="Z29" s="172">
        <f>44/28*(E34*1000*'Emissions Factors, etc,'!$C$95*'Emissions Factors, etc,'!$C$104)</f>
        <v>888.13179999949875</v>
      </c>
      <c r="AA29" s="172">
        <f>44/28*(F34*1000*'Emissions Factors, etc,'!$C$95*'Emissions Factors, etc,'!$C$104)</f>
        <v>837.61292424957617</v>
      </c>
      <c r="AB29" s="172">
        <f>44/28*(G34*1000*'Emissions Factors, etc,'!$C$95*'Emissions Factors, etc,'!$C$104)</f>
        <v>779.7485403736822</v>
      </c>
      <c r="AC29" s="172">
        <f>44/28*(H34*1000*'Emissions Factors, etc,'!$C$95*'Emissions Factors, etc,'!$C$104)</f>
        <v>717.46434633446711</v>
      </c>
      <c r="AD29" s="172">
        <f>44/28*(I34*1000*'Emissions Factors, etc,'!$C$95*'Emissions Factors, etc,'!$C$104)</f>
        <v>654.16675275387786</v>
      </c>
      <c r="AE29" s="172">
        <f>44/28*(J34*1000*'Emissions Factors, etc,'!$C$95*'Emissions Factors, etc,'!$C$104)</f>
        <v>588.83673592504624</v>
      </c>
    </row>
    <row r="30" spans="2:31" x14ac:dyDescent="0.25">
      <c r="B30" s="646" t="s">
        <v>602</v>
      </c>
      <c r="C30" s="177" t="s">
        <v>603</v>
      </c>
      <c r="D30" s="172">
        <f>'Baseline User Input'!BB38</f>
        <v>951</v>
      </c>
      <c r="E30" s="172">
        <f>'Baseline User Input'!$BB38*E$28</f>
        <v>910.05654824871488</v>
      </c>
      <c r="F30" s="172">
        <f>'Baseline User Input'!$BB38*F$28</f>
        <v>867.98030919429959</v>
      </c>
      <c r="G30" s="172">
        <f>'Baseline User Input'!$BB38*G$28</f>
        <v>826.11495842845204</v>
      </c>
      <c r="H30" s="172">
        <f>'Baseline User Input'!$BB38*H$28</f>
        <v>784.24239250266601</v>
      </c>
      <c r="I30" s="172">
        <f>'Baseline User Input'!$BB38*I$28</f>
        <v>742.37222457773441</v>
      </c>
      <c r="J30" s="172">
        <f>'Baseline User Input'!$BB38*J$28</f>
        <v>695.65372071962463</v>
      </c>
      <c r="K30" s="167" t="s">
        <v>117</v>
      </c>
      <c r="M30" s="178" t="s">
        <v>214</v>
      </c>
      <c r="N30" s="172" t="s">
        <v>135</v>
      </c>
      <c r="O30" s="183">
        <f>(SUM(O10:O29)/1000)/'Emissions Factors, etc,'!C$109</f>
        <v>2835.8388783527116</v>
      </c>
      <c r="P30" s="183">
        <f>(SUM(P10:P29)/1000)/'Emissions Factors, etc,'!D$109</f>
        <v>2764.9357654604346</v>
      </c>
      <c r="Q30" s="183">
        <f>(SUM(Q10:Q29)/1000)/'Emissions Factors, etc,'!E$109</f>
        <v>2686.8172592549527</v>
      </c>
      <c r="R30" s="183">
        <f>(SUM(R10:R29)/1000)/'Emissions Factors, etc,'!F$109</f>
        <v>2610.0249614200416</v>
      </c>
      <c r="S30" s="183">
        <f>(SUM(S10:S29)/1000)/'Emissions Factors, etc,'!G$109</f>
        <v>2533.202913617713</v>
      </c>
      <c r="T30" s="183">
        <f>(SUM(T10:T29)/1000)/'Emissions Factors, etc,'!H$109</f>
        <v>2456.3995628737252</v>
      </c>
      <c r="U30" s="183">
        <f>(SUM(U10:U29)/1000)/'Emissions Factors, etc,'!I$109</f>
        <v>2348.7386654940397</v>
      </c>
    </row>
    <row r="31" spans="2:31" x14ac:dyDescent="0.25">
      <c r="B31" s="648"/>
      <c r="C31" s="177" t="s">
        <v>604</v>
      </c>
      <c r="D31" s="172">
        <f>'Baseline User Input'!BB39</f>
        <v>156</v>
      </c>
      <c r="E31" s="172">
        <f>'Baseline User Input'!BB39*E28</f>
        <v>149.28372400294376</v>
      </c>
      <c r="F31" s="172">
        <f>E31*F28</f>
        <v>136.25166447713102</v>
      </c>
      <c r="G31" s="172">
        <f>F31*G28</f>
        <v>118.35913578899314</v>
      </c>
      <c r="H31" s="172">
        <f>G31*H28</f>
        <v>97.604891509682332</v>
      </c>
      <c r="I31" s="172">
        <f>H31*I28</f>
        <v>76.192597728403044</v>
      </c>
      <c r="J31" s="172">
        <f>I31*J28</f>
        <v>55.734662566831965</v>
      </c>
      <c r="K31" s="167" t="s">
        <v>117</v>
      </c>
      <c r="W31" s="649" t="s">
        <v>597</v>
      </c>
      <c r="X31" s="650"/>
      <c r="Y31" s="651"/>
      <c r="Z31" s="172"/>
      <c r="AA31" s="172"/>
      <c r="AB31" s="172"/>
      <c r="AC31" s="172"/>
      <c r="AD31" s="172"/>
      <c r="AE31" s="172"/>
    </row>
    <row r="32" spans="2:31" x14ac:dyDescent="0.25">
      <c r="B32" s="648"/>
      <c r="C32" s="177" t="s">
        <v>605</v>
      </c>
      <c r="D32" s="172">
        <f>'Baseline User Input'!BB40</f>
        <v>115</v>
      </c>
      <c r="E32" s="172">
        <f>'Baseline User Input'!BB40*E28</f>
        <v>110.04889910473418</v>
      </c>
      <c r="F32" s="172">
        <f>E32*F28</f>
        <v>100.44193214660299</v>
      </c>
      <c r="G32" s="172">
        <f>F32*G28</f>
        <v>87.251927023937256</v>
      </c>
      <c r="H32" s="172">
        <f>G32*H28</f>
        <v>71.952323869317112</v>
      </c>
      <c r="I32" s="172">
        <f>H32*I28</f>
        <v>56.167620120297123</v>
      </c>
      <c r="J32" s="172">
        <f>I32*J28</f>
        <v>41.086449969138954</v>
      </c>
      <c r="K32" s="167" t="s">
        <v>117</v>
      </c>
      <c r="W32" s="179" t="s">
        <v>214</v>
      </c>
      <c r="X32" s="172" t="s">
        <v>138</v>
      </c>
      <c r="Y32" s="183">
        <f>(SUM(Y10:Y29)/1000)/'Emissions Factors, etc,'!C$110</f>
        <v>39.614163736324436</v>
      </c>
      <c r="Z32" s="183">
        <f>(SUM(Z10:Z29)/1000)/'Emissions Factors, etc,'!D$110</f>
        <v>38.814994710998413</v>
      </c>
      <c r="AA32" s="183">
        <f>(SUM(AA10:AA29)/1000)/'Emissions Factors, etc,'!E$110</f>
        <v>37.936290409007711</v>
      </c>
      <c r="AB32" s="183">
        <f>(SUM(AB10:AB29)/1000)/'Emissions Factors, etc,'!F$110</f>
        <v>37.071550284970613</v>
      </c>
      <c r="AC32" s="183">
        <f>(SUM(AC10:AC29)/1000)/'Emissions Factors, etc,'!G$110</f>
        <v>36.206760370448862</v>
      </c>
      <c r="AD32" s="183">
        <f>(SUM(AD10:AD29)/1000)/'Emissions Factors, etc,'!H$110</f>
        <v>35.342232257090814</v>
      </c>
      <c r="AE32" s="183">
        <f>(SUM(AE10:AE29)/1000)/'Emissions Factors, etc,'!I$110</f>
        <v>34.139274316313973</v>
      </c>
    </row>
    <row r="33" spans="2:25" x14ac:dyDescent="0.25">
      <c r="C33" s="177" t="s">
        <v>606</v>
      </c>
      <c r="D33" s="172">
        <f>'Baseline User Input'!BB41</f>
        <v>742</v>
      </c>
      <c r="E33" s="172">
        <f>'Baseline User Input'!BB41*E28</f>
        <v>710.05463596271966</v>
      </c>
      <c r="F33" s="172">
        <f>E33*F28</f>
        <v>648.06881437199502</v>
      </c>
      <c r="G33" s="172">
        <f>F33*G28</f>
        <v>562.96460740662133</v>
      </c>
      <c r="H33" s="172">
        <f>G33*H28</f>
        <v>464.24890705246349</v>
      </c>
      <c r="I33" s="172">
        <f>H33*I28</f>
        <v>362.4032532979171</v>
      </c>
      <c r="J33" s="172">
        <f>I33*J28</f>
        <v>265.09692067044438</v>
      </c>
      <c r="K33" s="167" t="s">
        <v>117</v>
      </c>
      <c r="Y33" s="416"/>
    </row>
    <row r="34" spans="2:25" x14ac:dyDescent="0.25">
      <c r="C34" s="177" t="s">
        <v>607</v>
      </c>
      <c r="D34" s="181">
        <f>SUMPRODUCT(D30:D33,'Emissions Factors, etc,'!$C98:$C101)</f>
        <v>590.60199999999998</v>
      </c>
      <c r="E34" s="181">
        <f>SUMPRODUCT(E30:E33,'Emissions Factors, etc,'!$C98:$C101)</f>
        <v>565.17478181786282</v>
      </c>
      <c r="F34" s="181">
        <f>SUMPRODUCT(F30:F33,'Emissions Factors, etc,'!$C98:$C101)</f>
        <v>533.02640634063937</v>
      </c>
      <c r="G34" s="181">
        <f>SUMPRODUCT(G30:G33,'Emissions Factors, etc,'!$C98:$C101)</f>
        <v>496.20361660143408</v>
      </c>
      <c r="H34" s="181">
        <f>SUMPRODUCT(H30:H33,'Emissions Factors, etc,'!$C98:$C101)</f>
        <v>456.56822039466084</v>
      </c>
      <c r="I34" s="181">
        <f>SUMPRODUCT(I30:I33,'Emissions Factors, etc,'!$C98:$C101)</f>
        <v>416.28793357064956</v>
      </c>
      <c r="J34" s="181">
        <f>SUMPRODUCT(J30:J33,'Emissions Factors, etc,'!$C98:$C101)</f>
        <v>374.71428649775669</v>
      </c>
      <c r="K34" s="167" t="s">
        <v>117</v>
      </c>
      <c r="Y34" s="416"/>
    </row>
    <row r="35" spans="2:25" x14ac:dyDescent="0.25">
      <c r="C35" s="177"/>
      <c r="D35" s="172"/>
      <c r="E35" s="172"/>
      <c r="F35" s="172"/>
      <c r="G35" s="172"/>
      <c r="H35" s="172"/>
      <c r="I35" s="172"/>
      <c r="J35" s="172"/>
      <c r="K35" s="167"/>
      <c r="Y35" s="416"/>
    </row>
    <row r="36" spans="2:25" x14ac:dyDescent="0.25">
      <c r="Y36" s="416"/>
    </row>
    <row r="37" spans="2:25" x14ac:dyDescent="0.25">
      <c r="B37" s="646" t="s">
        <v>608</v>
      </c>
      <c r="C37" s="177" t="s">
        <v>253</v>
      </c>
      <c r="D37" s="172">
        <f>'Baseline User Input'!BB45</f>
        <v>5648525.7968623694</v>
      </c>
      <c r="E37" s="172">
        <f>'Baseline User Input'!$BB45*E$28</f>
        <v>5405339.5261686528</v>
      </c>
      <c r="F37" s="172">
        <f>'Baseline User Input'!$BB45*F$28</f>
        <v>5155424.9922740031</v>
      </c>
      <c r="G37" s="172">
        <f>'Baseline User Input'!$BB45*G$28</f>
        <v>4906763.0429621404</v>
      </c>
      <c r="H37" s="172">
        <f>'Baseline User Input'!$BB45*H$28</f>
        <v>4658058.2387427678</v>
      </c>
      <c r="I37" s="172">
        <f>'Baseline User Input'!$BB45*I$28</f>
        <v>4409367.6776040355</v>
      </c>
      <c r="J37" s="172">
        <f>'Baseline User Input'!$BB45*J$28</f>
        <v>4131880.1126898946</v>
      </c>
      <c r="K37" s="167" t="s">
        <v>122</v>
      </c>
      <c r="L37" s="82"/>
      <c r="Y37" s="416"/>
    </row>
    <row r="38" spans="2:25" x14ac:dyDescent="0.25">
      <c r="B38" s="646"/>
      <c r="C38" s="177" t="s">
        <v>254</v>
      </c>
      <c r="D38" s="172">
        <f>'Baseline User Input'!BB46</f>
        <v>533194.78349569347</v>
      </c>
      <c r="E38" s="172">
        <f>'Baseline User Input'!$BB46*E$28</f>
        <v>510239.12114859268</v>
      </c>
      <c r="F38" s="172">
        <f>'Baseline User Input'!$BB46*F$28</f>
        <v>486648.34178693965</v>
      </c>
      <c r="G38" s="172">
        <f>'Baseline User Input'!$BB46*G$28</f>
        <v>463175.80063282052</v>
      </c>
      <c r="H38" s="172">
        <f>'Baseline User Input'!$BB46*H$28</f>
        <v>439699.21417308482</v>
      </c>
      <c r="I38" s="172">
        <f>'Baseline User Input'!$BB46*I$28</f>
        <v>416223.97219447052</v>
      </c>
      <c r="J38" s="172">
        <f>'Baseline User Input'!$BB46*J$28</f>
        <v>390030.42587494623</v>
      </c>
      <c r="K38" s="167" t="s">
        <v>122</v>
      </c>
      <c r="L38" s="82"/>
      <c r="Y38" s="416"/>
    </row>
    <row r="39" spans="2:25" x14ac:dyDescent="0.25">
      <c r="B39" s="646"/>
      <c r="C39" s="83"/>
      <c r="Y39" s="416"/>
    </row>
    <row r="40" spans="2:25" x14ac:dyDescent="0.25">
      <c r="Y40" s="416"/>
    </row>
    <row r="41" spans="2:25" x14ac:dyDescent="0.25">
      <c r="B41" s="646" t="s">
        <v>609</v>
      </c>
      <c r="C41" s="177" t="s">
        <v>610</v>
      </c>
      <c r="D41" s="460">
        <v>100</v>
      </c>
      <c r="E41" s="460">
        <v>100</v>
      </c>
      <c r="F41" s="460">
        <v>100</v>
      </c>
      <c r="G41" s="460">
        <v>100</v>
      </c>
      <c r="H41" s="460">
        <v>100</v>
      </c>
      <c r="I41" s="460">
        <v>100</v>
      </c>
      <c r="J41" s="460">
        <v>100</v>
      </c>
      <c r="K41" s="167" t="s">
        <v>611</v>
      </c>
      <c r="Y41" s="416"/>
    </row>
    <row r="42" spans="2:25" x14ac:dyDescent="0.25">
      <c r="B42" s="646"/>
      <c r="C42" s="177" t="s">
        <v>612</v>
      </c>
      <c r="D42" s="171">
        <f>44.01/12.01</f>
        <v>3.6644462947543714</v>
      </c>
      <c r="E42" s="171">
        <f t="shared" ref="E42:J42" si="7">44.01/12.01</f>
        <v>3.6644462947543714</v>
      </c>
      <c r="F42" s="171">
        <f t="shared" si="7"/>
        <v>3.6644462947543714</v>
      </c>
      <c r="G42" s="171">
        <f t="shared" si="7"/>
        <v>3.6644462947543714</v>
      </c>
      <c r="H42" s="171">
        <f t="shared" si="7"/>
        <v>3.6644462947543714</v>
      </c>
      <c r="I42" s="171">
        <f t="shared" si="7"/>
        <v>3.6644462947543714</v>
      </c>
      <c r="J42" s="171">
        <f t="shared" si="7"/>
        <v>3.6644462947543714</v>
      </c>
      <c r="K42" s="167" t="s">
        <v>613</v>
      </c>
      <c r="Y42" s="416"/>
    </row>
    <row r="43" spans="2:25" x14ac:dyDescent="0.25">
      <c r="B43" s="646"/>
      <c r="C43" s="177" t="s">
        <v>614</v>
      </c>
      <c r="D43" s="170">
        <f>IF(OR('1. Landuse'!$A76=7,'1. Landuse'!$A76=8),'1. Landuse'!C81,0)</f>
        <v>0</v>
      </c>
      <c r="E43" s="170">
        <f>IF(OR('1. Landuse'!$A76=3,'1. Landuse'!$A76=4),'1. Landuse'!D81,0)</f>
        <v>0</v>
      </c>
      <c r="F43" s="170">
        <f>IF(OR('1. Landuse'!$A76=3,'1. Landuse'!$A76=4),'1. Landuse'!E81,0)</f>
        <v>0</v>
      </c>
      <c r="G43" s="170">
        <f>IF(OR('1. Landuse'!$A76=3,'1. Landuse'!$A76=4),'1. Landuse'!F81,0)</f>
        <v>0</v>
      </c>
      <c r="H43" s="170">
        <f>IF(OR('1. Landuse'!$A76=3,'1. Landuse'!$A76=4),'1. Landuse'!G81,0)</f>
        <v>0</v>
      </c>
      <c r="I43" s="170">
        <f>IF(OR('1. Landuse'!$A76=3,'1. Landuse'!$A76=4),'1. Landuse'!H81,0)</f>
        <v>0</v>
      </c>
      <c r="J43" s="170">
        <f>IF(OR('1. Landuse'!$A76=3,'1. Landuse'!$A76=4),'1. Landuse'!I81,0)</f>
        <v>0</v>
      </c>
      <c r="K43" s="167" t="s">
        <v>615</v>
      </c>
    </row>
    <row r="44" spans="2:25" x14ac:dyDescent="0.25">
      <c r="C44" s="184" t="s">
        <v>91</v>
      </c>
      <c r="D44" s="185">
        <f>-'Background Calcs. Agriculture'!D41*D43*'Baseline User Input'!BB21*D42</f>
        <v>0</v>
      </c>
      <c r="E44" s="172">
        <f>-E41*E43*E17*E42</f>
        <v>0</v>
      </c>
      <c r="F44" s="172">
        <f t="shared" ref="F44:I44" si="8">-F41*F43*F17*F42</f>
        <v>0</v>
      </c>
      <c r="G44" s="172">
        <f t="shared" si="8"/>
        <v>0</v>
      </c>
      <c r="H44" s="172">
        <f t="shared" si="8"/>
        <v>0</v>
      </c>
      <c r="I44" s="172">
        <f t="shared" si="8"/>
        <v>0</v>
      </c>
      <c r="J44" s="172">
        <f>-J41*J43*J17*J42</f>
        <v>0</v>
      </c>
      <c r="K44" s="167" t="s">
        <v>616</v>
      </c>
    </row>
  </sheetData>
  <protectedRanges>
    <protectedRange sqref="E41:J43" name="Range1"/>
    <protectedRange sqref="D42:D43" name="Range1_8"/>
    <protectedRange sqref="D41" name="Range1_8_1"/>
    <protectedRange sqref="A1:A6" name="Range1_1_1_1"/>
  </protectedRanges>
  <mergeCells count="17">
    <mergeCell ref="C7:C9"/>
    <mergeCell ref="K7:K9"/>
    <mergeCell ref="B41:B43"/>
    <mergeCell ref="W7:AE7"/>
    <mergeCell ref="B10:B12"/>
    <mergeCell ref="M7:U7"/>
    <mergeCell ref="B37:B39"/>
    <mergeCell ref="B20:B22"/>
    <mergeCell ref="B30:B32"/>
    <mergeCell ref="B7:B9"/>
    <mergeCell ref="W9:Y9"/>
    <mergeCell ref="W27:Y27"/>
    <mergeCell ref="W31:Y31"/>
    <mergeCell ref="M9:O9"/>
    <mergeCell ref="M18:O18"/>
    <mergeCell ref="M27:O27"/>
    <mergeCell ref="W18:Y18"/>
  </mergeCells>
  <phoneticPr fontId="19"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CDCB7-A1C0-4143-BC0E-DF418D4A55CB}">
  <sheetPr codeName="Sheet12">
    <tabColor theme="0" tint="-0.249977111117893"/>
  </sheetPr>
  <dimension ref="A1:M87"/>
  <sheetViews>
    <sheetView showGridLines="0" zoomScale="80" zoomScaleNormal="80" workbookViewId="0">
      <selection activeCell="N30" sqref="N30"/>
    </sheetView>
  </sheetViews>
  <sheetFormatPr defaultColWidth="9.140625" defaultRowHeight="15" x14ac:dyDescent="0.25"/>
  <cols>
    <col min="3" max="3" width="24" bestFit="1" customWidth="1"/>
    <col min="4" max="4" width="10.42578125" customWidth="1"/>
    <col min="5" max="5" width="23.7109375" customWidth="1"/>
    <col min="6" max="10" width="12" bestFit="1" customWidth="1"/>
    <col min="11" max="11" width="12.42578125" customWidth="1"/>
    <col min="12" max="12" width="31.28515625" customWidth="1"/>
    <col min="13" max="16" width="8.85546875" customWidth="1"/>
    <col min="18" max="19" width="8.85546875" customWidth="1"/>
  </cols>
  <sheetData>
    <row r="1" spans="1:12" ht="23.25" x14ac:dyDescent="0.35">
      <c r="A1" s="35" t="s">
        <v>44</v>
      </c>
    </row>
    <row r="2" spans="1:12" ht="23.25" x14ac:dyDescent="0.35">
      <c r="A2" s="35" t="s">
        <v>976</v>
      </c>
    </row>
    <row r="4" spans="1:12" x14ac:dyDescent="0.25">
      <c r="A4" s="4" t="s">
        <v>47</v>
      </c>
    </row>
    <row r="5" spans="1:12" x14ac:dyDescent="0.25">
      <c r="A5" s="39" t="s">
        <v>975</v>
      </c>
    </row>
    <row r="7" spans="1:12" x14ac:dyDescent="0.25">
      <c r="C7" s="494"/>
      <c r="D7" s="494">
        <f>'Baseline Statistics'!C12</f>
        <v>2022</v>
      </c>
      <c r="E7" s="494">
        <f>'Baseline Statistics'!D12</f>
        <v>2025</v>
      </c>
      <c r="F7" s="494">
        <f>'Baseline Statistics'!E12</f>
        <v>2030</v>
      </c>
      <c r="G7" s="494">
        <f>'Baseline Statistics'!F12</f>
        <v>2035</v>
      </c>
      <c r="H7" s="494">
        <f>'Baseline Statistics'!G12</f>
        <v>2040</v>
      </c>
      <c r="I7" s="494">
        <f>'Baseline Statistics'!H12</f>
        <v>2045</v>
      </c>
      <c r="J7" s="494">
        <f>'Baseline Statistics'!I12</f>
        <v>2050</v>
      </c>
      <c r="L7" s="12"/>
    </row>
    <row r="8" spans="1:12" x14ac:dyDescent="0.25">
      <c r="C8" s="167" t="s">
        <v>621</v>
      </c>
      <c r="D8" s="187">
        <f>'Baseline Statistics'!C41</f>
        <v>0</v>
      </c>
      <c r="E8" s="187">
        <f>'Baseline Statistics'!D41</f>
        <v>977</v>
      </c>
      <c r="F8" s="187">
        <f>'Baseline Statistics'!E41</f>
        <v>2565</v>
      </c>
      <c r="G8" s="187">
        <f>'Baseline Statistics'!F41</f>
        <v>4044</v>
      </c>
      <c r="H8" s="187">
        <f>'Baseline Statistics'!G41</f>
        <v>5523</v>
      </c>
      <c r="I8" s="187">
        <f>'Baseline Statistics'!H41</f>
        <v>7002</v>
      </c>
      <c r="J8" s="187">
        <f>'Baseline Statistics'!I41</f>
        <v>11096</v>
      </c>
    </row>
    <row r="9" spans="1:12" x14ac:dyDescent="0.25">
      <c r="C9" s="167" t="s">
        <v>622</v>
      </c>
      <c r="D9" s="187">
        <f>'Baseline Statistics'!C39</f>
        <v>34340</v>
      </c>
      <c r="E9" s="187">
        <f>'Baseline Statistics'!D39</f>
        <v>35317</v>
      </c>
      <c r="F9" s="187">
        <f>'Baseline Statistics'!E39</f>
        <v>36905</v>
      </c>
      <c r="G9" s="187">
        <f>'Baseline Statistics'!F39</f>
        <v>38384</v>
      </c>
      <c r="H9" s="187">
        <f>'Baseline Statistics'!G39</f>
        <v>39863</v>
      </c>
      <c r="I9" s="187">
        <f>'Baseline Statistics'!H39</f>
        <v>41342</v>
      </c>
      <c r="J9" s="187">
        <f>'Baseline Statistics'!I39</f>
        <v>42821</v>
      </c>
    </row>
    <row r="10" spans="1:12" x14ac:dyDescent="0.25">
      <c r="E10" s="7"/>
      <c r="F10" s="7"/>
      <c r="G10" s="7"/>
      <c r="H10" s="7"/>
      <c r="I10" s="7"/>
      <c r="J10" s="7"/>
    </row>
    <row r="11" spans="1:12" x14ac:dyDescent="0.25">
      <c r="B11" s="497"/>
      <c r="C11" s="393"/>
      <c r="D11" s="656" t="s">
        <v>158</v>
      </c>
      <c r="E11" s="656"/>
      <c r="F11" s="656"/>
      <c r="G11" s="656"/>
      <c r="H11" s="656"/>
      <c r="I11" s="656"/>
      <c r="J11" s="656"/>
    </row>
    <row r="12" spans="1:12" x14ac:dyDescent="0.25">
      <c r="B12" s="212" t="s">
        <v>33</v>
      </c>
      <c r="C12" s="212" t="s">
        <v>159</v>
      </c>
      <c r="D12" s="212">
        <f>'Baseline Statistics'!C12</f>
        <v>2022</v>
      </c>
      <c r="E12" s="212">
        <f>'Baseline Statistics'!D12</f>
        <v>2025</v>
      </c>
      <c r="F12" s="212">
        <f>'Baseline Statistics'!E12</f>
        <v>2030</v>
      </c>
      <c r="G12" s="212">
        <f>'Baseline Statistics'!F12</f>
        <v>2035</v>
      </c>
      <c r="H12" s="212">
        <f>'Baseline Statistics'!G12</f>
        <v>2040</v>
      </c>
      <c r="I12" s="212">
        <f>'Baseline Statistics'!H12</f>
        <v>2045</v>
      </c>
      <c r="J12" s="212">
        <f>'Baseline Statistics'!I12</f>
        <v>2050</v>
      </c>
      <c r="K12" s="4" t="s">
        <v>974</v>
      </c>
    </row>
    <row r="13" spans="1:12" x14ac:dyDescent="0.25">
      <c r="B13" s="653" t="s">
        <v>34</v>
      </c>
      <c r="C13" s="498" t="s">
        <v>160</v>
      </c>
      <c r="D13" s="499">
        <f>'1. Landuse'!D16</f>
        <v>20</v>
      </c>
      <c r="E13" s="499">
        <f>'1. Landuse'!E16</f>
        <v>20</v>
      </c>
      <c r="F13" s="499">
        <f>'1. Landuse'!F16</f>
        <v>20</v>
      </c>
      <c r="G13" s="499">
        <f>'1. Landuse'!G16</f>
        <v>20</v>
      </c>
      <c r="H13" s="499">
        <f>'1. Landuse'!H16</f>
        <v>20</v>
      </c>
      <c r="I13" s="499">
        <f>'1. Landuse'!I16</f>
        <v>20</v>
      </c>
      <c r="J13" s="499">
        <f>'1. Landuse'!J16</f>
        <v>20</v>
      </c>
      <c r="K13" t="str">
        <f>'1. Landuse'!K16</f>
        <v>Majority of growth is medium/high density</v>
      </c>
    </row>
    <row r="14" spans="1:12" x14ac:dyDescent="0.25">
      <c r="B14" s="654"/>
      <c r="C14" s="500" t="s">
        <v>161</v>
      </c>
      <c r="D14" s="499">
        <f>'1. Landuse'!D17</f>
        <v>0</v>
      </c>
      <c r="E14" s="499">
        <f>'1. Landuse'!E17</f>
        <v>0</v>
      </c>
      <c r="F14" s="499">
        <f>'1. Landuse'!F17</f>
        <v>0</v>
      </c>
      <c r="G14" s="499">
        <f>'1. Landuse'!G17</f>
        <v>0</v>
      </c>
      <c r="H14" s="499">
        <f>'1. Landuse'!H17</f>
        <v>0</v>
      </c>
      <c r="I14" s="499">
        <f>'1. Landuse'!I17</f>
        <v>0</v>
      </c>
      <c r="J14" s="499">
        <f>'1. Landuse'!J17</f>
        <v>0</v>
      </c>
    </row>
    <row r="15" spans="1:12" x14ac:dyDescent="0.25">
      <c r="B15" s="654"/>
      <c r="C15" s="500" t="s">
        <v>162</v>
      </c>
      <c r="D15" s="499">
        <f>'1. Landuse'!D18</f>
        <v>10</v>
      </c>
      <c r="E15" s="499">
        <f>'1. Landuse'!E18</f>
        <v>10</v>
      </c>
      <c r="F15" s="499">
        <f>'1. Landuse'!F18</f>
        <v>10</v>
      </c>
      <c r="G15" s="499">
        <f>'1. Landuse'!G18</f>
        <v>10</v>
      </c>
      <c r="H15" s="499">
        <f>'1. Landuse'!H18</f>
        <v>10</v>
      </c>
      <c r="I15" s="499">
        <f>'1. Landuse'!I18</f>
        <v>10</v>
      </c>
      <c r="J15" s="499">
        <f>'1. Landuse'!J18</f>
        <v>10</v>
      </c>
    </row>
    <row r="16" spans="1:12" x14ac:dyDescent="0.25">
      <c r="B16" s="655"/>
      <c r="C16" s="500" t="s">
        <v>163</v>
      </c>
      <c r="D16" s="499">
        <f>'1. Landuse'!D19</f>
        <v>70</v>
      </c>
      <c r="E16" s="499">
        <f>'1. Landuse'!E19</f>
        <v>70</v>
      </c>
      <c r="F16" s="499">
        <f>'1. Landuse'!F19</f>
        <v>70</v>
      </c>
      <c r="G16" s="499">
        <f>'1. Landuse'!G19</f>
        <v>70</v>
      </c>
      <c r="H16" s="499">
        <f>'1. Landuse'!H19</f>
        <v>70</v>
      </c>
      <c r="I16" s="499">
        <f>'1. Landuse'!I19</f>
        <v>70</v>
      </c>
      <c r="J16" s="499">
        <f>'1. Landuse'!J19</f>
        <v>70</v>
      </c>
    </row>
    <row r="17" spans="2:10" x14ac:dyDescent="0.25">
      <c r="B17" s="2"/>
      <c r="C17" s="2"/>
    </row>
    <row r="18" spans="2:10" x14ac:dyDescent="0.25">
      <c r="B18" s="2"/>
      <c r="C18" s="652" t="s">
        <v>623</v>
      </c>
      <c r="D18" s="652"/>
      <c r="E18" s="652"/>
      <c r="F18" s="652"/>
      <c r="G18" s="652"/>
      <c r="H18" s="652"/>
      <c r="I18" s="652"/>
      <c r="J18" s="652"/>
    </row>
    <row r="19" spans="2:10" x14ac:dyDescent="0.25">
      <c r="B19" s="2"/>
      <c r="C19" s="507" t="s">
        <v>159</v>
      </c>
      <c r="D19" s="507">
        <f>'Baseline Statistics'!C12</f>
        <v>2022</v>
      </c>
      <c r="E19" s="507">
        <f>'Baseline Statistics'!D12</f>
        <v>2025</v>
      </c>
      <c r="F19" s="507">
        <f>'Baseline Statistics'!E12</f>
        <v>2030</v>
      </c>
      <c r="G19" s="507">
        <f>'Baseline Statistics'!F12</f>
        <v>2035</v>
      </c>
      <c r="H19" s="507">
        <f>'Baseline Statistics'!G12</f>
        <v>2040</v>
      </c>
      <c r="I19" s="507">
        <f>'Baseline Statistics'!H12</f>
        <v>2045</v>
      </c>
      <c r="J19" s="507">
        <f>'Baseline Statistics'!I12</f>
        <v>2050</v>
      </c>
    </row>
    <row r="20" spans="2:10" x14ac:dyDescent="0.25">
      <c r="B20" s="2"/>
      <c r="C20" s="506" t="s">
        <v>160</v>
      </c>
      <c r="D20" s="162">
        <f t="shared" ref="D20:J23" si="0">ROUND(D13/100*D$8,0)</f>
        <v>0</v>
      </c>
      <c r="E20" s="469">
        <f t="shared" si="0"/>
        <v>195</v>
      </c>
      <c r="F20" s="469">
        <f t="shared" si="0"/>
        <v>513</v>
      </c>
      <c r="G20" s="469">
        <f t="shared" si="0"/>
        <v>809</v>
      </c>
      <c r="H20" s="469">
        <f t="shared" si="0"/>
        <v>1105</v>
      </c>
      <c r="I20" s="469">
        <f t="shared" si="0"/>
        <v>1400</v>
      </c>
      <c r="J20" s="469">
        <f t="shared" si="0"/>
        <v>2219</v>
      </c>
    </row>
    <row r="21" spans="2:10" x14ac:dyDescent="0.25">
      <c r="B21" s="2"/>
      <c r="C21" s="501" t="s">
        <v>161</v>
      </c>
      <c r="D21" s="162">
        <f t="shared" si="0"/>
        <v>0</v>
      </c>
      <c r="E21" s="469">
        <f t="shared" si="0"/>
        <v>0</v>
      </c>
      <c r="F21" s="469">
        <f t="shared" si="0"/>
        <v>0</v>
      </c>
      <c r="G21" s="469">
        <f t="shared" si="0"/>
        <v>0</v>
      </c>
      <c r="H21" s="469">
        <f t="shared" si="0"/>
        <v>0</v>
      </c>
      <c r="I21" s="469">
        <f t="shared" si="0"/>
        <v>0</v>
      </c>
      <c r="J21" s="469">
        <f t="shared" si="0"/>
        <v>0</v>
      </c>
    </row>
    <row r="22" spans="2:10" x14ac:dyDescent="0.25">
      <c r="B22" s="2"/>
      <c r="C22" s="501" t="s">
        <v>162</v>
      </c>
      <c r="D22" s="162">
        <f t="shared" si="0"/>
        <v>0</v>
      </c>
      <c r="E22" s="469">
        <f t="shared" si="0"/>
        <v>98</v>
      </c>
      <c r="F22" s="469">
        <f t="shared" si="0"/>
        <v>257</v>
      </c>
      <c r="G22" s="469">
        <f t="shared" si="0"/>
        <v>404</v>
      </c>
      <c r="H22" s="469">
        <f t="shared" si="0"/>
        <v>552</v>
      </c>
      <c r="I22" s="469">
        <f t="shared" si="0"/>
        <v>700</v>
      </c>
      <c r="J22" s="469">
        <f t="shared" si="0"/>
        <v>1110</v>
      </c>
    </row>
    <row r="23" spans="2:10" x14ac:dyDescent="0.25">
      <c r="B23" s="2"/>
      <c r="C23" s="501" t="s">
        <v>163</v>
      </c>
      <c r="D23" s="162">
        <f t="shared" si="0"/>
        <v>0</v>
      </c>
      <c r="E23" s="469">
        <f t="shared" si="0"/>
        <v>684</v>
      </c>
      <c r="F23" s="469">
        <f t="shared" si="0"/>
        <v>1796</v>
      </c>
      <c r="G23" s="469">
        <f t="shared" si="0"/>
        <v>2831</v>
      </c>
      <c r="H23" s="469">
        <f t="shared" si="0"/>
        <v>3866</v>
      </c>
      <c r="I23" s="469">
        <f t="shared" si="0"/>
        <v>4901</v>
      </c>
      <c r="J23" s="469">
        <f t="shared" si="0"/>
        <v>7767</v>
      </c>
    </row>
    <row r="24" spans="2:10" x14ac:dyDescent="0.25">
      <c r="B24" s="2"/>
      <c r="C24" s="1"/>
      <c r="D24" s="1"/>
      <c r="E24" s="1"/>
      <c r="F24" s="1"/>
      <c r="G24" s="1"/>
      <c r="H24" s="1"/>
      <c r="I24" s="1"/>
      <c r="J24" s="1"/>
    </row>
    <row r="25" spans="2:10" x14ac:dyDescent="0.25">
      <c r="B25" s="2"/>
      <c r="C25" s="652" t="s">
        <v>624</v>
      </c>
      <c r="D25" s="652"/>
      <c r="E25" s="652"/>
      <c r="F25" s="652"/>
      <c r="G25" s="652"/>
      <c r="H25" s="652"/>
      <c r="I25" s="652"/>
      <c r="J25" s="652"/>
    </row>
    <row r="26" spans="2:10" x14ac:dyDescent="0.25">
      <c r="B26" s="2"/>
      <c r="C26" s="508" t="s">
        <v>159</v>
      </c>
      <c r="D26" s="508">
        <f>'Baseline Statistics'!C12</f>
        <v>2022</v>
      </c>
      <c r="E26" s="508">
        <f>'Baseline Statistics'!D12</f>
        <v>2025</v>
      </c>
      <c r="F26" s="508">
        <f>'Baseline Statistics'!E12</f>
        <v>2030</v>
      </c>
      <c r="G26" s="508">
        <f>'Baseline Statistics'!F12</f>
        <v>2035</v>
      </c>
      <c r="H26" s="508">
        <f>'Baseline Statistics'!G12</f>
        <v>2040</v>
      </c>
      <c r="I26" s="508">
        <f>'Baseline Statistics'!H12</f>
        <v>2045</v>
      </c>
      <c r="J26" s="508">
        <f>'Baseline Statistics'!I12</f>
        <v>2050</v>
      </c>
    </row>
    <row r="27" spans="2:10" x14ac:dyDescent="0.25">
      <c r="B27" s="2"/>
      <c r="C27" s="162" t="s">
        <v>160</v>
      </c>
      <c r="D27" s="502">
        <f>'Emissions Factors, etc,'!$C$183*D20</f>
        <v>0</v>
      </c>
      <c r="E27" s="469">
        <f>'Emissions Factors, etc,'!$C$183*E20</f>
        <v>292.5</v>
      </c>
      <c r="F27" s="469">
        <f>'Emissions Factors, etc,'!$C$183*F20</f>
        <v>769.5</v>
      </c>
      <c r="G27" s="469">
        <f>'Emissions Factors, etc,'!$C$183*G20</f>
        <v>1213.5</v>
      </c>
      <c r="H27" s="469">
        <f>'Emissions Factors, etc,'!$C$183*H20</f>
        <v>1657.5</v>
      </c>
      <c r="I27" s="469">
        <f>'Emissions Factors, etc,'!$C$183*I20</f>
        <v>2100</v>
      </c>
      <c r="J27" s="469">
        <f>'Emissions Factors, etc,'!$C$183*J20</f>
        <v>3328.5</v>
      </c>
    </row>
    <row r="28" spans="2:10" x14ac:dyDescent="0.25">
      <c r="B28" s="2"/>
      <c r="C28" s="162" t="s">
        <v>161</v>
      </c>
      <c r="D28" s="502">
        <f>'Emissions Factors, etc,'!$C$184*D21</f>
        <v>0</v>
      </c>
      <c r="E28" s="469">
        <f>'Emissions Factors, etc,'!$C$184*E21</f>
        <v>0</v>
      </c>
      <c r="F28" s="469">
        <f>'Emissions Factors, etc,'!$C$184*F21</f>
        <v>0</v>
      </c>
      <c r="G28" s="469">
        <f>'Emissions Factors, etc,'!$C$184*G21</f>
        <v>0</v>
      </c>
      <c r="H28" s="469">
        <f>'Emissions Factors, etc,'!$C$184*H21</f>
        <v>0</v>
      </c>
      <c r="I28" s="469">
        <f>'Emissions Factors, etc,'!$C$184*I21</f>
        <v>0</v>
      </c>
      <c r="J28" s="469">
        <f>'Emissions Factors, etc,'!$C$184*J21</f>
        <v>0</v>
      </c>
    </row>
    <row r="29" spans="2:10" x14ac:dyDescent="0.25">
      <c r="B29" s="2"/>
      <c r="C29" s="162" t="s">
        <v>162</v>
      </c>
      <c r="D29" s="502">
        <f>'Emissions Factors, etc,'!$C$185*D22</f>
        <v>0</v>
      </c>
      <c r="E29" s="469">
        <f>'Emissions Factors, etc,'!$C$185*E22</f>
        <v>196</v>
      </c>
      <c r="F29" s="469">
        <f>'Emissions Factors, etc,'!$C$185*F22</f>
        <v>514</v>
      </c>
      <c r="G29" s="469">
        <f>'Emissions Factors, etc,'!$C$185*G22</f>
        <v>808</v>
      </c>
      <c r="H29" s="469">
        <f>'Emissions Factors, etc,'!$C$185*H22</f>
        <v>1104</v>
      </c>
      <c r="I29" s="469">
        <f>'Emissions Factors, etc,'!$C$185*I22</f>
        <v>1400</v>
      </c>
      <c r="J29" s="469">
        <f>'Emissions Factors, etc,'!$C$185*J22</f>
        <v>2220</v>
      </c>
    </row>
    <row r="30" spans="2:10" x14ac:dyDescent="0.25">
      <c r="B30" s="2"/>
      <c r="C30" s="162" t="s">
        <v>163</v>
      </c>
      <c r="D30" s="502">
        <f>'Emissions Factors, etc,'!$C$186*D23</f>
        <v>0</v>
      </c>
      <c r="E30" s="469">
        <f>'Emissions Factors, etc,'!$C$186*E23</f>
        <v>547.20000000000005</v>
      </c>
      <c r="F30" s="469">
        <f>'Emissions Factors, etc,'!$C$186*F23</f>
        <v>1436.8000000000002</v>
      </c>
      <c r="G30" s="469">
        <f>'Emissions Factors, etc,'!$C$186*G23</f>
        <v>2264.8000000000002</v>
      </c>
      <c r="H30" s="469">
        <f>'Emissions Factors, etc,'!$C$186*H23</f>
        <v>3092.8</v>
      </c>
      <c r="I30" s="469">
        <f>'Emissions Factors, etc,'!$C$186*I23</f>
        <v>3920.8</v>
      </c>
      <c r="J30" s="469">
        <f>'Emissions Factors, etc,'!$C$186*J23</f>
        <v>6213.6</v>
      </c>
    </row>
    <row r="31" spans="2:10" x14ac:dyDescent="0.25">
      <c r="B31" s="2"/>
      <c r="C31" s="503" t="s">
        <v>625</v>
      </c>
      <c r="D31" s="504">
        <f>SUM(D27:D30,$D$9)/$D$9</f>
        <v>1</v>
      </c>
      <c r="E31" s="469">
        <f t="shared" ref="E31:J31" si="1">SUM(E27:E30,$D$9)/$D$9</f>
        <v>1.0301601630751309</v>
      </c>
      <c r="F31" s="469">
        <f t="shared" si="1"/>
        <v>1.0792166569598136</v>
      </c>
      <c r="G31" s="469">
        <f t="shared" si="1"/>
        <v>1.1248194525334887</v>
      </c>
      <c r="H31" s="469">
        <f t="shared" si="1"/>
        <v>1.1704804892253933</v>
      </c>
      <c r="I31" s="469">
        <f t="shared" si="1"/>
        <v>1.2160978450786255</v>
      </c>
      <c r="J31" s="469">
        <f t="shared" si="1"/>
        <v>1.3425189283634245</v>
      </c>
    </row>
    <row r="32" spans="2:10" x14ac:dyDescent="0.25">
      <c r="B32" s="2"/>
      <c r="C32" s="1"/>
      <c r="D32" s="1"/>
      <c r="E32" s="1"/>
      <c r="F32" s="1"/>
      <c r="G32" s="1"/>
      <c r="H32" s="1"/>
      <c r="I32" s="1"/>
      <c r="J32" s="1"/>
    </row>
    <row r="33" spans="2:13" x14ac:dyDescent="0.25">
      <c r="B33" s="2"/>
      <c r="C33" s="652" t="s">
        <v>626</v>
      </c>
      <c r="D33" s="652"/>
      <c r="E33" s="652"/>
      <c r="F33" s="652"/>
      <c r="G33" s="652"/>
      <c r="H33" s="652"/>
      <c r="I33" s="652"/>
      <c r="J33" s="652"/>
    </row>
    <row r="34" spans="2:13" x14ac:dyDescent="0.25">
      <c r="B34" s="2"/>
      <c r="C34" s="508" t="s">
        <v>159</v>
      </c>
      <c r="D34" s="508">
        <f>'Baseline Statistics'!C12</f>
        <v>2022</v>
      </c>
      <c r="E34" s="508">
        <f>'Baseline Statistics'!D12</f>
        <v>2025</v>
      </c>
      <c r="F34" s="508">
        <f>'Baseline Statistics'!E12</f>
        <v>2030</v>
      </c>
      <c r="G34" s="508">
        <f>'Baseline Statistics'!F12</f>
        <v>2035</v>
      </c>
      <c r="H34" s="508">
        <f>'Baseline Statistics'!G12</f>
        <v>2040</v>
      </c>
      <c r="I34" s="508">
        <f>'Baseline Statistics'!H12</f>
        <v>2045</v>
      </c>
      <c r="J34" s="508">
        <f>'Baseline Statistics'!I12</f>
        <v>2050</v>
      </c>
    </row>
    <row r="35" spans="2:13" x14ac:dyDescent="0.25">
      <c r="B35" s="2"/>
      <c r="C35" s="162" t="s">
        <v>160</v>
      </c>
      <c r="D35" s="502">
        <f>D20*VLOOKUP($C35,'Emissions Factors, etc,'!$B$183:$G$186,6,FALSE)*'Baseline Statistics'!C$40</f>
        <v>0</v>
      </c>
      <c r="E35" s="469">
        <f>E20*VLOOKUP($C35,'Emissions Factors, etc,'!$B$183:$G$186,6,FALSE)*'Baseline Statistics'!D$40</f>
        <v>1235.5226944530964</v>
      </c>
      <c r="F35" s="469">
        <f>F20*VLOOKUP($C35,'Emissions Factors, etc,'!$B$183:$G$186,6,FALSE)*'Baseline Statistics'!E$40</f>
        <v>3254.4907194147131</v>
      </c>
      <c r="G35" s="469">
        <f>G20*VLOOKUP($C35,'Emissions Factors, etc,'!$B$183:$G$186,6,FALSE)*'Baseline Statistics'!F$40</f>
        <v>5114.5616228984309</v>
      </c>
      <c r="H35" s="469">
        <f>H20*VLOOKUP($C35,'Emissions Factors, etc,'!$B$183:$G$186,6,FALSE)*'Baseline Statistics'!G$40</f>
        <v>6963.4339278696198</v>
      </c>
      <c r="I35" s="469">
        <f>I20*VLOOKUP($C35,'Emissions Factors, etc,'!$B$183:$G$186,6,FALSE)*'Baseline Statistics'!H$40</f>
        <v>8796.0266395755734</v>
      </c>
      <c r="J35" s="469">
        <f>J20*VLOOKUP($C35,'Emissions Factors, etc,'!$B$183:$G$186,6,TRUE)*'Baseline Statistics'!I$40</f>
        <v>13902.713933194773</v>
      </c>
    </row>
    <row r="36" spans="2:13" x14ac:dyDescent="0.25">
      <c r="B36" s="2"/>
      <c r="C36" s="162" t="s">
        <v>161</v>
      </c>
      <c r="D36" s="502">
        <f>D21*VLOOKUP($C36,'Emissions Factors, etc,'!$B$183:$G$186,6,FALSE)*'Baseline Statistics'!C$40</f>
        <v>0</v>
      </c>
      <c r="E36" s="469">
        <f>E21*VLOOKUP($C36,'Emissions Factors, etc,'!$B$183:$G$186,6,FALSE)*'Baseline Statistics'!D$40</f>
        <v>0</v>
      </c>
      <c r="F36" s="469">
        <f>F21*VLOOKUP($C36,'Emissions Factors, etc,'!$B$183:$G$186,6,FALSE)*'Baseline Statistics'!E$40</f>
        <v>0</v>
      </c>
      <c r="G36" s="469">
        <f>G21*VLOOKUP($C36,'Emissions Factors, etc,'!$B$183:$G$186,6,FALSE)*'Baseline Statistics'!F$40</f>
        <v>0</v>
      </c>
      <c r="H36" s="469">
        <f>H21*VLOOKUP($C36,'Emissions Factors, etc,'!$B$183:$G$186,6,FALSE)*'Baseline Statistics'!G$40</f>
        <v>0</v>
      </c>
      <c r="I36" s="469">
        <f>I21*VLOOKUP($C36,'Emissions Factors, etc,'!$B$183:$G$186,6,FALSE)*'Baseline Statistics'!H$40</f>
        <v>0</v>
      </c>
      <c r="J36" s="469">
        <f>J21*VLOOKUP($C36,'Emissions Factors, etc,'!$B$183:$G$186,6,FALSE)*'Baseline Statistics'!I$40</f>
        <v>0</v>
      </c>
    </row>
    <row r="37" spans="2:13" x14ac:dyDescent="0.25">
      <c r="B37" s="2"/>
      <c r="C37" s="162" t="s">
        <v>162</v>
      </c>
      <c r="D37" s="502">
        <f>D22*VLOOKUP($C37,'Emissions Factors, etc,'!$B$183:$G$186,6,FALSE)*'Baseline Statistics'!C$40</f>
        <v>0</v>
      </c>
      <c r="E37" s="469">
        <f>E22*VLOOKUP($C37,'Emissions Factors, etc,'!$B$183:$G$186,6,FALSE)*'Baseline Statistics'!D$40</f>
        <v>709.63354758331684</v>
      </c>
      <c r="F37" s="469">
        <f>F22*VLOOKUP($C37,'Emissions Factors, etc,'!$B$183:$G$186,6,FALSE)*'Baseline Statistics'!E$40</f>
        <v>1863.3341462313144</v>
      </c>
      <c r="G37" s="469">
        <f>G22*VLOOKUP($C37,'Emissions Factors, etc,'!$B$183:$G$186,6,FALSE)*'Baseline Statistics'!F$40</f>
        <v>2918.9940252883148</v>
      </c>
      <c r="H37" s="469">
        <f>H22*VLOOKUP($C37,'Emissions Factors, etc,'!$B$183:$G$186,6,FALSE)*'Baseline Statistics'!G$40</f>
        <v>3975.5041015478009</v>
      </c>
      <c r="I37" s="469">
        <f>I22*VLOOKUP($C37,'Emissions Factors, etc,'!$B$183:$G$186,6,FALSE)*'Baseline Statistics'!H$40</f>
        <v>5026.3009369003266</v>
      </c>
      <c r="J37" s="469">
        <f>J22*VLOOKUP($C37,'Emissions Factors, etc,'!$B$183:$G$186,6,FALSE)*'Baseline Statistics'!I$40</f>
        <v>7947.9881366619184</v>
      </c>
    </row>
    <row r="38" spans="2:13" x14ac:dyDescent="0.25">
      <c r="B38" s="2"/>
      <c r="C38" s="162" t="s">
        <v>163</v>
      </c>
      <c r="D38" s="502">
        <f>D23*VLOOKUP($C38,'Emissions Factors, etc,'!$B$183:$G$186,6,FALSE)*'Baseline Statistics'!C$40</f>
        <v>0</v>
      </c>
      <c r="E38" s="469">
        <f>E23*VLOOKUP($C38,'Emissions Factors, etc,'!$B$183:$G$186,6,FALSE)*'Baseline Statistics'!D$40</f>
        <v>3838.53819973384</v>
      </c>
      <c r="F38" s="469">
        <f>F23*VLOOKUP($C38,'Emissions Factors, etc,'!$B$183:$G$186,6,FALSE)*'Baseline Statistics'!E$40</f>
        <v>10091.730732059794</v>
      </c>
      <c r="G38" s="469">
        <f>G23*VLOOKUP($C38,'Emissions Factors, etc,'!$B$183:$G$186,6,FALSE)*'Baseline Statistics'!F$40</f>
        <v>15852.341253299988</v>
      </c>
      <c r="H38" s="469">
        <f>H23*VLOOKUP($C38,'Emissions Factors, etc,'!$B$183:$G$186,6,FALSE)*'Baseline Statistics'!G$40</f>
        <v>21578.272851181966</v>
      </c>
      <c r="I38" s="469">
        <f>I23*VLOOKUP($C38,'Emissions Factors, etc,'!$B$183:$G$186,6,FALSE)*'Baseline Statistics'!H$40</f>
        <v>27273.247415864415</v>
      </c>
      <c r="J38" s="469">
        <f>J23*VLOOKUP($C38,'Emissions Factors, etc,'!$B$183:$G$186,6,FALSE)*'Baseline Statistics'!I$40</f>
        <v>43101.187828401955</v>
      </c>
    </row>
    <row r="39" spans="2:13" x14ac:dyDescent="0.25">
      <c r="B39" s="2"/>
      <c r="C39" s="503" t="s">
        <v>627</v>
      </c>
      <c r="D39" s="502">
        <f t="shared" ref="D39:J39" si="2">SUM(D35:D38)</f>
        <v>0</v>
      </c>
      <c r="E39" s="469">
        <f t="shared" si="2"/>
        <v>5783.6944417702534</v>
      </c>
      <c r="F39" s="469">
        <f t="shared" si="2"/>
        <v>15209.555597705821</v>
      </c>
      <c r="G39" s="469">
        <f t="shared" si="2"/>
        <v>23885.896901486733</v>
      </c>
      <c r="H39" s="469">
        <f t="shared" si="2"/>
        <v>32517.210880599385</v>
      </c>
      <c r="I39" s="469">
        <f t="shared" si="2"/>
        <v>41095.574992340313</v>
      </c>
      <c r="J39" s="469">
        <f t="shared" si="2"/>
        <v>64951.889898258647</v>
      </c>
    </row>
    <row r="40" spans="2:13" x14ac:dyDescent="0.25">
      <c r="B40" s="2"/>
      <c r="C40" s="1"/>
      <c r="D40" s="1"/>
      <c r="E40" s="1"/>
      <c r="F40" s="1"/>
      <c r="G40" s="1"/>
      <c r="H40" s="1"/>
      <c r="I40" s="1"/>
      <c r="J40" s="1"/>
    </row>
    <row r="41" spans="2:13" x14ac:dyDescent="0.25">
      <c r="B41" s="2"/>
      <c r="C41" s="652" t="s">
        <v>628</v>
      </c>
      <c r="D41" s="652"/>
      <c r="E41" s="652"/>
      <c r="F41" s="652"/>
      <c r="G41" s="652"/>
      <c r="H41" s="652"/>
      <c r="I41" s="652"/>
      <c r="J41" s="652"/>
    </row>
    <row r="42" spans="2:13" x14ac:dyDescent="0.25">
      <c r="B42" s="2"/>
      <c r="C42" s="508" t="s">
        <v>159</v>
      </c>
      <c r="D42" s="508">
        <f>'Baseline Statistics'!C12</f>
        <v>2022</v>
      </c>
      <c r="E42" s="508">
        <f>'Baseline Statistics'!D12</f>
        <v>2025</v>
      </c>
      <c r="F42" s="508">
        <f>'Baseline Statistics'!E12</f>
        <v>2030</v>
      </c>
      <c r="G42" s="508">
        <f>'Baseline Statistics'!F12</f>
        <v>2035</v>
      </c>
      <c r="H42" s="508">
        <f>'Baseline Statistics'!G12</f>
        <v>2040</v>
      </c>
      <c r="I42" s="508">
        <f>'Baseline Statistics'!H12</f>
        <v>2045</v>
      </c>
      <c r="J42" s="508">
        <f>'Baseline Statistics'!I12</f>
        <v>2050</v>
      </c>
    </row>
    <row r="43" spans="2:13" x14ac:dyDescent="0.25">
      <c r="B43" s="2"/>
      <c r="C43" s="162" t="s">
        <v>160</v>
      </c>
      <c r="D43" s="502">
        <f>D20*'Emissions Factors, etc,'!$E183*'Emissions Factors, etc,'!$F183</f>
        <v>0</v>
      </c>
      <c r="E43" s="469">
        <f>E20*'Emissions Factors, etc,'!$E183*'Emissions Factors, etc,'!$F183</f>
        <v>15.6</v>
      </c>
      <c r="F43" s="469">
        <f>F20*'Emissions Factors, etc,'!$E183*'Emissions Factors, etc,'!$F183</f>
        <v>41.04</v>
      </c>
      <c r="G43" s="469">
        <f>G20*'Emissions Factors, etc,'!$E183*'Emissions Factors, etc,'!$F183</f>
        <v>64.72</v>
      </c>
      <c r="H43" s="469">
        <f>H20*'Emissions Factors, etc,'!$E183*'Emissions Factors, etc,'!$F183</f>
        <v>88.4</v>
      </c>
      <c r="I43" s="469">
        <f>I20*'Emissions Factors, etc,'!$E183*'Emissions Factors, etc,'!$F183</f>
        <v>112</v>
      </c>
      <c r="J43" s="469">
        <f>J20*'Emissions Factors, etc,'!$E183*'Emissions Factors, etc,'!$F183</f>
        <v>177.52</v>
      </c>
      <c r="M43" s="1"/>
    </row>
    <row r="44" spans="2:13" x14ac:dyDescent="0.25">
      <c r="B44" s="2"/>
      <c r="C44" s="162" t="s">
        <v>161</v>
      </c>
      <c r="D44" s="502">
        <f>D21*'Emissions Factors, etc,'!$E184*'Emissions Factors, etc,'!$F184</f>
        <v>0</v>
      </c>
      <c r="E44" s="469">
        <f>E21*'Emissions Factors, etc,'!$E184*'Emissions Factors, etc,'!$F184</f>
        <v>0</v>
      </c>
      <c r="F44" s="469">
        <f>F21*'Emissions Factors, etc,'!$E184*'Emissions Factors, etc,'!$F184</f>
        <v>0</v>
      </c>
      <c r="G44" s="469">
        <f>G21*'Emissions Factors, etc,'!$E184*'Emissions Factors, etc,'!$F184</f>
        <v>0</v>
      </c>
      <c r="H44" s="469">
        <f>H21*'Emissions Factors, etc,'!$E184*'Emissions Factors, etc,'!$F184</f>
        <v>0</v>
      </c>
      <c r="I44" s="469">
        <f>I21*'Emissions Factors, etc,'!$E184*'Emissions Factors, etc,'!$F184</f>
        <v>0</v>
      </c>
      <c r="J44" s="469">
        <f>J21*'Emissions Factors, etc,'!$E184*'Emissions Factors, etc,'!$F184</f>
        <v>0</v>
      </c>
    </row>
    <row r="45" spans="2:13" x14ac:dyDescent="0.25">
      <c r="B45" s="2"/>
      <c r="C45" s="162" t="s">
        <v>162</v>
      </c>
      <c r="D45" s="502">
        <f>D22*'Emissions Factors, etc,'!$E185*'Emissions Factors, etc,'!$F185</f>
        <v>0</v>
      </c>
      <c r="E45" s="469">
        <f>E22*'Emissions Factors, etc,'!$E185*'Emissions Factors, etc,'!$F185</f>
        <v>53.900000000000006</v>
      </c>
      <c r="F45" s="469">
        <f>F22*'Emissions Factors, etc,'!$E185*'Emissions Factors, etc,'!$F185</f>
        <v>141.35000000000002</v>
      </c>
      <c r="G45" s="469">
        <f>G22*'Emissions Factors, etc,'!$E185*'Emissions Factors, etc,'!$F185</f>
        <v>222.20000000000002</v>
      </c>
      <c r="H45" s="469">
        <f>H22*'Emissions Factors, etc,'!$E185*'Emissions Factors, etc,'!$F185</f>
        <v>303.60000000000002</v>
      </c>
      <c r="I45" s="469">
        <f>I22*'Emissions Factors, etc,'!$E185*'Emissions Factors, etc,'!$F185</f>
        <v>385.00000000000006</v>
      </c>
      <c r="J45" s="469">
        <f>J22*'Emissions Factors, etc,'!$E185*'Emissions Factors, etc,'!$F185</f>
        <v>610.5</v>
      </c>
    </row>
    <row r="46" spans="2:13" x14ac:dyDescent="0.25">
      <c r="B46" s="2"/>
      <c r="C46" s="162" t="s">
        <v>163</v>
      </c>
      <c r="D46" s="502">
        <f>D23*'Emissions Factors, etc,'!$E186*'Emissions Factors, etc,'!$F186</f>
        <v>0</v>
      </c>
      <c r="E46" s="469">
        <f>E23*'Emissions Factors, etc,'!$E186*'Emissions Factors, etc,'!$F186</f>
        <v>21.204000000000001</v>
      </c>
      <c r="F46" s="469">
        <f>F23*'Emissions Factors, etc,'!$E186*'Emissions Factors, etc,'!$F186</f>
        <v>55.676000000000002</v>
      </c>
      <c r="G46" s="469">
        <f>G23*'Emissions Factors, etc,'!$E186*'Emissions Factors, etc,'!$F186</f>
        <v>87.760999999999996</v>
      </c>
      <c r="H46" s="469">
        <f>H23*'Emissions Factors, etc,'!$E186*'Emissions Factors, etc,'!$F186</f>
        <v>119.846</v>
      </c>
      <c r="I46" s="469">
        <f>I23*'Emissions Factors, etc,'!$E186*'Emissions Factors, etc,'!$F186</f>
        <v>151.93100000000001</v>
      </c>
      <c r="J46" s="469">
        <f>J23*'Emissions Factors, etc,'!$E186*'Emissions Factors, etc,'!$F186</f>
        <v>240.77699999999999</v>
      </c>
    </row>
    <row r="47" spans="2:13" x14ac:dyDescent="0.25">
      <c r="B47" s="2"/>
      <c r="C47" s="162" t="s">
        <v>627</v>
      </c>
      <c r="D47" s="502">
        <f t="shared" ref="D47:I47" si="3">SUM(D43:D46)</f>
        <v>0</v>
      </c>
      <c r="E47" s="469">
        <f t="shared" si="3"/>
        <v>90.704000000000008</v>
      </c>
      <c r="F47" s="469">
        <f t="shared" si="3"/>
        <v>238.06600000000003</v>
      </c>
      <c r="G47" s="469">
        <f t="shared" si="3"/>
        <v>374.68100000000004</v>
      </c>
      <c r="H47" s="469">
        <f t="shared" si="3"/>
        <v>511.846</v>
      </c>
      <c r="I47" s="469">
        <f t="shared" si="3"/>
        <v>648.93100000000004</v>
      </c>
      <c r="J47" s="469">
        <f>SUM(J43:J46)</f>
        <v>1028.797</v>
      </c>
    </row>
    <row r="48" spans="2:13" x14ac:dyDescent="0.25">
      <c r="B48" s="2"/>
    </row>
    <row r="49" spans="2:2" x14ac:dyDescent="0.25">
      <c r="B49" s="2"/>
    </row>
    <row r="52" spans="2:2" ht="13.9" customHeight="1" x14ac:dyDescent="0.25"/>
    <row r="87" spans="12:12" x14ac:dyDescent="0.25">
      <c r="L87" s="188"/>
    </row>
  </sheetData>
  <protectedRanges>
    <protectedRange sqref="A1:A2" name="Range1_1_1_1"/>
    <protectedRange sqref="A3:A5" name="Range1_1_1_1_1"/>
  </protectedRanges>
  <mergeCells count="6">
    <mergeCell ref="C41:J41"/>
    <mergeCell ref="B13:B16"/>
    <mergeCell ref="D11:J11"/>
    <mergeCell ref="C25:J25"/>
    <mergeCell ref="C18:J18"/>
    <mergeCell ref="C33:J33"/>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5F5B-95AF-440F-AE38-24DBC8FB6233}">
  <sheetPr codeName="Sheet13">
    <tabColor theme="0" tint="-0.249977111117893"/>
  </sheetPr>
  <dimension ref="A1:W117"/>
  <sheetViews>
    <sheetView showGridLines="0" zoomScale="80" zoomScaleNormal="80" workbookViewId="0">
      <selection activeCell="H2" sqref="H2"/>
    </sheetView>
  </sheetViews>
  <sheetFormatPr defaultColWidth="8.7109375" defaultRowHeight="15" x14ac:dyDescent="0.25"/>
  <cols>
    <col min="2" max="2" width="41.28515625" customWidth="1"/>
    <col min="3" max="4" width="10.5703125" bestFit="1" customWidth="1"/>
    <col min="5" max="5" width="12.5703125" bestFit="1" customWidth="1"/>
    <col min="6" max="6" width="11.5703125" bestFit="1" customWidth="1"/>
    <col min="7" max="7" width="11.7109375" bestFit="1" customWidth="1"/>
    <col min="8" max="9" width="10.7109375" customWidth="1"/>
    <col min="10" max="10" width="9.7109375" customWidth="1"/>
    <col min="12" max="12" width="11.7109375" customWidth="1"/>
    <col min="13" max="13" width="8.7109375" bestFit="1" customWidth="1"/>
    <col min="14" max="14" width="35.28515625" bestFit="1" customWidth="1"/>
    <col min="15" max="15" width="10.5703125" bestFit="1" customWidth="1"/>
    <col min="16" max="16" width="12" bestFit="1" customWidth="1"/>
    <col min="17" max="17" width="8.7109375" bestFit="1" customWidth="1"/>
    <col min="18" max="18" width="9.85546875" bestFit="1" customWidth="1"/>
    <col min="19" max="19" width="7.7109375" bestFit="1" customWidth="1"/>
  </cols>
  <sheetData>
    <row r="1" spans="1:23" ht="23.25" x14ac:dyDescent="0.35">
      <c r="A1" s="35" t="s">
        <v>44</v>
      </c>
    </row>
    <row r="2" spans="1:23" ht="23.25" x14ac:dyDescent="0.35">
      <c r="A2" s="35" t="s">
        <v>977</v>
      </c>
      <c r="H2" s="662"/>
    </row>
    <row r="4" spans="1:23" x14ac:dyDescent="0.25">
      <c r="A4" s="4" t="s">
        <v>47</v>
      </c>
    </row>
    <row r="5" spans="1:23" x14ac:dyDescent="0.25">
      <c r="A5" s="39" t="s">
        <v>975</v>
      </c>
    </row>
    <row r="8" spans="1:23" x14ac:dyDescent="0.25">
      <c r="E8" s="3"/>
    </row>
    <row r="9" spans="1:23" x14ac:dyDescent="0.25">
      <c r="B9" s="4" t="s">
        <v>545</v>
      </c>
      <c r="C9" s="12"/>
    </row>
    <row r="10" spans="1:23" x14ac:dyDescent="0.25">
      <c r="C10" s="12"/>
      <c r="N10" s="12"/>
    </row>
    <row r="11" spans="1:23" x14ac:dyDescent="0.25">
      <c r="A11" s="4" t="s">
        <v>33</v>
      </c>
      <c r="B11" s="494"/>
      <c r="C11" s="494">
        <v>2015</v>
      </c>
      <c r="D11" s="494">
        <f>'Baseline Statistics'!C12</f>
        <v>2022</v>
      </c>
      <c r="E11" s="494">
        <f>'Baseline Statistics'!D12</f>
        <v>2025</v>
      </c>
      <c r="F11" s="494">
        <f>'Baseline Statistics'!E12</f>
        <v>2030</v>
      </c>
      <c r="G11" s="494">
        <f>'Baseline Statistics'!F12</f>
        <v>2035</v>
      </c>
      <c r="H11" s="494">
        <f>'Baseline Statistics'!G12</f>
        <v>2040</v>
      </c>
      <c r="I11" s="494">
        <f>'Baseline Statistics'!H12</f>
        <v>2045</v>
      </c>
      <c r="J11" s="494">
        <f>'Baseline Statistics'!I12</f>
        <v>2050</v>
      </c>
      <c r="N11" s="495"/>
      <c r="O11" s="657" t="s">
        <v>429</v>
      </c>
      <c r="P11" s="658"/>
      <c r="Q11" s="658"/>
      <c r="R11" s="658"/>
      <c r="S11" s="658"/>
      <c r="T11" s="658"/>
      <c r="U11" s="658"/>
      <c r="V11" s="659"/>
    </row>
    <row r="12" spans="1:23" x14ac:dyDescent="0.25">
      <c r="A12" s="509" t="s">
        <v>34</v>
      </c>
      <c r="B12" s="538" t="s">
        <v>629</v>
      </c>
      <c r="C12" s="520">
        <f>SUM(C14:C22)</f>
        <v>43284.484756570506</v>
      </c>
      <c r="D12" s="520">
        <f>SUM(D14:D22)</f>
        <v>43458.419505659316</v>
      </c>
      <c r="E12" s="520">
        <f t="shared" ref="E12:J12" si="0">E33</f>
        <v>41709.796667722614</v>
      </c>
      <c r="F12" s="520">
        <f t="shared" si="0"/>
        <v>44971.410335788503</v>
      </c>
      <c r="G12" s="520">
        <f>G33</f>
        <v>47806.114529319617</v>
      </c>
      <c r="H12" s="520">
        <f t="shared" si="0"/>
        <v>51044.461254113514</v>
      </c>
      <c r="I12" s="520">
        <f t="shared" si="0"/>
        <v>54418.856977593532</v>
      </c>
      <c r="J12" s="520">
        <f t="shared" si="0"/>
        <v>59676.852082468497</v>
      </c>
      <c r="N12" s="496" t="s">
        <v>33</v>
      </c>
      <c r="O12" s="496"/>
      <c r="P12" s="495">
        <f>'Baseline Statistics'!C12</f>
        <v>2022</v>
      </c>
      <c r="Q12" s="495">
        <f>'Baseline Statistics'!D12</f>
        <v>2025</v>
      </c>
      <c r="R12" s="495">
        <f>'Baseline Statistics'!E12</f>
        <v>2030</v>
      </c>
      <c r="S12" s="495">
        <f>'Baseline Statistics'!F12</f>
        <v>2035</v>
      </c>
      <c r="T12" s="495">
        <f>'Baseline Statistics'!G12</f>
        <v>2040</v>
      </c>
      <c r="U12" s="495">
        <f>'Baseline Statistics'!H12</f>
        <v>2045</v>
      </c>
      <c r="V12" s="495">
        <f>'Baseline Statistics'!I12</f>
        <v>2050</v>
      </c>
    </row>
    <row r="13" spans="1:23" x14ac:dyDescent="0.25">
      <c r="B13" s="538" t="s">
        <v>630</v>
      </c>
      <c r="C13" s="520">
        <f>C12*C23</f>
        <v>35133.128743419511</v>
      </c>
      <c r="D13" s="520">
        <f t="shared" ref="D13:J13" si="1">D12*D23</f>
        <v>37850.081034917843</v>
      </c>
      <c r="E13" s="520">
        <f t="shared" si="1"/>
        <v>38121.344994924111</v>
      </c>
      <c r="F13" s="520">
        <f t="shared" si="1"/>
        <v>43036.880015092269</v>
      </c>
      <c r="G13" s="520">
        <f>G12*G23</f>
        <v>47806.114529319617</v>
      </c>
      <c r="H13" s="520">
        <f t="shared" si="1"/>
        <v>51044.461254113514</v>
      </c>
      <c r="I13" s="520">
        <f t="shared" si="1"/>
        <v>54418.856977593532</v>
      </c>
      <c r="J13" s="520">
        <f t="shared" si="1"/>
        <v>59676.852082468497</v>
      </c>
      <c r="N13" s="505">
        <v>1</v>
      </c>
      <c r="O13" s="505"/>
      <c r="P13" s="513">
        <f>'5. Energy'!C11</f>
        <v>0.87094932271959102</v>
      </c>
      <c r="Q13" s="513">
        <f>'5. Energy'!D11</f>
        <v>0.87094932271959102</v>
      </c>
      <c r="R13" s="513">
        <f>'5. Energy'!E11</f>
        <v>0.87094932271959102</v>
      </c>
      <c r="S13" s="513">
        <f>'5. Energy'!F11</f>
        <v>0.87094932271959102</v>
      </c>
      <c r="T13" s="513">
        <f>'5. Energy'!G11</f>
        <v>0.87094932271959102</v>
      </c>
      <c r="U13" s="513">
        <f>'5. Energy'!H11</f>
        <v>0.87094932271959102</v>
      </c>
      <c r="V13" s="513">
        <f>'5. Energy'!I11</f>
        <v>0.87094932271959102</v>
      </c>
      <c r="W13" t="str">
        <f>'5. Energy'!J11</f>
        <v xml:space="preserve">Status quo (no change) </v>
      </c>
    </row>
    <row r="14" spans="1:23" x14ac:dyDescent="0.25">
      <c r="B14" s="191" t="s">
        <v>631</v>
      </c>
      <c r="C14" s="460">
        <v>24284.645398775501</v>
      </c>
      <c r="D14" s="460">
        <v>26001.207754577899</v>
      </c>
      <c r="E14" s="460">
        <v>26000</v>
      </c>
      <c r="F14" s="460">
        <v>26000</v>
      </c>
      <c r="G14" s="460">
        <v>26000</v>
      </c>
      <c r="H14" s="460">
        <v>26000</v>
      </c>
      <c r="I14" s="460">
        <v>26000</v>
      </c>
      <c r="J14" s="460">
        <v>26000</v>
      </c>
      <c r="N14" s="505">
        <v>2</v>
      </c>
      <c r="O14" s="505"/>
      <c r="P14" s="513">
        <f>'5. Energy'!C12</f>
        <v>0.87094932271959102</v>
      </c>
      <c r="Q14" s="513">
        <f>'5. Energy'!D12</f>
        <v>0.87675565153772161</v>
      </c>
      <c r="R14" s="513">
        <f>'5. Energy'!E12</f>
        <v>0.8825619803558522</v>
      </c>
      <c r="S14" s="513">
        <f>'5. Energy'!F12</f>
        <v>0.8883683091739828</v>
      </c>
      <c r="T14" s="513">
        <f>'5. Energy'!G12</f>
        <v>0.89417463799211339</v>
      </c>
      <c r="U14" s="513">
        <f>'5. Energy'!H12</f>
        <v>0.89998096681024398</v>
      </c>
      <c r="V14" s="513">
        <f>'5. Energy'!I12</f>
        <v>0.90578729562837468</v>
      </c>
      <c r="W14" t="str">
        <f>'5. Energy'!J12</f>
        <v>Modest rise (4% increase by 2050) as older non-renewable generation plants are replaced with wind/geothermal</v>
      </c>
    </row>
    <row r="15" spans="1:23" x14ac:dyDescent="0.25">
      <c r="B15" s="191" t="s">
        <v>632</v>
      </c>
      <c r="C15" s="460">
        <v>7748.6307629000003</v>
      </c>
      <c r="D15" s="460">
        <v>8059.9817655714496</v>
      </c>
      <c r="E15" s="460">
        <f t="shared" ref="E15:J15" si="2">MIN(E$19*$D15/($D$15+$D$17),$D15*3)</f>
        <v>5202.1858445167127</v>
      </c>
      <c r="F15" s="460">
        <f t="shared" si="2"/>
        <v>5136.7084026523498</v>
      </c>
      <c r="G15" s="460">
        <f t="shared" si="2"/>
        <v>4692.7599069991984</v>
      </c>
      <c r="H15" s="460">
        <f t="shared" si="2"/>
        <v>2836.4170923683755</v>
      </c>
      <c r="I15" s="460">
        <f t="shared" si="2"/>
        <v>799.49791024939236</v>
      </c>
      <c r="J15" s="460">
        <f t="shared" si="2"/>
        <v>-124.82411467011644</v>
      </c>
      <c r="N15" s="505">
        <v>3</v>
      </c>
      <c r="O15" s="505"/>
      <c r="P15" s="513">
        <f>'5. Energy'!C13</f>
        <v>0.87094932271959102</v>
      </c>
      <c r="Q15" s="513">
        <f>'5. Energy'!D13</f>
        <v>0.88245776893299255</v>
      </c>
      <c r="R15" s="513">
        <f>'5. Energy'!E13</f>
        <v>0.89396621514639407</v>
      </c>
      <c r="S15" s="513">
        <f>'5. Energy'!F13</f>
        <v>0.9054746613597956</v>
      </c>
      <c r="T15" s="513">
        <f>'5. Energy'!G13</f>
        <v>0.91698310757319712</v>
      </c>
      <c r="U15" s="513">
        <f>'5. Energy'!H13</f>
        <v>0.92849155378659864</v>
      </c>
      <c r="V15" s="513">
        <f>'5. Energy'!I13</f>
        <v>0.94</v>
      </c>
      <c r="W15" t="str">
        <f>'5. Energy'!J13</f>
        <v>Current max (94% by 2050), retaining some on-demand non-renewable generation to provide electricity during periods of peak demand, drought etc.</v>
      </c>
    </row>
    <row r="16" spans="1:23" x14ac:dyDescent="0.25">
      <c r="B16" s="191" t="s">
        <v>633</v>
      </c>
      <c r="C16" s="460">
        <v>243.9769017925</v>
      </c>
      <c r="D16" s="460">
        <v>257.07147311</v>
      </c>
      <c r="E16" s="460">
        <v>270</v>
      </c>
      <c r="F16" s="460">
        <v>320</v>
      </c>
      <c r="G16" s="460">
        <v>370</v>
      </c>
      <c r="H16" s="460">
        <v>420</v>
      </c>
      <c r="I16" s="460">
        <v>470</v>
      </c>
      <c r="J16" s="460">
        <v>520</v>
      </c>
      <c r="N16" s="505">
        <v>4</v>
      </c>
      <c r="O16" s="505"/>
      <c r="P16" s="513">
        <f>'5. Energy'!C14</f>
        <v>0.87094932271959102</v>
      </c>
      <c r="Q16" s="513">
        <f>'5. Energy'!D14</f>
        <v>0.91396621514639398</v>
      </c>
      <c r="R16" s="513">
        <f>'5. Energy'!E14</f>
        <v>0.95698310757319693</v>
      </c>
      <c r="S16" s="513">
        <f>'5. Energy'!F14</f>
        <v>1</v>
      </c>
      <c r="T16" s="513">
        <f>'5. Energy'!G14</f>
        <v>1</v>
      </c>
      <c r="U16" s="513">
        <f>'5. Energy'!H14</f>
        <v>1</v>
      </c>
      <c r="V16" s="513">
        <f>'5. Energy'!I14</f>
        <v>1</v>
      </c>
      <c r="W16" t="str">
        <f>'5. Energy'!J14</f>
        <v>All electricity generation renewable by 2035. Significant infrastructure changes and technological advancement required.</v>
      </c>
    </row>
    <row r="17" spans="2:22" x14ac:dyDescent="0.25">
      <c r="B17" s="191" t="s">
        <v>634</v>
      </c>
      <c r="C17" s="460">
        <v>2340.4886331156999</v>
      </c>
      <c r="D17" s="460">
        <v>2836.8570418875502</v>
      </c>
      <c r="E17" s="460">
        <f t="shared" ref="E17:J17" si="3">E$19-E15</f>
        <v>1831.0038379073985</v>
      </c>
      <c r="F17" s="460">
        <f t="shared" si="3"/>
        <v>1807.9578624399182</v>
      </c>
      <c r="G17" s="460">
        <f t="shared" si="3"/>
        <v>1651.7021223204183</v>
      </c>
      <c r="H17" s="460">
        <f t="shared" si="3"/>
        <v>998.32853674513763</v>
      </c>
      <c r="I17" s="460">
        <f t="shared" si="3"/>
        <v>281.39781734413941</v>
      </c>
      <c r="J17" s="460">
        <f t="shared" si="3"/>
        <v>-43.93411536138791</v>
      </c>
      <c r="N17" s="1"/>
      <c r="U17" s="5"/>
    </row>
    <row r="18" spans="2:22" x14ac:dyDescent="0.25">
      <c r="B18" s="191" t="s">
        <v>635</v>
      </c>
      <c r="C18" s="460">
        <v>36.359966851675601</v>
      </c>
      <c r="D18" s="460">
        <v>275.63679996692002</v>
      </c>
      <c r="E18" s="460">
        <f>'5. Energy'!D74</f>
        <v>4818.1553125</v>
      </c>
      <c r="F18" s="460">
        <f>'5. Energy'!E74</f>
        <v>9772.2137500000008</v>
      </c>
      <c r="G18" s="460">
        <f>'5. Energy'!F74</f>
        <v>15091.6525</v>
      </c>
      <c r="H18" s="460">
        <f>'5. Energy'!G74</f>
        <v>20789.715625000001</v>
      </c>
      <c r="I18" s="460">
        <f>'5. Energy'!H74</f>
        <v>26867.96125</v>
      </c>
      <c r="J18" s="460">
        <f>'5. Energy'!I74</f>
        <v>33325.610312500001</v>
      </c>
      <c r="N18" s="1"/>
    </row>
    <row r="19" spans="2:22" x14ac:dyDescent="0.25">
      <c r="B19" s="191" t="s">
        <v>636</v>
      </c>
      <c r="C19" s="460">
        <v>518.80874670451306</v>
      </c>
      <c r="D19" s="460">
        <v>458.30166245255703</v>
      </c>
      <c r="E19" s="460">
        <f t="shared" ref="E19:J19" si="4">E13-E14-E16-E18</f>
        <v>7033.1896824241112</v>
      </c>
      <c r="F19" s="460">
        <f t="shared" si="4"/>
        <v>6944.6662650922681</v>
      </c>
      <c r="G19" s="460">
        <f t="shared" si="4"/>
        <v>6344.4620293196167</v>
      </c>
      <c r="H19" s="460">
        <f t="shared" si="4"/>
        <v>3834.7456291135131</v>
      </c>
      <c r="I19" s="460">
        <f t="shared" si="4"/>
        <v>1080.8957275935318</v>
      </c>
      <c r="J19" s="460">
        <f t="shared" si="4"/>
        <v>-168.75823003150435</v>
      </c>
      <c r="N19" s="508" t="s">
        <v>107</v>
      </c>
      <c r="O19" s="494" t="s">
        <v>645</v>
      </c>
      <c r="P19" s="494" t="s">
        <v>646</v>
      </c>
      <c r="Q19" s="494" t="s">
        <v>647</v>
      </c>
      <c r="R19" s="494" t="s">
        <v>648</v>
      </c>
      <c r="S19" s="494" t="s">
        <v>118</v>
      </c>
    </row>
    <row r="20" spans="2:22" x14ac:dyDescent="0.25">
      <c r="B20" s="191" t="s">
        <v>637</v>
      </c>
      <c r="C20" s="460">
        <v>1.4472711740355699</v>
      </c>
      <c r="D20" s="460">
        <v>5.2121887814415997</v>
      </c>
      <c r="E20" s="460">
        <v>10</v>
      </c>
      <c r="F20" s="460">
        <v>10</v>
      </c>
      <c r="G20" s="460">
        <v>10</v>
      </c>
      <c r="H20" s="460">
        <v>10</v>
      </c>
      <c r="I20" s="460">
        <v>10</v>
      </c>
      <c r="J20" s="460">
        <v>10</v>
      </c>
      <c r="N20" s="162" t="s">
        <v>649</v>
      </c>
      <c r="O20" s="514">
        <v>94600</v>
      </c>
      <c r="P20" s="514">
        <v>101000</v>
      </c>
      <c r="Q20" s="514">
        <v>77400</v>
      </c>
      <c r="R20" s="514">
        <v>74100</v>
      </c>
      <c r="S20" s="514">
        <v>56100</v>
      </c>
    </row>
    <row r="21" spans="2:22" x14ac:dyDescent="0.25">
      <c r="B21" s="191" t="s">
        <v>61</v>
      </c>
      <c r="C21" s="460">
        <v>1753.0159758192699</v>
      </c>
      <c r="D21" s="460">
        <v>1253.92124667128</v>
      </c>
      <c r="E21" s="460">
        <f>MAX((E12-E13-E20)*($D21/($D21+$D22)),0)</f>
        <v>806.42971918285514</v>
      </c>
      <c r="F21" s="460">
        <f t="shared" ref="F21:J21" si="5">MAX((F12-F13-F20)*($D21/($D21+$D22)),0)</f>
        <v>433.70669439954321</v>
      </c>
      <c r="G21" s="460">
        <f t="shared" si="5"/>
        <v>0</v>
      </c>
      <c r="H21" s="460">
        <f t="shared" si="5"/>
        <v>0</v>
      </c>
      <c r="I21" s="460">
        <f t="shared" si="5"/>
        <v>0</v>
      </c>
      <c r="J21" s="460">
        <f t="shared" si="5"/>
        <v>0</v>
      </c>
      <c r="K21" s="3"/>
      <c r="N21" s="162" t="s">
        <v>650</v>
      </c>
      <c r="O21" s="167">
        <f>O20*$O23</f>
        <v>340.56</v>
      </c>
      <c r="P21" s="167">
        <f>P20*$O23</f>
        <v>363.59999999999997</v>
      </c>
      <c r="Q21" s="167">
        <f>Q20*$O23</f>
        <v>278.64</v>
      </c>
      <c r="R21" s="167">
        <f>R20*$O23</f>
        <v>266.76</v>
      </c>
      <c r="S21" s="167">
        <f>S20*$O23</f>
        <v>201.96</v>
      </c>
    </row>
    <row r="22" spans="2:22" x14ac:dyDescent="0.25">
      <c r="B22" s="191" t="s">
        <v>118</v>
      </c>
      <c r="C22" s="460">
        <v>6357.1110994373103</v>
      </c>
      <c r="D22" s="460">
        <v>4310.2295726402199</v>
      </c>
      <c r="E22" s="460">
        <f>MAX((E12-E13-E20)*($D22/($D21+$D22)),0)</f>
        <v>2772.0219536156478</v>
      </c>
      <c r="F22" s="460">
        <f t="shared" ref="F22:J22" si="6">MAX((F12-F13-F20)*($D22/($D21+$D22)),0)</f>
        <v>1490.8236262966911</v>
      </c>
      <c r="G22" s="460">
        <f t="shared" si="6"/>
        <v>0</v>
      </c>
      <c r="H22" s="460">
        <f t="shared" si="6"/>
        <v>0</v>
      </c>
      <c r="I22" s="460">
        <f t="shared" si="6"/>
        <v>0</v>
      </c>
      <c r="J22" s="460">
        <f t="shared" si="6"/>
        <v>0</v>
      </c>
      <c r="N22" s="1"/>
    </row>
    <row r="23" spans="2:22" x14ac:dyDescent="0.25">
      <c r="B23" s="539" t="s">
        <v>638</v>
      </c>
      <c r="C23" s="483">
        <v>0.81167949534356798</v>
      </c>
      <c r="D23" s="483">
        <v>0.87094932271959102</v>
      </c>
      <c r="E23" s="483">
        <f>'5. Energy'!D10</f>
        <v>0.91396621514639398</v>
      </c>
      <c r="F23" s="483">
        <f>'5. Energy'!E10</f>
        <v>0.95698310757319693</v>
      </c>
      <c r="G23" s="483">
        <f>'5. Energy'!F10</f>
        <v>1</v>
      </c>
      <c r="H23" s="483">
        <f>'5. Energy'!G10</f>
        <v>1</v>
      </c>
      <c r="I23" s="483">
        <f>'5. Energy'!H10</f>
        <v>1</v>
      </c>
      <c r="J23" s="483">
        <f>'5. Energy'!I10</f>
        <v>1</v>
      </c>
      <c r="N23" s="162" t="s">
        <v>651</v>
      </c>
      <c r="O23" s="167">
        <v>3.5999999999999999E-3</v>
      </c>
    </row>
    <row r="24" spans="2:22" x14ac:dyDescent="0.25">
      <c r="B24" s="1"/>
    </row>
    <row r="25" spans="2:22" ht="16.350000000000001" customHeight="1" x14ac:dyDescent="0.25">
      <c r="B25" s="540" t="s">
        <v>639</v>
      </c>
      <c r="C25" s="519">
        <v>40892.854559196523</v>
      </c>
      <c r="D25" s="519">
        <f>'5. Energy'!C24</f>
        <v>39038.283000000003</v>
      </c>
      <c r="E25" s="519">
        <f>'5. Energy'!D24</f>
        <v>41709.726667722614</v>
      </c>
      <c r="F25" s="519">
        <f>'5. Energy'!E24</f>
        <v>44971.340335788504</v>
      </c>
      <c r="G25" s="519">
        <f>'5. Energy'!F24</f>
        <v>47806.044529319617</v>
      </c>
      <c r="H25" s="519">
        <f>'5. Energy'!G24</f>
        <v>51044.391254113514</v>
      </c>
      <c r="I25" s="519">
        <f>'5. Energy'!H24</f>
        <v>54418.786977593532</v>
      </c>
      <c r="J25" s="519">
        <f>'5. Energy'!I24</f>
        <v>59676.782082468497</v>
      </c>
      <c r="N25" s="521" t="s">
        <v>652</v>
      </c>
      <c r="O25" s="522"/>
      <c r="P25" s="522"/>
      <c r="Q25" s="523"/>
      <c r="R25" s="524"/>
      <c r="S25" s="524"/>
      <c r="T25" s="524"/>
      <c r="U25" s="524"/>
      <c r="V25" s="525"/>
    </row>
    <row r="26" spans="2:22" x14ac:dyDescent="0.25">
      <c r="B26" s="510" t="s">
        <v>640</v>
      </c>
      <c r="C26" s="511">
        <v>2844.1455199799202</v>
      </c>
      <c r="D26" s="511">
        <v>2421.9264836678199</v>
      </c>
      <c r="E26" s="512" t="s">
        <v>641</v>
      </c>
      <c r="F26" s="512" t="s">
        <v>641</v>
      </c>
      <c r="G26" s="512" t="s">
        <v>641</v>
      </c>
      <c r="H26" s="512" t="s">
        <v>641</v>
      </c>
      <c r="I26" s="512" t="s">
        <v>641</v>
      </c>
      <c r="J26" s="512" t="s">
        <v>641</v>
      </c>
      <c r="N26" s="508" t="s">
        <v>107</v>
      </c>
      <c r="O26" s="494"/>
      <c r="P26" s="494">
        <f>'Baseline Statistics'!C12</f>
        <v>2022</v>
      </c>
      <c r="Q26" s="494">
        <f>'Baseline Statistics'!D12</f>
        <v>2025</v>
      </c>
      <c r="R26" s="494">
        <f>'Baseline Statistics'!E12</f>
        <v>2030</v>
      </c>
      <c r="S26" s="494">
        <f>'Baseline Statistics'!F12</f>
        <v>2035</v>
      </c>
      <c r="T26" s="494">
        <f>'Baseline Statistics'!G12</f>
        <v>2040</v>
      </c>
      <c r="U26" s="494">
        <f>'Baseline Statistics'!H12</f>
        <v>2045</v>
      </c>
      <c r="V26" s="494">
        <f>'Baseline Statistics'!I12</f>
        <v>2050</v>
      </c>
    </row>
    <row r="27" spans="2:22" x14ac:dyDescent="0.25">
      <c r="B27" s="510" t="s">
        <v>123</v>
      </c>
      <c r="C27" s="511">
        <v>14591.002195270519</v>
      </c>
      <c r="D27" s="511">
        <v>13499.689265919271</v>
      </c>
      <c r="E27" s="512" t="s">
        <v>641</v>
      </c>
      <c r="F27" s="512" t="s">
        <v>641</v>
      </c>
      <c r="G27" s="512" t="s">
        <v>641</v>
      </c>
      <c r="H27" s="512" t="s">
        <v>641</v>
      </c>
      <c r="I27" s="512" t="s">
        <v>641</v>
      </c>
      <c r="J27" s="512" t="s">
        <v>641</v>
      </c>
      <c r="N27" s="162" t="s">
        <v>653</v>
      </c>
      <c r="O27" s="167"/>
      <c r="P27" s="515">
        <f>SUMPRODUCT('Emissions Factors, etc,'!C12:C20,D14:D22)/D25</f>
        <v>107.02104418551933</v>
      </c>
      <c r="Q27" s="515">
        <f>SUMPRODUCT('Emissions Factors, etc,'!D12:D20,E14:E22)/E25</f>
        <v>64.623964124576361</v>
      </c>
      <c r="R27" s="515">
        <f>SUMPRODUCT('Emissions Factors, etc,'!E12:E20,F14:F22)/F25</f>
        <v>40.789331976990503</v>
      </c>
      <c r="S27" s="515">
        <f>SUMPRODUCT('Emissions Factors, etc,'!F12:F20,G14:G22)/G25</f>
        <v>16.158518085293231</v>
      </c>
      <c r="T27" s="515">
        <f>SUMPRODUCT('Emissions Factors, etc,'!G12:G20,H14:H22)/H25</f>
        <v>9.2109872517715896</v>
      </c>
      <c r="U27" s="515">
        <f>SUMPRODUCT('Emissions Factors, etc,'!H12:H20,I14:I22)/I25</f>
        <v>2.5442823841670221</v>
      </c>
      <c r="V27" s="515">
        <f>SUMPRODUCT('Emissions Factors, etc,'!I12:I20,J14:J22)/J25</f>
        <v>-0.20224223266792754</v>
      </c>
    </row>
    <row r="28" spans="2:22" x14ac:dyDescent="0.25">
      <c r="B28" s="510" t="s">
        <v>325</v>
      </c>
      <c r="C28" s="511">
        <v>9491.1594548946905</v>
      </c>
      <c r="D28" s="511">
        <v>9386.5563373331297</v>
      </c>
      <c r="E28" s="512" t="s">
        <v>641</v>
      </c>
      <c r="F28" s="512" t="s">
        <v>641</v>
      </c>
      <c r="G28" s="512" t="s">
        <v>641</v>
      </c>
      <c r="H28" s="512" t="s">
        <v>641</v>
      </c>
      <c r="I28" s="512" t="s">
        <v>641</v>
      </c>
      <c r="J28" s="512" t="s">
        <v>641</v>
      </c>
    </row>
    <row r="29" spans="2:22" x14ac:dyDescent="0.25">
      <c r="B29" s="510" t="s">
        <v>326</v>
      </c>
      <c r="C29" s="511">
        <v>12573.7673664264</v>
      </c>
      <c r="D29" s="511">
        <v>13027.372179923501</v>
      </c>
      <c r="E29" s="512" t="s">
        <v>641</v>
      </c>
      <c r="F29" s="512" t="s">
        <v>641</v>
      </c>
      <c r="G29" s="512" t="s">
        <v>641</v>
      </c>
      <c r="H29" s="512" t="s">
        <v>641</v>
      </c>
      <c r="I29" s="512" t="s">
        <v>641</v>
      </c>
      <c r="J29" s="512" t="s">
        <v>641</v>
      </c>
    </row>
    <row r="30" spans="2:22" x14ac:dyDescent="0.25">
      <c r="B30" s="510" t="s">
        <v>89</v>
      </c>
      <c r="C30" s="512">
        <v>83.440262425</v>
      </c>
      <c r="D30" s="512">
        <v>94.558139424999993</v>
      </c>
      <c r="E30" s="512" t="s">
        <v>641</v>
      </c>
      <c r="F30" s="512" t="s">
        <v>641</v>
      </c>
      <c r="G30" s="512" t="s">
        <v>641</v>
      </c>
      <c r="H30" s="512" t="s">
        <v>641</v>
      </c>
      <c r="I30" s="512" t="s">
        <v>641</v>
      </c>
      <c r="J30" s="512" t="s">
        <v>641</v>
      </c>
    </row>
    <row r="31" spans="2:22" x14ac:dyDescent="0.25">
      <c r="B31" s="510" t="s">
        <v>642</v>
      </c>
      <c r="C31" s="460">
        <v>2896.55751948344</v>
      </c>
      <c r="D31" s="460">
        <v>3274.59376330341</v>
      </c>
      <c r="E31" s="460">
        <f>E25*E32</f>
        <v>2919.6808667405835</v>
      </c>
      <c r="F31" s="460">
        <f t="shared" ref="F31:J31" si="7">F25*F32</f>
        <v>3147.9938235051955</v>
      </c>
      <c r="G31" s="460">
        <f t="shared" si="7"/>
        <v>3346.4231170523735</v>
      </c>
      <c r="H31" s="460">
        <f t="shared" si="7"/>
        <v>3573.1073877879462</v>
      </c>
      <c r="I31" s="460">
        <f t="shared" si="7"/>
        <v>3809.3150884315478</v>
      </c>
      <c r="J31" s="460">
        <f t="shared" si="7"/>
        <v>4177.374745772795</v>
      </c>
    </row>
    <row r="32" spans="2:22" x14ac:dyDescent="0.25">
      <c r="B32" s="510" t="s">
        <v>643</v>
      </c>
      <c r="C32" s="476">
        <f>C31/C25</f>
        <v>7.0832852113329028E-2</v>
      </c>
      <c r="D32" s="476">
        <f>D31/D25</f>
        <v>8.3881603176640979E-2</v>
      </c>
      <c r="E32" s="476">
        <v>7.0000000000000007E-2</v>
      </c>
      <c r="F32" s="476">
        <v>7.0000000000000007E-2</v>
      </c>
      <c r="G32" s="476">
        <v>7.0000000000000007E-2</v>
      </c>
      <c r="H32" s="476">
        <v>7.0000000000000007E-2</v>
      </c>
      <c r="I32" s="476">
        <v>7.0000000000000007E-2</v>
      </c>
      <c r="J32" s="476">
        <v>7.0000000000000007E-2</v>
      </c>
    </row>
    <row r="33" spans="1:11" x14ac:dyDescent="0.25">
      <c r="B33" s="541" t="s">
        <v>644</v>
      </c>
      <c r="C33" s="520">
        <f>C25+C31</f>
        <v>43789.412078679961</v>
      </c>
      <c r="D33" s="520">
        <f>D25+D31</f>
        <v>42312.876763303415</v>
      </c>
      <c r="E33" s="520">
        <f t="shared" ref="E33:J33" si="8">E25+E32</f>
        <v>41709.796667722614</v>
      </c>
      <c r="F33" s="520">
        <f t="shared" si="8"/>
        <v>44971.410335788503</v>
      </c>
      <c r="G33" s="520">
        <f t="shared" si="8"/>
        <v>47806.114529319617</v>
      </c>
      <c r="H33" s="520">
        <f t="shared" si="8"/>
        <v>51044.461254113514</v>
      </c>
      <c r="I33" s="520">
        <f t="shared" si="8"/>
        <v>54418.856977593532</v>
      </c>
      <c r="J33" s="520">
        <f t="shared" si="8"/>
        <v>59676.852082468497</v>
      </c>
    </row>
    <row r="34" spans="1:11" x14ac:dyDescent="0.25">
      <c r="B34" s="1"/>
    </row>
    <row r="35" spans="1:11" x14ac:dyDescent="0.25">
      <c r="B35" s="1"/>
    </row>
    <row r="36" spans="1:11" x14ac:dyDescent="0.25">
      <c r="K36" s="12"/>
    </row>
    <row r="44" spans="1:11" x14ac:dyDescent="0.25">
      <c r="B44" s="1"/>
    </row>
    <row r="45" spans="1:11" x14ac:dyDescent="0.25">
      <c r="B45" s="1"/>
      <c r="C45" t="s">
        <v>433</v>
      </c>
    </row>
    <row r="46" spans="1:11" x14ac:dyDescent="0.25">
      <c r="B46" s="530"/>
      <c r="C46" s="531">
        <v>2015</v>
      </c>
      <c r="D46" s="531">
        <v>2018</v>
      </c>
      <c r="E46" s="531">
        <v>2023</v>
      </c>
      <c r="F46" s="531">
        <v>2028</v>
      </c>
      <c r="G46" s="531">
        <v>2033</v>
      </c>
      <c r="H46" s="531">
        <v>2038</v>
      </c>
      <c r="I46" s="531">
        <v>2043</v>
      </c>
      <c r="J46" s="532">
        <v>2050</v>
      </c>
    </row>
    <row r="47" spans="1:11" ht="17.25" x14ac:dyDescent="0.25">
      <c r="A47" s="509">
        <v>2</v>
      </c>
      <c r="B47" s="537" t="s">
        <v>978</v>
      </c>
      <c r="C47" s="555">
        <v>42895</v>
      </c>
      <c r="D47" s="555">
        <v>43126</v>
      </c>
      <c r="E47" s="555">
        <f>E67</f>
        <v>40000</v>
      </c>
      <c r="F47" s="555">
        <f t="shared" ref="F47:J47" si="9">F67</f>
        <v>45000</v>
      </c>
      <c r="G47" s="555">
        <f t="shared" si="9"/>
        <v>50000</v>
      </c>
      <c r="H47" s="555">
        <f t="shared" si="9"/>
        <v>55000</v>
      </c>
      <c r="I47" s="555">
        <f t="shared" si="9"/>
        <v>60000</v>
      </c>
      <c r="J47" s="560">
        <f t="shared" si="9"/>
        <v>65000</v>
      </c>
    </row>
    <row r="48" spans="1:11" x14ac:dyDescent="0.25">
      <c r="B48" s="537" t="s">
        <v>630</v>
      </c>
      <c r="C48" s="555"/>
      <c r="D48" s="555"/>
      <c r="E48" s="555">
        <f t="shared" ref="E48:J48" si="10">E47*E58</f>
        <v>35070.226061508867</v>
      </c>
      <c r="F48" s="555">
        <f t="shared" si="10"/>
        <v>39715.289116013351</v>
      </c>
      <c r="G48" s="555">
        <f t="shared" si="10"/>
        <v>44418.415458699143</v>
      </c>
      <c r="H48" s="555">
        <f t="shared" si="10"/>
        <v>49179.605089566234</v>
      </c>
      <c r="I48" s="555">
        <f t="shared" si="10"/>
        <v>53998.858008614639</v>
      </c>
      <c r="J48" s="560">
        <f t="shared" si="10"/>
        <v>58876.174215844352</v>
      </c>
    </row>
    <row r="49" spans="2:11" x14ac:dyDescent="0.25">
      <c r="B49" s="527" t="s">
        <v>631</v>
      </c>
      <c r="C49" s="518">
        <v>24285</v>
      </c>
      <c r="D49" s="518">
        <v>26027</v>
      </c>
      <c r="E49" s="518">
        <f>AVERAGE(C49:D49)</f>
        <v>25156</v>
      </c>
      <c r="F49" s="518">
        <v>25156</v>
      </c>
      <c r="G49" s="518">
        <v>25156</v>
      </c>
      <c r="H49" s="518">
        <v>25156</v>
      </c>
      <c r="I49" s="518">
        <v>25156</v>
      </c>
      <c r="J49" s="559">
        <v>25156</v>
      </c>
    </row>
    <row r="50" spans="2:11" x14ac:dyDescent="0.25">
      <c r="B50" s="527" t="s">
        <v>632</v>
      </c>
      <c r="C50" s="518">
        <v>7410</v>
      </c>
      <c r="D50" s="518">
        <v>7510</v>
      </c>
      <c r="E50" s="518">
        <f t="shared" ref="E50:J50" si="11">E$19*$D50/($D$15+$D$17)</f>
        <v>4847.2089427302299</v>
      </c>
      <c r="F50" s="518">
        <f t="shared" si="11"/>
        <v>4786.1994264926334</v>
      </c>
      <c r="G50" s="518">
        <f t="shared" si="11"/>
        <v>4372.5442471972246</v>
      </c>
      <c r="H50" s="518">
        <f t="shared" si="11"/>
        <v>2642.87103659176</v>
      </c>
      <c r="I50" s="518">
        <f t="shared" si="11"/>
        <v>744.94328654938818</v>
      </c>
      <c r="J50" s="559">
        <f t="shared" si="11"/>
        <v>-116.30660322047406</v>
      </c>
    </row>
    <row r="51" spans="2:11" x14ac:dyDescent="0.25">
      <c r="B51" s="527" t="s">
        <v>633</v>
      </c>
      <c r="C51" s="518">
        <v>244</v>
      </c>
      <c r="D51" s="518">
        <v>261</v>
      </c>
      <c r="E51" s="518">
        <v>270</v>
      </c>
      <c r="F51" s="518">
        <v>320</v>
      </c>
      <c r="G51" s="518">
        <v>370</v>
      </c>
      <c r="H51" s="518">
        <v>420</v>
      </c>
      <c r="I51" s="518">
        <v>470</v>
      </c>
      <c r="J51" s="559">
        <v>520</v>
      </c>
    </row>
    <row r="52" spans="2:11" x14ac:dyDescent="0.25">
      <c r="B52" s="527" t="s">
        <v>634</v>
      </c>
      <c r="C52" s="518">
        <v>2340</v>
      </c>
      <c r="D52" s="518">
        <v>2047</v>
      </c>
      <c r="E52" s="518">
        <f t="shared" ref="E52:J52" si="12">E$19*$D52/($D$15+$D$17)</f>
        <v>1321.2032897162157</v>
      </c>
      <c r="F52" s="518">
        <f t="shared" si="12"/>
        <v>1304.5739315619733</v>
      </c>
      <c r="G52" s="518">
        <f t="shared" si="12"/>
        <v>1191.8239778978323</v>
      </c>
      <c r="H52" s="518">
        <f t="shared" si="12"/>
        <v>720.36711210430531</v>
      </c>
      <c r="I52" s="518">
        <f t="shared" si="12"/>
        <v>203.04912217930729</v>
      </c>
      <c r="J52" s="559">
        <f t="shared" si="12"/>
        <v>-31.701679998976083</v>
      </c>
    </row>
    <row r="53" spans="2:11" ht="17.25" x14ac:dyDescent="0.25">
      <c r="B53" s="527" t="s">
        <v>655</v>
      </c>
      <c r="C53" s="518">
        <v>36</v>
      </c>
      <c r="D53" s="518">
        <v>98</v>
      </c>
      <c r="E53" s="518">
        <f>'5. Energy'!D52</f>
        <v>4818.1553125</v>
      </c>
      <c r="F53" s="518">
        <f>'5. Energy'!E52</f>
        <v>9772.2137500000008</v>
      </c>
      <c r="G53" s="518">
        <f>'5. Energy'!F52</f>
        <v>15091.6525</v>
      </c>
      <c r="H53" s="518">
        <f>'5. Energy'!G52</f>
        <v>20789.715625000001</v>
      </c>
      <c r="I53" s="518">
        <f>'5. Energy'!H52</f>
        <v>26867.96125</v>
      </c>
      <c r="J53" s="559">
        <f>'5. Energy'!I52</f>
        <v>33325.610312500001</v>
      </c>
    </row>
    <row r="54" spans="2:11" x14ac:dyDescent="0.25">
      <c r="B54" s="527" t="s">
        <v>656</v>
      </c>
      <c r="C54" s="518"/>
      <c r="D54" s="518"/>
      <c r="E54" s="518">
        <f>E48-E49-E51-E53</f>
        <v>4826.0707490088671</v>
      </c>
      <c r="F54" s="518">
        <f t="shared" ref="F54:J54" si="13">F48-F49-F51-F53</f>
        <v>4467.0753660133505</v>
      </c>
      <c r="G54" s="518">
        <f t="shared" si="13"/>
        <v>3800.7629586991425</v>
      </c>
      <c r="H54" s="518">
        <f t="shared" si="13"/>
        <v>2813.8894645662331</v>
      </c>
      <c r="I54" s="518">
        <f t="shared" si="13"/>
        <v>1504.8967586146391</v>
      </c>
      <c r="J54" s="559">
        <f t="shared" si="13"/>
        <v>-125.43609665564873</v>
      </c>
    </row>
    <row r="55" spans="2:11" x14ac:dyDescent="0.25">
      <c r="B55" s="527" t="s">
        <v>637</v>
      </c>
      <c r="C55" s="518">
        <v>1</v>
      </c>
      <c r="D55" s="518">
        <v>11</v>
      </c>
      <c r="E55" s="518">
        <v>5</v>
      </c>
      <c r="F55" s="518">
        <v>5</v>
      </c>
      <c r="G55" s="518">
        <v>5</v>
      </c>
      <c r="H55" s="518">
        <v>5</v>
      </c>
      <c r="I55" s="518">
        <v>5</v>
      </c>
      <c r="J55" s="559">
        <v>5</v>
      </c>
    </row>
    <row r="56" spans="2:11" x14ac:dyDescent="0.25">
      <c r="B56" s="527" t="s">
        <v>61</v>
      </c>
      <c r="C56" s="518">
        <v>1753</v>
      </c>
      <c r="D56" s="518">
        <v>1479</v>
      </c>
      <c r="E56" s="518">
        <f t="shared" ref="E56:J56" si="14">(E47-E48-E55)*($D56/($D56+$D57))</f>
        <v>1065.6533511380228</v>
      </c>
      <c r="F56" s="518">
        <f t="shared" si="14"/>
        <v>1142.4568247865768</v>
      </c>
      <c r="G56" s="518">
        <f t="shared" si="14"/>
        <v>1206.6962014021899</v>
      </c>
      <c r="H56" s="518">
        <f t="shared" si="14"/>
        <v>1258.3714809848632</v>
      </c>
      <c r="I56" s="518">
        <f t="shared" si="14"/>
        <v>1297.4826635345937</v>
      </c>
      <c r="J56" s="559">
        <f t="shared" si="14"/>
        <v>1324.0297490513831</v>
      </c>
    </row>
    <row r="57" spans="2:11" x14ac:dyDescent="0.25">
      <c r="B57" s="527" t="s">
        <v>118</v>
      </c>
      <c r="C57" s="518">
        <v>6428</v>
      </c>
      <c r="D57" s="518">
        <v>5356</v>
      </c>
      <c r="E57" s="518">
        <f t="shared" ref="E57:J57" si="15">(E47-E48-E55)*($D57/($D56+$D57))</f>
        <v>3859.1205873531098</v>
      </c>
      <c r="F57" s="518">
        <f t="shared" si="15"/>
        <v>4137.2540592000714</v>
      </c>
      <c r="G57" s="518">
        <f t="shared" si="15"/>
        <v>4369.8883398986673</v>
      </c>
      <c r="H57" s="518">
        <f t="shared" si="15"/>
        <v>4557.0234294489028</v>
      </c>
      <c r="I57" s="518">
        <f t="shared" si="15"/>
        <v>4698.6593278507662</v>
      </c>
      <c r="J57" s="559">
        <f t="shared" si="15"/>
        <v>4794.7960351042648</v>
      </c>
    </row>
    <row r="58" spans="2:11" x14ac:dyDescent="0.25">
      <c r="B58" s="533" t="s">
        <v>638</v>
      </c>
      <c r="C58" s="534">
        <v>0.80800000000000005</v>
      </c>
      <c r="D58" s="534">
        <v>0.84</v>
      </c>
      <c r="E58" s="535">
        <f t="shared" ref="E58:J58" si="16">Q$14</f>
        <v>0.87675565153772161</v>
      </c>
      <c r="F58" s="535">
        <f t="shared" si="16"/>
        <v>0.8825619803558522</v>
      </c>
      <c r="G58" s="535">
        <f t="shared" si="16"/>
        <v>0.8883683091739828</v>
      </c>
      <c r="H58" s="535">
        <f t="shared" si="16"/>
        <v>0.89417463799211339</v>
      </c>
      <c r="I58" s="535">
        <f t="shared" si="16"/>
        <v>0.89998096681024398</v>
      </c>
      <c r="J58" s="536">
        <f t="shared" si="16"/>
        <v>0.90578729562837468</v>
      </c>
      <c r="K58" s="516"/>
    </row>
    <row r="59" spans="2:11" x14ac:dyDescent="0.25">
      <c r="B59" s="1"/>
      <c r="K59" s="516"/>
    </row>
    <row r="60" spans="2:11" ht="17.25" x14ac:dyDescent="0.25">
      <c r="B60" s="542" t="s">
        <v>980</v>
      </c>
      <c r="C60" s="561">
        <v>40447.392688444903</v>
      </c>
      <c r="D60" s="561">
        <v>39916.258384385052</v>
      </c>
      <c r="E60" s="561">
        <v>40000</v>
      </c>
      <c r="F60" s="561">
        <v>45000</v>
      </c>
      <c r="G60" s="561">
        <v>50000</v>
      </c>
      <c r="H60" s="561">
        <v>55000</v>
      </c>
      <c r="I60" s="561">
        <v>60000</v>
      </c>
      <c r="J60" s="562">
        <v>65000</v>
      </c>
      <c r="K60" s="516"/>
    </row>
    <row r="61" spans="2:11" x14ac:dyDescent="0.25">
      <c r="B61" s="528" t="s">
        <v>657</v>
      </c>
      <c r="C61" s="563">
        <v>2847.4450078054201</v>
      </c>
      <c r="D61" s="563">
        <v>2343.4500510615899</v>
      </c>
      <c r="E61" s="518"/>
      <c r="F61" s="518"/>
      <c r="G61" s="518"/>
      <c r="H61" s="518"/>
      <c r="I61" s="518"/>
      <c r="J61" s="559"/>
      <c r="K61" s="516"/>
    </row>
    <row r="62" spans="2:11" x14ac:dyDescent="0.25">
      <c r="B62" s="528" t="s">
        <v>658</v>
      </c>
      <c r="C62" s="563">
        <v>14590.752958919798</v>
      </c>
      <c r="D62" s="563">
        <v>14662.635368008476</v>
      </c>
      <c r="E62" s="518"/>
      <c r="F62" s="518"/>
      <c r="G62" s="518"/>
      <c r="H62" s="518"/>
      <c r="I62" s="518"/>
      <c r="J62" s="559"/>
      <c r="K62" s="516"/>
    </row>
    <row r="63" spans="2:11" x14ac:dyDescent="0.25">
      <c r="B63" s="528" t="s">
        <v>659</v>
      </c>
      <c r="C63" s="563">
        <v>9573.6463847364703</v>
      </c>
      <c r="D63" s="563">
        <v>9566.6612470750806</v>
      </c>
      <c r="E63" s="518"/>
      <c r="F63" s="518"/>
      <c r="G63" s="518"/>
      <c r="H63" s="518"/>
      <c r="I63" s="518"/>
      <c r="J63" s="559"/>
    </row>
    <row r="64" spans="2:11" x14ac:dyDescent="0.25">
      <c r="B64" s="528" t="s">
        <v>326</v>
      </c>
      <c r="C64" s="563">
        <v>12570.947951083201</v>
      </c>
      <c r="D64" s="563">
        <v>12702.6470626399</v>
      </c>
      <c r="E64" s="518"/>
      <c r="F64" s="518"/>
      <c r="G64" s="518"/>
      <c r="H64" s="518"/>
      <c r="I64" s="518"/>
      <c r="J64" s="559"/>
    </row>
    <row r="65" spans="1:10" x14ac:dyDescent="0.25">
      <c r="B65" s="528" t="s">
        <v>660</v>
      </c>
      <c r="C65" s="518">
        <f>C47-C60</f>
        <v>2447.6073115550971</v>
      </c>
      <c r="D65" s="518">
        <f>D47-D60</f>
        <v>3209.7416156149484</v>
      </c>
      <c r="E65" s="518"/>
      <c r="F65" s="518"/>
      <c r="G65" s="518"/>
      <c r="H65" s="518"/>
      <c r="I65" s="518"/>
      <c r="J65" s="559"/>
    </row>
    <row r="66" spans="1:10" x14ac:dyDescent="0.25">
      <c r="B66" s="543" t="s">
        <v>643</v>
      </c>
      <c r="C66" s="552">
        <f>C65/C60</f>
        <v>6.0513352007837445E-2</v>
      </c>
      <c r="D66" s="552">
        <f>D65/D60</f>
        <v>8.0411885921416321E-2</v>
      </c>
      <c r="E66" s="555"/>
      <c r="F66" s="555"/>
      <c r="G66" s="555"/>
      <c r="H66" s="555"/>
      <c r="I66" s="555"/>
      <c r="J66" s="560"/>
    </row>
    <row r="67" spans="1:10" x14ac:dyDescent="0.25">
      <c r="B67" s="544" t="s">
        <v>644</v>
      </c>
      <c r="C67" s="551">
        <f t="shared" ref="C67:J67" si="17">C60+C66</f>
        <v>40447.45320179691</v>
      </c>
      <c r="D67" s="551">
        <f t="shared" si="17"/>
        <v>39916.338796270975</v>
      </c>
      <c r="E67" s="551">
        <f t="shared" si="17"/>
        <v>40000</v>
      </c>
      <c r="F67" s="551">
        <f t="shared" si="17"/>
        <v>45000</v>
      </c>
      <c r="G67" s="551">
        <f t="shared" si="17"/>
        <v>50000</v>
      </c>
      <c r="H67" s="551">
        <f>H60+H66</f>
        <v>55000</v>
      </c>
      <c r="I67" s="551">
        <f t="shared" si="17"/>
        <v>60000</v>
      </c>
      <c r="J67" s="564">
        <f t="shared" si="17"/>
        <v>65000</v>
      </c>
    </row>
    <row r="68" spans="1:10" x14ac:dyDescent="0.25">
      <c r="B68" s="517"/>
    </row>
    <row r="69" spans="1:10" x14ac:dyDescent="0.25">
      <c r="B69" s="1"/>
    </row>
    <row r="70" spans="1:10" x14ac:dyDescent="0.25">
      <c r="B70" s="1"/>
      <c r="C70" t="s">
        <v>433</v>
      </c>
    </row>
    <row r="71" spans="1:10" x14ac:dyDescent="0.25">
      <c r="B71" s="530"/>
      <c r="C71" s="531">
        <v>2015</v>
      </c>
      <c r="D71" s="531">
        <v>2018</v>
      </c>
      <c r="E71" s="531">
        <v>2023</v>
      </c>
      <c r="F71" s="531">
        <v>2028</v>
      </c>
      <c r="G71" s="531">
        <v>2033</v>
      </c>
      <c r="H71" s="531">
        <v>2038</v>
      </c>
      <c r="I71" s="531">
        <v>2043</v>
      </c>
      <c r="J71" s="532">
        <v>2050</v>
      </c>
    </row>
    <row r="72" spans="1:10" ht="17.25" x14ac:dyDescent="0.25">
      <c r="A72" s="509">
        <v>3</v>
      </c>
      <c r="B72" s="537" t="s">
        <v>978</v>
      </c>
      <c r="C72" s="555">
        <v>42895</v>
      </c>
      <c r="D72" s="555">
        <v>43126</v>
      </c>
      <c r="E72" s="555">
        <f t="shared" ref="E72:J72" si="18">E92</f>
        <v>0</v>
      </c>
      <c r="F72" s="555">
        <f t="shared" si="18"/>
        <v>0</v>
      </c>
      <c r="G72" s="555">
        <f t="shared" si="18"/>
        <v>0</v>
      </c>
      <c r="H72" s="555">
        <f t="shared" si="18"/>
        <v>0</v>
      </c>
      <c r="I72" s="555">
        <f t="shared" si="18"/>
        <v>0</v>
      </c>
      <c r="J72" s="560">
        <f t="shared" si="18"/>
        <v>0</v>
      </c>
    </row>
    <row r="73" spans="1:10" x14ac:dyDescent="0.25">
      <c r="B73" s="537" t="s">
        <v>630</v>
      </c>
      <c r="C73" s="555"/>
      <c r="D73" s="555"/>
      <c r="E73" s="555">
        <f t="shared" ref="E73:J73" si="19">E72*E83</f>
        <v>0</v>
      </c>
      <c r="F73" s="555">
        <f>F72*F83</f>
        <v>0</v>
      </c>
      <c r="G73" s="555">
        <f>G72*G83</f>
        <v>0</v>
      </c>
      <c r="H73" s="555">
        <f t="shared" si="19"/>
        <v>0</v>
      </c>
      <c r="I73" s="555">
        <f t="shared" si="19"/>
        <v>0</v>
      </c>
      <c r="J73" s="560">
        <f t="shared" si="19"/>
        <v>0</v>
      </c>
    </row>
    <row r="74" spans="1:10" x14ac:dyDescent="0.25">
      <c r="B74" s="527" t="s">
        <v>631</v>
      </c>
      <c r="C74" s="518">
        <v>24285</v>
      </c>
      <c r="D74" s="518">
        <v>26027</v>
      </c>
      <c r="E74" s="518">
        <f>AVERAGE(C74:D74)</f>
        <v>25156</v>
      </c>
      <c r="F74" s="518">
        <v>25156</v>
      </c>
      <c r="G74" s="518">
        <v>25156</v>
      </c>
      <c r="H74" s="518">
        <v>25156</v>
      </c>
      <c r="I74" s="518">
        <v>25156</v>
      </c>
      <c r="J74" s="559">
        <v>25156</v>
      </c>
    </row>
    <row r="75" spans="1:10" x14ac:dyDescent="0.25">
      <c r="B75" s="527" t="s">
        <v>632</v>
      </c>
      <c r="C75" s="518">
        <v>7410</v>
      </c>
      <c r="D75" s="518">
        <v>7510</v>
      </c>
      <c r="E75" s="518">
        <f t="shared" ref="E75:J75" si="20">E$19*$D75/($D$15+$D$17)</f>
        <v>4847.2089427302299</v>
      </c>
      <c r="F75" s="518">
        <f t="shared" si="20"/>
        <v>4786.1994264926334</v>
      </c>
      <c r="G75" s="518">
        <f t="shared" si="20"/>
        <v>4372.5442471972246</v>
      </c>
      <c r="H75" s="518">
        <f t="shared" si="20"/>
        <v>2642.87103659176</v>
      </c>
      <c r="I75" s="518">
        <f t="shared" si="20"/>
        <v>744.94328654938818</v>
      </c>
      <c r="J75" s="559">
        <f t="shared" si="20"/>
        <v>-116.30660322047406</v>
      </c>
    </row>
    <row r="76" spans="1:10" x14ac:dyDescent="0.25">
      <c r="B76" s="527" t="s">
        <v>633</v>
      </c>
      <c r="C76" s="518">
        <v>244</v>
      </c>
      <c r="D76" s="518">
        <v>261</v>
      </c>
      <c r="E76" s="518">
        <v>270</v>
      </c>
      <c r="F76" s="518">
        <v>320</v>
      </c>
      <c r="G76" s="518">
        <v>370</v>
      </c>
      <c r="H76" s="518">
        <v>420</v>
      </c>
      <c r="I76" s="518">
        <v>470</v>
      </c>
      <c r="J76" s="559">
        <v>520</v>
      </c>
    </row>
    <row r="77" spans="1:10" x14ac:dyDescent="0.25">
      <c r="B77" s="527" t="s">
        <v>634</v>
      </c>
      <c r="C77" s="518">
        <v>2340</v>
      </c>
      <c r="D77" s="518">
        <v>2047</v>
      </c>
      <c r="E77" s="518">
        <f t="shared" ref="E77:J77" si="21">E$19*$D77/($D$15+$D$17)</f>
        <v>1321.2032897162157</v>
      </c>
      <c r="F77" s="518">
        <f t="shared" si="21"/>
        <v>1304.5739315619733</v>
      </c>
      <c r="G77" s="518">
        <f t="shared" si="21"/>
        <v>1191.8239778978323</v>
      </c>
      <c r="H77" s="518">
        <f t="shared" si="21"/>
        <v>720.36711210430531</v>
      </c>
      <c r="I77" s="518">
        <f t="shared" si="21"/>
        <v>203.04912217930729</v>
      </c>
      <c r="J77" s="559">
        <f t="shared" si="21"/>
        <v>-31.701679998976083</v>
      </c>
    </row>
    <row r="78" spans="1:10" ht="17.25" x14ac:dyDescent="0.25">
      <c r="B78" s="527" t="s">
        <v>655</v>
      </c>
      <c r="C78" s="518">
        <v>36</v>
      </c>
      <c r="D78" s="518">
        <v>98</v>
      </c>
      <c r="E78" s="518">
        <f>'5. Energy'!D52</f>
        <v>4818.1553125</v>
      </c>
      <c r="F78" s="518">
        <f>'5. Energy'!E52</f>
        <v>9772.2137500000008</v>
      </c>
      <c r="G78" s="518">
        <f>'5. Energy'!F52</f>
        <v>15091.6525</v>
      </c>
      <c r="H78" s="518">
        <f>'5. Energy'!G52</f>
        <v>20789.715625000001</v>
      </c>
      <c r="I78" s="518">
        <f>'5. Energy'!H52</f>
        <v>26867.96125</v>
      </c>
      <c r="J78" s="559">
        <f>'5. Energy'!I52</f>
        <v>33325.610312500001</v>
      </c>
    </row>
    <row r="79" spans="1:10" x14ac:dyDescent="0.25">
      <c r="B79" s="527" t="s">
        <v>656</v>
      </c>
      <c r="C79" s="518"/>
      <c r="D79" s="518"/>
      <c r="E79" s="518">
        <f>E73-E74-E76-E78</f>
        <v>-30244.155312499999</v>
      </c>
      <c r="F79" s="518">
        <f t="shared" ref="F79:J79" si="22">F73-F74-F76-F78</f>
        <v>-35248.213750000003</v>
      </c>
      <c r="G79" s="518">
        <f t="shared" si="22"/>
        <v>-40617.652499999997</v>
      </c>
      <c r="H79" s="518">
        <f t="shared" si="22"/>
        <v>-46365.715624999997</v>
      </c>
      <c r="I79" s="518">
        <f t="shared" si="22"/>
        <v>-52493.96125</v>
      </c>
      <c r="J79" s="559">
        <f t="shared" si="22"/>
        <v>-59001.610312500001</v>
      </c>
    </row>
    <row r="80" spans="1:10" x14ac:dyDescent="0.25">
      <c r="B80" s="527" t="s">
        <v>637</v>
      </c>
      <c r="C80" s="518">
        <v>1</v>
      </c>
      <c r="D80" s="518">
        <v>11</v>
      </c>
      <c r="E80" s="518">
        <v>5</v>
      </c>
      <c r="F80" s="518">
        <v>5</v>
      </c>
      <c r="G80" s="518">
        <v>5</v>
      </c>
      <c r="H80" s="518">
        <v>5</v>
      </c>
      <c r="I80" s="518">
        <v>5</v>
      </c>
      <c r="J80" s="559">
        <v>5</v>
      </c>
    </row>
    <row r="81" spans="1:10" x14ac:dyDescent="0.25">
      <c r="B81" s="527" t="s">
        <v>61</v>
      </c>
      <c r="C81" s="518">
        <v>1753</v>
      </c>
      <c r="D81" s="518">
        <v>1479</v>
      </c>
      <c r="E81" s="518">
        <f t="shared" ref="E81:J81" si="23">(E72-E73-E80)*($D81/($D81+$D82))</f>
        <v>-1.0819312362838331</v>
      </c>
      <c r="F81" s="518">
        <f t="shared" si="23"/>
        <v>-1.0819312362838331</v>
      </c>
      <c r="G81" s="518">
        <f t="shared" si="23"/>
        <v>-1.0819312362838331</v>
      </c>
      <c r="H81" s="518">
        <f t="shared" si="23"/>
        <v>-1.0819312362838331</v>
      </c>
      <c r="I81" s="518">
        <f t="shared" si="23"/>
        <v>-1.0819312362838331</v>
      </c>
      <c r="J81" s="559">
        <f t="shared" si="23"/>
        <v>-1.0819312362838331</v>
      </c>
    </row>
    <row r="82" spans="1:10" x14ac:dyDescent="0.25">
      <c r="B82" s="527" t="s">
        <v>118</v>
      </c>
      <c r="C82" s="518">
        <v>6428</v>
      </c>
      <c r="D82" s="518">
        <v>5356</v>
      </c>
      <c r="E82" s="518">
        <f t="shared" ref="E82:J82" si="24">(E72-E73-E80)*($D82/($D81+$D82))</f>
        <v>-3.9180687637161666</v>
      </c>
      <c r="F82" s="518">
        <f t="shared" si="24"/>
        <v>-3.9180687637161666</v>
      </c>
      <c r="G82" s="518">
        <f t="shared" si="24"/>
        <v>-3.9180687637161666</v>
      </c>
      <c r="H82" s="518">
        <f t="shared" si="24"/>
        <v>-3.9180687637161666</v>
      </c>
      <c r="I82" s="518">
        <f t="shared" si="24"/>
        <v>-3.9180687637161666</v>
      </c>
      <c r="J82" s="559">
        <f t="shared" si="24"/>
        <v>-3.9180687637161666</v>
      </c>
    </row>
    <row r="83" spans="1:10" x14ac:dyDescent="0.25">
      <c r="B83" s="533" t="s">
        <v>638</v>
      </c>
      <c r="C83" s="534">
        <v>0.80800000000000005</v>
      </c>
      <c r="D83" s="534">
        <v>0.84</v>
      </c>
      <c r="E83" s="535">
        <f t="shared" ref="E83:J83" si="25">Q$15</f>
        <v>0.88245776893299255</v>
      </c>
      <c r="F83" s="535">
        <f t="shared" si="25"/>
        <v>0.89396621514639407</v>
      </c>
      <c r="G83" s="535">
        <f t="shared" si="25"/>
        <v>0.9054746613597956</v>
      </c>
      <c r="H83" s="535">
        <f t="shared" si="25"/>
        <v>0.91698310757319712</v>
      </c>
      <c r="I83" s="535">
        <f t="shared" si="25"/>
        <v>0.92849155378659864</v>
      </c>
      <c r="J83" s="536">
        <f t="shared" si="25"/>
        <v>0.94</v>
      </c>
    </row>
    <row r="84" spans="1:10" x14ac:dyDescent="0.25">
      <c r="B84" s="1"/>
    </row>
    <row r="85" spans="1:10" ht="17.25" x14ac:dyDescent="0.25">
      <c r="B85" s="542" t="s">
        <v>979</v>
      </c>
      <c r="C85" s="561">
        <v>40447.392688444903</v>
      </c>
      <c r="D85" s="561">
        <v>39916.258384385052</v>
      </c>
      <c r="E85" s="561">
        <v>40000</v>
      </c>
      <c r="F85" s="561">
        <v>45000</v>
      </c>
      <c r="G85" s="561">
        <v>50000</v>
      </c>
      <c r="H85" s="561">
        <v>55000</v>
      </c>
      <c r="I85" s="561">
        <v>60000</v>
      </c>
      <c r="J85" s="562">
        <v>65000</v>
      </c>
    </row>
    <row r="86" spans="1:10" x14ac:dyDescent="0.25">
      <c r="B86" s="528" t="s">
        <v>657</v>
      </c>
      <c r="C86" s="563">
        <v>2847.4450078054201</v>
      </c>
      <c r="D86" s="563">
        <v>2343.4500510615899</v>
      </c>
      <c r="E86" s="518"/>
      <c r="F86" s="518"/>
      <c r="G86" s="518"/>
      <c r="H86" s="518"/>
      <c r="I86" s="518"/>
      <c r="J86" s="559"/>
    </row>
    <row r="87" spans="1:10" x14ac:dyDescent="0.25">
      <c r="B87" s="528" t="s">
        <v>658</v>
      </c>
      <c r="C87" s="563">
        <v>14590.752958919798</v>
      </c>
      <c r="D87" s="563">
        <v>14662.635368008476</v>
      </c>
      <c r="E87" s="518"/>
      <c r="F87" s="518"/>
      <c r="G87" s="518"/>
      <c r="H87" s="518"/>
      <c r="I87" s="518"/>
      <c r="J87" s="559"/>
    </row>
    <row r="88" spans="1:10" x14ac:dyDescent="0.25">
      <c r="B88" s="528" t="s">
        <v>659</v>
      </c>
      <c r="C88" s="563">
        <v>9573.6463847364703</v>
      </c>
      <c r="D88" s="563">
        <v>9566.6612470750806</v>
      </c>
      <c r="E88" s="518"/>
      <c r="F88" s="518"/>
      <c r="G88" s="518"/>
      <c r="H88" s="518"/>
      <c r="I88" s="518"/>
      <c r="J88" s="559"/>
    </row>
    <row r="89" spans="1:10" x14ac:dyDescent="0.25">
      <c r="B89" s="528" t="s">
        <v>326</v>
      </c>
      <c r="C89" s="563">
        <v>12570.947951083201</v>
      </c>
      <c r="D89" s="563">
        <v>12702.6470626399</v>
      </c>
      <c r="E89" s="518"/>
      <c r="F89" s="518"/>
      <c r="G89" s="518"/>
      <c r="H89" s="518"/>
      <c r="I89" s="518"/>
      <c r="J89" s="559"/>
    </row>
    <row r="90" spans="1:10" x14ac:dyDescent="0.25">
      <c r="B90" s="528" t="s">
        <v>660</v>
      </c>
      <c r="C90" s="518">
        <f>C72-C85</f>
        <v>2447.6073115550971</v>
      </c>
      <c r="D90" s="518">
        <f>D72-D85</f>
        <v>3209.7416156149484</v>
      </c>
      <c r="E90" s="518"/>
      <c r="F90" s="518"/>
      <c r="G90" s="518"/>
      <c r="H90" s="518"/>
      <c r="I90" s="518"/>
      <c r="J90" s="559"/>
    </row>
    <row r="91" spans="1:10" x14ac:dyDescent="0.25">
      <c r="B91" s="545" t="s">
        <v>643</v>
      </c>
      <c r="C91" s="552">
        <f>C90/C85</f>
        <v>6.0513352007837445E-2</v>
      </c>
      <c r="D91" s="552">
        <f>D90/D85</f>
        <v>8.0411885921416321E-2</v>
      </c>
      <c r="E91" s="546"/>
      <c r="F91" s="546"/>
      <c r="G91" s="546"/>
      <c r="H91" s="546"/>
      <c r="I91" s="546"/>
      <c r="J91" s="547"/>
    </row>
    <row r="92" spans="1:10" x14ac:dyDescent="0.25">
      <c r="B92" s="548" t="s">
        <v>644</v>
      </c>
      <c r="C92" s="551">
        <f t="shared" ref="C92:D92" si="26">C85+C91</f>
        <v>40447.45320179691</v>
      </c>
      <c r="D92" s="551">
        <f t="shared" si="26"/>
        <v>39916.338796270975</v>
      </c>
      <c r="E92" s="549"/>
      <c r="F92" s="549"/>
      <c r="G92" s="549"/>
      <c r="H92" s="549"/>
      <c r="I92" s="549"/>
      <c r="J92" s="550"/>
    </row>
    <row r="93" spans="1:10" x14ac:dyDescent="0.25">
      <c r="B93" s="517"/>
    </row>
    <row r="94" spans="1:10" x14ac:dyDescent="0.25">
      <c r="B94" s="1"/>
    </row>
    <row r="95" spans="1:10" x14ac:dyDescent="0.25">
      <c r="B95" s="1"/>
      <c r="C95" t="s">
        <v>433</v>
      </c>
    </row>
    <row r="96" spans="1:10" x14ac:dyDescent="0.25">
      <c r="A96" s="4"/>
      <c r="B96" s="530"/>
      <c r="C96" s="531">
        <v>2015</v>
      </c>
      <c r="D96" s="531">
        <v>2018</v>
      </c>
      <c r="E96" s="531">
        <v>2023</v>
      </c>
      <c r="F96" s="531">
        <v>2028</v>
      </c>
      <c r="G96" s="531">
        <v>2033</v>
      </c>
      <c r="H96" s="531">
        <v>2038</v>
      </c>
      <c r="I96" s="531">
        <v>2043</v>
      </c>
      <c r="J96" s="532">
        <v>2050</v>
      </c>
    </row>
    <row r="97" spans="1:10" ht="17.25" x14ac:dyDescent="0.25">
      <c r="A97" s="509">
        <v>4</v>
      </c>
      <c r="B97" s="526" t="s">
        <v>654</v>
      </c>
      <c r="C97" s="518">
        <v>42895</v>
      </c>
      <c r="D97" s="518">
        <v>43126</v>
      </c>
      <c r="E97" s="518">
        <f t="shared" ref="E97:J97" si="27">E117</f>
        <v>40000</v>
      </c>
      <c r="F97" s="518">
        <f t="shared" si="27"/>
        <v>45000</v>
      </c>
      <c r="G97" s="518">
        <f t="shared" si="27"/>
        <v>50000</v>
      </c>
      <c r="H97" s="518">
        <f t="shared" si="27"/>
        <v>55000</v>
      </c>
      <c r="I97" s="518">
        <f t="shared" si="27"/>
        <v>60000</v>
      </c>
      <c r="J97" s="559">
        <f t="shared" si="27"/>
        <v>65000</v>
      </c>
    </row>
    <row r="98" spans="1:10" x14ac:dyDescent="0.25">
      <c r="B98" s="526" t="s">
        <v>630</v>
      </c>
      <c r="C98" s="518"/>
      <c r="D98" s="518"/>
      <c r="E98" s="518">
        <f t="shared" ref="E98:J98" si="28">E97*E108</f>
        <v>36558.648605855757</v>
      </c>
      <c r="F98" s="518">
        <f t="shared" si="28"/>
        <v>43064.23984079386</v>
      </c>
      <c r="G98" s="518">
        <f t="shared" si="28"/>
        <v>50000</v>
      </c>
      <c r="H98" s="518">
        <f t="shared" si="28"/>
        <v>55000</v>
      </c>
      <c r="I98" s="518">
        <f t="shared" si="28"/>
        <v>60000</v>
      </c>
      <c r="J98" s="559">
        <f t="shared" si="28"/>
        <v>65000</v>
      </c>
    </row>
    <row r="99" spans="1:10" x14ac:dyDescent="0.25">
      <c r="B99" s="527" t="s">
        <v>631</v>
      </c>
      <c r="C99" s="518">
        <v>24285</v>
      </c>
      <c r="D99" s="518">
        <v>26027</v>
      </c>
      <c r="E99" s="518">
        <f>AVERAGE(C99:D99)</f>
        <v>25156</v>
      </c>
      <c r="F99" s="518">
        <v>25156</v>
      </c>
      <c r="G99" s="518">
        <v>25156</v>
      </c>
      <c r="H99" s="518">
        <v>25156</v>
      </c>
      <c r="I99" s="518">
        <v>25156</v>
      </c>
      <c r="J99" s="559">
        <v>25156</v>
      </c>
    </row>
    <row r="100" spans="1:10" x14ac:dyDescent="0.25">
      <c r="B100" s="527" t="s">
        <v>632</v>
      </c>
      <c r="C100" s="518">
        <v>7410</v>
      </c>
      <c r="D100" s="518">
        <v>7510</v>
      </c>
      <c r="E100" s="518">
        <f t="shared" ref="E100:J100" si="29">E$19*$D100/($D$15+$D$17)</f>
        <v>4847.2089427302299</v>
      </c>
      <c r="F100" s="518">
        <f t="shared" si="29"/>
        <v>4786.1994264926334</v>
      </c>
      <c r="G100" s="518">
        <f t="shared" si="29"/>
        <v>4372.5442471972246</v>
      </c>
      <c r="H100" s="518">
        <f t="shared" si="29"/>
        <v>2642.87103659176</v>
      </c>
      <c r="I100" s="518">
        <f t="shared" si="29"/>
        <v>744.94328654938818</v>
      </c>
      <c r="J100" s="559">
        <f t="shared" si="29"/>
        <v>-116.30660322047406</v>
      </c>
    </row>
    <row r="101" spans="1:10" x14ac:dyDescent="0.25">
      <c r="B101" s="527" t="s">
        <v>633</v>
      </c>
      <c r="C101" s="518">
        <v>244</v>
      </c>
      <c r="D101" s="518">
        <v>261</v>
      </c>
      <c r="E101" s="518">
        <v>270</v>
      </c>
      <c r="F101" s="518">
        <v>320</v>
      </c>
      <c r="G101" s="518">
        <v>370</v>
      </c>
      <c r="H101" s="518">
        <v>420</v>
      </c>
      <c r="I101" s="518">
        <v>470</v>
      </c>
      <c r="J101" s="559">
        <v>520</v>
      </c>
    </row>
    <row r="102" spans="1:10" x14ac:dyDescent="0.25">
      <c r="B102" s="527" t="s">
        <v>634</v>
      </c>
      <c r="C102" s="518">
        <v>2340</v>
      </c>
      <c r="D102" s="518">
        <v>2047</v>
      </c>
      <c r="E102" s="518">
        <f t="shared" ref="E102:J102" si="30">E$19*$D102/($D$15+$D$17)</f>
        <v>1321.2032897162157</v>
      </c>
      <c r="F102" s="518">
        <f t="shared" si="30"/>
        <v>1304.5739315619733</v>
      </c>
      <c r="G102" s="518">
        <f t="shared" si="30"/>
        <v>1191.8239778978323</v>
      </c>
      <c r="H102" s="518">
        <f t="shared" si="30"/>
        <v>720.36711210430531</v>
      </c>
      <c r="I102" s="518">
        <f t="shared" si="30"/>
        <v>203.04912217930729</v>
      </c>
      <c r="J102" s="559">
        <f t="shared" si="30"/>
        <v>-31.701679998976083</v>
      </c>
    </row>
    <row r="103" spans="1:10" ht="17.25" x14ac:dyDescent="0.25">
      <c r="B103" s="527" t="s">
        <v>655</v>
      </c>
      <c r="C103" s="518">
        <v>36</v>
      </c>
      <c r="D103" s="518">
        <v>98</v>
      </c>
      <c r="E103" s="518">
        <f>'5. Energy'!D52</f>
        <v>4818.1553125</v>
      </c>
      <c r="F103" s="518">
        <f>'5. Energy'!E52</f>
        <v>9772.2137500000008</v>
      </c>
      <c r="G103" s="518">
        <f>'5. Energy'!F52</f>
        <v>15091.6525</v>
      </c>
      <c r="H103" s="518">
        <f>'5. Energy'!G52</f>
        <v>20789.715625000001</v>
      </c>
      <c r="I103" s="518">
        <f>'5. Energy'!H52</f>
        <v>26867.96125</v>
      </c>
      <c r="J103" s="559">
        <f>'5. Energy'!I52</f>
        <v>33325.610312500001</v>
      </c>
    </row>
    <row r="104" spans="1:10" x14ac:dyDescent="0.25">
      <c r="B104" s="527" t="s">
        <v>656</v>
      </c>
      <c r="C104" s="518"/>
      <c r="D104" s="518"/>
      <c r="E104" s="518">
        <f>E98-E99-E101-E103</f>
        <v>6314.4932933557566</v>
      </c>
      <c r="F104" s="518">
        <f t="shared" ref="F104:J104" si="31">F98-F99-F101-F103</f>
        <v>7816.0260907938591</v>
      </c>
      <c r="G104" s="518">
        <f t="shared" si="31"/>
        <v>9382.3474999999999</v>
      </c>
      <c r="H104" s="518">
        <f t="shared" si="31"/>
        <v>8634.2843749999993</v>
      </c>
      <c r="I104" s="518">
        <f t="shared" si="31"/>
        <v>7506.0387499999997</v>
      </c>
      <c r="J104" s="559">
        <f t="shared" si="31"/>
        <v>5998.3896874999991</v>
      </c>
    </row>
    <row r="105" spans="1:10" x14ac:dyDescent="0.25">
      <c r="B105" s="527" t="s">
        <v>637</v>
      </c>
      <c r="C105" s="518">
        <v>1</v>
      </c>
      <c r="D105" s="518">
        <v>11</v>
      </c>
      <c r="E105" s="518">
        <v>5</v>
      </c>
      <c r="F105" s="518">
        <v>5</v>
      </c>
      <c r="G105" s="518">
        <v>5</v>
      </c>
      <c r="H105" s="518">
        <v>5</v>
      </c>
      <c r="I105" s="518">
        <v>5</v>
      </c>
      <c r="J105" s="559">
        <v>5</v>
      </c>
    </row>
    <row r="106" spans="1:10" x14ac:dyDescent="0.25">
      <c r="B106" s="527" t="s">
        <v>61</v>
      </c>
      <c r="C106" s="518">
        <v>1753</v>
      </c>
      <c r="D106" s="518">
        <v>1479</v>
      </c>
      <c r="E106" s="518">
        <f t="shared" ref="E106:J106" si="32">MAX((E97-E98-E105)*($D106/($D106+$D107)),0)</f>
        <v>743.579182434431</v>
      </c>
      <c r="F106" s="518">
        <f t="shared" si="32"/>
        <v>417.78994520349397</v>
      </c>
      <c r="G106" s="518">
        <f t="shared" si="32"/>
        <v>0</v>
      </c>
      <c r="H106" s="518">
        <f t="shared" si="32"/>
        <v>0</v>
      </c>
      <c r="I106" s="518">
        <f t="shared" si="32"/>
        <v>0</v>
      </c>
      <c r="J106" s="559">
        <f t="shared" si="32"/>
        <v>0</v>
      </c>
    </row>
    <row r="107" spans="1:10" x14ac:dyDescent="0.25">
      <c r="B107" s="527" t="s">
        <v>118</v>
      </c>
      <c r="C107" s="518">
        <v>6428</v>
      </c>
      <c r="D107" s="518">
        <v>5356</v>
      </c>
      <c r="E107" s="518">
        <f t="shared" ref="E107:J107" si="33">MAX((E97-E98-E105)*($D107/($D106+$D107)),0)</f>
        <v>2692.7722117098124</v>
      </c>
      <c r="F107" s="518">
        <f t="shared" si="33"/>
        <v>1512.9702140026461</v>
      </c>
      <c r="G107" s="518">
        <f t="shared" si="33"/>
        <v>0</v>
      </c>
      <c r="H107" s="518">
        <f t="shared" si="33"/>
        <v>0</v>
      </c>
      <c r="I107" s="518">
        <f t="shared" si="33"/>
        <v>0</v>
      </c>
      <c r="J107" s="559">
        <f t="shared" si="33"/>
        <v>0</v>
      </c>
    </row>
    <row r="108" spans="1:10" x14ac:dyDescent="0.25">
      <c r="B108" s="556" t="s">
        <v>638</v>
      </c>
      <c r="C108" s="557">
        <v>0.80800000000000005</v>
      </c>
      <c r="D108" s="557">
        <v>0.84</v>
      </c>
      <c r="E108" s="557">
        <f t="shared" ref="E108:J108" si="34">Q$16</f>
        <v>0.91396621514639398</v>
      </c>
      <c r="F108" s="557">
        <f t="shared" si="34"/>
        <v>0.95698310757319693</v>
      </c>
      <c r="G108" s="557">
        <f t="shared" si="34"/>
        <v>1</v>
      </c>
      <c r="H108" s="557">
        <f t="shared" si="34"/>
        <v>1</v>
      </c>
      <c r="I108" s="557">
        <f t="shared" si="34"/>
        <v>1</v>
      </c>
      <c r="J108" s="558">
        <f t="shared" si="34"/>
        <v>1</v>
      </c>
    </row>
    <row r="109" spans="1:10" x14ac:dyDescent="0.25">
      <c r="B109" s="1"/>
    </row>
    <row r="110" spans="1:10" ht="17.25" x14ac:dyDescent="0.25">
      <c r="B110" s="542" t="s">
        <v>979</v>
      </c>
      <c r="C110" s="561">
        <v>40447.392688444903</v>
      </c>
      <c r="D110" s="561">
        <v>39916.258384385052</v>
      </c>
      <c r="E110" s="561">
        <v>40000</v>
      </c>
      <c r="F110" s="561">
        <v>45000</v>
      </c>
      <c r="G110" s="561">
        <v>50000</v>
      </c>
      <c r="H110" s="561">
        <v>55000</v>
      </c>
      <c r="I110" s="561">
        <v>60000</v>
      </c>
      <c r="J110" s="562">
        <v>65000</v>
      </c>
    </row>
    <row r="111" spans="1:10" x14ac:dyDescent="0.25">
      <c r="B111" s="528" t="s">
        <v>657</v>
      </c>
      <c r="C111" s="563">
        <v>2847.4450078054201</v>
      </c>
      <c r="D111" s="563">
        <v>2343.4500510615899</v>
      </c>
      <c r="E111" s="518"/>
      <c r="F111" s="518"/>
      <c r="G111" s="518"/>
      <c r="H111" s="518"/>
      <c r="I111" s="518"/>
      <c r="J111" s="559"/>
    </row>
    <row r="112" spans="1:10" x14ac:dyDescent="0.25">
      <c r="B112" s="528" t="s">
        <v>658</v>
      </c>
      <c r="C112" s="563">
        <v>14590.752958919798</v>
      </c>
      <c r="D112" s="563">
        <v>14662.635368008476</v>
      </c>
      <c r="E112" s="518"/>
      <c r="F112" s="518"/>
      <c r="G112" s="518"/>
      <c r="H112" s="518"/>
      <c r="I112" s="518"/>
      <c r="J112" s="559"/>
    </row>
    <row r="113" spans="2:10" x14ac:dyDescent="0.25">
      <c r="B113" s="528" t="s">
        <v>659</v>
      </c>
      <c r="C113" s="563">
        <v>9573.6463847364703</v>
      </c>
      <c r="D113" s="563">
        <v>9566.6612470750806</v>
      </c>
      <c r="E113" s="518"/>
      <c r="F113" s="518"/>
      <c r="G113" s="518"/>
      <c r="H113" s="518"/>
      <c r="I113" s="518"/>
      <c r="J113" s="559"/>
    </row>
    <row r="114" spans="2:10" x14ac:dyDescent="0.25">
      <c r="B114" s="529" t="s">
        <v>326</v>
      </c>
      <c r="C114" s="563">
        <v>12570.947951083201</v>
      </c>
      <c r="D114" s="563">
        <v>12702.6470626399</v>
      </c>
      <c r="E114" s="518"/>
      <c r="F114" s="518"/>
      <c r="G114" s="518"/>
      <c r="H114" s="518"/>
      <c r="I114" s="518"/>
      <c r="J114" s="559"/>
    </row>
    <row r="115" spans="2:10" x14ac:dyDescent="0.25">
      <c r="B115" s="529" t="s">
        <v>660</v>
      </c>
      <c r="C115" s="518">
        <f>C97-C110</f>
        <v>2447.6073115550971</v>
      </c>
      <c r="D115" s="518">
        <f>D97-D110</f>
        <v>3209.7416156149484</v>
      </c>
      <c r="E115" s="518"/>
      <c r="F115" s="518"/>
      <c r="G115" s="518"/>
      <c r="H115" s="518"/>
      <c r="I115" s="518"/>
      <c r="J115" s="559"/>
    </row>
    <row r="116" spans="2:10" x14ac:dyDescent="0.25">
      <c r="B116" s="553" t="s">
        <v>643</v>
      </c>
      <c r="C116" s="552">
        <f>C115/C110</f>
        <v>6.0513352007837445E-2</v>
      </c>
      <c r="D116" s="552">
        <f>D115/D110</f>
        <v>8.0411885921416321E-2</v>
      </c>
      <c r="E116" s="555"/>
      <c r="F116" s="555"/>
      <c r="G116" s="555"/>
      <c r="H116" s="555"/>
      <c r="I116" s="555"/>
      <c r="J116" s="560"/>
    </row>
    <row r="117" spans="2:10" x14ac:dyDescent="0.25">
      <c r="B117" s="554" t="s">
        <v>644</v>
      </c>
      <c r="C117" s="551">
        <f t="shared" ref="C117:J117" si="35">C110+C116</f>
        <v>40447.45320179691</v>
      </c>
      <c r="D117" s="551">
        <f t="shared" si="35"/>
        <v>39916.338796270975</v>
      </c>
      <c r="E117" s="551">
        <f t="shared" si="35"/>
        <v>40000</v>
      </c>
      <c r="F117" s="551">
        <f t="shared" si="35"/>
        <v>45000</v>
      </c>
      <c r="G117" s="551">
        <f t="shared" si="35"/>
        <v>50000</v>
      </c>
      <c r="H117" s="551">
        <f t="shared" si="35"/>
        <v>55000</v>
      </c>
      <c r="I117" s="551">
        <f t="shared" si="35"/>
        <v>60000</v>
      </c>
      <c r="J117" s="564">
        <f t="shared" si="35"/>
        <v>65000</v>
      </c>
    </row>
  </sheetData>
  <protectedRanges>
    <protectedRange sqref="A1:A2" name="Range1_1_1_1"/>
    <protectedRange sqref="A3:A5" name="Range1_1_1_1_1"/>
  </protectedRanges>
  <mergeCells count="1">
    <mergeCell ref="O11:V11"/>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2512-BE9A-4593-809E-EE9069B10A83}">
  <sheetPr codeName="Sheet15"/>
  <dimension ref="F3:F15"/>
  <sheetViews>
    <sheetView workbookViewId="0">
      <selection activeCell="W37" sqref="W37"/>
    </sheetView>
  </sheetViews>
  <sheetFormatPr defaultRowHeight="15" x14ac:dyDescent="0.25"/>
  <sheetData>
    <row r="3" spans="6:6" x14ac:dyDescent="0.25">
      <c r="F3" s="3"/>
    </row>
    <row r="4" spans="6:6" x14ac:dyDescent="0.25">
      <c r="F4" s="3"/>
    </row>
    <row r="5" spans="6:6" x14ac:dyDescent="0.25">
      <c r="F5" s="3"/>
    </row>
    <row r="6" spans="6:6" x14ac:dyDescent="0.25">
      <c r="F6" s="3"/>
    </row>
    <row r="7" spans="6:6" x14ac:dyDescent="0.25">
      <c r="F7" s="3"/>
    </row>
    <row r="8" spans="6:6" x14ac:dyDescent="0.25">
      <c r="F8" s="3"/>
    </row>
    <row r="9" spans="6:6" x14ac:dyDescent="0.25">
      <c r="F9" s="3"/>
    </row>
    <row r="10" spans="6:6" x14ac:dyDescent="0.25">
      <c r="F10" s="3"/>
    </row>
    <row r="11" spans="6:6" x14ac:dyDescent="0.25">
      <c r="F11" s="3"/>
    </row>
    <row r="12" spans="6:6" x14ac:dyDescent="0.25">
      <c r="F12" s="3"/>
    </row>
    <row r="13" spans="6:6" x14ac:dyDescent="0.25">
      <c r="F13" s="3"/>
    </row>
    <row r="14" spans="6:6" x14ac:dyDescent="0.25">
      <c r="F14" s="3"/>
    </row>
    <row r="15" spans="6:6" x14ac:dyDescent="0.25">
      <c r="F15" s="3"/>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9F359-90B3-4B98-9C85-33FA31060E0F}">
  <sheetPr codeName="Sheet3"/>
  <dimension ref="B3:F125"/>
  <sheetViews>
    <sheetView showGridLines="0" topLeftCell="A94" workbookViewId="0">
      <selection activeCell="D115" sqref="D115"/>
    </sheetView>
  </sheetViews>
  <sheetFormatPr defaultRowHeight="15" x14ac:dyDescent="0.25"/>
  <cols>
    <col min="1" max="1" width="6.85546875" customWidth="1"/>
    <col min="4" max="4" width="26" customWidth="1"/>
    <col min="16" max="16" width="11.28515625" customWidth="1"/>
  </cols>
  <sheetData>
    <row r="3" spans="2:5" x14ac:dyDescent="0.25">
      <c r="B3" t="s">
        <v>681</v>
      </c>
      <c r="C3" t="s">
        <v>682</v>
      </c>
    </row>
    <row r="4" spans="2:5" x14ac:dyDescent="0.25">
      <c r="B4" t="s">
        <v>683</v>
      </c>
      <c r="C4" t="s">
        <v>684</v>
      </c>
      <c r="D4" t="s">
        <v>685</v>
      </c>
      <c r="E4" t="s">
        <v>686</v>
      </c>
    </row>
    <row r="5" spans="2:5" x14ac:dyDescent="0.25">
      <c r="D5" t="s">
        <v>687</v>
      </c>
      <c r="E5" t="s">
        <v>688</v>
      </c>
    </row>
    <row r="6" spans="2:5" x14ac:dyDescent="0.25">
      <c r="D6" t="s">
        <v>689</v>
      </c>
      <c r="E6" t="s">
        <v>690</v>
      </c>
    </row>
    <row r="7" spans="2:5" x14ac:dyDescent="0.25">
      <c r="D7" t="s">
        <v>691</v>
      </c>
      <c r="E7" t="s">
        <v>692</v>
      </c>
    </row>
    <row r="8" spans="2:5" x14ac:dyDescent="0.25">
      <c r="D8" t="s">
        <v>693</v>
      </c>
      <c r="E8" t="s">
        <v>694</v>
      </c>
    </row>
    <row r="9" spans="2:5" x14ac:dyDescent="0.25">
      <c r="D9" t="s">
        <v>695</v>
      </c>
      <c r="E9" t="s">
        <v>696</v>
      </c>
    </row>
    <row r="10" spans="2:5" x14ac:dyDescent="0.25">
      <c r="C10" t="s">
        <v>697</v>
      </c>
    </row>
    <row r="11" spans="2:5" x14ac:dyDescent="0.25">
      <c r="B11" t="s">
        <v>698</v>
      </c>
      <c r="C11" t="s">
        <v>699</v>
      </c>
    </row>
    <row r="12" spans="2:5" x14ac:dyDescent="0.25">
      <c r="B12" t="s">
        <v>700</v>
      </c>
      <c r="C12" t="s">
        <v>684</v>
      </c>
      <c r="D12" t="s">
        <v>701</v>
      </c>
      <c r="E12" t="s">
        <v>702</v>
      </c>
    </row>
    <row r="13" spans="2:5" x14ac:dyDescent="0.25">
      <c r="D13" t="s">
        <v>695</v>
      </c>
      <c r="E13" t="s">
        <v>702</v>
      </c>
    </row>
    <row r="14" spans="2:5" x14ac:dyDescent="0.25">
      <c r="E14" t="s">
        <v>703</v>
      </c>
    </row>
    <row r="15" spans="2:5" x14ac:dyDescent="0.25">
      <c r="B15" t="s">
        <v>704</v>
      </c>
      <c r="C15" t="s">
        <v>705</v>
      </c>
    </row>
    <row r="16" spans="2:5" x14ac:dyDescent="0.25">
      <c r="C16" t="s">
        <v>706</v>
      </c>
      <c r="D16" t="s">
        <v>689</v>
      </c>
      <c r="E16" t="s">
        <v>707</v>
      </c>
    </row>
    <row r="17" spans="2:5" x14ac:dyDescent="0.25">
      <c r="E17" t="s">
        <v>708</v>
      </c>
    </row>
    <row r="18" spans="2:5" x14ac:dyDescent="0.25">
      <c r="E18" t="s">
        <v>709</v>
      </c>
    </row>
    <row r="19" spans="2:5" x14ac:dyDescent="0.25">
      <c r="D19" t="s">
        <v>710</v>
      </c>
      <c r="E19" t="s">
        <v>711</v>
      </c>
    </row>
    <row r="20" spans="2:5" x14ac:dyDescent="0.25">
      <c r="D20" t="s">
        <v>689</v>
      </c>
      <c r="E20" t="s">
        <v>712</v>
      </c>
    </row>
    <row r="21" spans="2:5" x14ac:dyDescent="0.25">
      <c r="E21" t="s">
        <v>713</v>
      </c>
    </row>
    <row r="22" spans="2:5" x14ac:dyDescent="0.25">
      <c r="E22" t="s">
        <v>714</v>
      </c>
    </row>
    <row r="23" spans="2:5" x14ac:dyDescent="0.25">
      <c r="B23" t="s">
        <v>715</v>
      </c>
      <c r="D23" t="s">
        <v>701</v>
      </c>
      <c r="E23" t="s">
        <v>716</v>
      </c>
    </row>
    <row r="24" spans="2:5" x14ac:dyDescent="0.25">
      <c r="D24" t="s">
        <v>689</v>
      </c>
      <c r="E24" t="s">
        <v>717</v>
      </c>
    </row>
    <row r="25" spans="2:5" x14ac:dyDescent="0.25">
      <c r="B25" t="s">
        <v>718</v>
      </c>
      <c r="D25" t="s">
        <v>691</v>
      </c>
      <c r="E25" t="s">
        <v>719</v>
      </c>
    </row>
    <row r="26" spans="2:5" x14ac:dyDescent="0.25">
      <c r="E26" t="s">
        <v>720</v>
      </c>
    </row>
    <row r="27" spans="2:5" x14ac:dyDescent="0.25">
      <c r="B27" t="s">
        <v>721</v>
      </c>
      <c r="D27" t="s">
        <v>710</v>
      </c>
      <c r="E27" t="s">
        <v>722</v>
      </c>
    </row>
    <row r="28" spans="2:5" x14ac:dyDescent="0.25">
      <c r="D28" t="s">
        <v>685</v>
      </c>
      <c r="E28" t="s">
        <v>723</v>
      </c>
    </row>
    <row r="29" spans="2:5" x14ac:dyDescent="0.25">
      <c r="E29" t="s">
        <v>724</v>
      </c>
    </row>
    <row r="30" spans="2:5" x14ac:dyDescent="0.25">
      <c r="D30" t="s">
        <v>658</v>
      </c>
      <c r="E30" t="s">
        <v>725</v>
      </c>
    </row>
    <row r="31" spans="2:5" x14ac:dyDescent="0.25">
      <c r="D31" t="s">
        <v>710</v>
      </c>
      <c r="E31" t="s">
        <v>726</v>
      </c>
    </row>
    <row r="32" spans="2:5" x14ac:dyDescent="0.25">
      <c r="B32" t="s">
        <v>727</v>
      </c>
      <c r="D32" t="s">
        <v>728</v>
      </c>
      <c r="E32" t="s">
        <v>729</v>
      </c>
    </row>
    <row r="33" spans="2:5" x14ac:dyDescent="0.25">
      <c r="E33" t="s">
        <v>730</v>
      </c>
    </row>
    <row r="34" spans="2:5" x14ac:dyDescent="0.25">
      <c r="B34" t="s">
        <v>731</v>
      </c>
      <c r="D34" t="s">
        <v>685</v>
      </c>
      <c r="E34" t="s">
        <v>732</v>
      </c>
    </row>
    <row r="35" spans="2:5" x14ac:dyDescent="0.25">
      <c r="E35" t="s">
        <v>733</v>
      </c>
    </row>
    <row r="36" spans="2:5" x14ac:dyDescent="0.25">
      <c r="B36" t="s">
        <v>734</v>
      </c>
      <c r="D36" t="s">
        <v>710</v>
      </c>
      <c r="E36" t="s">
        <v>735</v>
      </c>
    </row>
    <row r="37" spans="2:5" x14ac:dyDescent="0.25">
      <c r="D37" t="s">
        <v>687</v>
      </c>
      <c r="E37" t="s">
        <v>736</v>
      </c>
    </row>
    <row r="38" spans="2:5" x14ac:dyDescent="0.25">
      <c r="D38" t="s">
        <v>737</v>
      </c>
      <c r="E38" s="15" t="s">
        <v>738</v>
      </c>
    </row>
    <row r="39" spans="2:5" x14ac:dyDescent="0.25">
      <c r="B39" t="s">
        <v>739</v>
      </c>
      <c r="D39" t="s">
        <v>685</v>
      </c>
      <c r="E39" t="s">
        <v>740</v>
      </c>
    </row>
    <row r="40" spans="2:5" x14ac:dyDescent="0.25">
      <c r="D40" t="s">
        <v>737</v>
      </c>
      <c r="E40" t="s">
        <v>741</v>
      </c>
    </row>
    <row r="41" spans="2:5" x14ac:dyDescent="0.25">
      <c r="D41" t="s">
        <v>710</v>
      </c>
      <c r="E41" t="s">
        <v>742</v>
      </c>
    </row>
    <row r="42" spans="2:5" x14ac:dyDescent="0.25">
      <c r="D42" t="s">
        <v>685</v>
      </c>
      <c r="E42" t="s">
        <v>743</v>
      </c>
    </row>
    <row r="43" spans="2:5" x14ac:dyDescent="0.25">
      <c r="E43" t="s">
        <v>744</v>
      </c>
    </row>
    <row r="44" spans="2:5" x14ac:dyDescent="0.25">
      <c r="D44" t="s">
        <v>687</v>
      </c>
      <c r="E44" t="s">
        <v>745</v>
      </c>
    </row>
    <row r="45" spans="2:5" x14ac:dyDescent="0.25">
      <c r="E45" t="s">
        <v>746</v>
      </c>
    </row>
    <row r="46" spans="2:5" x14ac:dyDescent="0.25">
      <c r="D46" t="s">
        <v>685</v>
      </c>
      <c r="E46" t="s">
        <v>747</v>
      </c>
    </row>
    <row r="47" spans="2:5" x14ac:dyDescent="0.25">
      <c r="D47" t="s">
        <v>737</v>
      </c>
      <c r="E47" t="s">
        <v>748</v>
      </c>
    </row>
    <row r="48" spans="2:5" x14ac:dyDescent="0.25">
      <c r="B48" t="s">
        <v>749</v>
      </c>
      <c r="D48" t="s">
        <v>687</v>
      </c>
      <c r="E48" t="s">
        <v>750</v>
      </c>
    </row>
    <row r="49" spans="2:5" x14ac:dyDescent="0.25">
      <c r="E49" t="s">
        <v>751</v>
      </c>
    </row>
    <row r="50" spans="2:5" x14ac:dyDescent="0.25">
      <c r="B50" t="s">
        <v>752</v>
      </c>
      <c r="D50" t="s">
        <v>701</v>
      </c>
      <c r="E50" t="s">
        <v>753</v>
      </c>
    </row>
    <row r="51" spans="2:5" x14ac:dyDescent="0.25">
      <c r="D51" t="s">
        <v>689</v>
      </c>
      <c r="E51" t="s">
        <v>754</v>
      </c>
    </row>
    <row r="52" spans="2:5" x14ac:dyDescent="0.25">
      <c r="D52" t="s">
        <v>685</v>
      </c>
      <c r="E52" t="s">
        <v>755</v>
      </c>
    </row>
    <row r="53" spans="2:5" x14ac:dyDescent="0.25">
      <c r="B53" t="s">
        <v>756</v>
      </c>
      <c r="D53" t="s">
        <v>710</v>
      </c>
      <c r="E53" t="s">
        <v>757</v>
      </c>
    </row>
    <row r="54" spans="2:5" x14ac:dyDescent="0.25">
      <c r="D54" t="s">
        <v>701</v>
      </c>
      <c r="E54" t="s">
        <v>758</v>
      </c>
    </row>
    <row r="55" spans="2:5" x14ac:dyDescent="0.25">
      <c r="B55" t="s">
        <v>759</v>
      </c>
      <c r="D55" t="s">
        <v>760</v>
      </c>
      <c r="E55" t="s">
        <v>761</v>
      </c>
    </row>
    <row r="56" spans="2:5" x14ac:dyDescent="0.25">
      <c r="D56" t="s">
        <v>737</v>
      </c>
      <c r="E56" t="s">
        <v>762</v>
      </c>
    </row>
    <row r="57" spans="2:5" x14ac:dyDescent="0.25">
      <c r="B57" t="s">
        <v>763</v>
      </c>
      <c r="D57" t="s">
        <v>764</v>
      </c>
      <c r="E57" t="s">
        <v>765</v>
      </c>
    </row>
    <row r="58" spans="2:5" x14ac:dyDescent="0.25">
      <c r="D58" t="s">
        <v>689</v>
      </c>
      <c r="E58" t="s">
        <v>766</v>
      </c>
    </row>
    <row r="59" spans="2:5" x14ac:dyDescent="0.25">
      <c r="D59" t="s">
        <v>701</v>
      </c>
      <c r="E59" t="s">
        <v>767</v>
      </c>
    </row>
    <row r="60" spans="2:5" x14ac:dyDescent="0.25">
      <c r="B60" t="s">
        <v>768</v>
      </c>
      <c r="D60" t="s">
        <v>737</v>
      </c>
      <c r="E60" t="s">
        <v>769</v>
      </c>
    </row>
    <row r="61" spans="2:5" x14ac:dyDescent="0.25">
      <c r="E61" s="11" t="s">
        <v>770</v>
      </c>
    </row>
    <row r="62" spans="2:5" x14ac:dyDescent="0.25">
      <c r="E62" t="s">
        <v>771</v>
      </c>
    </row>
    <row r="63" spans="2:5" x14ac:dyDescent="0.25">
      <c r="E63" t="s">
        <v>772</v>
      </c>
    </row>
    <row r="64" spans="2:5" x14ac:dyDescent="0.25">
      <c r="D64" t="s">
        <v>764</v>
      </c>
      <c r="E64" t="s">
        <v>773</v>
      </c>
    </row>
    <row r="65" spans="2:5" x14ac:dyDescent="0.25">
      <c r="D65" t="s">
        <v>710</v>
      </c>
      <c r="E65" t="s">
        <v>774</v>
      </c>
    </row>
    <row r="66" spans="2:5" x14ac:dyDescent="0.25">
      <c r="E66" t="s">
        <v>775</v>
      </c>
    </row>
    <row r="67" spans="2:5" x14ac:dyDescent="0.25">
      <c r="B67" t="s">
        <v>776</v>
      </c>
      <c r="D67" t="s">
        <v>737</v>
      </c>
      <c r="E67" t="s">
        <v>777</v>
      </c>
    </row>
    <row r="68" spans="2:5" x14ac:dyDescent="0.25">
      <c r="D68" t="s">
        <v>701</v>
      </c>
      <c r="E68" t="s">
        <v>778</v>
      </c>
    </row>
    <row r="69" spans="2:5" x14ac:dyDescent="0.25">
      <c r="D69" t="s">
        <v>695</v>
      </c>
      <c r="E69" t="s">
        <v>779</v>
      </c>
    </row>
    <row r="70" spans="2:5" x14ac:dyDescent="0.25">
      <c r="E70" t="s">
        <v>780</v>
      </c>
    </row>
    <row r="71" spans="2:5" x14ac:dyDescent="0.25">
      <c r="D71" t="s">
        <v>689</v>
      </c>
      <c r="E71" t="s">
        <v>781</v>
      </c>
    </row>
    <row r="72" spans="2:5" x14ac:dyDescent="0.25">
      <c r="B72" t="s">
        <v>782</v>
      </c>
      <c r="D72" t="s">
        <v>691</v>
      </c>
      <c r="E72" t="s">
        <v>783</v>
      </c>
    </row>
    <row r="73" spans="2:5" x14ac:dyDescent="0.25">
      <c r="D73" t="s">
        <v>685</v>
      </c>
      <c r="E73" t="s">
        <v>784</v>
      </c>
    </row>
    <row r="74" spans="2:5" x14ac:dyDescent="0.25">
      <c r="D74" t="s">
        <v>764</v>
      </c>
      <c r="E74" t="s">
        <v>785</v>
      </c>
    </row>
    <row r="75" spans="2:5" x14ac:dyDescent="0.25">
      <c r="D75" t="s">
        <v>689</v>
      </c>
      <c r="E75" t="s">
        <v>786</v>
      </c>
    </row>
    <row r="76" spans="2:5" x14ac:dyDescent="0.25">
      <c r="E76" t="s">
        <v>787</v>
      </c>
    </row>
    <row r="77" spans="2:5" x14ac:dyDescent="0.25">
      <c r="D77" t="s">
        <v>701</v>
      </c>
      <c r="E77" t="s">
        <v>788</v>
      </c>
    </row>
    <row r="78" spans="2:5" x14ac:dyDescent="0.25">
      <c r="D78" t="s">
        <v>710</v>
      </c>
      <c r="E78" t="s">
        <v>789</v>
      </c>
    </row>
    <row r="79" spans="2:5" x14ac:dyDescent="0.25">
      <c r="B79" t="s">
        <v>790</v>
      </c>
      <c r="D79" t="s">
        <v>689</v>
      </c>
      <c r="E79" t="s">
        <v>791</v>
      </c>
    </row>
    <row r="80" spans="2:5" x14ac:dyDescent="0.25">
      <c r="E80" t="s">
        <v>792</v>
      </c>
    </row>
    <row r="81" spans="2:5" x14ac:dyDescent="0.25">
      <c r="D81" t="s">
        <v>685</v>
      </c>
      <c r="E81" t="s">
        <v>793</v>
      </c>
    </row>
    <row r="82" spans="2:5" x14ac:dyDescent="0.25">
      <c r="E82" t="s">
        <v>794</v>
      </c>
    </row>
    <row r="83" spans="2:5" x14ac:dyDescent="0.25">
      <c r="E83" t="s">
        <v>795</v>
      </c>
    </row>
    <row r="84" spans="2:5" x14ac:dyDescent="0.25">
      <c r="B84" t="s">
        <v>796</v>
      </c>
      <c r="D84" t="s">
        <v>764</v>
      </c>
      <c r="E84" t="s">
        <v>797</v>
      </c>
    </row>
    <row r="85" spans="2:5" x14ac:dyDescent="0.25">
      <c r="D85" t="s">
        <v>798</v>
      </c>
      <c r="E85" t="s">
        <v>799</v>
      </c>
    </row>
    <row r="86" spans="2:5" x14ac:dyDescent="0.25">
      <c r="E86" s="6" t="s">
        <v>800</v>
      </c>
    </row>
    <row r="87" spans="2:5" x14ac:dyDescent="0.25">
      <c r="D87" t="s">
        <v>695</v>
      </c>
      <c r="E87" t="s">
        <v>801</v>
      </c>
    </row>
    <row r="88" spans="2:5" x14ac:dyDescent="0.25">
      <c r="D88" t="s">
        <v>802</v>
      </c>
      <c r="E88" t="s">
        <v>803</v>
      </c>
    </row>
    <row r="89" spans="2:5" x14ac:dyDescent="0.25">
      <c r="D89" t="s">
        <v>737</v>
      </c>
      <c r="E89" t="s">
        <v>804</v>
      </c>
    </row>
    <row r="90" spans="2:5" x14ac:dyDescent="0.25">
      <c r="B90" t="s">
        <v>805</v>
      </c>
      <c r="D90" t="s">
        <v>689</v>
      </c>
      <c r="E90" t="s">
        <v>806</v>
      </c>
    </row>
    <row r="91" spans="2:5" x14ac:dyDescent="0.25">
      <c r="E91" t="s">
        <v>807</v>
      </c>
    </row>
    <row r="92" spans="2:5" x14ac:dyDescent="0.25">
      <c r="E92" t="s">
        <v>808</v>
      </c>
    </row>
    <row r="93" spans="2:5" x14ac:dyDescent="0.25">
      <c r="B93" t="s">
        <v>809</v>
      </c>
      <c r="D93" t="s">
        <v>689</v>
      </c>
      <c r="E93" t="s">
        <v>810</v>
      </c>
    </row>
    <row r="94" spans="2:5" x14ac:dyDescent="0.25">
      <c r="D94" t="s">
        <v>811</v>
      </c>
      <c r="E94" t="s">
        <v>812</v>
      </c>
    </row>
    <row r="95" spans="2:5" x14ac:dyDescent="0.25">
      <c r="D95" t="s">
        <v>764</v>
      </c>
      <c r="E95" t="s">
        <v>813</v>
      </c>
    </row>
    <row r="96" spans="2:5" x14ac:dyDescent="0.25">
      <c r="E96" t="s">
        <v>814</v>
      </c>
    </row>
    <row r="97" spans="2:5" x14ac:dyDescent="0.25">
      <c r="B97" t="s">
        <v>815</v>
      </c>
      <c r="D97" t="s">
        <v>816</v>
      </c>
      <c r="E97" t="s">
        <v>817</v>
      </c>
    </row>
    <row r="98" spans="2:5" x14ac:dyDescent="0.25">
      <c r="D98" t="s">
        <v>701</v>
      </c>
      <c r="E98" t="s">
        <v>818</v>
      </c>
    </row>
    <row r="99" spans="2:5" x14ac:dyDescent="0.25">
      <c r="B99" t="s">
        <v>819</v>
      </c>
      <c r="D99" t="s">
        <v>701</v>
      </c>
      <c r="E99" t="s">
        <v>820</v>
      </c>
    </row>
    <row r="100" spans="2:5" x14ac:dyDescent="0.25">
      <c r="D100" t="s">
        <v>689</v>
      </c>
      <c r="E100" t="s">
        <v>821</v>
      </c>
    </row>
    <row r="102" spans="2:5" x14ac:dyDescent="0.25">
      <c r="B102" t="s">
        <v>822</v>
      </c>
      <c r="D102" t="s">
        <v>823</v>
      </c>
      <c r="E102" t="s">
        <v>824</v>
      </c>
    </row>
    <row r="103" spans="2:5" x14ac:dyDescent="0.25">
      <c r="D103" t="s">
        <v>825</v>
      </c>
      <c r="E103" t="s">
        <v>826</v>
      </c>
    </row>
    <row r="104" spans="2:5" x14ac:dyDescent="0.25">
      <c r="D104" t="s">
        <v>827</v>
      </c>
      <c r="E104" t="s">
        <v>828</v>
      </c>
    </row>
    <row r="105" spans="2:5" x14ac:dyDescent="0.25">
      <c r="B105" t="s">
        <v>829</v>
      </c>
      <c r="D105" t="s">
        <v>823</v>
      </c>
      <c r="E105" t="s">
        <v>830</v>
      </c>
    </row>
    <row r="106" spans="2:5" x14ac:dyDescent="0.25">
      <c r="D106" t="s">
        <v>831</v>
      </c>
      <c r="E106" t="s">
        <v>832</v>
      </c>
    </row>
    <row r="107" spans="2:5" x14ac:dyDescent="0.25">
      <c r="D107" t="s">
        <v>833</v>
      </c>
      <c r="E107" t="s">
        <v>834</v>
      </c>
    </row>
    <row r="108" spans="2:5" x14ac:dyDescent="0.25">
      <c r="D108" t="s">
        <v>835</v>
      </c>
      <c r="E108" t="s">
        <v>836</v>
      </c>
    </row>
    <row r="109" spans="2:5" x14ac:dyDescent="0.25">
      <c r="D109" t="s">
        <v>837</v>
      </c>
      <c r="E109" t="s">
        <v>838</v>
      </c>
    </row>
    <row r="110" spans="2:5" x14ac:dyDescent="0.25">
      <c r="D110" t="s">
        <v>89</v>
      </c>
      <c r="E110" s="11" t="s">
        <v>839</v>
      </c>
    </row>
    <row r="111" spans="2:5" x14ac:dyDescent="0.25">
      <c r="E111" s="12" t="s">
        <v>840</v>
      </c>
    </row>
    <row r="112" spans="2:5" x14ac:dyDescent="0.25">
      <c r="B112" t="s">
        <v>841</v>
      </c>
      <c r="D112" t="s">
        <v>842</v>
      </c>
      <c r="E112" t="s">
        <v>843</v>
      </c>
    </row>
    <row r="114" spans="5:6" ht="18" x14ac:dyDescent="0.25">
      <c r="E114" s="20" t="s">
        <v>844</v>
      </c>
    </row>
    <row r="115" spans="5:6" x14ac:dyDescent="0.25">
      <c r="E115" s="17"/>
    </row>
    <row r="116" spans="5:6" x14ac:dyDescent="0.25">
      <c r="E116" s="18" t="s">
        <v>845</v>
      </c>
    </row>
    <row r="117" spans="5:6" x14ac:dyDescent="0.25">
      <c r="E117" s="18" t="s">
        <v>846</v>
      </c>
    </row>
    <row r="118" spans="5:6" x14ac:dyDescent="0.25">
      <c r="E118" s="17" t="s">
        <v>847</v>
      </c>
    </row>
    <row r="120" spans="5:6" ht="18" x14ac:dyDescent="0.25">
      <c r="E120" s="20" t="s">
        <v>848</v>
      </c>
    </row>
    <row r="121" spans="5:6" x14ac:dyDescent="0.25">
      <c r="F121" s="17"/>
    </row>
    <row r="122" spans="5:6" x14ac:dyDescent="0.25">
      <c r="E122" s="19" t="s">
        <v>849</v>
      </c>
    </row>
    <row r="123" spans="5:6" x14ac:dyDescent="0.25">
      <c r="E123" t="s">
        <v>850</v>
      </c>
      <c r="F123" s="17"/>
    </row>
    <row r="125" spans="5:6" x14ac:dyDescent="0.25">
      <c r="E125" t="s">
        <v>851</v>
      </c>
    </row>
  </sheetData>
  <sheetProtection algorithmName="SHA-512" hashValue="QhsR0mpkJRVpkgYkrdG5OhEDER/FazfFT1C8R0JfzinOjmgwcy3uXNqAJ9RqL/eg9wzcqgPDoWKC1trfCCEvOA==" saltValue="+wpZ/3u+sFN3WT2yMeKnCA==" spinCount="100000" sheet="1" objects="1" scenarios="1"/>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AE921-32F2-4EC1-89C4-818162C97E20}">
  <sheetPr codeName="Sheet4">
    <tabColor theme="7" tint="0.39997558519241921"/>
  </sheetPr>
  <dimension ref="A1:N113"/>
  <sheetViews>
    <sheetView showGridLines="0" tabSelected="1" topLeftCell="A46" zoomScale="80" zoomScaleNormal="80" zoomScaleSheetLayoutView="50" workbookViewId="0">
      <selection activeCell="A3" sqref="A3"/>
    </sheetView>
  </sheetViews>
  <sheetFormatPr defaultRowHeight="15" x14ac:dyDescent="0.25"/>
  <cols>
    <col min="2" max="2" width="37.140625" customWidth="1"/>
    <col min="3" max="3" width="13.7109375" customWidth="1"/>
    <col min="4" max="9" width="15.140625" bestFit="1" customWidth="1"/>
    <col min="10" max="10" width="20.5703125" customWidth="1"/>
    <col min="11" max="11" width="22" customWidth="1"/>
    <col min="13" max="13" width="10.5703125" bestFit="1" customWidth="1"/>
    <col min="14" max="14" width="20.85546875" customWidth="1"/>
    <col min="15" max="15" width="11.85546875" customWidth="1"/>
    <col min="16" max="16" width="10.28515625" customWidth="1"/>
    <col min="17" max="17" width="15" customWidth="1"/>
    <col min="18" max="22" width="12.28515625" bestFit="1" customWidth="1"/>
    <col min="23" max="23" width="24.85546875" bestFit="1" customWidth="1"/>
    <col min="24" max="24" width="18.5703125" bestFit="1" customWidth="1"/>
    <col min="25" max="27" width="15.28515625" bestFit="1" customWidth="1"/>
    <col min="28" max="30" width="14.85546875" bestFit="1" customWidth="1"/>
    <col min="31" max="31" width="24.85546875" bestFit="1" customWidth="1"/>
    <col min="33" max="33" width="11.28515625" bestFit="1" customWidth="1"/>
    <col min="34" max="35" width="22.28515625" bestFit="1" customWidth="1"/>
    <col min="38" max="38" width="27.140625" customWidth="1"/>
    <col min="39" max="39" width="12.28515625" bestFit="1" customWidth="1"/>
    <col min="40" max="42" width="13.7109375" customWidth="1"/>
    <col min="43" max="43" width="35.85546875" customWidth="1"/>
  </cols>
  <sheetData>
    <row r="1" spans="1:13" ht="26.25" x14ac:dyDescent="0.4">
      <c r="A1" s="240" t="s">
        <v>44</v>
      </c>
    </row>
    <row r="2" spans="1:13" ht="26.25" x14ac:dyDescent="0.4">
      <c r="A2" s="240" t="s">
        <v>45</v>
      </c>
      <c r="D2" s="54"/>
    </row>
    <row r="3" spans="1:13" ht="26.25" x14ac:dyDescent="0.4">
      <c r="A3" s="660" t="s">
        <v>46</v>
      </c>
      <c r="D3" s="54"/>
    </row>
    <row r="4" spans="1:13" x14ac:dyDescent="0.25">
      <c r="B4" s="1"/>
      <c r="E4" s="12"/>
    </row>
    <row r="5" spans="1:13" x14ac:dyDescent="0.25">
      <c r="A5" s="4" t="s">
        <v>47</v>
      </c>
      <c r="E5" s="12"/>
    </row>
    <row r="6" spans="1:13" x14ac:dyDescent="0.25">
      <c r="A6" s="39" t="s">
        <v>48</v>
      </c>
      <c r="E6" s="12"/>
    </row>
    <row r="7" spans="1:13" x14ac:dyDescent="0.25">
      <c r="A7" s="39" t="s">
        <v>49</v>
      </c>
      <c r="E7" s="12"/>
    </row>
    <row r="8" spans="1:13" x14ac:dyDescent="0.25">
      <c r="A8" s="39" t="s">
        <v>50</v>
      </c>
      <c r="E8" s="12"/>
    </row>
    <row r="9" spans="1:13" x14ac:dyDescent="0.25">
      <c r="A9" s="39" t="s">
        <v>51</v>
      </c>
      <c r="E9" s="12"/>
    </row>
    <row r="10" spans="1:13" x14ac:dyDescent="0.25">
      <c r="A10" s="39" t="s">
        <v>52</v>
      </c>
      <c r="E10" s="12"/>
    </row>
    <row r="12" spans="1:13" ht="30.75" x14ac:dyDescent="0.55000000000000004">
      <c r="B12" s="240" t="s">
        <v>882</v>
      </c>
      <c r="C12" s="7"/>
      <c r="D12" s="7"/>
      <c r="E12" s="7"/>
      <c r="F12" s="7"/>
      <c r="G12" s="7"/>
      <c r="H12" s="7"/>
      <c r="I12" s="7"/>
      <c r="J12" s="7"/>
      <c r="M12" s="54"/>
    </row>
    <row r="13" spans="1:13" ht="15.75" thickBot="1" x14ac:dyDescent="0.3">
      <c r="B13" s="4" t="s">
        <v>53</v>
      </c>
      <c r="C13" s="93">
        <v>2</v>
      </c>
      <c r="D13" s="93">
        <v>3</v>
      </c>
      <c r="E13" s="93">
        <v>4</v>
      </c>
      <c r="F13" s="93">
        <v>5</v>
      </c>
      <c r="G13" s="93">
        <v>6</v>
      </c>
      <c r="H13" s="93">
        <v>7</v>
      </c>
      <c r="I13" s="93">
        <v>8</v>
      </c>
    </row>
    <row r="14" spans="1:13" ht="45" x14ac:dyDescent="0.25">
      <c r="B14" s="229" t="s">
        <v>54</v>
      </c>
      <c r="C14" s="230">
        <f>'Baseline Statistics'!C12</f>
        <v>2022</v>
      </c>
      <c r="D14" s="230">
        <f>'Baseline Statistics'!D12</f>
        <v>2025</v>
      </c>
      <c r="E14" s="230">
        <f>'Baseline Statistics'!E12</f>
        <v>2030</v>
      </c>
      <c r="F14" s="230">
        <f>'Baseline Statistics'!F12</f>
        <v>2035</v>
      </c>
      <c r="G14" s="230">
        <f>'Baseline Statistics'!G12</f>
        <v>2040</v>
      </c>
      <c r="H14" s="230">
        <f>'Baseline Statistics'!H12</f>
        <v>2045</v>
      </c>
      <c r="I14" s="231">
        <f>'Baseline Statistics'!I12</f>
        <v>2050</v>
      </c>
      <c r="J14" s="232" t="s">
        <v>55</v>
      </c>
      <c r="K14" s="233" t="s">
        <v>56</v>
      </c>
    </row>
    <row r="15" spans="1:13" x14ac:dyDescent="0.25">
      <c r="B15" s="234" t="s">
        <v>57</v>
      </c>
      <c r="C15" s="46">
        <f>C86*VLOOKUP($J86,'Emissions Factors, etc,'!$B$23:$I$113,C$13,FALSE)</f>
        <v>2355.8081390900002</v>
      </c>
      <c r="D15" s="30">
        <f>D86*VLOOKUP($J86,'Emissions Factors, etc,'!$B$23:$I$113,D$13,FALSE)</f>
        <v>2436.4692967131937</v>
      </c>
      <c r="E15" s="30">
        <f>E86*VLOOKUP($J86,'Emissions Factors, etc,'!$B$23:$I$113,E$13,FALSE)</f>
        <v>2567.8221617920226</v>
      </c>
      <c r="F15" s="30">
        <f>F86*VLOOKUP($J86,'Emissions Factors, etc,'!$B$23:$I$113,F$13,FALSE)</f>
        <v>2688.5110416558996</v>
      </c>
      <c r="G15" s="30">
        <f>G86*VLOOKUP($J86,'Emissions Factors, etc,'!$B$23:$I$113,G$13,FALSE)</f>
        <v>2808.793560458204</v>
      </c>
      <c r="H15" s="30">
        <f>H86*VLOOKUP($J86,'Emissions Factors, etc,'!$B$23:$I$113,H$13,FALSE)</f>
        <v>2928.3702933268455</v>
      </c>
      <c r="I15" s="31">
        <f>I86*VLOOKUP($J86,'Emissions Factors, etc,'!$B$23:$I$113,I$13,FALSE)</f>
        <v>3260.8804155673492</v>
      </c>
      <c r="J15" s="40">
        <f>I15-C15</f>
        <v>905.07227647734908</v>
      </c>
      <c r="K15" s="94">
        <f>J15/C15</f>
        <v>0.38418760061970059</v>
      </c>
    </row>
    <row r="16" spans="1:13" x14ac:dyDescent="0.25">
      <c r="B16" s="234" t="s">
        <v>58</v>
      </c>
      <c r="C16" s="46">
        <f>C87*VLOOKUP($J87,'Emissions Factors, etc,'!$B$23:$I$113,C$13,FALSE)</f>
        <v>3399.479027901561</v>
      </c>
      <c r="D16" s="30">
        <f>D87*VLOOKUP($J87,'Emissions Factors, etc,'!$B$23:$I$113,D$13,FALSE)</f>
        <v>3795.4266216969922</v>
      </c>
      <c r="E16" s="30">
        <f>E87*VLOOKUP($J87,'Emissions Factors, etc,'!$B$23:$I$113,E$13,FALSE)</f>
        <v>4202.3086390666767</v>
      </c>
      <c r="F16" s="30">
        <f>F87*VLOOKUP($J87,'Emissions Factors, etc,'!$B$23:$I$113,F$13,FALSE)</f>
        <v>4513.1299393250347</v>
      </c>
      <c r="G16" s="30">
        <f>G87*VLOOKUP($J87,'Emissions Factors, etc,'!$B$23:$I$113,G$13,FALSE)</f>
        <v>4750.053046505901</v>
      </c>
      <c r="H16" s="30">
        <f>H87*VLOOKUP($J87,'Emissions Factors, etc,'!$B$23:$I$113,H$13,FALSE)</f>
        <v>4904.4103854960567</v>
      </c>
      <c r="I16" s="31">
        <f>I87*VLOOKUP($J87,'Emissions Factors, etc,'!$B$23:$I$113,I$13,FALSE)</f>
        <v>4967.5343811822804</v>
      </c>
      <c r="J16" s="40">
        <f t="shared" ref="J16:J43" si="0">I16-C16</f>
        <v>1568.0553532807194</v>
      </c>
      <c r="K16" s="94">
        <f t="shared" ref="K16:K43" si="1">J16/C16</f>
        <v>0.46126342901684336</v>
      </c>
    </row>
    <row r="17" spans="2:13" x14ac:dyDescent="0.25">
      <c r="B17" s="234" t="s">
        <v>59</v>
      </c>
      <c r="C17" s="492">
        <f>C88*VLOOKUP($J88,'Emissions Factors, etc,'!$B$23:$I$113,C$13,FALSE)</f>
        <v>116.99135332560843</v>
      </c>
      <c r="D17" s="235">
        <f>D88*VLOOKUP($J88,'Emissions Factors, etc,'!$B$23:$I$113,D$13,FALSE)</f>
        <v>280.95125716160192</v>
      </c>
      <c r="E17" s="235">
        <f>E88*VLOOKUP($J88,'Emissions Factors, etc,'!$B$23:$I$113,E$13,FALSE)</f>
        <v>436.73423797664771</v>
      </c>
      <c r="F17" s="235">
        <f>F88*VLOOKUP($J88,'Emissions Factors, etc,'!$B$23:$I$113,F$13,FALSE)</f>
        <v>574.53577250266596</v>
      </c>
      <c r="G17" s="235">
        <f>G88*VLOOKUP($J88,'Emissions Factors, etc,'!$B$23:$I$113,G$13,FALSE)</f>
        <v>693.88084755362047</v>
      </c>
      <c r="H17" s="235">
        <f>H88*VLOOKUP($J88,'Emissions Factors, etc,'!$B$23:$I$113,H$13,FALSE)</f>
        <v>792.01229408139966</v>
      </c>
      <c r="I17" s="236">
        <f>I88*VLOOKUP($J88,'Emissions Factors, etc,'!$B$23:$I$113,I$13,FALSE)</f>
        <v>866.1729430378914</v>
      </c>
      <c r="J17" s="40">
        <f t="shared" si="0"/>
        <v>749.18158971228297</v>
      </c>
      <c r="K17" s="94">
        <f t="shared" si="1"/>
        <v>6.4037347070186712</v>
      </c>
    </row>
    <row r="18" spans="2:13" x14ac:dyDescent="0.25">
      <c r="B18" s="234" t="s">
        <v>60</v>
      </c>
      <c r="C18" s="46">
        <f>C89*VLOOKUP($J89,'Emissions Factors, etc,'!$B$23:$I$113,C$13,FALSE)</f>
        <v>49807.54870939839</v>
      </c>
      <c r="D18" s="30">
        <f>D89*VLOOKUP($J89,'Emissions Factors, etc,'!$B$23:$I$113,D$13,FALSE)</f>
        <v>51969.69569836789</v>
      </c>
      <c r="E18" s="30">
        <f>E89*VLOOKUP($J89,'Emissions Factors, etc,'!$B$23:$I$113,E$13,FALSE)</f>
        <v>54150.692888803758</v>
      </c>
      <c r="F18" s="30">
        <f>F89*VLOOKUP($J89,'Emissions Factors, etc,'!$B$23:$I$113,F$13,FALSE)</f>
        <v>54950.984038981776</v>
      </c>
      <c r="G18" s="30">
        <f>G89*VLOOKUP($J89,'Emissions Factors, etc,'!$B$23:$I$113,G$13,FALSE)</f>
        <v>56355.771700604208</v>
      </c>
      <c r="H18" s="30">
        <f>H89*VLOOKUP($J89,'Emissions Factors, etc,'!$B$23:$I$113,H$13,FALSE)</f>
        <v>57600.715667881945</v>
      </c>
      <c r="I18" s="31">
        <f>I89*VLOOKUP($J89,'Emissions Factors, etc,'!$B$23:$I$113,I$13,FALSE)</f>
        <v>59214.531669822682</v>
      </c>
      <c r="J18" s="40">
        <f t="shared" si="0"/>
        <v>9406.9829604242914</v>
      </c>
      <c r="K18" s="94">
        <f t="shared" si="1"/>
        <v>0.18886661167184179</v>
      </c>
      <c r="L18" s="7"/>
    </row>
    <row r="19" spans="2:13" x14ac:dyDescent="0.25">
      <c r="B19" s="234" t="s">
        <v>61</v>
      </c>
      <c r="C19" s="46">
        <f>C90*VLOOKUP($J90,'Emissions Factors, etc,'!$B$23:$I$113,C$13,FALSE)</f>
        <v>33465.046357410363</v>
      </c>
      <c r="D19" s="30">
        <f>D90*VLOOKUP($J90,'Emissions Factors, etc,'!$B$23:$I$113,D$13,FALSE)</f>
        <v>30361.021936150672</v>
      </c>
      <c r="E19" s="30">
        <f>E90*VLOOKUP($J90,'Emissions Factors, etc,'!$B$23:$I$113,E$13,FALSE)</f>
        <v>26514.146962475359</v>
      </c>
      <c r="F19" s="30">
        <f>F90*VLOOKUP($J90,'Emissions Factors, etc,'!$B$23:$I$113,F$13,FALSE)</f>
        <v>20954.125061948031</v>
      </c>
      <c r="G19" s="30">
        <f>G90*VLOOKUP($J90,'Emissions Factors, etc,'!$B$23:$I$113,G$13,FALSE)</f>
        <v>15254.59319884867</v>
      </c>
      <c r="H19" s="30">
        <f>H90*VLOOKUP($J90,'Emissions Factors, etc,'!$B$23:$I$113,H$13,FALSE)</f>
        <v>8794.9918363542783</v>
      </c>
      <c r="I19" s="31">
        <f>I90*VLOOKUP($J90,'Emissions Factors, etc,'!$B$23:$I$113,I$13,FALSE)</f>
        <v>1721.7908967778756</v>
      </c>
      <c r="J19" s="40">
        <f t="shared" si="0"/>
        <v>-31743.255460632488</v>
      </c>
      <c r="K19" s="94">
        <f t="shared" si="1"/>
        <v>-0.94854957383327787</v>
      </c>
    </row>
    <row r="20" spans="2:13" x14ac:dyDescent="0.25">
      <c r="B20" s="234" t="s">
        <v>62</v>
      </c>
      <c r="C20" s="46">
        <f>C91*VLOOKUP($J91,'Emissions Factors, etc,'!$B$23:$I$113,C$13,FALSE)</f>
        <v>16907.099179022527</v>
      </c>
      <c r="D20" s="30">
        <f>D91*VLOOKUP($J91,'Emissions Factors, etc,'!$B$23:$I$113,D$13,FALSE)</f>
        <v>17367.715078302783</v>
      </c>
      <c r="E20" s="30">
        <f>E91*VLOOKUP($J91,'Emissions Factors, etc,'!$B$23:$I$113,E$13,FALSE)</f>
        <v>17800.756146302228</v>
      </c>
      <c r="F20" s="30">
        <f>F91*VLOOKUP($J91,'Emissions Factors, etc,'!$B$23:$I$113,F$13,FALSE)</f>
        <v>17985.095875429935</v>
      </c>
      <c r="G20" s="30">
        <f>G91*VLOOKUP($J91,'Emissions Factors, etc,'!$B$23:$I$113,G$13,FALSE)</f>
        <v>18286.239500747721</v>
      </c>
      <c r="H20" s="30">
        <f>H91*VLOOKUP($J91,'Emissions Factors, etc,'!$B$23:$I$113,H$13,FALSE)</f>
        <v>18563.921825303463</v>
      </c>
      <c r="I20" s="31">
        <f>I91*VLOOKUP($J91,'Emissions Factors, etc,'!$B$23:$I$113,I$13,FALSE)</f>
        <v>18891.041019281285</v>
      </c>
      <c r="J20" s="40">
        <f t="shared" si="0"/>
        <v>1983.941840258758</v>
      </c>
      <c r="K20" s="94">
        <f t="shared" si="1"/>
        <v>0.11734371575227598</v>
      </c>
      <c r="M20" s="7"/>
    </row>
    <row r="21" spans="2:13" x14ac:dyDescent="0.25">
      <c r="B21" s="234" t="s">
        <v>63</v>
      </c>
      <c r="C21" s="46">
        <f>C92*VLOOKUP($J92,'Emissions Factors, etc,'!$B$23:$I$113,C$13,FALSE)</f>
        <v>6984.5456617808768</v>
      </c>
      <c r="D21" s="30">
        <f>D92*VLOOKUP($J92,'Emissions Factors, etc,'!$B$23:$I$113,D$13,FALSE)</f>
        <v>5075.8628615761991</v>
      </c>
      <c r="E21" s="30">
        <f>E92*VLOOKUP($J92,'Emissions Factors, etc,'!$B$23:$I$113,E$13,FALSE)</f>
        <v>5140.5608887939834</v>
      </c>
      <c r="F21" s="30">
        <f>F92*VLOOKUP($J92,'Emissions Factors, etc,'!$B$23:$I$113,F$13,FALSE)</f>
        <v>5152.0493235335898</v>
      </c>
      <c r="G21" s="30">
        <f>G92*VLOOKUP($J92,'Emissions Factors, etc,'!$B$23:$I$113,G$13,FALSE)</f>
        <v>5188.7820819773324</v>
      </c>
      <c r="H21" s="30">
        <f>H92*VLOOKUP($J92,'Emissions Factors, etc,'!$B$23:$I$113,H$13,FALSE)</f>
        <v>5219.1659685912909</v>
      </c>
      <c r="I21" s="31">
        <f>I92*VLOOKUP($J92,'Emissions Factors, etc,'!$B$23:$I$113,I$13,FALSE)</f>
        <v>5245.7707648303804</v>
      </c>
      <c r="J21" s="40">
        <f t="shared" si="0"/>
        <v>-1738.7748969504964</v>
      </c>
      <c r="K21" s="94">
        <f t="shared" si="1"/>
        <v>-0.2489460275798604</v>
      </c>
    </row>
    <row r="22" spans="2:13" x14ac:dyDescent="0.25">
      <c r="B22" s="234" t="s">
        <v>64</v>
      </c>
      <c r="C22" s="46">
        <f>C93*VLOOKUP($J93,'Emissions Factors, etc,'!$B$23:$I$113,C$13,FALSE)</f>
        <v>5238.9217431265097</v>
      </c>
      <c r="D22" s="30">
        <f>D93*VLOOKUP($J93,'Emissions Factors, etc,'!$B$23:$I$113,D$13,FALSE)</f>
        <v>3557.4311401350692</v>
      </c>
      <c r="E22" s="30">
        <f>E93*VLOOKUP($J93,'Emissions Factors, etc,'!$B$23:$I$113,E$13,FALSE)</f>
        <v>3538.7837943914774</v>
      </c>
      <c r="F22" s="30">
        <f>F93*VLOOKUP($J93,'Emissions Factors, etc,'!$B$23:$I$113,F$13,FALSE)</f>
        <v>3503.4434002070348</v>
      </c>
      <c r="G22" s="30">
        <f>G93*VLOOKUP($J93,'Emissions Factors, etc,'!$B$23:$I$113,G$13,FALSE)</f>
        <v>3475.6510465730707</v>
      </c>
      <c r="H22" s="30">
        <f>H93*VLOOKUP($J93,'Emissions Factors, etc,'!$B$23:$I$113,H$13,FALSE)</f>
        <v>3445.7132071184888</v>
      </c>
      <c r="I22" s="31">
        <f>I93*VLOOKUP($J93,'Emissions Factors, etc,'!$B$23:$I$113,I$13,FALSE)</f>
        <v>3414.4533329049327</v>
      </c>
      <c r="J22" s="40">
        <f t="shared" si="0"/>
        <v>-1824.468410221577</v>
      </c>
      <c r="K22" s="94">
        <f t="shared" si="1"/>
        <v>-0.34825265573307873</v>
      </c>
      <c r="M22" s="7"/>
    </row>
    <row r="23" spans="2:13" x14ac:dyDescent="0.25">
      <c r="B23" s="234" t="s">
        <v>65</v>
      </c>
      <c r="C23" s="46">
        <f>C94*VLOOKUP($J94,'Emissions Factors, etc,'!$B$23:$I$113,C$13,FALSE)</f>
        <v>20358.899882900674</v>
      </c>
      <c r="D23" s="30">
        <f>D94*VLOOKUP($J94,'Emissions Factors, etc,'!$B$23:$I$113,D$13,FALSE)</f>
        <v>11800.132906788085</v>
      </c>
      <c r="E23" s="30">
        <f>E94*VLOOKUP($J94,'Emissions Factors, etc,'!$B$23:$I$113,E$13,FALSE)</f>
        <v>6995.892074364644</v>
      </c>
      <c r="F23" s="30">
        <f>F94*VLOOKUP($J94,'Emissions Factors, etc,'!$B$23:$I$113,F$13,FALSE)</f>
        <v>2476.0083413975349</v>
      </c>
      <c r="G23" s="30">
        <f>G94*VLOOKUP($J94,'Emissions Factors, etc,'!$B$23:$I$113,G$13,FALSE)</f>
        <v>1242.2613558150947</v>
      </c>
      <c r="H23" s="30">
        <f>H94*VLOOKUP($J94,'Emissions Factors, etc,'!$B$23:$I$113,H$13,FALSE)</f>
        <v>289.22278821788251</v>
      </c>
      <c r="I23" s="31">
        <f>I94*VLOOKUP($J94,'Emissions Factors, etc,'!$B$23:$I$113,I$13,FALSE)</f>
        <v>-17.939736626822352</v>
      </c>
      <c r="J23" s="40">
        <f t="shared" si="0"/>
        <v>-20376.839619527498</v>
      </c>
      <c r="K23" s="565">
        <f t="shared" si="1"/>
        <v>-1.0008811741660899</v>
      </c>
    </row>
    <row r="24" spans="2:13" x14ac:dyDescent="0.25">
      <c r="B24" s="234" t="s">
        <v>66</v>
      </c>
      <c r="C24" s="46">
        <f>C95*VLOOKUP($J95,'Emissions Factors, etc,'!$B$23:$I$113,C$13,FALSE)</f>
        <v>12274.49411826215</v>
      </c>
      <c r="D24" s="30">
        <f>D95*VLOOKUP($J95,'Emissions Factors, etc,'!$B$23:$I$113,D$13,FALSE)</f>
        <v>6928.3043855668948</v>
      </c>
      <c r="E24" s="30">
        <f>E95*VLOOKUP($J95,'Emissions Factors, etc,'!$B$23:$I$113,E$13,FALSE)</f>
        <v>4089.737710748776</v>
      </c>
      <c r="F24" s="30">
        <f>F95*VLOOKUP($J95,'Emissions Factors, etc,'!$B$23:$I$113,F$13,FALSE)</f>
        <v>1469.6601326302725</v>
      </c>
      <c r="G24" s="30">
        <f>G95*VLOOKUP($J95,'Emissions Factors, etc,'!$B$23:$I$113,G$13,FALSE)</f>
        <v>738.44777530263525</v>
      </c>
      <c r="H24" s="30">
        <f>H95*VLOOKUP($J95,'Emissions Factors, etc,'!$B$23:$I$113,H$13,FALSE)</f>
        <v>172.55413823205123</v>
      </c>
      <c r="I24" s="31">
        <f>I95*VLOOKUP($J95,'Emissions Factors, etc,'!$B$23:$I$113,I$13,FALSE)</f>
        <v>-10.703625342941828</v>
      </c>
      <c r="J24" s="40">
        <f t="shared" si="0"/>
        <v>-12285.197743605091</v>
      </c>
      <c r="K24" s="94">
        <f t="shared" si="1"/>
        <v>-1.0008720217093929</v>
      </c>
    </row>
    <row r="25" spans="2:13" x14ac:dyDescent="0.25">
      <c r="B25" s="234" t="s">
        <v>43</v>
      </c>
      <c r="C25" s="46">
        <f>C96*VLOOKUP($J96,'Emissions Factors, etc,'!$B$23:$I$113,C$13,FALSE)</f>
        <v>16653.902862603045</v>
      </c>
      <c r="D25" s="30">
        <f>D96*VLOOKUP($J96,'Emissions Factors, etc,'!$B$23:$I$113,D$13,FALSE)</f>
        <v>10264.59544010498</v>
      </c>
      <c r="E25" s="30">
        <f>E96*VLOOKUP($J96,'Emissions Factors, etc,'!$B$23:$I$113,E$13,FALSE)</f>
        <v>6724.4709922416014</v>
      </c>
      <c r="F25" s="30">
        <f>F96*VLOOKUP($J96,'Emissions Factors, etc,'!$B$23:$I$113,F$13,FALSE)</f>
        <v>2750.4812814753818</v>
      </c>
      <c r="G25" s="30">
        <f>G96*VLOOKUP($J96,'Emissions Factors, etc,'!$B$23:$I$113,G$13,FALSE)</f>
        <v>1616.1344782913447</v>
      </c>
      <c r="H25" s="30">
        <f>H96*VLOOKUP($J96,'Emissions Factors, etc,'!$B$23:$I$113,H$13,FALSE)</f>
        <v>459.39297343501721</v>
      </c>
      <c r="I25" s="31">
        <f>I96*VLOOKUP($J96,'Emissions Factors, etc,'!$B$23:$I$113,I$13,FALSE)</f>
        <v>-39.925099047067185</v>
      </c>
      <c r="J25" s="40">
        <f t="shared" si="0"/>
        <v>-16693.827961650113</v>
      </c>
      <c r="K25" s="94">
        <f t="shared" si="1"/>
        <v>-1.0023973418949574</v>
      </c>
      <c r="M25" s="7"/>
    </row>
    <row r="26" spans="2:13" x14ac:dyDescent="0.25">
      <c r="B26" s="234" t="s">
        <v>67</v>
      </c>
      <c r="C26" s="46">
        <f>C97*VLOOKUP($J97,'Emissions Factors, etc,'!$B$23:$I$113,C$13,FALSE)</f>
        <v>0</v>
      </c>
      <c r="D26" s="30">
        <f>D97*VLOOKUP($J97,'Emissions Factors, etc,'!$B$23:$I$113,D$13,FALSE)</f>
        <v>2805.424269181151</v>
      </c>
      <c r="E26" s="30">
        <f>E97*VLOOKUP($J97,'Emissions Factors, etc,'!$B$23:$I$113,E$13,FALSE)</f>
        <v>3829.912974398876</v>
      </c>
      <c r="F26" s="30">
        <f>F97*VLOOKUP($J97,'Emissions Factors, etc,'!$B$23:$I$113,F$13,FALSE)</f>
        <v>2416.8099173934002</v>
      </c>
      <c r="G26" s="30">
        <f>G97*VLOOKUP($J97,'Emissions Factors, etc,'!$B$23:$I$113,G$13,FALSE)</f>
        <v>1949.7879473933135</v>
      </c>
      <c r="H26" s="30">
        <f>H97*VLOOKUP($J97,'Emissions Factors, etc,'!$B$23:$I$113,H$13,FALSE)</f>
        <v>712.21778183759864</v>
      </c>
      <c r="I26" s="31">
        <f>I97*VLOOKUP($J97,'Emissions Factors, etc,'!$B$23:$I$113,I$13,FALSE)</f>
        <v>-73.812642969062125</v>
      </c>
      <c r="J26" s="40">
        <f t="shared" si="0"/>
        <v>-73.812642969062125</v>
      </c>
      <c r="K26" s="94" t="e">
        <f t="shared" si="1"/>
        <v>#DIV/0!</v>
      </c>
    </row>
    <row r="27" spans="2:13" x14ac:dyDescent="0.25">
      <c r="B27" s="234" t="s">
        <v>68</v>
      </c>
      <c r="C27" s="46">
        <f>C98*VLOOKUP($J98,'Emissions Factors, etc,'!$B$23:$I$113,C$13,FALSE)</f>
        <v>99993.904035655665</v>
      </c>
      <c r="D27" s="30">
        <f>D98*VLOOKUP($J98,'Emissions Factors, etc,'!$B$23:$I$113,D$13,FALSE)</f>
        <v>80121.412470977142</v>
      </c>
      <c r="E27" s="30">
        <f>E98*VLOOKUP($J98,'Emissions Factors, etc,'!$B$23:$I$113,E$13,FALSE)</f>
        <v>63611.205292102495</v>
      </c>
      <c r="F27" s="30">
        <f>F98*VLOOKUP($J98,'Emissions Factors, etc,'!$B$23:$I$113,F$13,FALSE)</f>
        <v>47024.840766454137</v>
      </c>
      <c r="G27" s="30">
        <f>G98*VLOOKUP($J98,'Emissions Factors, etc,'!$B$23:$I$113,G$13,FALSE)</f>
        <v>31460.019521727576</v>
      </c>
      <c r="H27" s="30">
        <f>H98*VLOOKUP($J98,'Emissions Factors, etc,'!$B$23:$I$113,H$13,FALSE)</f>
        <v>17337.324061812797</v>
      </c>
      <c r="I27" s="31">
        <f>I98*VLOOKUP($J98,'Emissions Factors, etc,'!$B$23:$I$113,I$13,FALSE)</f>
        <v>5433.4785991534482</v>
      </c>
      <c r="J27" s="40">
        <f t="shared" si="0"/>
        <v>-94560.425436502221</v>
      </c>
      <c r="K27" s="94">
        <f t="shared" si="1"/>
        <v>-0.9456619015773603</v>
      </c>
    </row>
    <row r="28" spans="2:13" x14ac:dyDescent="0.25">
      <c r="B28" s="234" t="s">
        <v>69</v>
      </c>
      <c r="C28" s="46">
        <f>C99*VLOOKUP($J99,'Emissions Factors, etc,'!$B$23:$I$113,C$13,FALSE)</f>
        <v>92353.699107082954</v>
      </c>
      <c r="D28" s="30">
        <f>D99*VLOOKUP($J99,'Emissions Factors, etc,'!$B$23:$I$113,D$13,FALSE)</f>
        <v>82382.599756297641</v>
      </c>
      <c r="E28" s="30">
        <f>E99*VLOOKUP($J99,'Emissions Factors, etc,'!$B$23:$I$113,E$13,FALSE)</f>
        <v>73652.424481742913</v>
      </c>
      <c r="F28" s="30">
        <f>F99*VLOOKUP($J99,'Emissions Factors, etc,'!$B$23:$I$113,F$13,FALSE)</f>
        <v>63751.306322230703</v>
      </c>
      <c r="G28" s="30">
        <f>G99*VLOOKUP($J99,'Emissions Factors, etc,'!$B$23:$I$113,G$13,FALSE)</f>
        <v>54036.769614513818</v>
      </c>
      <c r="H28" s="30">
        <f>H99*VLOOKUP($J99,'Emissions Factors, etc,'!$B$23:$I$113,H$13,FALSE)</f>
        <v>44490.64284078432</v>
      </c>
      <c r="I28" s="31">
        <f>I99*VLOOKUP($J99,'Emissions Factors, etc,'!$B$23:$I$113,I$13,FALSE)</f>
        <v>35616.555099532321</v>
      </c>
      <c r="J28" s="40">
        <f t="shared" si="0"/>
        <v>-56737.144007550633</v>
      </c>
      <c r="K28" s="94">
        <f t="shared" si="1"/>
        <v>-0.61434619897319576</v>
      </c>
    </row>
    <row r="29" spans="2:13" x14ac:dyDescent="0.25">
      <c r="B29" s="234" t="s">
        <v>70</v>
      </c>
      <c r="C29" s="46">
        <f>C100*VLOOKUP($J100,'Emissions Factors, etc,'!$B$23:$I$113,C$13,FALSE)</f>
        <v>11138.818087366524</v>
      </c>
      <c r="D29" s="30">
        <f>D100*VLOOKUP($J100,'Emissions Factors, etc,'!$B$23:$I$113,D$13,FALSE)</f>
        <v>12948.066657934867</v>
      </c>
      <c r="E29" s="30">
        <f>E100*VLOOKUP($J100,'Emissions Factors, etc,'!$B$23:$I$113,E$13,FALSE)</f>
        <v>15449.17698736905</v>
      </c>
      <c r="F29" s="30">
        <f>F100*VLOOKUP($J100,'Emissions Factors, etc,'!$B$23:$I$113,F$13,FALSE)</f>
        <v>17690.352991189044</v>
      </c>
      <c r="G29" s="30">
        <f>G100*VLOOKUP($J100,'Emissions Factors, etc,'!$B$23:$I$113,G$13,FALSE)</f>
        <v>20290.212682418329</v>
      </c>
      <c r="H29" s="30">
        <f>H100*VLOOKUP($J100,'Emissions Factors, etc,'!$B$23:$I$113,H$13,FALSE)</f>
        <v>23122.630093591735</v>
      </c>
      <c r="I29" s="31">
        <f>I100*VLOOKUP($J100,'Emissions Factors, etc,'!$B$23:$I$113,I$13,FALSE)</f>
        <v>26560.121994536141</v>
      </c>
      <c r="J29" s="40">
        <f t="shared" si="0"/>
        <v>15421.303907169617</v>
      </c>
      <c r="K29" s="565">
        <f t="shared" si="1"/>
        <v>1.3844650111182102</v>
      </c>
    </row>
    <row r="30" spans="2:13" x14ac:dyDescent="0.25">
      <c r="B30" s="234" t="s">
        <v>71</v>
      </c>
      <c r="C30" s="46">
        <f>C101*VLOOKUP($J101,'Emissions Factors, etc,'!$B$23:$I$113,C$13,FALSE)</f>
        <v>1301.3463305545229</v>
      </c>
      <c r="D30" s="30">
        <f>D101*VLOOKUP($J101,'Emissions Factors, etc,'!$B$23:$I$113,D$13,FALSE)</f>
        <v>1317.0251935937697</v>
      </c>
      <c r="E30" s="30">
        <f>E101*VLOOKUP($J101,'Emissions Factors, etc,'!$B$23:$I$113,E$13,FALSE)</f>
        <v>1354.6310486611517</v>
      </c>
      <c r="F30" s="30">
        <f>F101*VLOOKUP($J101,'Emissions Factors, etc,'!$B$23:$I$113,F$13,FALSE)</f>
        <v>1379.8349158487536</v>
      </c>
      <c r="G30" s="30">
        <f>G101*VLOOKUP($J101,'Emissions Factors, etc,'!$B$23:$I$113,G$13,FALSE)</f>
        <v>1403.3349383022098</v>
      </c>
      <c r="H30" s="30">
        <f>H101*VLOOKUP($J101,'Emissions Factors, etc,'!$B$23:$I$113,H$13,FALSE)</f>
        <v>1425.1311160215214</v>
      </c>
      <c r="I30" s="31">
        <f>I101*VLOOKUP($J101,'Emissions Factors, etc,'!$B$23:$I$113,I$13,FALSE)</f>
        <v>1445.2234490066874</v>
      </c>
      <c r="J30" s="40">
        <f t="shared" si="0"/>
        <v>143.8771184521645</v>
      </c>
      <c r="K30" s="94">
        <f t="shared" si="1"/>
        <v>0.11056020605280098</v>
      </c>
    </row>
    <row r="31" spans="2:13" x14ac:dyDescent="0.25">
      <c r="B31" s="234" t="s">
        <v>72</v>
      </c>
      <c r="C31" s="46">
        <f>C102*VLOOKUP($J102,'Emissions Factors, etc,'!$B$23:$I$113,C$13,FALSE)</f>
        <v>812.00535555837973</v>
      </c>
      <c r="D31" s="30">
        <f>D102*VLOOKUP($J102,'Emissions Factors, etc,'!$B$23:$I$113,D$13,FALSE)</f>
        <v>848.03318731864294</v>
      </c>
      <c r="E31" s="30">
        <f>E102*VLOOKUP($J102,'Emissions Factors, etc,'!$B$23:$I$113,E$13,FALSE)</f>
        <v>913.06220552549416</v>
      </c>
      <c r="F31" s="30">
        <f>F102*VLOOKUP($J102,'Emissions Factors, etc,'!$B$23:$I$113,F$13,FALSE)</f>
        <v>969.14819140791735</v>
      </c>
      <c r="G31" s="30">
        <f>G102*VLOOKUP($J102,'Emissions Factors, etc,'!$B$23:$I$113,G$13,FALSE)</f>
        <v>1022.3476552859472</v>
      </c>
      <c r="H31" s="30">
        <f>H102*VLOOKUP($J102,'Emissions Factors, etc,'!$B$23:$I$113,H$13,FALSE)</f>
        <v>1072.6169297408894</v>
      </c>
      <c r="I31" s="31">
        <f>I102*VLOOKUP($J102,'Emissions Factors, etc,'!$B$23:$I$113,I$13,FALSE)</f>
        <v>1240.2183658913787</v>
      </c>
      <c r="J31" s="40">
        <f t="shared" si="0"/>
        <v>428.21301033299892</v>
      </c>
      <c r="K31" s="94">
        <f t="shared" si="1"/>
        <v>0.52735244589432051</v>
      </c>
      <c r="M31" s="7"/>
    </row>
    <row r="32" spans="2:13" x14ac:dyDescent="0.25">
      <c r="B32" s="234" t="s">
        <v>73</v>
      </c>
      <c r="C32" s="46">
        <f>C103*VLOOKUP($J103,'Emissions Factors, etc,'!$B$23:$I$113,C$13,FALSE)</f>
        <v>0</v>
      </c>
      <c r="D32" s="30">
        <f>D103*VLOOKUP($J103,'Emissions Factors, etc,'!$B$23:$I$113,D$13,FALSE)</f>
        <v>130.11719470196246</v>
      </c>
      <c r="E32" s="30">
        <f>E103*VLOOKUP($J103,'Emissions Factors, etc,'!$B$23:$I$113,E$13,FALSE)</f>
        <v>216.00055643506317</v>
      </c>
      <c r="F32" s="30">
        <f>F103*VLOOKUP($J103,'Emissions Factors, etc,'!$B$23:$I$113,F$13,FALSE)</f>
        <v>250.92459053625089</v>
      </c>
      <c r="G32" s="30">
        <f>G103*VLOOKUP($J103,'Emissions Factors, etc,'!$B$23:$I$113,G$13,FALSE)</f>
        <v>235.01896749295645</v>
      </c>
      <c r="H32" s="30">
        <f>H103*VLOOKUP($J103,'Emissions Factors, etc,'!$B$23:$I$113,H$13,FALSE)</f>
        <v>170.41679792664902</v>
      </c>
      <c r="I32" s="31">
        <f>I103*VLOOKUP($J103,'Emissions Factors, etc,'!$B$23:$I$113,I$13,FALSE)</f>
        <v>67.650441718373784</v>
      </c>
      <c r="J32" s="40">
        <f t="shared" si="0"/>
        <v>67.650441718373784</v>
      </c>
      <c r="K32" s="94" t="e">
        <f t="shared" si="1"/>
        <v>#DIV/0!</v>
      </c>
    </row>
    <row r="33" spans="2:12" x14ac:dyDescent="0.25">
      <c r="B33" s="234" t="s">
        <v>74</v>
      </c>
      <c r="C33" s="46">
        <f>C104*VLOOKUP($J104,'Emissions Factors, etc,'!$B$23:$I$113,C$13,FALSE)</f>
        <v>0</v>
      </c>
      <c r="D33" s="30">
        <f>D104*VLOOKUP($J104,'Emissions Factors, etc,'!$B$23:$I$113,D$13,FALSE)</f>
        <v>46.263440246182348</v>
      </c>
      <c r="E33" s="30">
        <f>E104*VLOOKUP($J104,'Emissions Factors, etc,'!$B$23:$I$113,E$13,FALSE)</f>
        <v>86.481782040887836</v>
      </c>
      <c r="F33" s="30">
        <f>F104*VLOOKUP($J104,'Emissions Factors, etc,'!$B$23:$I$113,F$13,FALSE)</f>
        <v>117.6308718895977</v>
      </c>
      <c r="G33" s="30">
        <f>G104*VLOOKUP($J104,'Emissions Factors, etc,'!$B$23:$I$113,G$13,FALSE)</f>
        <v>139.58850048364368</v>
      </c>
      <c r="H33" s="30">
        <f>H104*VLOOKUP($J104,'Emissions Factors, etc,'!$B$23:$I$113,H$13,FALSE)</f>
        <v>151.22213039287661</v>
      </c>
      <c r="I33" s="31">
        <f>I104*VLOOKUP($J104,'Emissions Factors, etc,'!$B$23:$I$113,I$13,FALSE)</f>
        <v>153.3419297700284</v>
      </c>
      <c r="J33" s="40">
        <f t="shared" si="0"/>
        <v>153.3419297700284</v>
      </c>
      <c r="K33" s="94" t="e">
        <f t="shared" si="1"/>
        <v>#DIV/0!</v>
      </c>
    </row>
    <row r="34" spans="2:12" x14ac:dyDescent="0.25">
      <c r="B34" s="234" t="s">
        <v>75</v>
      </c>
      <c r="C34" s="46">
        <f>C105*VLOOKUP($J105,'Emissions Factors, etc,'!$B$23:$I$113,C$13,FALSE)</f>
        <v>0</v>
      </c>
      <c r="D34" s="30">
        <f>D105*VLOOKUP($J105,'Emissions Factors, etc,'!$B$23:$I$113,D$13,FALSE)</f>
        <v>0</v>
      </c>
      <c r="E34" s="30">
        <f>E105*VLOOKUP($J105,'Emissions Factors, etc,'!$B$23:$I$113,E$13,FALSE)</f>
        <v>0</v>
      </c>
      <c r="F34" s="30">
        <f>F105*VLOOKUP($J105,'Emissions Factors, etc,'!$B$23:$I$113,F$13,FALSE)</f>
        <v>0</v>
      </c>
      <c r="G34" s="30">
        <f>G105*VLOOKUP($J105,'Emissions Factors, etc,'!$B$23:$I$113,G$13,FALSE)</f>
        <v>0</v>
      </c>
      <c r="H34" s="30">
        <f>H105*VLOOKUP($J105,'Emissions Factors, etc,'!$B$23:$I$113,H$13,FALSE)</f>
        <v>0</v>
      </c>
      <c r="I34" s="31">
        <f>I105*VLOOKUP($J105,'Emissions Factors, etc,'!$B$23:$I$113,I$13,FALSE)</f>
        <v>0</v>
      </c>
      <c r="J34" s="40">
        <f t="shared" si="0"/>
        <v>0</v>
      </c>
      <c r="K34" s="94" t="e">
        <f t="shared" si="1"/>
        <v>#DIV/0!</v>
      </c>
    </row>
    <row r="35" spans="2:12" x14ac:dyDescent="0.25">
      <c r="B35" s="234" t="s">
        <v>76</v>
      </c>
      <c r="C35" s="46">
        <f>C106*VLOOKUP($J106,'Emissions Factors, etc,'!$B$23:$I$113,C$13,FALSE)</f>
        <v>0</v>
      </c>
      <c r="D35" s="30">
        <f>D106*VLOOKUP($J106,'Emissions Factors, etc,'!$B$23:$I$113,D$13,FALSE)</f>
        <v>0</v>
      </c>
      <c r="E35" s="30">
        <f>E106*VLOOKUP($J106,'Emissions Factors, etc,'!$B$23:$I$113,E$13,FALSE)</f>
        <v>0</v>
      </c>
      <c r="F35" s="30">
        <f>F106*VLOOKUP($J106,'Emissions Factors, etc,'!$B$23:$I$113,F$13,FALSE)</f>
        <v>0</v>
      </c>
      <c r="G35" s="30">
        <f>G106*VLOOKUP($J106,'Emissions Factors, etc,'!$B$23:$I$113,G$13,FALSE)</f>
        <v>0</v>
      </c>
      <c r="H35" s="30">
        <f>H106*VLOOKUP($J106,'Emissions Factors, etc,'!$B$23:$I$113,H$13,FALSE)</f>
        <v>0</v>
      </c>
      <c r="I35" s="31">
        <f>I106*VLOOKUP($J106,'Emissions Factors, etc,'!$B$23:$I$113,I$13,FALSE)</f>
        <v>0</v>
      </c>
      <c r="J35" s="40">
        <f t="shared" si="0"/>
        <v>0</v>
      </c>
      <c r="K35" s="94" t="e">
        <f t="shared" si="1"/>
        <v>#DIV/0!</v>
      </c>
    </row>
    <row r="36" spans="2:12" x14ac:dyDescent="0.25">
      <c r="B36" s="234" t="s">
        <v>77</v>
      </c>
      <c r="C36" s="46">
        <f>C107*VLOOKUP($J107,'Emissions Factors, etc,'!$B$23:$I$113,C$13,FALSE)</f>
        <v>25679.38427410198</v>
      </c>
      <c r="D36" s="30">
        <f>D107*VLOOKUP($J107,'Emissions Factors, etc,'!$B$23:$I$113,D$13,FALSE)</f>
        <v>26901.722965549234</v>
      </c>
      <c r="E36" s="30">
        <f>E107*VLOOKUP($J107,'Emissions Factors, etc,'!$B$23:$I$113,E$13,FALSE)</f>
        <v>28000.800612480794</v>
      </c>
      <c r="F36" s="30">
        <f>F107*VLOOKUP($J107,'Emissions Factors, etc,'!$B$23:$I$113,F$13,FALSE)</f>
        <v>28195.963932963972</v>
      </c>
      <c r="G36" s="30">
        <f>G107*VLOOKUP($J107,'Emissions Factors, etc,'!$B$23:$I$113,G$13,FALSE)</f>
        <v>28819.972970824656</v>
      </c>
      <c r="H36" s="30">
        <f>H107*VLOOKUP($J107,'Emissions Factors, etc,'!$B$23:$I$113,H$13,FALSE)</f>
        <v>29336.128594734106</v>
      </c>
      <c r="I36" s="31">
        <f>I107*VLOOKUP($J107,'Emissions Factors, etc,'!$B$23:$I$113,I$13,FALSE)</f>
        <v>29788.085757958295</v>
      </c>
      <c r="J36" s="40">
        <f t="shared" si="0"/>
        <v>4108.7014838563155</v>
      </c>
      <c r="K36" s="94">
        <f t="shared" si="1"/>
        <v>0.15999999999999995</v>
      </c>
    </row>
    <row r="37" spans="2:12" x14ac:dyDescent="0.25">
      <c r="B37" s="234" t="s">
        <v>78</v>
      </c>
      <c r="C37" s="46">
        <f>C108*VLOOKUP($J108,'Emissions Factors, etc,'!$B$23:$I$113,C$13,FALSE)</f>
        <v>79403.488593875925</v>
      </c>
      <c r="D37" s="30">
        <f>D108*VLOOKUP($J108,'Emissions Factors, etc,'!$B$23:$I$113,D$13,FALSE)</f>
        <v>77418.201432892165</v>
      </c>
      <c r="E37" s="30">
        <f>E108*VLOOKUP($J108,'Emissions Factors, etc,'!$B$23:$I$113,E$13,FALSE)</f>
        <v>75230.883259138674</v>
      </c>
      <c r="F37" s="30">
        <f>F108*VLOOKUP($J108,'Emissions Factors, etc,'!$B$23:$I$113,F$13,FALSE)</f>
        <v>73080.698919761169</v>
      </c>
      <c r="G37" s="30">
        <f>G108*VLOOKUP($J108,'Emissions Factors, etc,'!$B$23:$I$113,G$13,FALSE)</f>
        <v>70929.681581295968</v>
      </c>
      <c r="H37" s="30">
        <f>H108*VLOOKUP($J108,'Emissions Factors, etc,'!$B$23:$I$113,H$13,FALSE)</f>
        <v>68779.187760464309</v>
      </c>
      <c r="I37" s="31">
        <f>I108*VLOOKUP($J108,'Emissions Factors, etc,'!$B$23:$I$113,I$13,FALSE)</f>
        <v>65764.682633833116</v>
      </c>
      <c r="J37" s="40">
        <f t="shared" si="0"/>
        <v>-13638.80596004281</v>
      </c>
      <c r="K37" s="94">
        <f t="shared" si="1"/>
        <v>-0.17176582794492881</v>
      </c>
      <c r="L37" s="7"/>
    </row>
    <row r="38" spans="2:12" x14ac:dyDescent="0.25">
      <c r="B38" s="234" t="s">
        <v>79</v>
      </c>
      <c r="C38" s="46">
        <f>C109*VLOOKUP($J109,'Emissions Factors, etc,'!$B$23:$I$113,C$13,FALSE)</f>
        <v>10497.753390125976</v>
      </c>
      <c r="D38" s="30">
        <f>D109*VLOOKUP($J109,'Emissions Factors, etc,'!$B$23:$I$113,D$13,FALSE)</f>
        <v>10285.973598414579</v>
      </c>
      <c r="E38" s="30">
        <f>E109*VLOOKUP($J109,'Emissions Factors, etc,'!$B$23:$I$113,E$13,FALSE)</f>
        <v>10053.116958387043</v>
      </c>
      <c r="F38" s="30">
        <f>F109*VLOOKUP($J109,'Emissions Factors, etc,'!$B$23:$I$113,F$13,FALSE)</f>
        <v>9823.9608255172116</v>
      </c>
      <c r="G38" s="30">
        <f>G109*VLOOKUP($J109,'Emissions Factors, etc,'!$B$23:$I$113,G$13,FALSE)</f>
        <v>9594.7914981689482</v>
      </c>
      <c r="H38" s="30">
        <f>H109*VLOOKUP($J109,'Emissions Factors, etc,'!$B$23:$I$113,H$13,FALSE)</f>
        <v>9365.6915481290653</v>
      </c>
      <c r="I38" s="31">
        <f>I109*VLOOKUP($J109,'Emissions Factors, etc,'!$B$23:$I$113,I$13,FALSE)</f>
        <v>9046.9076938232029</v>
      </c>
      <c r="J38" s="40">
        <f t="shared" si="0"/>
        <v>-1450.8456963027729</v>
      </c>
      <c r="K38" s="94">
        <f t="shared" si="1"/>
        <v>-0.13820535141046617</v>
      </c>
    </row>
    <row r="39" spans="2:12" x14ac:dyDescent="0.25">
      <c r="B39" s="42" t="s">
        <v>80</v>
      </c>
      <c r="C39" s="43">
        <f>SUM(C15:C38)</f>
        <v>488743.13620914362</v>
      </c>
      <c r="D39" s="43">
        <f t="shared" ref="D39:I39" si="2">SUM(D15:D38)</f>
        <v>439042.44678967167</v>
      </c>
      <c r="E39" s="43">
        <f t="shared" si="2"/>
        <v>404559.60265523964</v>
      </c>
      <c r="F39" s="43">
        <f t="shared" si="2"/>
        <v>361719.49645427929</v>
      </c>
      <c r="G39" s="43">
        <f t="shared" si="2"/>
        <v>330292.13447058515</v>
      </c>
      <c r="H39" s="43">
        <f t="shared" si="2"/>
        <v>299133.68103347457</v>
      </c>
      <c r="I39" s="44">
        <f t="shared" si="2"/>
        <v>272556.06028464175</v>
      </c>
      <c r="J39" s="41">
        <f>I39-C39</f>
        <v>-216187.07592450187</v>
      </c>
      <c r="K39" s="107">
        <f>J39/C39</f>
        <v>-0.44233270998201968</v>
      </c>
    </row>
    <row r="40" spans="2:12" x14ac:dyDescent="0.25">
      <c r="B40" s="45" t="s">
        <v>81</v>
      </c>
      <c r="C40" s="46">
        <f>C111*VLOOKUP($J111,'Emissions Factors, etc,'!$B$23:$I$113,C$13,FALSE)</f>
        <v>-12979.169999999998</v>
      </c>
      <c r="D40" s="46">
        <f>D111*VLOOKUP($J111,'Emissions Factors, etc,'!$B$23:$I$113,D$13,FALSE)</f>
        <v>-14259.517499999998</v>
      </c>
      <c r="E40" s="46">
        <f>E111*VLOOKUP($J111,'Emissions Factors, etc,'!$B$23:$I$113,E$13,FALSE)</f>
        <v>-15539.864999999998</v>
      </c>
      <c r="F40" s="46">
        <f>F111*VLOOKUP($J111,'Emissions Factors, etc,'!$B$23:$I$113,F$13,FALSE)</f>
        <v>-16820.212499999994</v>
      </c>
      <c r="G40" s="46">
        <f>G111*VLOOKUP($J111,'Emissions Factors, etc,'!$B$23:$I$113,G$13,FALSE)</f>
        <v>-18100.559999999994</v>
      </c>
      <c r="H40" s="46">
        <f>H111*VLOOKUP($J111,'Emissions Factors, etc,'!$B$23:$I$113,H$13,FALSE)</f>
        <v>-19380.907499999994</v>
      </c>
      <c r="I40" s="47">
        <f>I111*VLOOKUP($J111,'Emissions Factors, etc,'!$B$23:$I$113,I$13,FALSE)</f>
        <v>-20661.254999999997</v>
      </c>
      <c r="J40" s="40">
        <f t="shared" si="0"/>
        <v>-7682.0849999999991</v>
      </c>
      <c r="K40" s="94" t="s">
        <v>82</v>
      </c>
    </row>
    <row r="41" spans="2:12" x14ac:dyDescent="0.25">
      <c r="B41" s="45" t="s">
        <v>83</v>
      </c>
      <c r="C41" s="46">
        <f>C112*VLOOKUP($J112,'Emissions Factors, etc,'!$B$23:$I$113,C$13,FALSE)</f>
        <v>-63257</v>
      </c>
      <c r="D41" s="46">
        <f>D112*VLOOKUP($J112,'Emissions Factors, etc,'!$B$23:$I$113,D$13,FALSE)</f>
        <v>-67820.083333333328</v>
      </c>
      <c r="E41" s="46">
        <f>E112*VLOOKUP($J112,'Emissions Factors, etc,'!$B$23:$I$113,E$13,FALSE)</f>
        <v>-72383.166666666657</v>
      </c>
      <c r="F41" s="46">
        <f>F112*VLOOKUP($J112,'Emissions Factors, etc,'!$B$23:$I$113,F$13,FALSE)</f>
        <v>-76946.249999999985</v>
      </c>
      <c r="G41" s="46">
        <f>G112*VLOOKUP($J112,'Emissions Factors, etc,'!$B$23:$I$113,G$13,FALSE)</f>
        <v>-81509.333333333328</v>
      </c>
      <c r="H41" s="46">
        <f>H112*VLOOKUP($J112,'Emissions Factors, etc,'!$B$23:$I$113,H$13,FALSE)</f>
        <v>-86072.416666666642</v>
      </c>
      <c r="I41" s="47">
        <f>I112*VLOOKUP($J112,'Emissions Factors, etc,'!$B$23:$I$113,I$13,FALSE)</f>
        <v>-90635.5</v>
      </c>
      <c r="J41" s="40">
        <f t="shared" si="0"/>
        <v>-27378.5</v>
      </c>
      <c r="K41" s="94" t="s">
        <v>82</v>
      </c>
      <c r="L41" s="7"/>
    </row>
    <row r="42" spans="2:12" x14ac:dyDescent="0.25">
      <c r="B42" s="45" t="s">
        <v>84</v>
      </c>
      <c r="C42" s="46">
        <f>C113*VLOOKUP($J113,'Emissions Factors, etc,'!$B$23:$I$113,C$13,FALSE)</f>
        <v>0</v>
      </c>
      <c r="D42" s="46">
        <f>D113*VLOOKUP($J113,'Emissions Factors, etc,'!$B$23:$I$113,D$13,FALSE)</f>
        <v>0</v>
      </c>
      <c r="E42" s="46">
        <f>E113*VLOOKUP($J113,'Emissions Factors, etc,'!$B$23:$I$113,E$13,FALSE)</f>
        <v>0</v>
      </c>
      <c r="F42" s="46">
        <f>F113*VLOOKUP($J113,'Emissions Factors, etc,'!$B$23:$I$113,F$13,FALSE)</f>
        <v>0</v>
      </c>
      <c r="G42" s="46">
        <f>G113*VLOOKUP($J113,'Emissions Factors, etc,'!$B$23:$I$113,G$13,FALSE)</f>
        <v>0</v>
      </c>
      <c r="H42" s="46">
        <f>H113*VLOOKUP($J113,'Emissions Factors, etc,'!$B$23:$I$113,H$13,FALSE)</f>
        <v>0</v>
      </c>
      <c r="I42" s="47">
        <f>I113*VLOOKUP($J113,'Emissions Factors, etc,'!$B$23:$I$113,I$13,FALSE)</f>
        <v>0</v>
      </c>
      <c r="J42" s="40">
        <f t="shared" si="0"/>
        <v>0</v>
      </c>
      <c r="K42" s="94" t="s">
        <v>82</v>
      </c>
    </row>
    <row r="43" spans="2:12" ht="15.75" thickBot="1" x14ac:dyDescent="0.3">
      <c r="B43" s="108" t="s">
        <v>85</v>
      </c>
      <c r="C43" s="48">
        <f t="shared" ref="C43:I43" si="3">C39+C40+C41+C42</f>
        <v>412506.96620914363</v>
      </c>
      <c r="D43" s="48">
        <f t="shared" si="3"/>
        <v>356962.84595633834</v>
      </c>
      <c r="E43" s="48">
        <f t="shared" si="3"/>
        <v>316636.57098857302</v>
      </c>
      <c r="F43" s="48">
        <f t="shared" si="3"/>
        <v>267953.03395427926</v>
      </c>
      <c r="G43" s="48">
        <f t="shared" si="3"/>
        <v>230682.24113725184</v>
      </c>
      <c r="H43" s="48">
        <f t="shared" si="3"/>
        <v>193680.35686680797</v>
      </c>
      <c r="I43" s="49">
        <f t="shared" si="3"/>
        <v>161259.30528464174</v>
      </c>
      <c r="J43" s="41">
        <f t="shared" si="0"/>
        <v>-251247.66092450189</v>
      </c>
      <c r="K43" s="107">
        <f t="shared" si="1"/>
        <v>-0.60907495268120571</v>
      </c>
    </row>
    <row r="44" spans="2:12" ht="15.75" thickBot="1" x14ac:dyDescent="0.3"/>
    <row r="45" spans="2:12" ht="45" x14ac:dyDescent="0.25">
      <c r="B45" s="229" t="s">
        <v>86</v>
      </c>
      <c r="C45" s="230">
        <f>'Baseline Statistics'!C12</f>
        <v>2022</v>
      </c>
      <c r="D45" s="230">
        <f>'Baseline Statistics'!D12</f>
        <v>2025</v>
      </c>
      <c r="E45" s="230">
        <f>'Baseline Statistics'!E12</f>
        <v>2030</v>
      </c>
      <c r="F45" s="230">
        <f>'Baseline Statistics'!F12</f>
        <v>2035</v>
      </c>
      <c r="G45" s="230">
        <f>'Baseline Statistics'!G12</f>
        <v>2040</v>
      </c>
      <c r="H45" s="230">
        <f>'Baseline Statistics'!H12</f>
        <v>2045</v>
      </c>
      <c r="I45" s="231">
        <f>'Baseline Statistics'!I12</f>
        <v>2050</v>
      </c>
      <c r="J45" s="232" t="s">
        <v>55</v>
      </c>
      <c r="K45" s="233" t="s">
        <v>56</v>
      </c>
    </row>
    <row r="46" spans="2:12" x14ac:dyDescent="0.25">
      <c r="B46" s="234" t="s">
        <v>87</v>
      </c>
      <c r="C46" s="30">
        <f t="shared" ref="C46:H46" si="4">SUM(C15:C17)</f>
        <v>5872.2785203171698</v>
      </c>
      <c r="D46" s="30">
        <f t="shared" si="4"/>
        <v>6512.8471755717874</v>
      </c>
      <c r="E46" s="30">
        <f t="shared" si="4"/>
        <v>7206.8650388353471</v>
      </c>
      <c r="F46" s="30">
        <f t="shared" si="4"/>
        <v>7776.1767534835999</v>
      </c>
      <c r="G46" s="30">
        <f t="shared" si="4"/>
        <v>8252.7274545177261</v>
      </c>
      <c r="H46" s="30">
        <f t="shared" si="4"/>
        <v>8624.7929729043026</v>
      </c>
      <c r="I46" s="31">
        <f>SUM(I15:I17)</f>
        <v>9094.5877397875211</v>
      </c>
      <c r="J46" s="40">
        <f t="shared" ref="J46:J53" si="5">I46-C46</f>
        <v>3222.3092194703513</v>
      </c>
      <c r="K46" s="94">
        <f t="shared" ref="K46:K53" si="6">J46/C46</f>
        <v>0.54873235462549386</v>
      </c>
    </row>
    <row r="47" spans="2:12" x14ac:dyDescent="0.25">
      <c r="B47" s="234" t="s">
        <v>88</v>
      </c>
      <c r="C47" s="30">
        <f t="shared" ref="C47:I47" si="7">SUM(C18:C25)</f>
        <v>161690.45851450451</v>
      </c>
      <c r="D47" s="30">
        <f t="shared" si="7"/>
        <v>137324.75944699257</v>
      </c>
      <c r="E47" s="30">
        <f t="shared" si="7"/>
        <v>124955.04145812184</v>
      </c>
      <c r="F47" s="30">
        <f t="shared" si="7"/>
        <v>109241.84745560357</v>
      </c>
      <c r="G47" s="30">
        <f t="shared" si="7"/>
        <v>102157.88113816007</v>
      </c>
      <c r="H47" s="30">
        <f t="shared" si="7"/>
        <v>94545.678405134429</v>
      </c>
      <c r="I47" s="31">
        <f t="shared" si="7"/>
        <v>88419.019222600327</v>
      </c>
      <c r="J47" s="40">
        <f t="shared" si="5"/>
        <v>-73271.439291904186</v>
      </c>
      <c r="K47" s="565">
        <f t="shared" si="6"/>
        <v>-0.45315870809613257</v>
      </c>
    </row>
    <row r="48" spans="2:12" x14ac:dyDescent="0.25">
      <c r="B48" s="234" t="s">
        <v>89</v>
      </c>
      <c r="C48" s="30">
        <f>SUM(C26:C35)</f>
        <v>205599.77291621806</v>
      </c>
      <c r="D48" s="30">
        <f t="shared" ref="D48:I48" si="8">SUM(D26:D35)</f>
        <v>180598.94217025134</v>
      </c>
      <c r="E48" s="30">
        <f t="shared" si="8"/>
        <v>159112.89532827595</v>
      </c>
      <c r="F48" s="30">
        <f t="shared" si="8"/>
        <v>133600.84856694977</v>
      </c>
      <c r="G48" s="30">
        <f t="shared" si="8"/>
        <v>110537.0798276178</v>
      </c>
      <c r="H48" s="30">
        <f t="shared" si="8"/>
        <v>88482.201752108405</v>
      </c>
      <c r="I48" s="31">
        <f t="shared" si="8"/>
        <v>70442.777236639333</v>
      </c>
      <c r="J48" s="40">
        <f t="shared" si="5"/>
        <v>-135156.99567957874</v>
      </c>
      <c r="K48" s="94">
        <f t="shared" si="6"/>
        <v>-0.65737910972623126</v>
      </c>
    </row>
    <row r="49" spans="2:12" x14ac:dyDescent="0.25">
      <c r="B49" s="234" t="s">
        <v>77</v>
      </c>
      <c r="C49" s="30">
        <f t="shared" ref="C49:I49" si="9">C36</f>
        <v>25679.38427410198</v>
      </c>
      <c r="D49" s="30">
        <f t="shared" si="9"/>
        <v>26901.722965549234</v>
      </c>
      <c r="E49" s="30">
        <f t="shared" si="9"/>
        <v>28000.800612480794</v>
      </c>
      <c r="F49" s="30">
        <f t="shared" si="9"/>
        <v>28195.963932963972</v>
      </c>
      <c r="G49" s="30">
        <f t="shared" si="9"/>
        <v>28819.972970824656</v>
      </c>
      <c r="H49" s="30">
        <f t="shared" si="9"/>
        <v>29336.128594734106</v>
      </c>
      <c r="I49" s="31">
        <f t="shared" si="9"/>
        <v>29788.085757958295</v>
      </c>
      <c r="J49" s="40">
        <f t="shared" si="5"/>
        <v>4108.7014838563155</v>
      </c>
      <c r="K49" s="94">
        <f t="shared" si="6"/>
        <v>0.15999999999999995</v>
      </c>
    </row>
    <row r="50" spans="2:12" x14ac:dyDescent="0.25">
      <c r="B50" s="234" t="s">
        <v>90</v>
      </c>
      <c r="C50" s="30">
        <f>C37+C38</f>
        <v>89901.241984001899</v>
      </c>
      <c r="D50" s="30">
        <f t="shared" ref="D50:I50" si="10">D37+D38</f>
        <v>87704.175031306746</v>
      </c>
      <c r="E50" s="30">
        <f t="shared" si="10"/>
        <v>85284.000217525725</v>
      </c>
      <c r="F50" s="30">
        <f t="shared" si="10"/>
        <v>82904.659745278375</v>
      </c>
      <c r="G50" s="30">
        <f t="shared" si="10"/>
        <v>80524.473079464922</v>
      </c>
      <c r="H50" s="30">
        <f t="shared" si="10"/>
        <v>78144.879308593372</v>
      </c>
      <c r="I50" s="31">
        <f t="shared" si="10"/>
        <v>74811.590327656319</v>
      </c>
      <c r="J50" s="40">
        <f t="shared" si="5"/>
        <v>-15089.651656345581</v>
      </c>
      <c r="K50" s="94">
        <f t="shared" si="6"/>
        <v>-0.16784697656380335</v>
      </c>
    </row>
    <row r="51" spans="2:12" x14ac:dyDescent="0.25">
      <c r="B51" s="50" t="s">
        <v>80</v>
      </c>
      <c r="C51" s="36">
        <f t="shared" ref="C51:H51" si="11">SUM(C46:C50)</f>
        <v>488743.13620914362</v>
      </c>
      <c r="D51" s="36">
        <f t="shared" si="11"/>
        <v>439042.44678967161</v>
      </c>
      <c r="E51" s="36">
        <f t="shared" si="11"/>
        <v>404559.60265523964</v>
      </c>
      <c r="F51" s="36">
        <f t="shared" si="11"/>
        <v>361719.49645427929</v>
      </c>
      <c r="G51" s="36">
        <f t="shared" si="11"/>
        <v>330292.13447058515</v>
      </c>
      <c r="H51" s="36">
        <f t="shared" si="11"/>
        <v>299133.68103347463</v>
      </c>
      <c r="I51" s="51">
        <f>SUM(I46:I50)</f>
        <v>272556.0602846418</v>
      </c>
      <c r="J51" s="41">
        <f t="shared" si="5"/>
        <v>-216187.07592450181</v>
      </c>
      <c r="K51" s="107">
        <f t="shared" si="6"/>
        <v>-0.44233270998201957</v>
      </c>
    </row>
    <row r="52" spans="2:12" x14ac:dyDescent="0.25">
      <c r="B52" s="234" t="s">
        <v>91</v>
      </c>
      <c r="C52" s="30">
        <f t="shared" ref="C52:I52" si="12">SUM(C40:C42)</f>
        <v>-76236.17</v>
      </c>
      <c r="D52" s="30">
        <f t="shared" si="12"/>
        <v>-82079.60083333333</v>
      </c>
      <c r="E52" s="30">
        <f t="shared" si="12"/>
        <v>-87923.031666666648</v>
      </c>
      <c r="F52" s="30">
        <f t="shared" si="12"/>
        <v>-93766.46249999998</v>
      </c>
      <c r="G52" s="30">
        <f t="shared" si="12"/>
        <v>-99609.893333333326</v>
      </c>
      <c r="H52" s="30">
        <f t="shared" si="12"/>
        <v>-105453.32416666663</v>
      </c>
      <c r="I52" s="31">
        <f t="shared" si="12"/>
        <v>-111296.755</v>
      </c>
      <c r="J52" s="40">
        <f t="shared" si="5"/>
        <v>-35060.585000000006</v>
      </c>
      <c r="K52" s="94" t="s">
        <v>82</v>
      </c>
    </row>
    <row r="53" spans="2:12" ht="15.75" thickBot="1" x14ac:dyDescent="0.3">
      <c r="B53" s="109" t="s">
        <v>85</v>
      </c>
      <c r="C53" s="52">
        <f>C51+C52</f>
        <v>412506.96620914363</v>
      </c>
      <c r="D53" s="52">
        <f t="shared" ref="D53:H53" si="13">D51+D52</f>
        <v>356962.84595633828</v>
      </c>
      <c r="E53" s="52">
        <f t="shared" si="13"/>
        <v>316636.57098857302</v>
      </c>
      <c r="F53" s="52">
        <f t="shared" si="13"/>
        <v>267953.03395427932</v>
      </c>
      <c r="G53" s="52">
        <f t="shared" si="13"/>
        <v>230682.24113725184</v>
      </c>
      <c r="H53" s="52">
        <f t="shared" si="13"/>
        <v>193680.356866808</v>
      </c>
      <c r="I53" s="53">
        <f>I51+I52</f>
        <v>161259.3052846418</v>
      </c>
      <c r="J53" s="41">
        <f t="shared" si="5"/>
        <v>-251247.66092450183</v>
      </c>
      <c r="K53" s="107">
        <f t="shared" si="6"/>
        <v>-0.60907495268120559</v>
      </c>
      <c r="L53" s="54"/>
    </row>
    <row r="54" spans="2:12" x14ac:dyDescent="0.25">
      <c r="C54" s="37">
        <f t="shared" ref="C54:I54" si="14">C43-C53</f>
        <v>0</v>
      </c>
      <c r="D54" s="37">
        <f t="shared" si="14"/>
        <v>0</v>
      </c>
      <c r="E54" s="37">
        <f t="shared" si="14"/>
        <v>0</v>
      </c>
      <c r="F54" s="37">
        <f t="shared" si="14"/>
        <v>0</v>
      </c>
      <c r="G54" s="37">
        <f t="shared" si="14"/>
        <v>0</v>
      </c>
      <c r="H54" s="37">
        <f t="shared" si="14"/>
        <v>0</v>
      </c>
      <c r="I54" s="37">
        <f t="shared" si="14"/>
        <v>0</v>
      </c>
      <c r="L54" s="38"/>
    </row>
    <row r="55" spans="2:12" x14ac:dyDescent="0.25">
      <c r="B55" s="4" t="s">
        <v>92</v>
      </c>
      <c r="J55" s="54"/>
    </row>
    <row r="56" spans="2:12" x14ac:dyDescent="0.25">
      <c r="B56" s="237"/>
      <c r="C56" s="237">
        <f>'Baseline Statistics'!C12</f>
        <v>2022</v>
      </c>
      <c r="D56" s="237">
        <f>'Baseline Statistics'!D12</f>
        <v>2025</v>
      </c>
      <c r="E56" s="237">
        <f>'Baseline Statistics'!E12</f>
        <v>2030</v>
      </c>
      <c r="F56" s="237">
        <f>'Baseline Statistics'!F12</f>
        <v>2035</v>
      </c>
      <c r="G56" s="237">
        <f>'Baseline Statistics'!G12</f>
        <v>2040</v>
      </c>
      <c r="H56" s="237">
        <f>'Baseline Statistics'!H12</f>
        <v>2045</v>
      </c>
      <c r="I56" s="237">
        <f>'Baseline Statistics'!I12</f>
        <v>2050</v>
      </c>
    </row>
    <row r="57" spans="2:12" x14ac:dyDescent="0.25">
      <c r="B57" s="34" t="s">
        <v>93</v>
      </c>
      <c r="C57" s="30">
        <v>0</v>
      </c>
      <c r="D57" s="30">
        <f>C57+(($I57-$C57)/6)</f>
        <v>-26876.550880773633</v>
      </c>
      <c r="E57" s="30">
        <f>D57+(($I57-$C57)/6)</f>
        <v>-53753.101761547267</v>
      </c>
      <c r="F57" s="30">
        <f>E57+(($I57-$C57)/6)</f>
        <v>-80629.6526423209</v>
      </c>
      <c r="G57" s="30">
        <f>F57+(($I57-$C57)/6)</f>
        <v>-107506.20352309453</v>
      </c>
      <c r="H57" s="30">
        <f>G57+(($I57-$C57)/6)</f>
        <v>-134382.75440386817</v>
      </c>
      <c r="I57" s="30">
        <f>0-I53</f>
        <v>-161259.3052846418</v>
      </c>
      <c r="L57" s="12"/>
    </row>
    <row r="58" spans="2:12" x14ac:dyDescent="0.25">
      <c r="B58" s="110" t="s">
        <v>94</v>
      </c>
      <c r="C58" s="36">
        <f>C53+C57</f>
        <v>412506.96620914363</v>
      </c>
      <c r="D58" s="36">
        <f t="shared" ref="D58:I58" si="15">D53+D57</f>
        <v>330086.29507556465</v>
      </c>
      <c r="E58" s="36">
        <f t="shared" si="15"/>
        <v>262883.46922702575</v>
      </c>
      <c r="F58" s="36">
        <f t="shared" si="15"/>
        <v>187323.38131195842</v>
      </c>
      <c r="G58" s="36">
        <f t="shared" si="15"/>
        <v>123176.03761415731</v>
      </c>
      <c r="H58" s="36">
        <f t="shared" si="15"/>
        <v>59297.602462939831</v>
      </c>
      <c r="I58" s="36">
        <f t="shared" si="15"/>
        <v>0</v>
      </c>
      <c r="L58" s="12"/>
    </row>
    <row r="62" spans="2:12" ht="30.75" x14ac:dyDescent="0.55000000000000004">
      <c r="B62" s="240" t="s">
        <v>883</v>
      </c>
    </row>
    <row r="63" spans="2:12" x14ac:dyDescent="0.25">
      <c r="B63" s="4" t="s">
        <v>95</v>
      </c>
      <c r="L63" s="54"/>
    </row>
    <row r="64" spans="2:12" ht="45" x14ac:dyDescent="0.25">
      <c r="B64" s="237"/>
      <c r="C64" s="237">
        <f t="shared" ref="C64:I64" si="16">C76</f>
        <v>2022</v>
      </c>
      <c r="D64" s="237">
        <f t="shared" si="16"/>
        <v>2025</v>
      </c>
      <c r="E64" s="237">
        <f t="shared" si="16"/>
        <v>2030</v>
      </c>
      <c r="F64" s="237">
        <f t="shared" si="16"/>
        <v>2035</v>
      </c>
      <c r="G64" s="237">
        <f t="shared" si="16"/>
        <v>2040</v>
      </c>
      <c r="H64" s="237">
        <f t="shared" si="16"/>
        <v>2045</v>
      </c>
      <c r="I64" s="237">
        <f t="shared" si="16"/>
        <v>2050</v>
      </c>
      <c r="J64" s="237" t="s">
        <v>55</v>
      </c>
      <c r="K64" s="233" t="s">
        <v>56</v>
      </c>
      <c r="L64" s="54"/>
    </row>
    <row r="65" spans="2:12" x14ac:dyDescent="0.25">
      <c r="B65" s="111" t="str">
        <f t="shared" ref="B65:I65" si="17">B46</f>
        <v>Waste</v>
      </c>
      <c r="C65" s="112">
        <f t="shared" si="17"/>
        <v>5872.2785203171698</v>
      </c>
      <c r="D65" s="112">
        <f t="shared" si="17"/>
        <v>6512.8471755717874</v>
      </c>
      <c r="E65" s="112">
        <f t="shared" si="17"/>
        <v>7206.8650388353471</v>
      </c>
      <c r="F65" s="112">
        <f t="shared" si="17"/>
        <v>7776.1767534835999</v>
      </c>
      <c r="G65" s="112">
        <f t="shared" si="17"/>
        <v>8252.7274545177261</v>
      </c>
      <c r="H65" s="112">
        <f t="shared" si="17"/>
        <v>8624.7929729043026</v>
      </c>
      <c r="I65" s="112">
        <f t="shared" si="17"/>
        <v>9094.5877397875211</v>
      </c>
      <c r="J65" s="40">
        <f>I65-C65</f>
        <v>3222.3092194703513</v>
      </c>
      <c r="K65" s="94">
        <f t="shared" ref="K65:K66" si="18">J65/C65</f>
        <v>0.54873235462549386</v>
      </c>
    </row>
    <row r="66" spans="2:12" x14ac:dyDescent="0.25">
      <c r="B66" s="111" t="str">
        <f>B37</f>
        <v>Agriculture - Methane</v>
      </c>
      <c r="C66" s="112">
        <f>C37</f>
        <v>79403.488593875925</v>
      </c>
      <c r="D66" s="112">
        <f t="shared" ref="D66:I66" si="19">D50</f>
        <v>87704.175031306746</v>
      </c>
      <c r="E66" s="112">
        <f t="shared" si="19"/>
        <v>85284.000217525725</v>
      </c>
      <c r="F66" s="112">
        <f t="shared" si="19"/>
        <v>82904.659745278375</v>
      </c>
      <c r="G66" s="112">
        <f t="shared" si="19"/>
        <v>80524.473079464922</v>
      </c>
      <c r="H66" s="112">
        <f t="shared" si="19"/>
        <v>78144.879308593372</v>
      </c>
      <c r="I66" s="112">
        <f t="shared" si="19"/>
        <v>74811.590327656319</v>
      </c>
      <c r="J66" s="40">
        <f>I66-C66</f>
        <v>-4591.8982662196067</v>
      </c>
      <c r="K66" s="94">
        <f t="shared" si="18"/>
        <v>-5.7829930995925559E-2</v>
      </c>
      <c r="L66" s="54"/>
    </row>
    <row r="67" spans="2:12" x14ac:dyDescent="0.25">
      <c r="B67" s="113" t="s">
        <v>96</v>
      </c>
      <c r="C67" s="43">
        <f>SUM(C65:C66)</f>
        <v>85275.767114193091</v>
      </c>
      <c r="D67" s="43">
        <f t="shared" ref="D67:I67" si="20">SUM(D65:D66)</f>
        <v>94217.022206878537</v>
      </c>
      <c r="E67" s="43">
        <f t="shared" si="20"/>
        <v>92490.865256361067</v>
      </c>
      <c r="F67" s="43">
        <f t="shared" si="20"/>
        <v>90680.836498761972</v>
      </c>
      <c r="G67" s="43">
        <f t="shared" si="20"/>
        <v>88777.200533982643</v>
      </c>
      <c r="H67" s="43">
        <f t="shared" si="20"/>
        <v>86769.672281497682</v>
      </c>
      <c r="I67" s="43">
        <f t="shared" si="20"/>
        <v>83906.178067443834</v>
      </c>
      <c r="J67" s="36">
        <f>I67-C67</f>
        <v>-1369.5890467492572</v>
      </c>
      <c r="K67" s="107">
        <f>J67/C67</f>
        <v>-1.6060706260375653E-2</v>
      </c>
    </row>
    <row r="68" spans="2:12" x14ac:dyDescent="0.25">
      <c r="L68" s="12"/>
    </row>
    <row r="69" spans="2:12" ht="30.75" x14ac:dyDescent="0.55000000000000004">
      <c r="B69" s="240" t="s">
        <v>884</v>
      </c>
      <c r="L69" s="12"/>
    </row>
    <row r="70" spans="2:12" x14ac:dyDescent="0.25">
      <c r="B70" s="4" t="s">
        <v>97</v>
      </c>
    </row>
    <row r="71" spans="2:12" ht="45" x14ac:dyDescent="0.25">
      <c r="B71" s="237"/>
      <c r="C71" s="237">
        <f t="shared" ref="C71:I71" si="21">C56</f>
        <v>2022</v>
      </c>
      <c r="D71" s="237">
        <f t="shared" si="21"/>
        <v>2025</v>
      </c>
      <c r="E71" s="237">
        <f t="shared" si="21"/>
        <v>2030</v>
      </c>
      <c r="F71" s="237">
        <f t="shared" si="21"/>
        <v>2035</v>
      </c>
      <c r="G71" s="237">
        <f t="shared" si="21"/>
        <v>2040</v>
      </c>
      <c r="H71" s="237">
        <f t="shared" si="21"/>
        <v>2045</v>
      </c>
      <c r="I71" s="237">
        <f t="shared" si="21"/>
        <v>2050</v>
      </c>
      <c r="J71" s="237" t="s">
        <v>55</v>
      </c>
      <c r="K71" s="233" t="s">
        <v>56</v>
      </c>
    </row>
    <row r="72" spans="2:12" x14ac:dyDescent="0.25">
      <c r="B72" s="113" t="s">
        <v>98</v>
      </c>
      <c r="C72" s="43">
        <f t="shared" ref="C72:I72" si="22">C51-C67</f>
        <v>403467.3690949505</v>
      </c>
      <c r="D72" s="43">
        <f t="shared" si="22"/>
        <v>344825.42458279309</v>
      </c>
      <c r="E72" s="43">
        <f t="shared" si="22"/>
        <v>312068.73739887855</v>
      </c>
      <c r="F72" s="43">
        <f t="shared" si="22"/>
        <v>271038.65995551733</v>
      </c>
      <c r="G72" s="43">
        <f t="shared" si="22"/>
        <v>241514.93393660249</v>
      </c>
      <c r="H72" s="43">
        <f t="shared" si="22"/>
        <v>212364.00875197694</v>
      </c>
      <c r="I72" s="43">
        <f t="shared" si="22"/>
        <v>188649.88221719797</v>
      </c>
      <c r="J72" s="36">
        <f>I72-C72</f>
        <v>-214817.48687775253</v>
      </c>
      <c r="K72" s="107">
        <f>J72/C72</f>
        <v>-0.53242840272219927</v>
      </c>
      <c r="L72" s="54"/>
    </row>
    <row r="73" spans="2:12" x14ac:dyDescent="0.25">
      <c r="B73" s="114" t="s">
        <v>99</v>
      </c>
      <c r="C73" s="43">
        <f t="shared" ref="C73:I73" si="23">C53-C67</f>
        <v>327231.19909495057</v>
      </c>
      <c r="D73" s="43">
        <f t="shared" si="23"/>
        <v>262745.82374945976</v>
      </c>
      <c r="E73" s="43">
        <f t="shared" si="23"/>
        <v>224145.70573221194</v>
      </c>
      <c r="F73" s="43">
        <f t="shared" si="23"/>
        <v>177272.19745551737</v>
      </c>
      <c r="G73" s="43">
        <f t="shared" si="23"/>
        <v>141905.04060326918</v>
      </c>
      <c r="H73" s="43">
        <f t="shared" si="23"/>
        <v>106910.68458531032</v>
      </c>
      <c r="I73" s="43">
        <f t="shared" si="23"/>
        <v>77353.127217197965</v>
      </c>
      <c r="J73" s="36">
        <f>I73-C73</f>
        <v>-249878.07187775261</v>
      </c>
      <c r="K73" s="107">
        <f>J73/C73</f>
        <v>-0.76361322688319544</v>
      </c>
    </row>
    <row r="74" spans="2:12" x14ac:dyDescent="0.25">
      <c r="L74" s="12"/>
    </row>
    <row r="75" spans="2:12" x14ac:dyDescent="0.25">
      <c r="B75" s="4" t="s">
        <v>100</v>
      </c>
      <c r="L75" s="12"/>
    </row>
    <row r="76" spans="2:12" x14ac:dyDescent="0.25">
      <c r="B76" s="237"/>
      <c r="C76" s="237">
        <f>'Baseline Statistics'!C12</f>
        <v>2022</v>
      </c>
      <c r="D76" s="237">
        <f>'Baseline Statistics'!D12</f>
        <v>2025</v>
      </c>
      <c r="E76" s="237">
        <f>'Baseline Statistics'!E12</f>
        <v>2030</v>
      </c>
      <c r="F76" s="237">
        <f>'Baseline Statistics'!F12</f>
        <v>2035</v>
      </c>
      <c r="G76" s="237">
        <f>'Baseline Statistics'!G12</f>
        <v>2040</v>
      </c>
      <c r="H76" s="237">
        <f>'Baseline Statistics'!H12</f>
        <v>2045</v>
      </c>
      <c r="I76" s="237">
        <f>'Baseline Statistics'!I12</f>
        <v>2050</v>
      </c>
    </row>
    <row r="77" spans="2:12" x14ac:dyDescent="0.25">
      <c r="B77" s="34" t="s">
        <v>101</v>
      </c>
      <c r="C77" s="30">
        <v>0</v>
      </c>
      <c r="D77" s="30">
        <f>C77+(($I77-$C77)/6)</f>
        <v>-12892.187869532994</v>
      </c>
      <c r="E77" s="30">
        <f>D77+(($I77-$C77)/6)</f>
        <v>-25784.375739065988</v>
      </c>
      <c r="F77" s="30">
        <f>E77+(($I77-$C77)/6)</f>
        <v>-38676.563608598983</v>
      </c>
      <c r="G77" s="30">
        <f>F77+(($I77-$C77)/6)</f>
        <v>-51568.751478131977</v>
      </c>
      <c r="H77" s="30">
        <f>G77+(($I77-$C77)/6)</f>
        <v>-64460.939347664971</v>
      </c>
      <c r="I77" s="30">
        <f>0-I73</f>
        <v>-77353.127217197965</v>
      </c>
    </row>
    <row r="78" spans="2:12" x14ac:dyDescent="0.25">
      <c r="B78" s="110" t="s">
        <v>102</v>
      </c>
      <c r="C78" s="36">
        <f t="shared" ref="C78:H78" si="24">C73+C77</f>
        <v>327231.19909495057</v>
      </c>
      <c r="D78" s="36">
        <f t="shared" si="24"/>
        <v>249853.63587992676</v>
      </c>
      <c r="E78" s="36">
        <f t="shared" si="24"/>
        <v>198361.32999314595</v>
      </c>
      <c r="F78" s="36">
        <f t="shared" si="24"/>
        <v>138595.63384691838</v>
      </c>
      <c r="G78" s="36">
        <f t="shared" si="24"/>
        <v>90336.289125137206</v>
      </c>
      <c r="H78" s="36">
        <f t="shared" si="24"/>
        <v>42449.745237645344</v>
      </c>
      <c r="I78" s="36">
        <f>I73+I77</f>
        <v>0</v>
      </c>
    </row>
    <row r="83" spans="2:14" ht="26.25" x14ac:dyDescent="0.4">
      <c r="B83" s="240" t="s">
        <v>103</v>
      </c>
    </row>
    <row r="84" spans="2:14" x14ac:dyDescent="0.25">
      <c r="B84" s="4" t="s">
        <v>104</v>
      </c>
    </row>
    <row r="85" spans="2:14" ht="30" x14ac:dyDescent="0.25">
      <c r="B85" s="233" t="s">
        <v>105</v>
      </c>
      <c r="C85" s="237">
        <f>'Baseline Statistics'!C12</f>
        <v>2022</v>
      </c>
      <c r="D85" s="237">
        <f>'Baseline Statistics'!D12</f>
        <v>2025</v>
      </c>
      <c r="E85" s="237">
        <f>'Baseline Statistics'!E12</f>
        <v>2030</v>
      </c>
      <c r="F85" s="237">
        <f>'Baseline Statistics'!F12</f>
        <v>2035</v>
      </c>
      <c r="G85" s="237">
        <f>'Baseline Statistics'!G12</f>
        <v>2040</v>
      </c>
      <c r="H85" s="237">
        <f>'Baseline Statistics'!H12</f>
        <v>2045</v>
      </c>
      <c r="I85" s="237">
        <f>'Baseline Statistics'!I12</f>
        <v>2050</v>
      </c>
      <c r="J85" s="237" t="s">
        <v>106</v>
      </c>
      <c r="K85" s="233" t="s">
        <v>107</v>
      </c>
      <c r="L85" s="233" t="s">
        <v>108</v>
      </c>
      <c r="M85" s="233" t="s">
        <v>109</v>
      </c>
      <c r="N85" s="233" t="s">
        <v>110</v>
      </c>
    </row>
    <row r="86" spans="2:14" x14ac:dyDescent="0.25">
      <c r="B86" s="238" t="s">
        <v>57</v>
      </c>
      <c r="C86" s="115">
        <f>'4. Buildings'!C177</f>
        <v>2355.8081390900002</v>
      </c>
      <c r="D86" s="30">
        <f>'4. Buildings'!D177</f>
        <v>2436.4692967131937</v>
      </c>
      <c r="E86" s="30">
        <f>'4. Buildings'!E177</f>
        <v>2567.8221617920226</v>
      </c>
      <c r="F86" s="30">
        <f>'4. Buildings'!F177</f>
        <v>2688.5110416558996</v>
      </c>
      <c r="G86" s="30">
        <f>'4. Buildings'!G177</f>
        <v>2808.793560458204</v>
      </c>
      <c r="H86" s="30">
        <f>'4. Buildings'!H177</f>
        <v>2928.3702933268455</v>
      </c>
      <c r="I86" s="30">
        <f>'4. Buildings'!I177</f>
        <v>3260.8804155673492</v>
      </c>
      <c r="J86" s="239" t="s">
        <v>112</v>
      </c>
      <c r="K86" s="34" t="s">
        <v>113</v>
      </c>
      <c r="L86" s="34" t="s">
        <v>114</v>
      </c>
      <c r="M86" s="34" t="s">
        <v>87</v>
      </c>
      <c r="N86" s="34" t="s">
        <v>57</v>
      </c>
    </row>
    <row r="87" spans="2:14" x14ac:dyDescent="0.25">
      <c r="B87" s="238" t="s">
        <v>905</v>
      </c>
      <c r="C87" s="115">
        <f>'4. Buildings'!C190</f>
        <v>14667.369455388191</v>
      </c>
      <c r="D87" s="30">
        <f>'4. Buildings'!D190</f>
        <v>16375.722292838826</v>
      </c>
      <c r="E87" s="30">
        <f>'4. Buildings'!E190</f>
        <v>18131.252721040561</v>
      </c>
      <c r="F87" s="30">
        <f>'4. Buildings'!F190</f>
        <v>19472.320222288723</v>
      </c>
      <c r="G87" s="30">
        <f>'4. Buildings'!G190</f>
        <v>20494.547074408878</v>
      </c>
      <c r="H87" s="30">
        <f>'4. Buildings'!H190</f>
        <v>21160.536215844102</v>
      </c>
      <c r="I87" s="30">
        <f>'4. Buildings'!I190</f>
        <v>21432.890585037458</v>
      </c>
      <c r="J87" s="239" t="s">
        <v>58</v>
      </c>
      <c r="K87" s="34" t="s">
        <v>116</v>
      </c>
      <c r="L87" s="34" t="s">
        <v>114</v>
      </c>
      <c r="M87" s="34" t="s">
        <v>87</v>
      </c>
      <c r="N87" s="34" t="s">
        <v>58</v>
      </c>
    </row>
    <row r="88" spans="2:14" x14ac:dyDescent="0.25">
      <c r="B88" s="34" t="s">
        <v>59</v>
      </c>
      <c r="C88" s="116">
        <f>'4. Buildings'!C208</f>
        <v>666.23777520278145</v>
      </c>
      <c r="D88" s="235">
        <f>'4. Buildings'!D208</f>
        <v>1599.9502116264346</v>
      </c>
      <c r="E88" s="235">
        <f>'4. Buildings'!E208</f>
        <v>2487.0970272018662</v>
      </c>
      <c r="F88" s="235">
        <f>'4. Buildings'!F208</f>
        <v>3271.84380696279</v>
      </c>
      <c r="G88" s="235">
        <f>'4. Buildings'!G208</f>
        <v>3951.4854644283623</v>
      </c>
      <c r="H88" s="235">
        <f>'4. Buildings'!H208</f>
        <v>4510.3205813291552</v>
      </c>
      <c r="I88" s="235">
        <f>'4. Buildings'!I208</f>
        <v>4932.6477393957366</v>
      </c>
      <c r="J88" s="34" t="s">
        <v>59</v>
      </c>
      <c r="K88" s="34" t="s">
        <v>117</v>
      </c>
      <c r="L88" s="34" t="s">
        <v>114</v>
      </c>
      <c r="M88" s="34" t="s">
        <v>87</v>
      </c>
      <c r="N88" s="34" t="s">
        <v>58</v>
      </c>
    </row>
    <row r="89" spans="2:14" x14ac:dyDescent="0.25">
      <c r="B89" s="238" t="s">
        <v>118</v>
      </c>
      <c r="C89" s="115">
        <f>'4. Buildings'!C159</f>
        <v>893576.41171812627</v>
      </c>
      <c r="D89" s="30">
        <f>'4. Buildings'!D159</f>
        <v>932366.5870644981</v>
      </c>
      <c r="E89" s="30">
        <f>'4. Buildings'!E159</f>
        <v>971494.9459959477</v>
      </c>
      <c r="F89" s="30">
        <f>'4. Buildings'!F159</f>
        <v>985852.63499763317</v>
      </c>
      <c r="G89" s="30">
        <f>'4. Buildings'!G159</f>
        <v>1011055.3432301226</v>
      </c>
      <c r="H89" s="30">
        <f>'4. Buildings'!H159</f>
        <v>1033390.3625574289</v>
      </c>
      <c r="I89" s="30">
        <f>'4. Buildings'!I159</f>
        <v>1062343.1608692114</v>
      </c>
      <c r="J89" s="239" t="s">
        <v>119</v>
      </c>
      <c r="K89" s="34" t="s">
        <v>120</v>
      </c>
      <c r="L89" s="34" t="s">
        <v>114</v>
      </c>
      <c r="M89" s="34" t="s">
        <v>121</v>
      </c>
      <c r="N89" s="34" t="s">
        <v>118</v>
      </c>
    </row>
    <row r="90" spans="2:14" x14ac:dyDescent="0.25">
      <c r="B90" s="238" t="s">
        <v>61</v>
      </c>
      <c r="C90" s="115">
        <f>'4. Buildings'!C160</f>
        <v>378206.55549315282</v>
      </c>
      <c r="D90" s="30">
        <f>'4. Buildings'!D160</f>
        <v>343126.29975427809</v>
      </c>
      <c r="E90" s="30">
        <f>'4. Buildings'!E160</f>
        <v>299650.68888352299</v>
      </c>
      <c r="F90" s="30">
        <f>'4. Buildings'!F160</f>
        <v>236813.87972430632</v>
      </c>
      <c r="G90" s="30">
        <f>'4. Buildings'!G160</f>
        <v>172400.39316151378</v>
      </c>
      <c r="H90" s="30">
        <f>'4. Buildings'!H160</f>
        <v>99396.950851119414</v>
      </c>
      <c r="I90" s="30">
        <f>'4. Buildings'!I160</f>
        <v>19458.888459170761</v>
      </c>
      <c r="J90" s="239" t="s">
        <v>61</v>
      </c>
      <c r="K90" s="34" t="s">
        <v>120</v>
      </c>
      <c r="L90" s="34" t="s">
        <v>114</v>
      </c>
      <c r="M90" s="34" t="s">
        <v>121</v>
      </c>
      <c r="N90" s="34" t="s">
        <v>61</v>
      </c>
    </row>
    <row r="91" spans="2:14" x14ac:dyDescent="0.25">
      <c r="B91" s="238" t="s">
        <v>62</v>
      </c>
      <c r="C91" s="115">
        <f>'4. Buildings'!C134</f>
        <v>6227585.5710199699</v>
      </c>
      <c r="D91" s="30">
        <f>'4. Buildings'!D134</f>
        <v>6397249.5031804452</v>
      </c>
      <c r="E91" s="30">
        <f>'4. Buildings'!E134</f>
        <v>6556756.481768379</v>
      </c>
      <c r="F91" s="30">
        <f>'4. Buildings'!F134</f>
        <v>6624656.4464592952</v>
      </c>
      <c r="G91" s="30">
        <f>'4. Buildings'!G134</f>
        <v>6735580.1286342116</v>
      </c>
      <c r="H91" s="30">
        <f>'4. Buildings'!H134</f>
        <v>6837862.0410675546</v>
      </c>
      <c r="I91" s="30">
        <f>'4. Buildings'!I134</f>
        <v>6958353.6020887122</v>
      </c>
      <c r="J91" s="239" t="s">
        <v>69</v>
      </c>
      <c r="K91" s="34" t="s">
        <v>122</v>
      </c>
      <c r="L91" s="34" t="s">
        <v>123</v>
      </c>
      <c r="M91" s="34" t="s">
        <v>121</v>
      </c>
      <c r="N91" s="34" t="s">
        <v>69</v>
      </c>
    </row>
    <row r="92" spans="2:14" x14ac:dyDescent="0.25">
      <c r="B92" s="34" t="s">
        <v>63</v>
      </c>
      <c r="C92" s="115">
        <f>'4. Buildings'!C135</f>
        <v>2844830.6881454801</v>
      </c>
      <c r="D92" s="30">
        <f>'4. Buildings'!D135</f>
        <v>2067417.2862015609</v>
      </c>
      <c r="E92" s="30">
        <f>'4. Buildings'!E135</f>
        <v>2093769.0264870834</v>
      </c>
      <c r="F92" s="30">
        <f>'4. Buildings'!F135</f>
        <v>2098448.3074723631</v>
      </c>
      <c r="G92" s="30">
        <f>'4. Buildings'!G135</f>
        <v>2113409.692727929</v>
      </c>
      <c r="H92" s="30">
        <f>'4. Buildings'!H135</f>
        <v>2125785.1595442607</v>
      </c>
      <c r="I92" s="30">
        <f>'4. Buildings'!I135</f>
        <v>2136621.3891943824</v>
      </c>
      <c r="J92" s="34" t="s">
        <v>68</v>
      </c>
      <c r="K92" s="34" t="s">
        <v>122</v>
      </c>
      <c r="L92" s="34" t="s">
        <v>123</v>
      </c>
      <c r="M92" s="34" t="s">
        <v>121</v>
      </c>
      <c r="N92" s="34" t="s">
        <v>68</v>
      </c>
    </row>
    <row r="93" spans="2:14" x14ac:dyDescent="0.25">
      <c r="B93" s="34" t="s">
        <v>64</v>
      </c>
      <c r="C93" s="115">
        <f>'4. Buildings'!C136</f>
        <v>3471299.9999999995</v>
      </c>
      <c r="D93" s="30">
        <f>'4. Buildings'!D136</f>
        <v>2357147.390673032</v>
      </c>
      <c r="E93" s="30">
        <f>'4. Buildings'!E136</f>
        <v>2344791.6933647725</v>
      </c>
      <c r="F93" s="30">
        <f>'4. Buildings'!F136</f>
        <v>2321375.2125796932</v>
      </c>
      <c r="G93" s="30">
        <f>'4. Buildings'!G136</f>
        <v>2302960.0497084106</v>
      </c>
      <c r="H93" s="30">
        <f>'4. Buildings'!H136</f>
        <v>2283123.2918421496</v>
      </c>
      <c r="I93" s="30">
        <f>'4. Buildings'!I136</f>
        <v>2262410.5561537636</v>
      </c>
      <c r="J93" s="34" t="s">
        <v>72</v>
      </c>
      <c r="K93" s="34" t="s">
        <v>122</v>
      </c>
      <c r="L93" s="34" t="s">
        <v>123</v>
      </c>
      <c r="M93" s="34" t="s">
        <v>121</v>
      </c>
      <c r="N93" s="34" t="s">
        <v>72</v>
      </c>
    </row>
    <row r="94" spans="2:14" x14ac:dyDescent="0.25">
      <c r="B94" s="34" t="s">
        <v>65</v>
      </c>
      <c r="C94" s="115">
        <f>'5. Energy'!C27</f>
        <v>20358.899882900674</v>
      </c>
      <c r="D94" s="30">
        <f>'5. Energy'!D27</f>
        <v>11800.132906788085</v>
      </c>
      <c r="E94" s="30">
        <f>'5. Energy'!E27</f>
        <v>6995.892074364644</v>
      </c>
      <c r="F94" s="30">
        <f>'5. Energy'!F27</f>
        <v>2476.0083413975349</v>
      </c>
      <c r="G94" s="30">
        <f>'5. Energy'!G27</f>
        <v>1242.2613558150947</v>
      </c>
      <c r="H94" s="30">
        <f>'5. Energy'!H27</f>
        <v>289.22278821788251</v>
      </c>
      <c r="I94" s="30">
        <f>'5. Energy'!I27</f>
        <v>-17.939736626822352</v>
      </c>
      <c r="J94" s="34" t="s">
        <v>112</v>
      </c>
      <c r="K94" s="34" t="s">
        <v>113</v>
      </c>
      <c r="L94" s="34" t="s">
        <v>121</v>
      </c>
      <c r="M94" s="34" t="s">
        <v>121</v>
      </c>
      <c r="N94" s="34" t="s">
        <v>124</v>
      </c>
    </row>
    <row r="95" spans="2:14" x14ac:dyDescent="0.25">
      <c r="B95" s="34" t="s">
        <v>66</v>
      </c>
      <c r="C95" s="115">
        <f>'5. Energy'!C28</f>
        <v>12274.49411826215</v>
      </c>
      <c r="D95" s="30">
        <f>'5. Energy'!D28</f>
        <v>6928.3043855668948</v>
      </c>
      <c r="E95" s="30">
        <f>'5. Energy'!E28</f>
        <v>4089.737710748776</v>
      </c>
      <c r="F95" s="30">
        <f>'5. Energy'!F28</f>
        <v>1469.6601326302725</v>
      </c>
      <c r="G95" s="30">
        <f>'5. Energy'!G28</f>
        <v>738.44777530263525</v>
      </c>
      <c r="H95" s="30">
        <f>'5. Energy'!H28</f>
        <v>172.55413823205123</v>
      </c>
      <c r="I95" s="30">
        <f>'5. Energy'!I28</f>
        <v>-10.703625342941828</v>
      </c>
      <c r="J95" s="34" t="s">
        <v>112</v>
      </c>
      <c r="K95" s="34" t="s">
        <v>113</v>
      </c>
      <c r="L95" s="34" t="s">
        <v>121</v>
      </c>
      <c r="M95" s="34" t="s">
        <v>121</v>
      </c>
      <c r="N95" s="34" t="s">
        <v>124</v>
      </c>
    </row>
    <row r="96" spans="2:14" x14ac:dyDescent="0.25">
      <c r="B96" s="34" t="s">
        <v>43</v>
      </c>
      <c r="C96" s="115">
        <f>'5. Energy'!C29</f>
        <v>16653.902862603045</v>
      </c>
      <c r="D96" s="30">
        <f>'5. Energy'!D29</f>
        <v>10264.59544010498</v>
      </c>
      <c r="E96" s="30">
        <f>'5. Energy'!E29</f>
        <v>6724.4709922416014</v>
      </c>
      <c r="F96" s="30">
        <f>'5. Energy'!F29</f>
        <v>2750.4812814753818</v>
      </c>
      <c r="G96" s="30">
        <f>'5. Energy'!G29</f>
        <v>1616.1344782913447</v>
      </c>
      <c r="H96" s="30">
        <f>'5. Energy'!H29</f>
        <v>459.39297343501721</v>
      </c>
      <c r="I96" s="30">
        <f>'5. Energy'!I29</f>
        <v>-39.925099047067185</v>
      </c>
      <c r="J96" s="34" t="s">
        <v>112</v>
      </c>
      <c r="K96" s="34" t="s">
        <v>113</v>
      </c>
      <c r="L96" s="34" t="s">
        <v>121</v>
      </c>
      <c r="M96" s="34" t="s">
        <v>121</v>
      </c>
      <c r="N96" s="34" t="s">
        <v>124</v>
      </c>
    </row>
    <row r="97" spans="2:14" x14ac:dyDescent="0.25">
      <c r="B97" s="34" t="s">
        <v>67</v>
      </c>
      <c r="C97" s="115">
        <f>'5. Energy'!C30</f>
        <v>0</v>
      </c>
      <c r="D97" s="30">
        <f>'5. Energy'!D30</f>
        <v>2805.424269181151</v>
      </c>
      <c r="E97" s="30">
        <f>'5. Energy'!E30</f>
        <v>3829.912974398876</v>
      </c>
      <c r="F97" s="30">
        <f>'5. Energy'!F30</f>
        <v>2416.8099173934002</v>
      </c>
      <c r="G97" s="30">
        <f>'5. Energy'!G30</f>
        <v>1949.7879473933135</v>
      </c>
      <c r="H97" s="30">
        <f>'5. Energy'!H30</f>
        <v>712.21778183759864</v>
      </c>
      <c r="I97" s="30">
        <f>'5. Energy'!I30</f>
        <v>-73.812642969062125</v>
      </c>
      <c r="J97" s="34" t="s">
        <v>112</v>
      </c>
      <c r="K97" s="34" t="s">
        <v>113</v>
      </c>
      <c r="L97" s="34" t="s">
        <v>89</v>
      </c>
      <c r="M97" s="34" t="s">
        <v>89</v>
      </c>
      <c r="N97" s="34" t="s">
        <v>124</v>
      </c>
    </row>
    <row r="98" spans="2:14" x14ac:dyDescent="0.25">
      <c r="B98" s="34" t="s">
        <v>68</v>
      </c>
      <c r="C98" s="115">
        <f>'5. Energy'!C109</f>
        <v>40727878.462401815</v>
      </c>
      <c r="D98" s="30">
        <f>'5. Energy'!D109</f>
        <v>32633740.834744729</v>
      </c>
      <c r="E98" s="30">
        <f>'5. Energy'!E109</f>
        <v>25909073.787736464</v>
      </c>
      <c r="F98" s="30">
        <f>'5. Energy'!F109</f>
        <v>19153387.578176923</v>
      </c>
      <c r="G98" s="30">
        <f>'5. Energy'!G109</f>
        <v>12813779.638495017</v>
      </c>
      <c r="H98" s="30">
        <f>'5. Energy'!H109</f>
        <v>7061554.7423871132</v>
      </c>
      <c r="I98" s="30">
        <f>'5. Energy'!I109</f>
        <v>2213075.4684352982</v>
      </c>
      <c r="J98" s="34" t="s">
        <v>68</v>
      </c>
      <c r="K98" s="34" t="s">
        <v>122</v>
      </c>
      <c r="L98" s="34" t="s">
        <v>89</v>
      </c>
      <c r="M98" s="34" t="s">
        <v>89</v>
      </c>
      <c r="N98" s="34" t="s">
        <v>68</v>
      </c>
    </row>
    <row r="99" spans="2:14" x14ac:dyDescent="0.25">
      <c r="B99" s="34" t="s">
        <v>69</v>
      </c>
      <c r="C99" s="115">
        <f>'5. Energy'!C110</f>
        <v>34017696.22923813</v>
      </c>
      <c r="D99" s="30">
        <f>'5. Energy'!D110</f>
        <v>30344926.951276913</v>
      </c>
      <c r="E99" s="30">
        <f>'5. Energy'!E110</f>
        <v>27129241.457472675</v>
      </c>
      <c r="F99" s="30">
        <f>'5. Energy'!F110</f>
        <v>23482249.153574277</v>
      </c>
      <c r="G99" s="30">
        <f>'5. Energy'!G110</f>
        <v>19903982.533763796</v>
      </c>
      <c r="H99" s="30">
        <f>'5. Energy'!H110</f>
        <v>16387748.274668247</v>
      </c>
      <c r="I99" s="30">
        <f>'5. Energy'!I110</f>
        <v>13119053.852980871</v>
      </c>
      <c r="J99" s="34" t="s">
        <v>69</v>
      </c>
      <c r="K99" s="34" t="s">
        <v>122</v>
      </c>
      <c r="L99" s="34" t="s">
        <v>89</v>
      </c>
      <c r="M99" s="34" t="s">
        <v>89</v>
      </c>
      <c r="N99" s="34" t="s">
        <v>69</v>
      </c>
    </row>
    <row r="100" spans="2:14" x14ac:dyDescent="0.25">
      <c r="B100" s="34" t="s">
        <v>70</v>
      </c>
      <c r="C100" s="115">
        <f>'5. Energy'!C111</f>
        <v>4350044.3909544628</v>
      </c>
      <c r="D100" s="30">
        <f>'5. Energy'!D111</f>
        <v>5056610.5216258653</v>
      </c>
      <c r="E100" s="30">
        <f>'5. Energy'!E111</f>
        <v>6033369.5345101226</v>
      </c>
      <c r="F100" s="30">
        <f>'5. Energy'!F111</f>
        <v>6908616.3540641926</v>
      </c>
      <c r="G100" s="30">
        <f>'5. Energy'!G111</f>
        <v>7923939.9708424956</v>
      </c>
      <c r="H100" s="30">
        <f>'5. Energy'!H111</f>
        <v>9030084.3908048868</v>
      </c>
      <c r="I100" s="30">
        <f>'5. Energy'!I111</f>
        <v>10372528.647041941</v>
      </c>
      <c r="J100" s="34" t="s">
        <v>70</v>
      </c>
      <c r="K100" s="34" t="s">
        <v>122</v>
      </c>
      <c r="L100" s="34" t="s">
        <v>89</v>
      </c>
      <c r="M100" s="34" t="s">
        <v>125</v>
      </c>
      <c r="N100" s="34" t="s">
        <v>126</v>
      </c>
    </row>
    <row r="101" spans="2:14" x14ac:dyDescent="0.25">
      <c r="B101" s="34" t="s">
        <v>71</v>
      </c>
      <c r="C101" s="115">
        <f>'5. Energy'!C112</f>
        <v>578623.93901467754</v>
      </c>
      <c r="D101" s="30">
        <f>'5. Energy'!D112</f>
        <v>585595.30803308089</v>
      </c>
      <c r="E101" s="30">
        <f>'5. Energy'!E112</f>
        <v>602316.18200659996</v>
      </c>
      <c r="F101" s="30">
        <f>'5. Energy'!F112</f>
        <v>613522.69987819425</v>
      </c>
      <c r="G101" s="30">
        <f>'5. Energy'!G112</f>
        <v>623971.62899082957</v>
      </c>
      <c r="H101" s="30">
        <f>'5. Energy'!H112</f>
        <v>633662.96934450616</v>
      </c>
      <c r="I101" s="30">
        <f>'5. Energy'!I112</f>
        <v>642596.72093922365</v>
      </c>
      <c r="J101" s="34" t="s">
        <v>71</v>
      </c>
      <c r="K101" s="34" t="s">
        <v>122</v>
      </c>
      <c r="L101" s="34" t="s">
        <v>89</v>
      </c>
      <c r="M101" s="34" t="s">
        <v>125</v>
      </c>
      <c r="N101" s="34" t="s">
        <v>126</v>
      </c>
    </row>
    <row r="102" spans="2:14" x14ac:dyDescent="0.25">
      <c r="B102" s="34" t="s">
        <v>72</v>
      </c>
      <c r="C102" s="115">
        <f>'5. Energy'!C113</f>
        <v>538033.26885880088</v>
      </c>
      <c r="D102" s="30">
        <f>'5. Energy'!D113</f>
        <v>561905.24452888709</v>
      </c>
      <c r="E102" s="30">
        <f>'5. Energy'!E113</f>
        <v>604993.35348901968</v>
      </c>
      <c r="F102" s="30">
        <f>'5. Energy'!F113</f>
        <v>642155.82552805927</v>
      </c>
      <c r="G102" s="30">
        <f>'5. Energy'!G113</f>
        <v>677405.69334715675</v>
      </c>
      <c r="H102" s="30">
        <f>'5. Energy'!H113</f>
        <v>710714.02299426123</v>
      </c>
      <c r="I102" s="30">
        <f>'5. Energy'!I113</f>
        <v>821766.42916400603</v>
      </c>
      <c r="J102" s="34" t="s">
        <v>72</v>
      </c>
      <c r="K102" s="34" t="s">
        <v>122</v>
      </c>
      <c r="L102" s="34" t="s">
        <v>89</v>
      </c>
      <c r="M102" s="34" t="s">
        <v>89</v>
      </c>
      <c r="N102" s="34" t="s">
        <v>72</v>
      </c>
    </row>
    <row r="103" spans="2:14" x14ac:dyDescent="0.25">
      <c r="B103" s="34" t="s">
        <v>73</v>
      </c>
      <c r="C103" s="115">
        <f>'5. Energy'!C114</f>
        <v>0</v>
      </c>
      <c r="D103" s="30">
        <f>'5. Energy'!D114</f>
        <v>1418858.2971628159</v>
      </c>
      <c r="E103" s="30">
        <f>'5. Energy'!E114</f>
        <v>2355370.3443396799</v>
      </c>
      <c r="F103" s="30">
        <f>'5. Energy'!F114</f>
        <v>2736198.2254538424</v>
      </c>
      <c r="G103" s="30">
        <f>'5. Energy'!G114</f>
        <v>2562755.9276990015</v>
      </c>
      <c r="H103" s="30">
        <f>'5. Energy'!H114</f>
        <v>1858303.8795755571</v>
      </c>
      <c r="I103" s="30">
        <f>'5. Energy'!I114</f>
        <v>737691.82281176606</v>
      </c>
      <c r="J103" s="34" t="s">
        <v>73</v>
      </c>
      <c r="K103" s="34" t="s">
        <v>122</v>
      </c>
      <c r="L103" s="34" t="s">
        <v>121</v>
      </c>
      <c r="M103" s="34" t="s">
        <v>89</v>
      </c>
      <c r="N103" s="34" t="s">
        <v>128</v>
      </c>
    </row>
    <row r="104" spans="2:14" x14ac:dyDescent="0.25">
      <c r="B104" s="34" t="s">
        <v>74</v>
      </c>
      <c r="C104" s="115">
        <f>'5. Energy'!C115</f>
        <v>0</v>
      </c>
      <c r="D104" s="30">
        <f>'5. Energy'!D115</f>
        <v>1319344.6500555202</v>
      </c>
      <c r="E104" s="30">
        <f>'5. Energy'!E115</f>
        <v>2466294.6779520661</v>
      </c>
      <c r="F104" s="30">
        <f>'5. Energy'!F115</f>
        <v>3354607.0219391808</v>
      </c>
      <c r="G104" s="30">
        <f>'5. Energy'!G115</f>
        <v>3980796.5067527592</v>
      </c>
      <c r="H104" s="30">
        <f>'5. Energy'!H115</f>
        <v>4312565.3354390115</v>
      </c>
      <c r="I104" s="30">
        <f>'5. Energy'!I115</f>
        <v>4373017.9509936236</v>
      </c>
      <c r="J104" s="34" t="s">
        <v>74</v>
      </c>
      <c r="K104" s="34" t="s">
        <v>122</v>
      </c>
      <c r="L104" s="34" t="s">
        <v>121</v>
      </c>
      <c r="M104" s="34" t="s">
        <v>89</v>
      </c>
      <c r="N104" s="34" t="s">
        <v>128</v>
      </c>
    </row>
    <row r="105" spans="2:14" x14ac:dyDescent="0.25">
      <c r="B105" s="34" t="s">
        <v>129</v>
      </c>
      <c r="C105" s="115">
        <f>'3. Transport'!C296</f>
        <v>0</v>
      </c>
      <c r="D105" s="30">
        <f>'3. Transport'!D296</f>
        <v>0</v>
      </c>
      <c r="E105" s="30">
        <f>'3. Transport'!E296</f>
        <v>0</v>
      </c>
      <c r="F105" s="30">
        <f>'3. Transport'!F296</f>
        <v>0</v>
      </c>
      <c r="G105" s="30">
        <f>'3. Transport'!G296</f>
        <v>0</v>
      </c>
      <c r="H105" s="30">
        <f>'3. Transport'!H296</f>
        <v>0</v>
      </c>
      <c r="I105" s="30">
        <f>'3. Transport'!I296</f>
        <v>0</v>
      </c>
      <c r="J105" s="34" t="s">
        <v>129</v>
      </c>
      <c r="K105" s="34" t="s">
        <v>122</v>
      </c>
      <c r="L105" s="34" t="s">
        <v>89</v>
      </c>
      <c r="M105" s="34" t="s">
        <v>130</v>
      </c>
      <c r="N105" s="34" t="s">
        <v>131</v>
      </c>
    </row>
    <row r="106" spans="2:14" x14ac:dyDescent="0.25">
      <c r="B106" s="34" t="s">
        <v>132</v>
      </c>
      <c r="C106" s="115">
        <f>'3. Transport'!C297</f>
        <v>0</v>
      </c>
      <c r="D106" s="30">
        <f>'3. Transport'!D297</f>
        <v>0</v>
      </c>
      <c r="E106" s="30">
        <f>'3. Transport'!E297</f>
        <v>0</v>
      </c>
      <c r="F106" s="30">
        <f>'3. Transport'!F297</f>
        <v>0</v>
      </c>
      <c r="G106" s="30">
        <f>'3. Transport'!G297</f>
        <v>0</v>
      </c>
      <c r="H106" s="30">
        <f>'3. Transport'!H297</f>
        <v>0</v>
      </c>
      <c r="I106" s="30">
        <f>'3. Transport'!I297</f>
        <v>0</v>
      </c>
      <c r="J106" s="34" t="s">
        <v>132</v>
      </c>
      <c r="K106" s="34" t="s">
        <v>122</v>
      </c>
      <c r="L106" s="34" t="s">
        <v>89</v>
      </c>
      <c r="M106" s="34" t="s">
        <v>130</v>
      </c>
      <c r="N106" s="34" t="s">
        <v>131</v>
      </c>
    </row>
    <row r="107" spans="2:14" x14ac:dyDescent="0.25">
      <c r="B107" s="34" t="s">
        <v>77</v>
      </c>
      <c r="C107" s="115">
        <f>'2. Industry'!C52</f>
        <v>25679.38427410198</v>
      </c>
      <c r="D107" s="30">
        <f>'2. Industry'!D52</f>
        <v>26901.722965549234</v>
      </c>
      <c r="E107" s="30">
        <f>'2. Industry'!E52</f>
        <v>28000.800612480794</v>
      </c>
      <c r="F107" s="30">
        <f>'2. Industry'!F52</f>
        <v>28195.963932963972</v>
      </c>
      <c r="G107" s="30">
        <f>'2. Industry'!G52</f>
        <v>28819.972970824656</v>
      </c>
      <c r="H107" s="30">
        <f>'2. Industry'!H52</f>
        <v>29336.128594734106</v>
      </c>
      <c r="I107" s="30">
        <f>'2. Industry'!I52</f>
        <v>29788.085757958295</v>
      </c>
      <c r="J107" s="34" t="s">
        <v>112</v>
      </c>
      <c r="K107" s="34" t="s">
        <v>113</v>
      </c>
      <c r="L107" s="34" t="s">
        <v>123</v>
      </c>
      <c r="M107" s="34" t="s">
        <v>133</v>
      </c>
      <c r="N107" s="34" t="s">
        <v>133</v>
      </c>
    </row>
    <row r="108" spans="2:14" x14ac:dyDescent="0.25">
      <c r="B108" s="34" t="s">
        <v>78</v>
      </c>
      <c r="C108" s="115">
        <f>'Background Calcs. Agriculture'!O30</f>
        <v>2835.8388783527116</v>
      </c>
      <c r="D108" s="30">
        <f>'Background Calcs. Agriculture'!P30</f>
        <v>2764.9357654604346</v>
      </c>
      <c r="E108" s="30">
        <f>'Background Calcs. Agriculture'!Q30</f>
        <v>2686.8172592549527</v>
      </c>
      <c r="F108" s="30">
        <f>'Background Calcs. Agriculture'!R30</f>
        <v>2610.0249614200416</v>
      </c>
      <c r="G108" s="30">
        <f>'Background Calcs. Agriculture'!S30</f>
        <v>2533.202913617713</v>
      </c>
      <c r="H108" s="30">
        <f>'Background Calcs. Agriculture'!T30</f>
        <v>2456.3995628737252</v>
      </c>
      <c r="I108" s="30">
        <f>'Background Calcs. Agriculture'!U30</f>
        <v>2348.7386654940397</v>
      </c>
      <c r="J108" s="34" t="s">
        <v>134</v>
      </c>
      <c r="K108" s="34" t="s">
        <v>135</v>
      </c>
      <c r="L108" s="34" t="s">
        <v>136</v>
      </c>
      <c r="M108" s="34" t="s">
        <v>136</v>
      </c>
      <c r="N108" s="34" t="s">
        <v>134</v>
      </c>
    </row>
    <row r="109" spans="2:14" x14ac:dyDescent="0.25">
      <c r="B109" s="34" t="s">
        <v>79</v>
      </c>
      <c r="C109" s="115">
        <f>'Background Calcs. Agriculture'!Y32</f>
        <v>39.614163736324436</v>
      </c>
      <c r="D109" s="30">
        <f>'Background Calcs. Agriculture'!Z32</f>
        <v>38.814994710998413</v>
      </c>
      <c r="E109" s="30">
        <f>'Background Calcs. Agriculture'!AA32</f>
        <v>37.936290409007711</v>
      </c>
      <c r="F109" s="30">
        <f>'Background Calcs. Agriculture'!AB32</f>
        <v>37.071550284970613</v>
      </c>
      <c r="G109" s="30">
        <f>'Background Calcs. Agriculture'!AC32</f>
        <v>36.206760370448862</v>
      </c>
      <c r="H109" s="30">
        <f>'Background Calcs. Agriculture'!AD32</f>
        <v>35.342232257090814</v>
      </c>
      <c r="I109" s="30">
        <f>'Background Calcs. Agriculture'!AE32</f>
        <v>34.139274316313973</v>
      </c>
      <c r="J109" s="34" t="s">
        <v>137</v>
      </c>
      <c r="K109" s="34" t="s">
        <v>138</v>
      </c>
      <c r="L109" s="34" t="s">
        <v>136</v>
      </c>
      <c r="M109" s="34" t="s">
        <v>136</v>
      </c>
      <c r="N109" s="34" t="s">
        <v>137</v>
      </c>
    </row>
    <row r="110" spans="2:14" x14ac:dyDescent="0.25">
      <c r="C110" s="4"/>
    </row>
    <row r="111" spans="2:14" x14ac:dyDescent="0.25">
      <c r="B111" s="34" t="s">
        <v>139</v>
      </c>
      <c r="C111" s="115">
        <f>'1. Landuse'!C59</f>
        <v>2721</v>
      </c>
      <c r="D111" s="30">
        <f>'1. Landuse'!D59</f>
        <v>2989.4166666666665</v>
      </c>
      <c r="E111" s="30">
        <f>'1. Landuse'!E59</f>
        <v>3257.833333333333</v>
      </c>
      <c r="F111" s="30">
        <f>'1. Landuse'!F59</f>
        <v>3526.2499999999991</v>
      </c>
      <c r="G111" s="30">
        <f>'1. Landuse'!G59</f>
        <v>3794.6666666666661</v>
      </c>
      <c r="H111" s="30">
        <f>'1. Landuse'!H59</f>
        <v>4063.0833333333321</v>
      </c>
      <c r="I111" s="30">
        <f>'1. Landuse'!I59</f>
        <v>4331.5</v>
      </c>
      <c r="J111" s="34" t="s">
        <v>81</v>
      </c>
      <c r="K111" s="34" t="s">
        <v>140</v>
      </c>
      <c r="L111" s="34" t="s">
        <v>136</v>
      </c>
      <c r="M111" s="34" t="s">
        <v>136</v>
      </c>
      <c r="N111" s="34" t="s">
        <v>91</v>
      </c>
    </row>
    <row r="112" spans="2:14" x14ac:dyDescent="0.25">
      <c r="B112" s="34" t="s">
        <v>141</v>
      </c>
      <c r="C112" s="115">
        <f>'1. Landuse'!C60</f>
        <v>3721</v>
      </c>
      <c r="D112" s="30">
        <f>'1. Landuse'!D60</f>
        <v>3989.4166666666665</v>
      </c>
      <c r="E112" s="30">
        <f>'1. Landuse'!E60</f>
        <v>4257.833333333333</v>
      </c>
      <c r="F112" s="30">
        <f>'1. Landuse'!F60</f>
        <v>4526.2499999999991</v>
      </c>
      <c r="G112" s="30">
        <f>'1. Landuse'!G60</f>
        <v>4794.6666666666661</v>
      </c>
      <c r="H112" s="30">
        <f>'1. Landuse'!H60</f>
        <v>5063.0833333333321</v>
      </c>
      <c r="I112" s="30">
        <f>'1. Landuse'!I60</f>
        <v>5331.5</v>
      </c>
      <c r="J112" s="34" t="s">
        <v>83</v>
      </c>
      <c r="K112" s="34" t="s">
        <v>140</v>
      </c>
      <c r="L112" s="34" t="s">
        <v>136</v>
      </c>
      <c r="M112" s="34" t="s">
        <v>136</v>
      </c>
      <c r="N112" s="34" t="s">
        <v>91</v>
      </c>
    </row>
    <row r="113" spans="2:14" x14ac:dyDescent="0.25">
      <c r="B113" s="34" t="s">
        <v>84</v>
      </c>
      <c r="C113" s="115">
        <f>'Background Calcs. Agriculture'!D44</f>
        <v>0</v>
      </c>
      <c r="D113" s="30">
        <f>'Background Calcs. Agriculture'!E44</f>
        <v>0</v>
      </c>
      <c r="E113" s="30">
        <f>'Background Calcs. Agriculture'!F44</f>
        <v>0</v>
      </c>
      <c r="F113" s="30">
        <f>'Background Calcs. Agriculture'!G44</f>
        <v>0</v>
      </c>
      <c r="G113" s="30">
        <f>'Background Calcs. Agriculture'!H44</f>
        <v>0</v>
      </c>
      <c r="H113" s="30">
        <f>'Background Calcs. Agriculture'!I44</f>
        <v>0</v>
      </c>
      <c r="I113" s="30">
        <f>'Background Calcs. Agriculture'!J44</f>
        <v>0</v>
      </c>
      <c r="J113" s="34" t="s">
        <v>112</v>
      </c>
      <c r="K113" s="34" t="s">
        <v>113</v>
      </c>
      <c r="L113" s="34" t="s">
        <v>136</v>
      </c>
      <c r="M113" s="34" t="s">
        <v>136</v>
      </c>
      <c r="N113" s="34" t="s">
        <v>91</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6A86E-DDF1-4E7C-823D-87F927506D9E}">
  <sheetPr codeName="Sheet17">
    <tabColor theme="7" tint="0.59999389629810485"/>
  </sheetPr>
  <dimension ref="A1:E46"/>
  <sheetViews>
    <sheetView showGridLines="0" topLeftCell="A2" zoomScale="80" zoomScaleNormal="80" workbookViewId="0">
      <selection activeCell="M17" sqref="M17"/>
    </sheetView>
  </sheetViews>
  <sheetFormatPr defaultRowHeight="15" x14ac:dyDescent="0.25"/>
  <cols>
    <col min="3" max="3" width="61.28515625" customWidth="1"/>
    <col min="5" max="5" width="117.85546875" bestFit="1" customWidth="1"/>
  </cols>
  <sheetData>
    <row r="1" spans="1:5" ht="23.25" x14ac:dyDescent="0.35">
      <c r="A1" s="35" t="s">
        <v>44</v>
      </c>
    </row>
    <row r="2" spans="1:5" ht="23.25" x14ac:dyDescent="0.35">
      <c r="A2" s="35" t="s">
        <v>142</v>
      </c>
    </row>
    <row r="4" spans="1:5" x14ac:dyDescent="0.25">
      <c r="A4" s="4" t="s">
        <v>47</v>
      </c>
      <c r="B4" s="1"/>
    </row>
    <row r="5" spans="1:5" x14ac:dyDescent="0.25">
      <c r="A5" s="39" t="s">
        <v>143</v>
      </c>
    </row>
    <row r="6" spans="1:5" x14ac:dyDescent="0.25">
      <c r="A6" s="39" t="s">
        <v>1009</v>
      </c>
    </row>
    <row r="7" spans="1:5" x14ac:dyDescent="0.25">
      <c r="A7" s="39" t="s">
        <v>144</v>
      </c>
    </row>
    <row r="8" spans="1:5" ht="15.75" thickBot="1" x14ac:dyDescent="0.3">
      <c r="C8" s="39"/>
    </row>
    <row r="9" spans="1:5" ht="30" customHeight="1" x14ac:dyDescent="0.25">
      <c r="C9" s="91" t="s">
        <v>145</v>
      </c>
      <c r="D9" s="56" t="s">
        <v>33</v>
      </c>
      <c r="E9" s="90" t="s">
        <v>146</v>
      </c>
    </row>
    <row r="10" spans="1:5" x14ac:dyDescent="0.25">
      <c r="C10" s="92" t="s">
        <v>136</v>
      </c>
      <c r="D10" s="34"/>
      <c r="E10" s="241"/>
    </row>
    <row r="11" spans="1:5" x14ac:dyDescent="0.25">
      <c r="C11" s="242" t="str">
        <f>'1. Landuse'!D14</f>
        <v>Housing Growth (% of new housing)</v>
      </c>
      <c r="D11" s="243">
        <f>'1. Landuse'!A14</f>
        <v>4</v>
      </c>
      <c r="E11" s="244" t="str">
        <f>'1. Landuse'!K16</f>
        <v>Majority of growth is medium/high density</v>
      </c>
    </row>
    <row r="12" spans="1:5" x14ac:dyDescent="0.25">
      <c r="C12" s="242" t="str">
        <f>'1. Landuse'!C38</f>
        <v>Forestry Growth (Native and Exotic)</v>
      </c>
      <c r="D12" s="243">
        <f>'1. Landuse'!A38</f>
        <v>3</v>
      </c>
      <c r="E12" s="244" t="str">
        <f>'1. Landuse'!J40</f>
        <v>50% increase by 2050</v>
      </c>
    </row>
    <row r="13" spans="1:5" x14ac:dyDescent="0.25">
      <c r="C13" s="242" t="str">
        <f>'1. Landuse'!C50</f>
        <v>Native/Exotic Forestry (New Forests)</v>
      </c>
      <c r="D13" s="243">
        <f>'1. Landuse'!A50</f>
        <v>3</v>
      </c>
      <c r="E13" s="244" t="str">
        <f>'1. Landuse'!J52</f>
        <v>New forest is 50%/50% native and exotic</v>
      </c>
    </row>
    <row r="14" spans="1:5" x14ac:dyDescent="0.25">
      <c r="C14" s="242" t="str">
        <f>'1. Landuse'!C62</f>
        <v>Residual Biomass from Forestry (for heating)</v>
      </c>
      <c r="D14" s="243">
        <f>'1. Landuse'!A62</f>
        <v>2</v>
      </c>
      <c r="E14" s="244" t="str">
        <f>'1. Landuse'!J64</f>
        <v>20% of available forestry residual biomass used for heating by 2050</v>
      </c>
    </row>
    <row r="15" spans="1:5" x14ac:dyDescent="0.25">
      <c r="C15" s="242" t="str">
        <f>'1. Landuse'!C76</f>
        <v>Experimental Land Management Practices</v>
      </c>
      <c r="D15" s="243">
        <f>'1. Landuse'!A76</f>
        <v>1</v>
      </c>
      <c r="E15" s="244" t="str">
        <f>'1. Landuse'!J78</f>
        <v>No experimental land management practices</v>
      </c>
    </row>
    <row r="16" spans="1:5" x14ac:dyDescent="0.25">
      <c r="C16" s="242"/>
      <c r="D16" s="243"/>
      <c r="E16" s="244"/>
    </row>
    <row r="17" spans="3:5" x14ac:dyDescent="0.25">
      <c r="C17" s="92" t="s">
        <v>123</v>
      </c>
      <c r="D17" s="243"/>
      <c r="E17" s="244"/>
    </row>
    <row r="18" spans="3:5" x14ac:dyDescent="0.25">
      <c r="C18" s="242" t="str">
        <f>'2. Industry'!C19</f>
        <v>Industry Growth (i.e. GDP growth excluding forestry and agriculture)</v>
      </c>
      <c r="D18" s="243">
        <f>'2. Industry'!A19</f>
        <v>2</v>
      </c>
      <c r="E18" s="244" t="str">
        <f>'2. Industry'!J21</f>
        <v>Low GDP growth rate (+1.5%pa)</v>
      </c>
    </row>
    <row r="19" spans="3:5" x14ac:dyDescent="0.25">
      <c r="C19" s="245" t="str">
        <f>'2. Industry'!C43</f>
        <v>Industrial Process Efficiency Improvements</v>
      </c>
      <c r="D19" s="243">
        <f>'2. Industry'!A43</f>
        <v>3</v>
      </c>
      <c r="E19" s="244" t="str">
        <f>'2. Industry'!J45</f>
        <v xml:space="preserve">Minor efficiency improvements + Significant programme including reduce refrigerant leaks and minimise aerosol usage (20% more efficient by 2050) </v>
      </c>
    </row>
    <row r="20" spans="3:5" x14ac:dyDescent="0.25">
      <c r="C20" s="245" t="str">
        <f>'2. Industry'!C64</f>
        <v>Freight Volume Growth</v>
      </c>
      <c r="D20" s="243">
        <f>'2. Industry'!A64</f>
        <v>2</v>
      </c>
      <c r="E20" s="244" t="str">
        <f>'2. Industry'!J66</f>
        <v>Modest increase (20% increase in freight by 2050)</v>
      </c>
    </row>
    <row r="21" spans="3:5" x14ac:dyDescent="0.25">
      <c r="C21" s="246" t="str">
        <f>'2. Industry'!C81</f>
        <v>Tourism Growth</v>
      </c>
      <c r="D21" s="243">
        <f>'2. Industry'!A81</f>
        <v>2</v>
      </c>
      <c r="E21" s="244" t="str">
        <f>'2. Industry'!J83</f>
        <v>Modest Growth (20%)</v>
      </c>
    </row>
    <row r="22" spans="3:5" x14ac:dyDescent="0.25">
      <c r="C22" s="246"/>
      <c r="D22" s="243"/>
      <c r="E22" s="244"/>
    </row>
    <row r="23" spans="3:5" x14ac:dyDescent="0.25">
      <c r="C23" s="92" t="s">
        <v>89</v>
      </c>
      <c r="D23" s="243"/>
      <c r="E23" s="244"/>
    </row>
    <row r="24" spans="3:5" x14ac:dyDescent="0.25">
      <c r="C24" s="242" t="str">
        <f>'3. Transport'!C83</f>
        <v>Travel Demand (excl freight)</v>
      </c>
      <c r="D24" s="243">
        <f>'3. Transport'!A83</f>
        <v>2</v>
      </c>
      <c r="E24" s="244" t="str">
        <f>'3. Transport'!J85</f>
        <v>No change</v>
      </c>
    </row>
    <row r="25" spans="3:5" x14ac:dyDescent="0.25">
      <c r="C25" s="246" t="str">
        <f>'3. Transport'!C105</f>
        <v>Land Freight Mode Shift (relative to base-year)</v>
      </c>
      <c r="D25" s="243">
        <f>'3. Transport'!A105</f>
        <v>2</v>
      </c>
      <c r="E25" s="244" t="str">
        <f>'3. Transport'!J107</f>
        <v>Long distance road freight shift towards rail (-20% by 2050)</v>
      </c>
    </row>
    <row r="26" spans="3:5" x14ac:dyDescent="0.25">
      <c r="C26" s="242" t="str">
        <f>'3. Transport'!C141</f>
        <v>Household Trip Share: Cycling (includes other micro mobility)</v>
      </c>
      <c r="D26" s="243">
        <f>'3. Transport'!A141</f>
        <v>4</v>
      </c>
      <c r="E26" s="244" t="str">
        <f>'3. Transport'!J143</f>
        <v xml:space="preserve">Culture of biking (over 8x increase in cycling) </v>
      </c>
    </row>
    <row r="27" spans="3:5" x14ac:dyDescent="0.25">
      <c r="C27" s="242" t="str">
        <f>'3. Transport'!C164</f>
        <v>Household Trip Share: Public Transport</v>
      </c>
      <c r="D27" s="243">
        <f>'3. Transport'!A164</f>
        <v>4</v>
      </c>
      <c r="E27" s="244" t="str">
        <f>'3. Transport'!J166</f>
        <v>Metro city (25% of all trips by 2050)</v>
      </c>
    </row>
    <row r="28" spans="3:5" x14ac:dyDescent="0.25">
      <c r="C28" s="247" t="str">
        <f>'3. Transport'!C191</f>
        <v>Electrification of Light Vehicles</v>
      </c>
      <c r="D28" s="243">
        <f>'3. Transport'!A191</f>
        <v>4</v>
      </c>
      <c r="E28" s="244" t="str">
        <f>'3. Transport'!J193</f>
        <v>100% of light vehicle trips completed by EV's by 2050</v>
      </c>
    </row>
    <row r="29" spans="3:5" x14ac:dyDescent="0.25">
      <c r="C29" s="245" t="str">
        <f>'3. Transport'!C216</f>
        <v>Heavy Vehicle (excl bus) Electrification</v>
      </c>
      <c r="D29" s="243">
        <f>'3. Transport'!A216</f>
        <v>3</v>
      </c>
      <c r="E29" s="244" t="str">
        <f>'3. Transport'!J218</f>
        <v>50% of heavy vehicle trips are EV's by 2050</v>
      </c>
    </row>
    <row r="30" spans="3:5" x14ac:dyDescent="0.25">
      <c r="C30" s="245" t="str">
        <f>'3. Transport'!C224</f>
        <v>Bus Electrification</v>
      </c>
      <c r="D30" s="243">
        <f>'3. Transport'!A224</f>
        <v>2</v>
      </c>
      <c r="E30" s="244" t="str">
        <f>'3. Transport'!J226</f>
        <v>Busses 100% electrified by 2050</v>
      </c>
    </row>
    <row r="31" spans="3:5" x14ac:dyDescent="0.25">
      <c r="C31" s="242" t="str">
        <f>'3. Transport'!C250</f>
        <v>Vehicle Fuel Efficiencies</v>
      </c>
      <c r="D31" s="243">
        <f>'3. Transport'!A250</f>
        <v>3</v>
      </c>
      <c r="E31" s="244" t="str">
        <f>'3. Transport'!J252</f>
        <v>Current trend (+10% by 2050)</v>
      </c>
    </row>
    <row r="32" spans="3:5" x14ac:dyDescent="0.25">
      <c r="C32" s="245" t="str">
        <f>'3. Transport'!C285</f>
        <v>Marine Efficiencies</v>
      </c>
      <c r="D32" s="243">
        <f>'3. Transport'!A285</f>
        <v>2</v>
      </c>
      <c r="E32" s="244" t="str">
        <f>'3. Transport'!J287</f>
        <v>20% reduction in fuel use per tkm by 2050</v>
      </c>
    </row>
    <row r="33" spans="3:5" x14ac:dyDescent="0.25">
      <c r="C33" s="245"/>
      <c r="D33" s="243"/>
      <c r="E33" s="244"/>
    </row>
    <row r="34" spans="3:5" x14ac:dyDescent="0.25">
      <c r="C34" s="92" t="s">
        <v>114</v>
      </c>
      <c r="D34" s="243"/>
      <c r="E34" s="244"/>
    </row>
    <row r="35" spans="3:5" x14ac:dyDescent="0.25">
      <c r="C35" s="242" t="str">
        <f>'4. Buildings'!C44</f>
        <v>Lighting and appliances (Residential, industrial, and commercial)</v>
      </c>
      <c r="D35" s="243">
        <f>'4. Buildings'!A44</f>
        <v>1</v>
      </c>
      <c r="E35" s="244" t="str">
        <f>'4. Buildings'!J46</f>
        <v>No change</v>
      </c>
    </row>
    <row r="36" spans="3:5" x14ac:dyDescent="0.25">
      <c r="C36" s="242" t="str">
        <f>'4. Buildings'!C62</f>
        <v>Space Heating Demand (Residential, industrial, and commercial)</v>
      </c>
      <c r="D36" s="243">
        <f>'4. Buildings'!A62</f>
        <v>2</v>
      </c>
      <c r="E36" s="244" t="str">
        <f>'4. Buildings'!J64</f>
        <v xml:space="preserve">Lifting current housing stock to minimum standards (10% decrease by 2050) </v>
      </c>
    </row>
    <row r="37" spans="3:5" x14ac:dyDescent="0.25">
      <c r="C37" s="242" t="str">
        <f>'4. Buildings'!C116</f>
        <v>Heating electrification (Residential, industrial, and commercial)</v>
      </c>
      <c r="D37" s="243">
        <f>'4. Buildings'!A116</f>
        <v>1</v>
      </c>
      <c r="E37" s="244" t="str">
        <f>'4. Buildings'!J118</f>
        <v xml:space="preserve">Status quo (no change) </v>
      </c>
    </row>
    <row r="38" spans="3:5" x14ac:dyDescent="0.25">
      <c r="C38" s="242" t="str">
        <f>'4. Buildings'!C163</f>
        <v>Waste Production</v>
      </c>
      <c r="D38" s="243">
        <f>'4. Buildings'!A163</f>
        <v>4</v>
      </c>
      <c r="E38" s="244" t="str">
        <f>'4. Buildings'!J165</f>
        <v>Major changes to supply chains, packaging norms, consumption rates etc. (-40% by 2050)</v>
      </c>
    </row>
    <row r="39" spans="3:5" x14ac:dyDescent="0.25">
      <c r="C39" s="242" t="str">
        <f>'4. Buildings'!C179</f>
        <v>Recycling (diverted waste)</v>
      </c>
      <c r="D39" s="243">
        <f>'4. Buildings'!A179</f>
        <v>4</v>
      </c>
      <c r="E39" s="244" t="str">
        <f>'4. Buildings'!J181</f>
        <v>75% of inorganic waste recycled by 2050 (all currently divertible waste, plus upstream shift towards recyclable packaging etc.)</v>
      </c>
    </row>
    <row r="40" spans="3:5" x14ac:dyDescent="0.25">
      <c r="C40" s="242" t="str">
        <f>'4. Buildings'!C193</f>
        <v>Greenwaste Diversion</v>
      </c>
      <c r="D40" s="243">
        <f>'4. Buildings'!A193</f>
        <v>4</v>
      </c>
      <c r="E40" s="244" t="str">
        <f>'4. Buildings'!J195</f>
        <v>100% of greenwaste diverted from landfill by 2050</v>
      </c>
    </row>
    <row r="41" spans="3:5" x14ac:dyDescent="0.25">
      <c r="C41" s="242"/>
      <c r="D41" s="243"/>
      <c r="E41" s="244"/>
    </row>
    <row r="42" spans="3:5" x14ac:dyDescent="0.25">
      <c r="C42" s="92" t="s">
        <v>121</v>
      </c>
      <c r="D42" s="243"/>
      <c r="E42" s="244"/>
    </row>
    <row r="43" spans="3:5" x14ac:dyDescent="0.25">
      <c r="C43" s="242" t="str">
        <f>'5. Energy'!C8</f>
        <v>National Grid Renewable %</v>
      </c>
      <c r="D43" s="243">
        <f>'5. Energy'!A8</f>
        <v>4</v>
      </c>
      <c r="E43" s="244" t="str">
        <f>'[1]5. Energy'!J4</f>
        <v>All electricity generation renewable by 2030. Significant infrastructure changes and technological advancement required.</v>
      </c>
    </row>
    <row r="44" spans="3:5" x14ac:dyDescent="0.25">
      <c r="C44" s="242" t="str">
        <f>'5. Energy'!C32</f>
        <v>Residential Solar PV/Hotwater on North-Facing Rooftops</v>
      </c>
      <c r="D44" s="243">
        <f>'5. Energy'!A32</f>
        <v>4</v>
      </c>
      <c r="E44" s="244" t="str">
        <f>'[1]5. Energy'!J31</f>
        <v>Solar cost falls to a point where solar rooftop is highly cost-effective for most households (20% households by 2030, 50% by 2050)</v>
      </c>
    </row>
    <row r="45" spans="3:5" x14ac:dyDescent="0.25">
      <c r="C45" s="242" t="str">
        <f>'5. Energy'!C55</f>
        <v>Large Scale PV (Commercial and Industrial) on available roof area</v>
      </c>
      <c r="D45" s="243">
        <f>'5. Energy'!A55</f>
        <v>3</v>
      </c>
      <c r="E45" s="244" t="str">
        <f>'[1]5. Energy'!J61</f>
        <v>10% of available roof area has PV</v>
      </c>
    </row>
    <row r="46" spans="3:5" ht="15.75" thickBot="1" x14ac:dyDescent="0.3">
      <c r="C46" s="248" t="str">
        <f>'5. Energy'!C76</f>
        <v>Transport Biofuels</v>
      </c>
      <c r="D46" s="249">
        <f>'5. Energy'!A76</f>
        <v>3</v>
      </c>
      <c r="E46" s="250" t="str">
        <f>'[1]5. Energy'!J83</f>
        <v>Status quo - no change in usage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5E22C-318B-4056-814E-BD8BF1ED59AA}">
  <sheetPr codeName="Sheet18">
    <tabColor theme="7" tint="0.59999389629810485"/>
  </sheetPr>
  <dimension ref="A1:S50"/>
  <sheetViews>
    <sheetView showGridLines="0" topLeftCell="A10" zoomScale="80" zoomScaleNormal="80" workbookViewId="0">
      <selection activeCell="M17" sqref="M17"/>
    </sheetView>
  </sheetViews>
  <sheetFormatPr defaultRowHeight="15" x14ac:dyDescent="0.25"/>
  <cols>
    <col min="2" max="2" width="33.140625" customWidth="1"/>
    <col min="3" max="3" width="13.42578125" bestFit="1" customWidth="1"/>
    <col min="4" max="4" width="12.85546875" customWidth="1"/>
    <col min="5" max="5" width="10.5703125" customWidth="1"/>
    <col min="6" max="6" width="14.140625" customWidth="1"/>
    <col min="7" max="7" width="61.7109375" customWidth="1"/>
    <col min="12" max="12" width="33.140625" customWidth="1"/>
    <col min="13" max="13" width="12.28515625" bestFit="1" customWidth="1"/>
    <col min="14" max="14" width="24.5703125" bestFit="1" customWidth="1"/>
    <col min="16" max="16" width="12.85546875" customWidth="1"/>
    <col min="17" max="17" width="9.140625" customWidth="1"/>
    <col min="18" max="18" width="14.140625" customWidth="1"/>
    <col min="19" max="19" width="61.7109375" customWidth="1"/>
  </cols>
  <sheetData>
    <row r="1" spans="1:19" ht="23.25" x14ac:dyDescent="0.35">
      <c r="A1" s="35" t="s">
        <v>44</v>
      </c>
    </row>
    <row r="2" spans="1:19" ht="23.25" x14ac:dyDescent="0.35">
      <c r="A2" s="35" t="s">
        <v>147</v>
      </c>
    </row>
    <row r="4" spans="1:19" x14ac:dyDescent="0.25">
      <c r="A4" s="4" t="s">
        <v>47</v>
      </c>
      <c r="B4" s="1"/>
    </row>
    <row r="5" spans="1:19" x14ac:dyDescent="0.25">
      <c r="A5" s="39" t="s">
        <v>148</v>
      </c>
    </row>
    <row r="6" spans="1:19" x14ac:dyDescent="0.25">
      <c r="A6" s="39" t="s">
        <v>1012</v>
      </c>
    </row>
    <row r="7" spans="1:19" x14ac:dyDescent="0.25">
      <c r="A7" s="574" t="s">
        <v>1013</v>
      </c>
    </row>
    <row r="8" spans="1:19" x14ac:dyDescent="0.25">
      <c r="A8" s="39" t="s">
        <v>1021</v>
      </c>
      <c r="C8" s="39"/>
      <c r="M8" s="39"/>
    </row>
    <row r="9" spans="1:19" x14ac:dyDescent="0.25">
      <c r="B9" s="4"/>
      <c r="L9" s="4"/>
    </row>
    <row r="10" spans="1:19" ht="18" x14ac:dyDescent="0.35">
      <c r="B10" s="4" t="s">
        <v>885</v>
      </c>
      <c r="D10" s="39" t="s">
        <v>149</v>
      </c>
      <c r="L10" s="4" t="str">
        <f>'Modelled Results'!B84</f>
        <v>Activity data</v>
      </c>
      <c r="M10" s="4"/>
      <c r="N10" s="4"/>
      <c r="O10" s="4"/>
      <c r="P10" s="39" t="s">
        <v>150</v>
      </c>
    </row>
    <row r="11" spans="1:19" ht="45" x14ac:dyDescent="0.25">
      <c r="B11" s="233"/>
      <c r="C11" s="237">
        <f>'Modelled Results'!C85</f>
        <v>2022</v>
      </c>
      <c r="D11" s="237" t="s">
        <v>151</v>
      </c>
      <c r="E11" s="237" t="s">
        <v>107</v>
      </c>
      <c r="F11" s="237" t="s">
        <v>152</v>
      </c>
      <c r="G11" s="237" t="s">
        <v>153</v>
      </c>
      <c r="L11" s="233" t="str">
        <f>'Modelled Results'!B85</f>
        <v>Modelled Activity Data</v>
      </c>
      <c r="M11" s="233">
        <f>'Modelled Results'!C85</f>
        <v>2022</v>
      </c>
      <c r="N11" s="233" t="str">
        <f>'Modelled Results'!J85</f>
        <v>Emission Source Type</v>
      </c>
      <c r="O11" s="233" t="str">
        <f>'Modelled Results'!K85</f>
        <v>Unit</v>
      </c>
      <c r="P11" s="237" t="s">
        <v>151</v>
      </c>
      <c r="Q11" s="237" t="s">
        <v>107</v>
      </c>
      <c r="R11" s="237" t="s">
        <v>152</v>
      </c>
      <c r="S11" s="237" t="s">
        <v>153</v>
      </c>
    </row>
    <row r="12" spans="1:19" x14ac:dyDescent="0.25">
      <c r="B12" s="238" t="str">
        <f>'Modelled Results'!B15</f>
        <v>Wastewater</v>
      </c>
      <c r="C12" s="117">
        <f>'Modelled Results'!C15</f>
        <v>2355.8081390900002</v>
      </c>
      <c r="D12" s="251"/>
      <c r="E12" s="34" t="s">
        <v>113</v>
      </c>
      <c r="F12" s="118" t="e">
        <f t="shared" ref="F12:F40" si="0">(C12-D12)/D12</f>
        <v>#DIV/0!</v>
      </c>
      <c r="G12" s="30"/>
      <c r="L12" s="34" t="str">
        <f>'Modelled Results'!B86</f>
        <v>Wastewater</v>
      </c>
      <c r="M12" s="30">
        <f>'Modelled Results'!C86</f>
        <v>2355.8081390900002</v>
      </c>
      <c r="N12" s="34" t="str">
        <f>'Modelled Results'!J86</f>
        <v>Direct</v>
      </c>
      <c r="O12" s="34" t="str">
        <f>'Modelled Results'!K86</f>
        <v>tCO2e</v>
      </c>
      <c r="P12" s="251"/>
      <c r="Q12" s="251"/>
      <c r="R12" s="94" t="e">
        <f t="shared" ref="R12:R35" si="1">(M12-P12)/P12</f>
        <v>#DIV/0!</v>
      </c>
      <c r="S12" s="30"/>
    </row>
    <row r="13" spans="1:19" x14ac:dyDescent="0.25">
      <c r="B13" s="238" t="str">
        <f>'Modelled Results'!B16</f>
        <v>Solid Waste</v>
      </c>
      <c r="C13" s="117">
        <f>'Modelled Results'!C16</f>
        <v>3399.479027901561</v>
      </c>
      <c r="D13" s="251"/>
      <c r="E13" s="34" t="s">
        <v>113</v>
      </c>
      <c r="F13" s="118" t="e">
        <f t="shared" si="0"/>
        <v>#DIV/0!</v>
      </c>
      <c r="G13" s="30"/>
      <c r="L13" s="34" t="str">
        <f>'Modelled Results'!B87</f>
        <v>Municipal Solid Waste</v>
      </c>
      <c r="M13" s="30">
        <f>'Modelled Results'!C87</f>
        <v>14667.369455388191</v>
      </c>
      <c r="N13" s="34" t="str">
        <f>'Modelled Results'!J87</f>
        <v>Solid Waste</v>
      </c>
      <c r="O13" s="34" t="str">
        <f>'Modelled Results'!K87</f>
        <v>tMSW</v>
      </c>
      <c r="P13" s="251"/>
      <c r="Q13" s="251"/>
      <c r="R13" s="94" t="e">
        <f t="shared" si="1"/>
        <v>#DIV/0!</v>
      </c>
      <c r="S13" s="30"/>
    </row>
    <row r="14" spans="1:19" x14ac:dyDescent="0.25">
      <c r="B14" s="238" t="str">
        <f>'Modelled Results'!B17</f>
        <v>Composting</v>
      </c>
      <c r="C14" s="117">
        <f>'Modelled Results'!C17</f>
        <v>116.99135332560843</v>
      </c>
      <c r="D14" s="251"/>
      <c r="E14" s="34" t="s">
        <v>113</v>
      </c>
      <c r="F14" s="118" t="e">
        <f t="shared" si="0"/>
        <v>#DIV/0!</v>
      </c>
      <c r="G14" s="30"/>
      <c r="L14" s="34" t="str">
        <f>'Modelled Results'!B88</f>
        <v>Composting</v>
      </c>
      <c r="M14" s="30">
        <f>'Modelled Results'!C88</f>
        <v>666.23777520278145</v>
      </c>
      <c r="N14" s="34" t="str">
        <f>'Modelled Results'!J88</f>
        <v>Composting</v>
      </c>
      <c r="O14" s="34" t="str">
        <f>'Modelled Results'!K88</f>
        <v>t</v>
      </c>
      <c r="P14" s="251"/>
      <c r="Q14" s="251"/>
      <c r="R14" s="94" t="e">
        <f t="shared" si="1"/>
        <v>#DIV/0!</v>
      </c>
      <c r="S14" s="30"/>
    </row>
    <row r="15" spans="1:19" x14ac:dyDescent="0.25">
      <c r="B15" s="238" t="str">
        <f>'Modelled Results'!B18</f>
        <v>Natural Gas</v>
      </c>
      <c r="C15" s="117">
        <f>'Modelled Results'!C18</f>
        <v>49807.54870939839</v>
      </c>
      <c r="D15" s="251"/>
      <c r="E15" s="34" t="s">
        <v>113</v>
      </c>
      <c r="F15" s="118" t="e">
        <f t="shared" si="0"/>
        <v>#DIV/0!</v>
      </c>
      <c r="G15" s="30"/>
      <c r="L15" s="34" t="str">
        <f>'Modelled Results'!B89</f>
        <v>Gas</v>
      </c>
      <c r="M15" s="30">
        <f>'Modelled Results'!C89</f>
        <v>893576.41171812627</v>
      </c>
      <c r="N15" s="34" t="str">
        <f>'Modelled Results'!J89</f>
        <v>Natural Gas Total</v>
      </c>
      <c r="O15" s="34" t="str">
        <f>'Modelled Results'!K89</f>
        <v>GJ</v>
      </c>
      <c r="P15" s="251"/>
      <c r="Q15" s="251"/>
      <c r="R15" s="94" t="e">
        <f t="shared" si="1"/>
        <v>#DIV/0!</v>
      </c>
      <c r="S15" s="30"/>
    </row>
    <row r="16" spans="1:19" x14ac:dyDescent="0.25">
      <c r="B16" s="238" t="str">
        <f>'Modelled Results'!B19</f>
        <v>Coal</v>
      </c>
      <c r="C16" s="117">
        <f>'Modelled Results'!C19</f>
        <v>33465.046357410363</v>
      </c>
      <c r="D16" s="251"/>
      <c r="E16" s="34" t="s">
        <v>113</v>
      </c>
      <c r="F16" s="118" t="e">
        <f t="shared" si="0"/>
        <v>#DIV/0!</v>
      </c>
      <c r="G16" s="30"/>
      <c r="L16" s="34" t="str">
        <f>'Modelled Results'!B90</f>
        <v>Coal</v>
      </c>
      <c r="M16" s="30">
        <f>'Modelled Results'!C90</f>
        <v>378206.55549315282</v>
      </c>
      <c r="N16" s="34" t="str">
        <f>'Modelled Results'!J90</f>
        <v>Coal</v>
      </c>
      <c r="O16" s="34" t="str">
        <f>'Modelled Results'!K90</f>
        <v>GJ</v>
      </c>
      <c r="P16" s="251"/>
      <c r="Q16" s="251"/>
      <c r="R16" s="94" t="e">
        <f t="shared" si="1"/>
        <v>#DIV/0!</v>
      </c>
      <c r="S16" s="30"/>
    </row>
    <row r="17" spans="2:19" x14ac:dyDescent="0.25">
      <c r="B17" s="238" t="str">
        <f>'Modelled Results'!B20</f>
        <v>Stationary Diesel</v>
      </c>
      <c r="C17" s="117">
        <f>'Modelled Results'!C20</f>
        <v>16907.099179022527</v>
      </c>
      <c r="D17" s="251"/>
      <c r="E17" s="34" t="s">
        <v>113</v>
      </c>
      <c r="F17" s="118" t="e">
        <f t="shared" si="0"/>
        <v>#DIV/0!</v>
      </c>
      <c r="G17" s="30"/>
      <c r="L17" s="34" t="str">
        <f>'Modelled Results'!B91</f>
        <v>Stationary Diesel</v>
      </c>
      <c r="M17" s="30">
        <f>'Modelled Results'!C91</f>
        <v>6227585.5710199699</v>
      </c>
      <c r="N17" s="34" t="str">
        <f>'Modelled Results'!J91</f>
        <v>Diesel</v>
      </c>
      <c r="O17" s="34" t="str">
        <f>'Modelled Results'!K91</f>
        <v>L</v>
      </c>
      <c r="P17" s="251"/>
      <c r="Q17" s="251"/>
      <c r="R17" s="94" t="e">
        <f t="shared" si="1"/>
        <v>#DIV/0!</v>
      </c>
      <c r="S17" s="30"/>
    </row>
    <row r="18" spans="2:19" x14ac:dyDescent="0.25">
      <c r="B18" s="238" t="str">
        <f>'Modelled Results'!B21</f>
        <v>Stationary Petrol</v>
      </c>
      <c r="C18" s="117">
        <f>'Modelled Results'!C21</f>
        <v>6984.5456617808768</v>
      </c>
      <c r="D18" s="251"/>
      <c r="E18" s="34" t="s">
        <v>113</v>
      </c>
      <c r="F18" s="118" t="e">
        <f t="shared" si="0"/>
        <v>#DIV/0!</v>
      </c>
      <c r="G18" s="30"/>
      <c r="L18" s="34" t="str">
        <f>'Modelled Results'!B92</f>
        <v>Stationary Petrol</v>
      </c>
      <c r="M18" s="30">
        <f>'Modelled Results'!C92</f>
        <v>2844830.6881454801</v>
      </c>
      <c r="N18" s="34" t="str">
        <f>'Modelled Results'!J92</f>
        <v>Petrol</v>
      </c>
      <c r="O18" s="34" t="str">
        <f>'Modelled Results'!K92</f>
        <v>L</v>
      </c>
      <c r="P18" s="251"/>
      <c r="Q18" s="251"/>
      <c r="R18" s="94" t="e">
        <f t="shared" si="1"/>
        <v>#DIV/0!</v>
      </c>
      <c r="S18" s="30"/>
    </row>
    <row r="19" spans="2:19" x14ac:dyDescent="0.25">
      <c r="B19" s="238" t="str">
        <f>'Modelled Results'!B22</f>
        <v>Stationary LPG</v>
      </c>
      <c r="C19" s="117">
        <f>'Modelled Results'!C22</f>
        <v>5238.9217431265097</v>
      </c>
      <c r="D19" s="251"/>
      <c r="E19" s="34" t="s">
        <v>113</v>
      </c>
      <c r="F19" s="118" t="e">
        <f t="shared" si="0"/>
        <v>#DIV/0!</v>
      </c>
      <c r="G19" s="30"/>
      <c r="L19" s="34" t="str">
        <f>'Modelled Results'!B93</f>
        <v>Stationary LPG</v>
      </c>
      <c r="M19" s="30">
        <f>'Modelled Results'!C93</f>
        <v>3471299.9999999995</v>
      </c>
      <c r="N19" s="34" t="str">
        <f>'Modelled Results'!J93</f>
        <v>LPG</v>
      </c>
      <c r="O19" s="34" t="str">
        <f>'Modelled Results'!K93</f>
        <v>L</v>
      </c>
      <c r="P19" s="251"/>
      <c r="Q19" s="251"/>
      <c r="R19" s="94" t="e">
        <f t="shared" si="1"/>
        <v>#DIV/0!</v>
      </c>
      <c r="S19" s="30"/>
    </row>
    <row r="20" spans="2:19" x14ac:dyDescent="0.25">
      <c r="B20" s="238" t="str">
        <f>'Modelled Results'!B23</f>
        <v>Industrial Electricity</v>
      </c>
      <c r="C20" s="117">
        <f>'Modelled Results'!C23</f>
        <v>20358.899882900674</v>
      </c>
      <c r="D20" s="251"/>
      <c r="E20" s="34" t="s">
        <v>113</v>
      </c>
      <c r="F20" s="118" t="e">
        <f t="shared" si="0"/>
        <v>#DIV/0!</v>
      </c>
      <c r="G20" s="30"/>
      <c r="L20" s="34" t="str">
        <f>'Modelled Results'!B94</f>
        <v>Industrial Electricity</v>
      </c>
      <c r="M20" s="30">
        <f>'Modelled Results'!C94</f>
        <v>20358.899882900674</v>
      </c>
      <c r="N20" s="34" t="str">
        <f>'Modelled Results'!J94</f>
        <v>Direct</v>
      </c>
      <c r="O20" s="34" t="str">
        <f>'Modelled Results'!K94</f>
        <v>tCO2e</v>
      </c>
      <c r="P20" s="251"/>
      <c r="Q20" s="251"/>
      <c r="R20" s="94" t="e">
        <f t="shared" si="1"/>
        <v>#DIV/0!</v>
      </c>
      <c r="S20" s="30"/>
    </row>
    <row r="21" spans="2:19" x14ac:dyDescent="0.25">
      <c r="B21" s="238" t="str">
        <f>'Modelled Results'!B24</f>
        <v>Commercial Electricity</v>
      </c>
      <c r="C21" s="117">
        <f>'Modelled Results'!C24</f>
        <v>12274.49411826215</v>
      </c>
      <c r="D21" s="251"/>
      <c r="E21" s="34" t="s">
        <v>113</v>
      </c>
      <c r="F21" s="118" t="e">
        <f t="shared" si="0"/>
        <v>#DIV/0!</v>
      </c>
      <c r="G21" s="30"/>
      <c r="L21" s="34" t="str">
        <f>'Modelled Results'!B95</f>
        <v>Commercial Electricity</v>
      </c>
      <c r="M21" s="30">
        <f>'Modelled Results'!C95</f>
        <v>12274.49411826215</v>
      </c>
      <c r="N21" s="34" t="str">
        <f>'Modelled Results'!J95</f>
        <v>Direct</v>
      </c>
      <c r="O21" s="34" t="str">
        <f>'Modelled Results'!K95</f>
        <v>tCO2e</v>
      </c>
      <c r="P21" s="251"/>
      <c r="Q21" s="251"/>
      <c r="R21" s="94" t="e">
        <f t="shared" si="1"/>
        <v>#DIV/0!</v>
      </c>
      <c r="S21" s="30"/>
    </row>
    <row r="22" spans="2:19" x14ac:dyDescent="0.25">
      <c r="B22" s="238" t="str">
        <f>'Modelled Results'!B25</f>
        <v>Residential Electricity</v>
      </c>
      <c r="C22" s="117">
        <f>'Modelled Results'!C25</f>
        <v>16653.902862603045</v>
      </c>
      <c r="D22" s="251"/>
      <c r="E22" s="34" t="s">
        <v>113</v>
      </c>
      <c r="F22" s="118" t="e">
        <f t="shared" si="0"/>
        <v>#DIV/0!</v>
      </c>
      <c r="G22" s="30"/>
      <c r="L22" s="34" t="str">
        <f>'Modelled Results'!B96</f>
        <v>Residential Electricity</v>
      </c>
      <c r="M22" s="30">
        <f>'Modelled Results'!C96</f>
        <v>16653.902862603045</v>
      </c>
      <c r="N22" s="34" t="str">
        <f>'Modelled Results'!J96</f>
        <v>Direct</v>
      </c>
      <c r="O22" s="34" t="str">
        <f>'Modelled Results'!K96</f>
        <v>tCO2e</v>
      </c>
      <c r="P22" s="251"/>
      <c r="Q22" s="251"/>
      <c r="R22" s="94" t="e">
        <f t="shared" si="1"/>
        <v>#DIV/0!</v>
      </c>
      <c r="S22" s="30"/>
    </row>
    <row r="23" spans="2:19" x14ac:dyDescent="0.25">
      <c r="B23" s="238" t="str">
        <f>'Modelled Results'!B26</f>
        <v>Transport Electricity</v>
      </c>
      <c r="C23" s="117">
        <f>'Modelled Results'!C26</f>
        <v>0</v>
      </c>
      <c r="D23" s="251"/>
      <c r="E23" s="34" t="s">
        <v>113</v>
      </c>
      <c r="F23" s="118" t="e">
        <f t="shared" si="0"/>
        <v>#DIV/0!</v>
      </c>
      <c r="G23" s="30"/>
      <c r="L23" s="34" t="str">
        <f>'Modelled Results'!B97</f>
        <v>Transport Electricity</v>
      </c>
      <c r="M23" s="30">
        <f>'Modelled Results'!C97</f>
        <v>0</v>
      </c>
      <c r="N23" s="34" t="str">
        <f>'Modelled Results'!J97</f>
        <v>Direct</v>
      </c>
      <c r="O23" s="34" t="str">
        <f>'Modelled Results'!K97</f>
        <v>tCO2e</v>
      </c>
      <c r="P23" s="251"/>
      <c r="Q23" s="251"/>
      <c r="R23" s="94" t="e">
        <f t="shared" si="1"/>
        <v>#DIV/0!</v>
      </c>
      <c r="S23" s="30"/>
    </row>
    <row r="24" spans="2:19" x14ac:dyDescent="0.25">
      <c r="B24" s="238" t="str">
        <f>'Modelled Results'!B27</f>
        <v>Petrol</v>
      </c>
      <c r="C24" s="117">
        <f>'Modelled Results'!C27</f>
        <v>99993.904035655665</v>
      </c>
      <c r="D24" s="251"/>
      <c r="E24" s="34" t="s">
        <v>113</v>
      </c>
      <c r="F24" s="118" t="e">
        <f t="shared" si="0"/>
        <v>#DIV/0!</v>
      </c>
      <c r="G24" s="30"/>
      <c r="L24" s="34" t="str">
        <f>'Modelled Results'!B98</f>
        <v>Petrol</v>
      </c>
      <c r="M24" s="30">
        <f>'Modelled Results'!C98</f>
        <v>40727878.462401815</v>
      </c>
      <c r="N24" s="34" t="str">
        <f>'Modelled Results'!J98</f>
        <v>Petrol</v>
      </c>
      <c r="O24" s="34" t="str">
        <f>'Modelled Results'!K98</f>
        <v>L</v>
      </c>
      <c r="P24" s="251"/>
      <c r="Q24" s="251"/>
      <c r="R24" s="94" t="e">
        <f t="shared" si="1"/>
        <v>#DIV/0!</v>
      </c>
      <c r="S24" s="30"/>
    </row>
    <row r="25" spans="2:19" x14ac:dyDescent="0.25">
      <c r="B25" s="238" t="str">
        <f>'Modelled Results'!B28</f>
        <v>Diesel</v>
      </c>
      <c r="C25" s="117">
        <f>'Modelled Results'!C28</f>
        <v>92353.699107082954</v>
      </c>
      <c r="D25" s="251"/>
      <c r="E25" s="34" t="s">
        <v>113</v>
      </c>
      <c r="F25" s="118" t="e">
        <f t="shared" si="0"/>
        <v>#DIV/0!</v>
      </c>
      <c r="G25" s="30"/>
      <c r="L25" s="34" t="str">
        <f>'Modelled Results'!B99</f>
        <v>Diesel</v>
      </c>
      <c r="M25" s="30">
        <f>'Modelled Results'!C99</f>
        <v>34017696.22923813</v>
      </c>
      <c r="N25" s="34" t="str">
        <f>'Modelled Results'!J99</f>
        <v>Diesel</v>
      </c>
      <c r="O25" s="34" t="str">
        <f>'Modelled Results'!K99</f>
        <v>L</v>
      </c>
      <c r="P25" s="251"/>
      <c r="Q25" s="251"/>
      <c r="R25" s="94" t="e">
        <f t="shared" si="1"/>
        <v>#DIV/0!</v>
      </c>
      <c r="S25" s="30"/>
    </row>
    <row r="26" spans="2:19" x14ac:dyDescent="0.25">
      <c r="B26" s="238" t="str">
        <f>'Modelled Results'!B29</f>
        <v>Jet Kerosene</v>
      </c>
      <c r="C26" s="117">
        <f>'Modelled Results'!C29</f>
        <v>11138.818087366524</v>
      </c>
      <c r="D26" s="251"/>
      <c r="E26" s="34" t="s">
        <v>113</v>
      </c>
      <c r="F26" s="118" t="e">
        <f t="shared" si="0"/>
        <v>#DIV/0!</v>
      </c>
      <c r="G26" s="30"/>
      <c r="L26" s="34" t="str">
        <f>'Modelled Results'!B100</f>
        <v>Jet Kerosene</v>
      </c>
      <c r="M26" s="30">
        <f>'Modelled Results'!C100</f>
        <v>4350044.3909544628</v>
      </c>
      <c r="N26" s="34" t="str">
        <f>'Modelled Results'!J100</f>
        <v>Jet Kerosene</v>
      </c>
      <c r="O26" s="34" t="str">
        <f>'Modelled Results'!K100</f>
        <v>L</v>
      </c>
      <c r="P26" s="251"/>
      <c r="Q26" s="251"/>
      <c r="R26" s="94" t="e">
        <f t="shared" si="1"/>
        <v>#DIV/0!</v>
      </c>
      <c r="S26" s="30"/>
    </row>
    <row r="27" spans="2:19" x14ac:dyDescent="0.25">
      <c r="B27" s="238" t="str">
        <f>'Modelled Results'!B30</f>
        <v>Aviation Gas</v>
      </c>
      <c r="C27" s="117">
        <f>'Modelled Results'!C30</f>
        <v>1301.3463305545229</v>
      </c>
      <c r="D27" s="251"/>
      <c r="E27" s="34" t="s">
        <v>113</v>
      </c>
      <c r="F27" s="118" t="e">
        <f t="shared" si="0"/>
        <v>#DIV/0!</v>
      </c>
      <c r="G27" s="30"/>
      <c r="L27" s="34" t="str">
        <f>'Modelled Results'!B101</f>
        <v>Aviation Gas</v>
      </c>
      <c r="M27" s="30">
        <f>'Modelled Results'!C101</f>
        <v>578623.93901467754</v>
      </c>
      <c r="N27" s="34" t="str">
        <f>'Modelled Results'!J101</f>
        <v>Aviation Gas</v>
      </c>
      <c r="O27" s="34" t="str">
        <f>'Modelled Results'!K101</f>
        <v>L</v>
      </c>
      <c r="P27" s="251"/>
      <c r="Q27" s="251"/>
      <c r="R27" s="94" t="e">
        <f t="shared" si="1"/>
        <v>#DIV/0!</v>
      </c>
      <c r="S27" s="30"/>
    </row>
    <row r="28" spans="2:19" x14ac:dyDescent="0.25">
      <c r="B28" s="238" t="str">
        <f>'Modelled Results'!B31</f>
        <v>LPG</v>
      </c>
      <c r="C28" s="117">
        <f>'Modelled Results'!C31</f>
        <v>812.00535555837973</v>
      </c>
      <c r="D28" s="251"/>
      <c r="E28" s="34" t="s">
        <v>113</v>
      </c>
      <c r="F28" s="118" t="e">
        <f t="shared" si="0"/>
        <v>#DIV/0!</v>
      </c>
      <c r="G28" s="30"/>
      <c r="L28" s="34" t="str">
        <f>'Modelled Results'!B102</f>
        <v>LPG</v>
      </c>
      <c r="M28" s="30">
        <f>'Modelled Results'!C102</f>
        <v>538033.26885880088</v>
      </c>
      <c r="N28" s="34" t="str">
        <f>'Modelled Results'!J102</f>
        <v>LPG</v>
      </c>
      <c r="O28" s="34" t="str">
        <f>'Modelled Results'!K102</f>
        <v>L</v>
      </c>
      <c r="P28" s="251"/>
      <c r="Q28" s="251"/>
      <c r="R28" s="94" t="e">
        <f t="shared" si="1"/>
        <v>#DIV/0!</v>
      </c>
      <c r="S28" s="30"/>
    </row>
    <row r="29" spans="2:19" x14ac:dyDescent="0.25">
      <c r="B29" s="238" t="str">
        <f>'Modelled Results'!B32</f>
        <v>Bioethanol</v>
      </c>
      <c r="C29" s="117">
        <f>'Modelled Results'!C32</f>
        <v>0</v>
      </c>
      <c r="D29" s="251"/>
      <c r="E29" s="34" t="s">
        <v>113</v>
      </c>
      <c r="F29" s="118" t="e">
        <f t="shared" si="0"/>
        <v>#DIV/0!</v>
      </c>
      <c r="G29" s="30"/>
      <c r="L29" s="34" t="str">
        <f>'Modelled Results'!B103</f>
        <v>Bioethanol</v>
      </c>
      <c r="M29" s="30">
        <f>'Modelled Results'!C103</f>
        <v>0</v>
      </c>
      <c r="N29" s="34" t="str">
        <f>'Modelled Results'!J103</f>
        <v>Bioethanol</v>
      </c>
      <c r="O29" s="34" t="str">
        <f>'Modelled Results'!K103</f>
        <v>L</v>
      </c>
      <c r="P29" s="251"/>
      <c r="Q29" s="251"/>
      <c r="R29" s="94" t="e">
        <f t="shared" si="1"/>
        <v>#DIV/0!</v>
      </c>
      <c r="S29" s="30"/>
    </row>
    <row r="30" spans="2:19" x14ac:dyDescent="0.25">
      <c r="B30" s="238" t="str">
        <f>'Modelled Results'!B33</f>
        <v>Biodiesel</v>
      </c>
      <c r="C30" s="117">
        <f>'Modelled Results'!C33</f>
        <v>0</v>
      </c>
      <c r="D30" s="251"/>
      <c r="E30" s="34" t="s">
        <v>113</v>
      </c>
      <c r="F30" s="118" t="e">
        <f t="shared" si="0"/>
        <v>#DIV/0!</v>
      </c>
      <c r="G30" s="30"/>
      <c r="L30" s="34" t="str">
        <f>'Modelled Results'!B104</f>
        <v>Biodiesel</v>
      </c>
      <c r="M30" s="30">
        <f>'Modelled Results'!C104</f>
        <v>0</v>
      </c>
      <c r="N30" s="34" t="str">
        <f>'Modelled Results'!J104</f>
        <v>Biodiesel</v>
      </c>
      <c r="O30" s="34" t="str">
        <f>'Modelled Results'!K104</f>
        <v>L</v>
      </c>
      <c r="P30" s="251"/>
      <c r="Q30" s="251"/>
      <c r="R30" s="94" t="e">
        <f t="shared" si="1"/>
        <v>#DIV/0!</v>
      </c>
      <c r="S30" s="30"/>
    </row>
    <row r="31" spans="2:19" x14ac:dyDescent="0.25">
      <c r="B31" s="238" t="str">
        <f>'Modelled Results'!B34</f>
        <v>Light Marine</v>
      </c>
      <c r="C31" s="117">
        <f>'Modelled Results'!C34</f>
        <v>0</v>
      </c>
      <c r="D31" s="251"/>
      <c r="E31" s="34" t="s">
        <v>113</v>
      </c>
      <c r="F31" s="118" t="e">
        <f t="shared" si="0"/>
        <v>#DIV/0!</v>
      </c>
      <c r="G31" s="30"/>
      <c r="L31" s="34" t="str">
        <f>'Modelled Results'!B105</f>
        <v>Light Fuel Oil (Marine)</v>
      </c>
      <c r="M31" s="30">
        <f>'Modelled Results'!C105</f>
        <v>0</v>
      </c>
      <c r="N31" s="34" t="str">
        <f>'Modelled Results'!J105</f>
        <v>Light Fuel Oil (Marine)</v>
      </c>
      <c r="O31" s="34" t="str">
        <f>'Modelled Results'!K105</f>
        <v>L</v>
      </c>
      <c r="P31" s="251"/>
      <c r="Q31" s="251"/>
      <c r="R31" s="94" t="e">
        <f t="shared" si="1"/>
        <v>#DIV/0!</v>
      </c>
      <c r="S31" s="30"/>
    </row>
    <row r="32" spans="2:19" x14ac:dyDescent="0.25">
      <c r="B32" s="238" t="str">
        <f>'Modelled Results'!B35</f>
        <v>Heavy Marine</v>
      </c>
      <c r="C32" s="117">
        <f>'Modelled Results'!C35</f>
        <v>0</v>
      </c>
      <c r="D32" s="251"/>
      <c r="E32" s="34" t="s">
        <v>113</v>
      </c>
      <c r="F32" s="118" t="e">
        <f t="shared" si="0"/>
        <v>#DIV/0!</v>
      </c>
      <c r="G32" s="30"/>
      <c r="L32" s="34" t="str">
        <f>'Modelled Results'!B106</f>
        <v>Heavy Fuel Oil (Marine)</v>
      </c>
      <c r="M32" s="30">
        <f>'Modelled Results'!C106</f>
        <v>0</v>
      </c>
      <c r="N32" s="34" t="str">
        <f>'Modelled Results'!J106</f>
        <v>Heavy Fuel Oil (Marine)</v>
      </c>
      <c r="O32" s="34" t="str">
        <f>'Modelled Results'!K106</f>
        <v>L</v>
      </c>
      <c r="P32" s="251"/>
      <c r="Q32" s="251"/>
      <c r="R32" s="94" t="e">
        <f t="shared" si="1"/>
        <v>#DIV/0!</v>
      </c>
      <c r="S32" s="30"/>
    </row>
    <row r="33" spans="2:19" x14ac:dyDescent="0.25">
      <c r="B33" s="238" t="str">
        <f>'Modelled Results'!B36</f>
        <v>Industrial Processes and Product Use (IPPU)</v>
      </c>
      <c r="C33" s="117">
        <f>'Modelled Results'!C36</f>
        <v>25679.38427410198</v>
      </c>
      <c r="D33" s="251"/>
      <c r="E33" s="34" t="s">
        <v>113</v>
      </c>
      <c r="F33" s="118" t="e">
        <f t="shared" si="0"/>
        <v>#DIV/0!</v>
      </c>
      <c r="G33" s="30"/>
      <c r="L33" s="34" t="str">
        <f>'Modelled Results'!B107</f>
        <v>Industrial Processes and Product Use (IPPU)</v>
      </c>
      <c r="M33" s="30">
        <f>'Modelled Results'!C107</f>
        <v>25679.38427410198</v>
      </c>
      <c r="N33" s="34" t="str">
        <f>'Modelled Results'!J107</f>
        <v>Direct</v>
      </c>
      <c r="O33" s="34" t="str">
        <f>'Modelled Results'!K107</f>
        <v>tCO2e</v>
      </c>
      <c r="P33" s="251"/>
      <c r="Q33" s="251"/>
      <c r="R33" s="94" t="e">
        <f t="shared" si="1"/>
        <v>#DIV/0!</v>
      </c>
      <c r="S33" s="30"/>
    </row>
    <row r="34" spans="2:19" x14ac:dyDescent="0.25">
      <c r="B34" s="238" t="str">
        <f>'Modelled Results'!B37</f>
        <v>Agriculture - Methane</v>
      </c>
      <c r="C34" s="117">
        <f>'Modelled Results'!C37</f>
        <v>79403.488593875925</v>
      </c>
      <c r="D34" s="251"/>
      <c r="E34" s="34" t="s">
        <v>113</v>
      </c>
      <c r="F34" s="118" t="e">
        <f t="shared" si="0"/>
        <v>#DIV/0!</v>
      </c>
      <c r="G34" s="30"/>
      <c r="L34" s="34" t="str">
        <f>'Modelled Results'!B108</f>
        <v>Agriculture - Methane</v>
      </c>
      <c r="M34" s="30">
        <f>'Modelled Results'!C108</f>
        <v>2835.8388783527116</v>
      </c>
      <c r="N34" s="34" t="str">
        <f>'Modelled Results'!J108</f>
        <v>Methane</v>
      </c>
      <c r="O34" s="34" t="str">
        <f>'Modelled Results'!K108</f>
        <v>tCH4</v>
      </c>
      <c r="P34" s="251"/>
      <c r="Q34" s="251"/>
      <c r="R34" s="94" t="e">
        <f t="shared" si="1"/>
        <v>#DIV/0!</v>
      </c>
      <c r="S34" s="30"/>
    </row>
    <row r="35" spans="2:19" x14ac:dyDescent="0.25">
      <c r="B35" s="238" t="str">
        <f>'Modelled Results'!B38</f>
        <v>Agriculture - Nitrous Oxide</v>
      </c>
      <c r="C35" s="117">
        <f>'Modelled Results'!C38</f>
        <v>10497.753390125976</v>
      </c>
      <c r="D35" s="251"/>
      <c r="E35" s="34" t="s">
        <v>113</v>
      </c>
      <c r="F35" s="118" t="e">
        <f t="shared" si="0"/>
        <v>#DIV/0!</v>
      </c>
      <c r="G35" s="30"/>
      <c r="L35" s="34" t="str">
        <f>'Modelled Results'!B109</f>
        <v>Agriculture - Nitrous Oxide</v>
      </c>
      <c r="M35" s="30">
        <f>'Modelled Results'!C109</f>
        <v>39.614163736324436</v>
      </c>
      <c r="N35" s="34" t="str">
        <f>'Modelled Results'!J109</f>
        <v>Nitrous Oxide</v>
      </c>
      <c r="O35" s="34" t="str">
        <f>'Modelled Results'!K109</f>
        <v>tN2O</v>
      </c>
      <c r="P35" s="251"/>
      <c r="Q35" s="251"/>
      <c r="R35" s="94" t="e">
        <f t="shared" si="1"/>
        <v>#DIV/0!</v>
      </c>
      <c r="S35" s="30"/>
    </row>
    <row r="36" spans="2:19" x14ac:dyDescent="0.25">
      <c r="B36" s="119" t="str">
        <f>'Modelled Results'!B39</f>
        <v>Gross Emissions</v>
      </c>
      <c r="C36" s="120">
        <f>'Modelled Results'!C39</f>
        <v>488743.13620914362</v>
      </c>
      <c r="D36" s="121"/>
      <c r="E36" s="62" t="s">
        <v>113</v>
      </c>
      <c r="F36" s="122" t="e">
        <f t="shared" si="0"/>
        <v>#DIV/0!</v>
      </c>
      <c r="G36" s="30"/>
      <c r="M36" s="25"/>
    </row>
    <row r="37" spans="2:19" x14ac:dyDescent="0.25">
      <c r="B37" s="238" t="str">
        <f>'Modelled Results'!B40</f>
        <v>Native Regen</v>
      </c>
      <c r="C37" s="117">
        <f>'Modelled Results'!C40</f>
        <v>-12979.169999999998</v>
      </c>
      <c r="D37" s="251"/>
      <c r="E37" s="34" t="s">
        <v>113</v>
      </c>
      <c r="F37" s="118" t="e">
        <f t="shared" si="0"/>
        <v>#DIV/0!</v>
      </c>
      <c r="G37" s="30"/>
      <c r="L37" s="34" t="str">
        <f>'Modelled Results'!B111</f>
        <v>Native Extent</v>
      </c>
      <c r="M37" s="30">
        <f>'Modelled Results'!C111</f>
        <v>2721</v>
      </c>
      <c r="N37" s="34" t="str">
        <f>'Modelled Results'!J111</f>
        <v>Native Regen</v>
      </c>
      <c r="O37" s="34" t="str">
        <f>'Modelled Results'!K111</f>
        <v>ha</v>
      </c>
      <c r="P37" s="251"/>
      <c r="Q37" s="251"/>
      <c r="R37" s="94" t="e">
        <f>(M37-P37)/P37</f>
        <v>#DIV/0!</v>
      </c>
      <c r="S37" s="30"/>
    </row>
    <row r="38" spans="2:19" x14ac:dyDescent="0.25">
      <c r="B38" s="238" t="str">
        <f>'Modelled Results'!B41</f>
        <v>Exotic Commercial</v>
      </c>
      <c r="C38" s="117">
        <f>'Modelled Results'!C41</f>
        <v>-63257</v>
      </c>
      <c r="D38" s="251"/>
      <c r="E38" s="34" t="s">
        <v>113</v>
      </c>
      <c r="F38" s="118" t="e">
        <f t="shared" si="0"/>
        <v>#DIV/0!</v>
      </c>
      <c r="G38" s="30"/>
      <c r="L38" s="34" t="str">
        <f>'Modelled Results'!B112</f>
        <v>Exotic Extent</v>
      </c>
      <c r="M38" s="30">
        <f>'Modelled Results'!C112</f>
        <v>3721</v>
      </c>
      <c r="N38" s="34" t="str">
        <f>'Modelled Results'!J112</f>
        <v>Exotic Commercial</v>
      </c>
      <c r="O38" s="34" t="str">
        <f>'Modelled Results'!K112</f>
        <v>ha</v>
      </c>
      <c r="P38" s="251"/>
      <c r="Q38" s="251"/>
      <c r="R38" s="94" t="e">
        <f>(M38-P38)/P38</f>
        <v>#DIV/0!</v>
      </c>
      <c r="S38" s="30"/>
    </row>
    <row r="39" spans="2:19" x14ac:dyDescent="0.25">
      <c r="B39" s="238" t="str">
        <f>'Modelled Results'!B42</f>
        <v>Soil Sequestration</v>
      </c>
      <c r="C39" s="117">
        <f>'Modelled Results'!C42</f>
        <v>0</v>
      </c>
      <c r="D39" s="251"/>
      <c r="E39" s="34" t="s">
        <v>113</v>
      </c>
      <c r="F39" s="118" t="e">
        <f t="shared" si="0"/>
        <v>#DIV/0!</v>
      </c>
      <c r="G39" s="30"/>
      <c r="L39" s="34" t="str">
        <f>'Modelled Results'!B113</f>
        <v>Soil Sequestration</v>
      </c>
      <c r="M39" s="30">
        <f>'Modelled Results'!C113</f>
        <v>0</v>
      </c>
      <c r="N39" s="34" t="str">
        <f>'Modelled Results'!J113</f>
        <v>Direct</v>
      </c>
      <c r="O39" s="34" t="str">
        <f>'Modelled Results'!K113</f>
        <v>tCO2e</v>
      </c>
      <c r="P39" s="251"/>
      <c r="Q39" s="251"/>
      <c r="R39" s="94" t="e">
        <f>(M39-P39)/P39</f>
        <v>#DIV/0!</v>
      </c>
      <c r="S39" s="30"/>
    </row>
    <row r="40" spans="2:19" x14ac:dyDescent="0.25">
      <c r="B40" s="119" t="str">
        <f>'Modelled Results'!B43</f>
        <v>Net Emissions</v>
      </c>
      <c r="C40" s="120">
        <f>'Modelled Results'!C43</f>
        <v>412506.96620914363</v>
      </c>
      <c r="D40" s="121"/>
      <c r="E40" s="62" t="s">
        <v>113</v>
      </c>
      <c r="F40" s="122" t="e">
        <f t="shared" si="0"/>
        <v>#DIV/0!</v>
      </c>
      <c r="G40" s="30"/>
    </row>
    <row r="42" spans="2:19" ht="45" x14ac:dyDescent="0.25">
      <c r="B42" s="233"/>
      <c r="C42" s="237">
        <f>C11</f>
        <v>2022</v>
      </c>
      <c r="D42" s="237" t="s">
        <v>151</v>
      </c>
      <c r="E42" s="237" t="s">
        <v>107</v>
      </c>
      <c r="F42" s="237" t="s">
        <v>152</v>
      </c>
      <c r="G42" s="237" t="s">
        <v>153</v>
      </c>
    </row>
    <row r="43" spans="2:19" x14ac:dyDescent="0.25">
      <c r="B43" s="238" t="str">
        <f>'Modelled Results'!B46</f>
        <v>Waste</v>
      </c>
      <c r="C43" s="117">
        <f>'Modelled Results'!C46</f>
        <v>5872.2785203171698</v>
      </c>
      <c r="D43" s="251"/>
      <c r="E43" s="34" t="s">
        <v>113</v>
      </c>
      <c r="F43" s="118" t="e">
        <f t="shared" ref="F43:F50" si="2">(C43-D43)/D43</f>
        <v>#DIV/0!</v>
      </c>
      <c r="G43" s="34"/>
    </row>
    <row r="44" spans="2:19" x14ac:dyDescent="0.25">
      <c r="B44" s="238" t="str">
        <f>'Modelled Results'!B47</f>
        <v>Stationary Energy</v>
      </c>
      <c r="C44" s="117">
        <f>'Modelled Results'!C47</f>
        <v>161690.45851450451</v>
      </c>
      <c r="D44" s="251"/>
      <c r="E44" s="34" t="s">
        <v>113</v>
      </c>
      <c r="F44" s="118" t="e">
        <f t="shared" si="2"/>
        <v>#DIV/0!</v>
      </c>
      <c r="G44" s="34"/>
    </row>
    <row r="45" spans="2:19" x14ac:dyDescent="0.25">
      <c r="B45" s="238" t="str">
        <f>'Modelled Results'!B48</f>
        <v>Transport</v>
      </c>
      <c r="C45" s="117">
        <f>'Modelled Results'!C48</f>
        <v>205599.77291621806</v>
      </c>
      <c r="D45" s="251"/>
      <c r="E45" s="34" t="s">
        <v>113</v>
      </c>
      <c r="F45" s="118" t="e">
        <f t="shared" si="2"/>
        <v>#DIV/0!</v>
      </c>
      <c r="G45" s="34"/>
    </row>
    <row r="46" spans="2:19" x14ac:dyDescent="0.25">
      <c r="B46" s="238" t="str">
        <f>'Modelled Results'!B49</f>
        <v>Industrial Processes and Product Use (IPPU)</v>
      </c>
      <c r="C46" s="117">
        <f>'Modelled Results'!C49</f>
        <v>25679.38427410198</v>
      </c>
      <c r="D46" s="251"/>
      <c r="E46" s="34" t="s">
        <v>113</v>
      </c>
      <c r="F46" s="118" t="e">
        <f t="shared" si="2"/>
        <v>#DIV/0!</v>
      </c>
      <c r="G46" s="34"/>
    </row>
    <row r="47" spans="2:19" x14ac:dyDescent="0.25">
      <c r="B47" s="238" t="str">
        <f>'Modelled Results'!B50</f>
        <v>Agriculture</v>
      </c>
      <c r="C47" s="117">
        <f>'Modelled Results'!C50</f>
        <v>89901.241984001899</v>
      </c>
      <c r="D47" s="251"/>
      <c r="E47" s="34" t="s">
        <v>113</v>
      </c>
      <c r="F47" s="118" t="e">
        <f t="shared" si="2"/>
        <v>#DIV/0!</v>
      </c>
      <c r="G47" s="34"/>
    </row>
    <row r="48" spans="2:19" x14ac:dyDescent="0.25">
      <c r="B48" s="119" t="str">
        <f>'Modelled Results'!B51</f>
        <v>Gross Emissions</v>
      </c>
      <c r="C48" s="120">
        <f>'Modelled Results'!C51</f>
        <v>488743.13620914362</v>
      </c>
      <c r="D48" s="121"/>
      <c r="E48" s="62" t="s">
        <v>113</v>
      </c>
      <c r="F48" s="122" t="e">
        <f t="shared" si="2"/>
        <v>#DIV/0!</v>
      </c>
      <c r="G48" s="34"/>
    </row>
    <row r="49" spans="2:7" x14ac:dyDescent="0.25">
      <c r="B49" s="238" t="str">
        <f>'Modelled Results'!B52</f>
        <v>Sequestration</v>
      </c>
      <c r="C49" s="117">
        <f>'Modelled Results'!C52</f>
        <v>-76236.17</v>
      </c>
      <c r="D49" s="251"/>
      <c r="E49" s="34" t="s">
        <v>113</v>
      </c>
      <c r="F49" s="118" t="e">
        <f t="shared" si="2"/>
        <v>#DIV/0!</v>
      </c>
      <c r="G49" s="34"/>
    </row>
    <row r="50" spans="2:7" x14ac:dyDescent="0.25">
      <c r="B50" s="119" t="str">
        <f>'Modelled Results'!B53</f>
        <v>Net Emissions</v>
      </c>
      <c r="C50" s="120">
        <f>'Modelled Results'!C53</f>
        <v>412506.96620914363</v>
      </c>
      <c r="D50" s="121"/>
      <c r="E50" s="62" t="s">
        <v>113</v>
      </c>
      <c r="F50" s="122" t="e">
        <f t="shared" si="2"/>
        <v>#DIV/0!</v>
      </c>
      <c r="G50" s="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245C8-65A7-4719-8976-4B5ABBB2868B}">
  <sheetPr codeName="Sheet9">
    <tabColor theme="5" tint="0.59999389629810485"/>
  </sheetPr>
  <dimension ref="A1:T65"/>
  <sheetViews>
    <sheetView showGridLines="0" zoomScale="80" zoomScaleNormal="80" workbookViewId="0">
      <selection activeCell="G44" sqref="G44"/>
    </sheetView>
  </sheetViews>
  <sheetFormatPr defaultRowHeight="15" x14ac:dyDescent="0.25"/>
  <cols>
    <col min="2" max="2" width="33.140625" customWidth="1"/>
    <col min="3" max="3" width="23.28515625" customWidth="1"/>
    <col min="4" max="4" width="16.7109375" customWidth="1"/>
    <col min="5" max="5" width="15.28515625" customWidth="1"/>
    <col min="6" max="6" width="16" customWidth="1"/>
    <col min="7" max="7" width="15.85546875" customWidth="1"/>
    <col min="8" max="8" width="15.5703125" customWidth="1"/>
    <col min="9" max="9" width="15.28515625" customWidth="1"/>
    <col min="10" max="10" width="27" customWidth="1"/>
    <col min="11" max="11" width="32" customWidth="1"/>
    <col min="12" max="12" width="40.140625" customWidth="1"/>
    <col min="13" max="13" width="12.5703125" bestFit="1" customWidth="1"/>
    <col min="15" max="15" width="53.85546875" customWidth="1"/>
    <col min="16" max="16" width="14.28515625" customWidth="1"/>
  </cols>
  <sheetData>
    <row r="1" spans="1:13" ht="23.25" x14ac:dyDescent="0.35">
      <c r="A1" s="35" t="s">
        <v>44</v>
      </c>
    </row>
    <row r="2" spans="1:13" ht="23.25" x14ac:dyDescent="0.35">
      <c r="A2" s="35" t="s">
        <v>1020</v>
      </c>
    </row>
    <row r="4" spans="1:13" x14ac:dyDescent="0.25">
      <c r="A4" s="4" t="s">
        <v>878</v>
      </c>
      <c r="B4" s="1"/>
    </row>
    <row r="5" spans="1:13" x14ac:dyDescent="0.25">
      <c r="A5" s="197" t="s">
        <v>876</v>
      </c>
      <c r="J5" s="55"/>
    </row>
    <row r="6" spans="1:13" x14ac:dyDescent="0.25">
      <c r="A6" s="197" t="s">
        <v>877</v>
      </c>
      <c r="J6" s="55"/>
    </row>
    <row r="8" spans="1:13" x14ac:dyDescent="0.25">
      <c r="A8" s="4" t="s">
        <v>869</v>
      </c>
      <c r="M8" s="12"/>
    </row>
    <row r="9" spans="1:13" x14ac:dyDescent="0.25">
      <c r="A9" s="197" t="s">
        <v>866</v>
      </c>
      <c r="M9" s="12"/>
    </row>
    <row r="10" spans="1:13" x14ac:dyDescent="0.25">
      <c r="A10" s="197" t="s">
        <v>867</v>
      </c>
      <c r="C10" s="407"/>
      <c r="D10" s="407"/>
      <c r="E10" s="407"/>
      <c r="F10" s="407"/>
      <c r="G10" s="407"/>
      <c r="H10" s="407"/>
      <c r="I10" s="407"/>
      <c r="M10" s="12"/>
    </row>
    <row r="11" spans="1:13" ht="30" x14ac:dyDescent="0.25">
      <c r="B11" s="199"/>
      <c r="C11" s="198" t="s">
        <v>475</v>
      </c>
      <c r="D11" s="198" t="s">
        <v>476</v>
      </c>
      <c r="E11" s="198" t="s">
        <v>477</v>
      </c>
      <c r="F11" s="198" t="s">
        <v>478</v>
      </c>
      <c r="G11" s="198" t="s">
        <v>479</v>
      </c>
      <c r="H11" s="198" t="s">
        <v>480</v>
      </c>
      <c r="I11" s="198" t="s">
        <v>481</v>
      </c>
      <c r="J11" s="198" t="s">
        <v>856</v>
      </c>
      <c r="M11" s="12"/>
    </row>
    <row r="12" spans="1:13" x14ac:dyDescent="0.25">
      <c r="B12" s="150" t="s">
        <v>868</v>
      </c>
      <c r="C12" s="408">
        <v>2022</v>
      </c>
      <c r="D12" s="409">
        <v>2025</v>
      </c>
      <c r="E12" s="410">
        <v>2030</v>
      </c>
      <c r="F12" s="410">
        <v>2035</v>
      </c>
      <c r="G12" s="410">
        <v>2040</v>
      </c>
      <c r="H12" s="410">
        <v>2045</v>
      </c>
      <c r="I12" s="410">
        <v>2050</v>
      </c>
      <c r="J12" s="155"/>
      <c r="L12" s="54"/>
      <c r="M12" s="12"/>
    </row>
    <row r="14" spans="1:13" x14ac:dyDescent="0.25">
      <c r="A14" s="4" t="s">
        <v>870</v>
      </c>
    </row>
    <row r="15" spans="1:13" x14ac:dyDescent="0.25">
      <c r="A15" s="197" t="s">
        <v>871</v>
      </c>
    </row>
    <row r="16" spans="1:13" x14ac:dyDescent="0.25">
      <c r="B16" s="199" t="s">
        <v>482</v>
      </c>
      <c r="C16" s="198">
        <f t="shared" ref="C16:I16" si="0">C12</f>
        <v>2022</v>
      </c>
      <c r="D16" s="198">
        <f t="shared" si="0"/>
        <v>2025</v>
      </c>
      <c r="E16" s="198">
        <f t="shared" si="0"/>
        <v>2030</v>
      </c>
      <c r="F16" s="198">
        <f t="shared" si="0"/>
        <v>2035</v>
      </c>
      <c r="G16" s="198">
        <f t="shared" si="0"/>
        <v>2040</v>
      </c>
      <c r="H16" s="198">
        <f t="shared" si="0"/>
        <v>2045</v>
      </c>
      <c r="I16" s="198">
        <f t="shared" si="0"/>
        <v>2050</v>
      </c>
      <c r="J16" s="198" t="s">
        <v>335</v>
      </c>
      <c r="K16" s="198" t="s">
        <v>856</v>
      </c>
    </row>
    <row r="17" spans="1:11" x14ac:dyDescent="0.25">
      <c r="B17" s="150" t="s">
        <v>214</v>
      </c>
      <c r="C17" s="572">
        <v>93180</v>
      </c>
      <c r="D17" s="572">
        <v>95901</v>
      </c>
      <c r="E17" s="570">
        <v>100340</v>
      </c>
      <c r="F17" s="570">
        <v>104000</v>
      </c>
      <c r="G17" s="570">
        <f>F17+(F17-E17)</f>
        <v>107660</v>
      </c>
      <c r="H17" s="570">
        <f t="shared" ref="H17:I17" si="1">G17+(G17-F17)</f>
        <v>111320</v>
      </c>
      <c r="I17" s="570">
        <f t="shared" si="1"/>
        <v>114980</v>
      </c>
      <c r="J17" s="155"/>
      <c r="K17" s="155"/>
    </row>
    <row r="18" spans="1:11" x14ac:dyDescent="0.25">
      <c r="B18" s="150" t="s">
        <v>327</v>
      </c>
      <c r="C18" s="571">
        <f t="shared" ref="C18:I18" si="2">C17-C19</f>
        <v>88707</v>
      </c>
      <c r="D18" s="571">
        <f>D17-D19</f>
        <v>91298</v>
      </c>
      <c r="E18" s="571">
        <f t="shared" si="2"/>
        <v>95524</v>
      </c>
      <c r="F18" s="571">
        <f t="shared" si="2"/>
        <v>99008</v>
      </c>
      <c r="G18" s="571">
        <f t="shared" si="2"/>
        <v>102492</v>
      </c>
      <c r="H18" s="571">
        <f t="shared" si="2"/>
        <v>105977</v>
      </c>
      <c r="I18" s="571">
        <f t="shared" si="2"/>
        <v>109461</v>
      </c>
      <c r="J18" s="155"/>
      <c r="K18" s="155"/>
    </row>
    <row r="19" spans="1:11" x14ac:dyDescent="0.25">
      <c r="B19" s="150" t="s">
        <v>329</v>
      </c>
      <c r="C19" s="571">
        <v>4473</v>
      </c>
      <c r="D19" s="571">
        <v>4603</v>
      </c>
      <c r="E19" s="571">
        <v>4816</v>
      </c>
      <c r="F19" s="571">
        <v>4992</v>
      </c>
      <c r="G19" s="571">
        <v>5168</v>
      </c>
      <c r="H19" s="571">
        <v>5343</v>
      </c>
      <c r="I19" s="571">
        <v>5519</v>
      </c>
      <c r="J19" s="155"/>
      <c r="K19" s="155"/>
    </row>
    <row r="21" spans="1:11" x14ac:dyDescent="0.25">
      <c r="A21" s="4" t="s">
        <v>872</v>
      </c>
    </row>
    <row r="22" spans="1:11" x14ac:dyDescent="0.25">
      <c r="A22" s="197" t="s">
        <v>873</v>
      </c>
    </row>
    <row r="23" spans="1:11" x14ac:dyDescent="0.25">
      <c r="B23" s="199" t="s">
        <v>861</v>
      </c>
      <c r="C23" s="198">
        <f>C16</f>
        <v>2022</v>
      </c>
      <c r="D23" s="198" t="s">
        <v>335</v>
      </c>
      <c r="E23" s="198" t="s">
        <v>856</v>
      </c>
    </row>
    <row r="24" spans="1:11" x14ac:dyDescent="0.25">
      <c r="B24" s="196" t="s">
        <v>862</v>
      </c>
      <c r="C24" s="411">
        <f>(4400000/114804)*84639</f>
        <v>3243890.4567785091</v>
      </c>
      <c r="D24" s="155"/>
      <c r="E24" s="155"/>
    </row>
    <row r="26" spans="1:11" x14ac:dyDescent="0.25">
      <c r="B26" s="199" t="s">
        <v>861</v>
      </c>
      <c r="C26" s="198">
        <f t="shared" ref="C26:I26" si="3">C16</f>
        <v>2022</v>
      </c>
      <c r="D26" s="198">
        <f t="shared" si="3"/>
        <v>2025</v>
      </c>
      <c r="E26" s="198">
        <f t="shared" si="3"/>
        <v>2030</v>
      </c>
      <c r="F26" s="198">
        <f t="shared" si="3"/>
        <v>2035</v>
      </c>
      <c r="G26" s="198">
        <f t="shared" si="3"/>
        <v>2040</v>
      </c>
      <c r="H26" s="198">
        <f t="shared" si="3"/>
        <v>2045</v>
      </c>
      <c r="I26" s="198">
        <f t="shared" si="3"/>
        <v>2050</v>
      </c>
    </row>
    <row r="27" spans="1:11" x14ac:dyDescent="0.25">
      <c r="B27" s="151" t="s">
        <v>863</v>
      </c>
      <c r="C27" s="152">
        <f>C24/365</f>
        <v>8887.3711144616682</v>
      </c>
      <c r="D27" s="152">
        <f>$C27+'2. Industry'!D91</f>
        <v>9183.6168182770562</v>
      </c>
      <c r="E27" s="152">
        <f>$C27+'2. Industry'!E91</f>
        <v>9479.8625220924441</v>
      </c>
      <c r="F27" s="152">
        <f>$C27+'2. Industry'!F91</f>
        <v>9776.1082259078321</v>
      </c>
      <c r="G27" s="152">
        <f>$C27+'2. Industry'!G91</f>
        <v>10072.35392972322</v>
      </c>
      <c r="H27" s="152">
        <f>$C27+'2. Industry'!H91</f>
        <v>10368.599633538608</v>
      </c>
      <c r="I27" s="152">
        <f>$C27+'2. Industry'!I91</f>
        <v>10664.845337354001</v>
      </c>
    </row>
    <row r="28" spans="1:11" x14ac:dyDescent="0.25">
      <c r="B28" s="151" t="s">
        <v>483</v>
      </c>
      <c r="C28" s="152">
        <f>C27-$C27</f>
        <v>0</v>
      </c>
      <c r="D28" s="152">
        <f>D27-$C27</f>
        <v>296.24570381538797</v>
      </c>
      <c r="E28" s="152">
        <f t="shared" ref="E28:I28" si="4">E27-$C27</f>
        <v>592.49140763077594</v>
      </c>
      <c r="F28" s="152">
        <f t="shared" si="4"/>
        <v>888.73711144616391</v>
      </c>
      <c r="G28" s="152">
        <f t="shared" si="4"/>
        <v>1184.9828152615519</v>
      </c>
      <c r="H28" s="152">
        <f t="shared" si="4"/>
        <v>1481.2285190769398</v>
      </c>
      <c r="I28" s="152">
        <f t="shared" si="4"/>
        <v>1777.4742228923333</v>
      </c>
    </row>
    <row r="30" spans="1:11" x14ac:dyDescent="0.25">
      <c r="B30" s="199" t="s">
        <v>864</v>
      </c>
      <c r="C30" s="198">
        <f>C26</f>
        <v>2022</v>
      </c>
      <c r="D30" s="198">
        <f t="shared" ref="D30:I30" si="5">D26</f>
        <v>2025</v>
      </c>
      <c r="E30" s="198">
        <f t="shared" si="5"/>
        <v>2030</v>
      </c>
      <c r="F30" s="198">
        <f t="shared" si="5"/>
        <v>2035</v>
      </c>
      <c r="G30" s="198">
        <f t="shared" si="5"/>
        <v>2040</v>
      </c>
      <c r="H30" s="198">
        <f t="shared" si="5"/>
        <v>2045</v>
      </c>
      <c r="I30" s="198">
        <f t="shared" si="5"/>
        <v>2050</v>
      </c>
    </row>
    <row r="31" spans="1:11" x14ac:dyDescent="0.25">
      <c r="B31" s="151" t="s">
        <v>484</v>
      </c>
      <c r="C31" s="152">
        <f t="shared" ref="C31:I31" si="6">C17+C28</f>
        <v>93180</v>
      </c>
      <c r="D31" s="152">
        <f t="shared" si="6"/>
        <v>96197.245703815395</v>
      </c>
      <c r="E31" s="152">
        <f t="shared" si="6"/>
        <v>100932.49140763078</v>
      </c>
      <c r="F31" s="152">
        <f t="shared" si="6"/>
        <v>104888.73711144616</v>
      </c>
      <c r="G31" s="152">
        <f t="shared" si="6"/>
        <v>108844.98281526155</v>
      </c>
      <c r="H31" s="152">
        <f t="shared" si="6"/>
        <v>112801.22851907695</v>
      </c>
      <c r="I31" s="152">
        <f t="shared" si="6"/>
        <v>116757.47422289233</v>
      </c>
    </row>
    <row r="32" spans="1:11" x14ac:dyDescent="0.25">
      <c r="B32" s="151" t="s">
        <v>485</v>
      </c>
      <c r="C32" s="152">
        <f>$C$31+'Background Calcs. Housing'!D39</f>
        <v>93180</v>
      </c>
      <c r="D32" s="152">
        <f>$C$31+'Background Calcs. Housing'!E39</f>
        <v>98963.694441770247</v>
      </c>
      <c r="E32" s="152">
        <f>$C$31+'Background Calcs. Housing'!F39</f>
        <v>108389.55559770582</v>
      </c>
      <c r="F32" s="152">
        <f>$C$31+'Background Calcs. Housing'!G39</f>
        <v>117065.89690148673</v>
      </c>
      <c r="G32" s="152">
        <f>$C$31+'Background Calcs. Housing'!H39</f>
        <v>125697.21088059939</v>
      </c>
      <c r="H32" s="152">
        <f>$C$31+'Background Calcs. Housing'!I39</f>
        <v>134275.57499234032</v>
      </c>
      <c r="I32" s="152">
        <f>$C$31+'Background Calcs. Housing'!J39</f>
        <v>158131.88989825864</v>
      </c>
    </row>
    <row r="33" spans="1:20" x14ac:dyDescent="0.25">
      <c r="B33" s="151" t="s">
        <v>859</v>
      </c>
      <c r="C33" s="153">
        <f>C31/$C$31</f>
        <v>1</v>
      </c>
      <c r="D33" s="153">
        <f>D31/$C31</f>
        <v>1.032380829618109</v>
      </c>
      <c r="E33" s="153">
        <f t="shared" ref="E33:I33" si="7">E31/$C31</f>
        <v>1.0831990921617383</v>
      </c>
      <c r="F33" s="153">
        <f t="shared" si="7"/>
        <v>1.1256571915802336</v>
      </c>
      <c r="G33" s="153">
        <f t="shared" si="7"/>
        <v>1.1681152909987289</v>
      </c>
      <c r="H33" s="153">
        <f t="shared" si="7"/>
        <v>1.2105733904172242</v>
      </c>
      <c r="I33" s="153">
        <f t="shared" si="7"/>
        <v>1.2530314898357193</v>
      </c>
    </row>
    <row r="34" spans="1:20" x14ac:dyDescent="0.25">
      <c r="B34" s="151" t="s">
        <v>860</v>
      </c>
      <c r="C34" s="153">
        <f>C32/$C$32</f>
        <v>1</v>
      </c>
      <c r="D34" s="153">
        <f t="shared" ref="D34:I34" si="8">D32/$C$32</f>
        <v>1.062070127084892</v>
      </c>
      <c r="E34" s="153">
        <f t="shared" si="8"/>
        <v>1.1632276840277509</v>
      </c>
      <c r="F34" s="153">
        <f t="shared" si="8"/>
        <v>1.2563414563370545</v>
      </c>
      <c r="G34" s="153">
        <f t="shared" si="8"/>
        <v>1.3489719991478792</v>
      </c>
      <c r="H34" s="153">
        <f t="shared" si="8"/>
        <v>1.4410342883917184</v>
      </c>
      <c r="I34" s="153">
        <f t="shared" si="8"/>
        <v>1.6970582732159116</v>
      </c>
    </row>
    <row r="36" spans="1:20" x14ac:dyDescent="0.25">
      <c r="A36" s="4" t="s">
        <v>874</v>
      </c>
    </row>
    <row r="37" spans="1:20" x14ac:dyDescent="0.25">
      <c r="A37" s="197" t="s">
        <v>875</v>
      </c>
    </row>
    <row r="38" spans="1:20" x14ac:dyDescent="0.25">
      <c r="B38" s="199" t="s">
        <v>865</v>
      </c>
      <c r="C38" s="198">
        <f>C30</f>
        <v>2022</v>
      </c>
      <c r="D38" s="198">
        <f t="shared" ref="D38:I38" si="9">D30</f>
        <v>2025</v>
      </c>
      <c r="E38" s="198">
        <f t="shared" si="9"/>
        <v>2030</v>
      </c>
      <c r="F38" s="198">
        <f t="shared" si="9"/>
        <v>2035</v>
      </c>
      <c r="G38" s="198">
        <f t="shared" si="9"/>
        <v>2040</v>
      </c>
      <c r="H38" s="198">
        <f t="shared" si="9"/>
        <v>2045</v>
      </c>
      <c r="I38" s="198">
        <f t="shared" si="9"/>
        <v>2050</v>
      </c>
      <c r="J38" s="198" t="s">
        <v>335</v>
      </c>
      <c r="K38" s="198" t="s">
        <v>856</v>
      </c>
    </row>
    <row r="39" spans="1:20" x14ac:dyDescent="0.25">
      <c r="B39" s="150" t="s">
        <v>486</v>
      </c>
      <c r="C39" s="154">
        <v>34340</v>
      </c>
      <c r="D39" s="412">
        <v>35317</v>
      </c>
      <c r="E39" s="413">
        <v>36905</v>
      </c>
      <c r="F39" s="413">
        <v>38384</v>
      </c>
      <c r="G39" s="413">
        <f>F39+(F39-E39)</f>
        <v>39863</v>
      </c>
      <c r="H39" s="413">
        <f t="shared" ref="H39:I39" si="10">G39+(G39-F39)</f>
        <v>41342</v>
      </c>
      <c r="I39" s="413">
        <f t="shared" si="10"/>
        <v>42821</v>
      </c>
      <c r="J39" s="155"/>
      <c r="K39" s="155"/>
      <c r="O39" s="3"/>
      <c r="P39" s="3"/>
      <c r="Q39" s="3"/>
      <c r="R39" s="3"/>
      <c r="S39" s="3"/>
      <c r="T39" s="3"/>
    </row>
    <row r="40" spans="1:20" x14ac:dyDescent="0.25">
      <c r="B40" s="150" t="s">
        <v>487</v>
      </c>
      <c r="C40" s="414">
        <f t="shared" ref="C40:I40" si="11">C17/C39</f>
        <v>2.7134536983110076</v>
      </c>
      <c r="D40" s="414">
        <f t="shared" si="11"/>
        <v>2.7154344933035084</v>
      </c>
      <c r="E40" s="414">
        <f t="shared" si="11"/>
        <v>2.7188727814659259</v>
      </c>
      <c r="F40" s="414">
        <f t="shared" si="11"/>
        <v>2.709462275948312</v>
      </c>
      <c r="G40" s="414">
        <f t="shared" si="11"/>
        <v>2.7007500689862778</v>
      </c>
      <c r="H40" s="414">
        <f t="shared" si="11"/>
        <v>2.6926612161966039</v>
      </c>
      <c r="I40" s="414">
        <f t="shared" si="11"/>
        <v>2.685131127250648</v>
      </c>
      <c r="J40" s="566" t="s">
        <v>982</v>
      </c>
      <c r="K40" s="566" t="s">
        <v>983</v>
      </c>
      <c r="O40" s="3"/>
      <c r="P40" s="3"/>
      <c r="Q40" s="3"/>
      <c r="R40" s="3"/>
      <c r="S40" s="3"/>
      <c r="T40" s="3"/>
    </row>
    <row r="41" spans="1:20" x14ac:dyDescent="0.25">
      <c r="B41" s="150" t="s">
        <v>488</v>
      </c>
      <c r="C41" s="413">
        <v>0</v>
      </c>
      <c r="D41" s="415">
        <f>D39-$C39</f>
        <v>977</v>
      </c>
      <c r="E41" s="413">
        <f>E39-$C39</f>
        <v>2565</v>
      </c>
      <c r="F41" s="413">
        <f t="shared" ref="F41:H41" si="12">F39-$C39</f>
        <v>4044</v>
      </c>
      <c r="G41" s="413">
        <f t="shared" si="12"/>
        <v>5523</v>
      </c>
      <c r="H41" s="413">
        <f t="shared" si="12"/>
        <v>7002</v>
      </c>
      <c r="I41" s="413">
        <v>11096</v>
      </c>
      <c r="O41" s="3"/>
    </row>
    <row r="42" spans="1:20" x14ac:dyDescent="0.25">
      <c r="B42" s="416"/>
      <c r="C42" s="416"/>
      <c r="D42" s="416"/>
      <c r="E42" s="416"/>
      <c r="F42" s="416"/>
      <c r="G42" s="416"/>
      <c r="H42" s="416"/>
      <c r="I42" s="416"/>
      <c r="J42" s="416"/>
      <c r="K42" s="416"/>
      <c r="O42" s="3"/>
    </row>
    <row r="56" ht="14.45" customHeight="1" x14ac:dyDescent="0.25"/>
    <row r="64" ht="13.9" customHeight="1" x14ac:dyDescent="0.25"/>
    <row r="65" spans="12:12" ht="14.45" customHeight="1" x14ac:dyDescent="0.25">
      <c r="L65" s="12"/>
    </row>
  </sheetData>
  <protectedRanges>
    <protectedRange sqref="C24:C25 C31:I35 C40:I41 C39:F39 C17:F17 C12:I12 C19:I20 C27:I29" name="Range1"/>
    <protectedRange sqref="G39:I39" name="Range1_3"/>
    <protectedRange sqref="C18:I18" name="Range1_4"/>
    <protectedRange sqref="A7" name="Range1_6"/>
    <protectedRange sqref="A1:A5 A8:A10 A14:A15 A21:A22 A36:A37" name="Range1_1_1_1"/>
    <protectedRange sqref="A6" name="Range1_1_3"/>
  </protectedRanges>
  <phoneticPr fontId="19"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5D011-C364-4B94-87D9-8E98AC14C107}">
  <sheetPr codeName="Sheet10">
    <tabColor theme="5" tint="0.59999389629810485"/>
  </sheetPr>
  <dimension ref="A1:BF190"/>
  <sheetViews>
    <sheetView showGridLines="0" topLeftCell="A10" zoomScale="80" zoomScaleNormal="80" workbookViewId="0">
      <selection activeCell="F44" sqref="F44"/>
    </sheetView>
  </sheetViews>
  <sheetFormatPr defaultRowHeight="15" x14ac:dyDescent="0.25"/>
  <cols>
    <col min="2" max="2" width="40.140625" customWidth="1"/>
    <col min="3" max="3" width="20.7109375" customWidth="1"/>
    <col min="4" max="4" width="18.5703125" customWidth="1"/>
    <col min="5" max="5" width="19.5703125" customWidth="1"/>
    <col min="6" max="6" width="30.5703125" customWidth="1"/>
    <col min="7" max="7" width="9.85546875" customWidth="1"/>
    <col min="8" max="8" width="5.140625" style="453" customWidth="1"/>
    <col min="9" max="9" width="10.28515625" customWidth="1"/>
    <col min="10" max="10" width="9.5703125" customWidth="1"/>
    <col min="11" max="11" width="32.7109375" customWidth="1"/>
    <col min="12" max="12" width="18.85546875" customWidth="1"/>
    <col min="14" max="14" width="18.28515625" customWidth="1"/>
    <col min="15" max="15" width="30.5703125" customWidth="1"/>
    <col min="16" max="16" width="9.140625" customWidth="1"/>
    <col min="17" max="17" width="17.7109375" bestFit="1" customWidth="1"/>
    <col min="18" max="18" width="17.7109375" customWidth="1"/>
    <col min="19" max="19" width="21.28515625" style="25" customWidth="1"/>
    <col min="20" max="20" width="18.140625" customWidth="1"/>
    <col min="21" max="21" width="20.28515625" customWidth="1"/>
    <col min="22" max="22" width="9.85546875" customWidth="1"/>
    <col min="23" max="23" width="5.140625" style="453" customWidth="1"/>
    <col min="24" max="24" width="10.28515625" customWidth="1"/>
    <col min="25" max="25" width="8.28515625" bestFit="1" customWidth="1"/>
    <col min="26" max="26" width="20" customWidth="1"/>
    <col min="29" max="29" width="19.42578125" customWidth="1"/>
    <col min="30" max="30" width="24.5703125" customWidth="1"/>
    <col min="31" max="31" width="9.85546875" customWidth="1"/>
    <col min="32" max="32" width="5.140625" style="453" customWidth="1"/>
    <col min="33" max="33" width="10.28515625" customWidth="1"/>
    <col min="34" max="34" width="9.5703125" customWidth="1"/>
    <col min="35" max="35" width="21.42578125" customWidth="1"/>
    <col min="36" max="36" width="13.7109375" customWidth="1"/>
    <col min="38" max="38" width="18.85546875" customWidth="1"/>
    <col min="39" max="39" width="24.85546875" customWidth="1"/>
    <col min="40" max="40" width="9.85546875" customWidth="1"/>
    <col min="41" max="41" width="5.140625" style="453" customWidth="1"/>
    <col min="42" max="42" width="10.28515625" customWidth="1"/>
    <col min="44" max="44" width="21.28515625" customWidth="1"/>
    <col min="47" max="47" width="18.5703125" customWidth="1"/>
    <col min="48" max="48" width="31.140625" customWidth="1"/>
    <col min="49" max="49" width="9.85546875" customWidth="1"/>
    <col min="50" max="50" width="5.140625" style="453" customWidth="1"/>
    <col min="51" max="51" width="10.28515625" customWidth="1"/>
    <col min="53" max="53" width="21.28515625" customWidth="1"/>
    <col min="54" max="54" width="14.28515625" customWidth="1"/>
    <col min="56" max="56" width="18.5703125" customWidth="1"/>
    <col min="57" max="57" width="31.140625" customWidth="1"/>
    <col min="60" max="60" width="33.85546875" customWidth="1"/>
  </cols>
  <sheetData>
    <row r="1" spans="1:57" ht="23.25" x14ac:dyDescent="0.35">
      <c r="A1" s="35" t="s">
        <v>44</v>
      </c>
      <c r="S1"/>
    </row>
    <row r="2" spans="1:57" ht="23.25" x14ac:dyDescent="0.35">
      <c r="A2" s="35" t="s">
        <v>881</v>
      </c>
      <c r="S2"/>
    </row>
    <row r="3" spans="1:57" x14ac:dyDescent="0.25">
      <c r="S3"/>
    </row>
    <row r="4" spans="1:57" x14ac:dyDescent="0.25">
      <c r="A4" s="4" t="s">
        <v>878</v>
      </c>
      <c r="B4" s="1"/>
      <c r="S4"/>
    </row>
    <row r="5" spans="1:57" x14ac:dyDescent="0.25">
      <c r="A5" s="197" t="s">
        <v>876</v>
      </c>
      <c r="J5" s="55"/>
      <c r="S5"/>
    </row>
    <row r="6" spans="1:57" x14ac:dyDescent="0.25">
      <c r="A6" s="197" t="s">
        <v>877</v>
      </c>
      <c r="J6" s="55"/>
      <c r="S6"/>
    </row>
    <row r="7" spans="1:57" x14ac:dyDescent="0.25">
      <c r="A7" s="197" t="s">
        <v>891</v>
      </c>
      <c r="J7" s="55"/>
      <c r="S7"/>
    </row>
    <row r="8" spans="1:57" x14ac:dyDescent="0.25">
      <c r="A8" s="197" t="s">
        <v>892</v>
      </c>
      <c r="S8"/>
    </row>
    <row r="9" spans="1:57" x14ac:dyDescent="0.25">
      <c r="S9"/>
    </row>
    <row r="10" spans="1:57" ht="23.25" x14ac:dyDescent="0.35">
      <c r="A10" s="35" t="s">
        <v>89</v>
      </c>
      <c r="J10" s="35" t="s">
        <v>121</v>
      </c>
      <c r="S10"/>
      <c r="Y10" s="35" t="s">
        <v>77</v>
      </c>
      <c r="AH10" s="35" t="s">
        <v>87</v>
      </c>
      <c r="AQ10" s="35" t="s">
        <v>515</v>
      </c>
      <c r="AR10" s="4"/>
      <c r="AZ10" s="35" t="s">
        <v>90</v>
      </c>
      <c r="BA10" s="4"/>
    </row>
    <row r="11" spans="1:57" ht="14.45" customHeight="1" x14ac:dyDescent="0.25">
      <c r="S11"/>
    </row>
    <row r="12" spans="1:57" ht="15" customHeight="1" x14ac:dyDescent="0.25">
      <c r="A12" s="4" t="s">
        <v>894</v>
      </c>
      <c r="J12" s="4" t="s">
        <v>318</v>
      </c>
      <c r="S12"/>
      <c r="Y12" s="4" t="s">
        <v>911</v>
      </c>
      <c r="AH12" s="4" t="s">
        <v>58</v>
      </c>
      <c r="AQ12" s="4" t="s">
        <v>173</v>
      </c>
      <c r="AZ12" s="4" t="s">
        <v>579</v>
      </c>
    </row>
    <row r="13" spans="1:57" x14ac:dyDescent="0.25">
      <c r="B13" s="456" t="s">
        <v>893</v>
      </c>
      <c r="C13" s="455">
        <f>'Baseline Statistics'!$C$12</f>
        <v>2022</v>
      </c>
      <c r="D13" s="454" t="s">
        <v>107</v>
      </c>
      <c r="E13" s="432" t="s">
        <v>335</v>
      </c>
      <c r="F13" s="432" t="s">
        <v>856</v>
      </c>
      <c r="K13" s="457" t="s">
        <v>318</v>
      </c>
      <c r="L13" s="431">
        <f>'Baseline Statistics'!$C$12</f>
        <v>2022</v>
      </c>
      <c r="M13" s="431" t="s">
        <v>107</v>
      </c>
      <c r="N13" s="431" t="s">
        <v>335</v>
      </c>
      <c r="O13" s="431" t="s">
        <v>856</v>
      </c>
      <c r="S13"/>
      <c r="Z13" s="417" t="str">
        <f>Y12</f>
        <v>Industrial Product Use (solvents etc.)</v>
      </c>
      <c r="AA13" s="431">
        <f>'Baseline Statistics'!$C$12</f>
        <v>2022</v>
      </c>
      <c r="AB13" s="431" t="s">
        <v>107</v>
      </c>
      <c r="AC13" s="431" t="s">
        <v>335</v>
      </c>
      <c r="AD13" s="431" t="s">
        <v>856</v>
      </c>
      <c r="AI13" s="417" t="str">
        <f>AH12</f>
        <v>Solid Waste</v>
      </c>
      <c r="AJ13" s="431">
        <f>'Baseline Statistics'!$C$12</f>
        <v>2022</v>
      </c>
      <c r="AK13" s="431" t="s">
        <v>107</v>
      </c>
      <c r="AL13" s="431" t="s">
        <v>335</v>
      </c>
      <c r="AM13" s="431" t="s">
        <v>856</v>
      </c>
      <c r="AR13" s="417" t="str">
        <f>AQ12</f>
        <v>Forestry</v>
      </c>
      <c r="AS13" s="452">
        <f>AJ21</f>
        <v>2022</v>
      </c>
      <c r="AT13" s="452" t="s">
        <v>107</v>
      </c>
      <c r="AU13" s="452" t="s">
        <v>335</v>
      </c>
      <c r="AV13" s="452" t="s">
        <v>856</v>
      </c>
      <c r="BA13" s="417" t="str">
        <f>AZ12</f>
        <v>Land Area (ha)</v>
      </c>
      <c r="BB13" s="452">
        <f>AS13</f>
        <v>2022</v>
      </c>
      <c r="BC13" s="452" t="s">
        <v>107</v>
      </c>
      <c r="BD13" s="452" t="s">
        <v>335</v>
      </c>
      <c r="BE13" s="452" t="s">
        <v>856</v>
      </c>
    </row>
    <row r="14" spans="1:57" ht="18" x14ac:dyDescent="0.25">
      <c r="B14" s="423" t="s">
        <v>248</v>
      </c>
      <c r="C14" s="424">
        <v>36790440.061202846</v>
      </c>
      <c r="D14" s="425" t="s">
        <v>122</v>
      </c>
      <c r="E14" s="426"/>
      <c r="F14" s="426"/>
      <c r="K14" s="167" t="s">
        <v>319</v>
      </c>
      <c r="L14" s="161">
        <v>460611812.15913033</v>
      </c>
      <c r="M14" s="34" t="s">
        <v>192</v>
      </c>
      <c r="N14" s="34"/>
      <c r="O14" s="34"/>
      <c r="S14"/>
      <c r="Z14" s="443" t="s">
        <v>203</v>
      </c>
      <c r="AA14" s="442">
        <v>432.87022550430777</v>
      </c>
      <c r="AB14" s="445" t="s">
        <v>886</v>
      </c>
      <c r="AC14" s="34"/>
      <c r="AD14" s="34"/>
      <c r="AI14" s="458" t="s">
        <v>905</v>
      </c>
      <c r="AJ14" s="442">
        <v>45260718.424102001</v>
      </c>
      <c r="AK14" s="446" t="s">
        <v>324</v>
      </c>
      <c r="AL14" s="34"/>
      <c r="AM14" s="34"/>
      <c r="AR14" s="34" t="s">
        <v>879</v>
      </c>
      <c r="AS14" s="161">
        <v>2721</v>
      </c>
      <c r="AT14" s="34" t="s">
        <v>140</v>
      </c>
      <c r="AU14" s="162"/>
      <c r="AV14" s="162"/>
      <c r="BA14" s="34" t="s">
        <v>580</v>
      </c>
      <c r="BB14" s="161">
        <v>7400</v>
      </c>
      <c r="BC14" s="34" t="s">
        <v>140</v>
      </c>
      <c r="BD14" s="162"/>
      <c r="BE14" s="162"/>
    </row>
    <row r="15" spans="1:57" ht="18" x14ac:dyDescent="0.25">
      <c r="B15" s="423" t="s">
        <v>249</v>
      </c>
      <c r="C15" s="424">
        <v>8353453.6432471676</v>
      </c>
      <c r="D15" s="425" t="s">
        <v>122</v>
      </c>
      <c r="E15" s="426"/>
      <c r="F15" s="426"/>
      <c r="K15" s="167" t="s">
        <v>323</v>
      </c>
      <c r="L15" s="161">
        <v>304244.85635165829</v>
      </c>
      <c r="M15" s="34" t="s">
        <v>192</v>
      </c>
      <c r="N15" s="34"/>
      <c r="O15" s="34"/>
      <c r="S15"/>
      <c r="Z15" s="443" t="s">
        <v>206</v>
      </c>
      <c r="AA15" s="442">
        <v>0</v>
      </c>
      <c r="AB15" s="446" t="s">
        <v>886</v>
      </c>
      <c r="AC15" s="34"/>
      <c r="AD15" s="34"/>
      <c r="AI15" s="458" t="s">
        <v>906</v>
      </c>
      <c r="AJ15" s="448">
        <f>AJ14/'Baseline Statistics'!C17</f>
        <v>485.73426082959861</v>
      </c>
      <c r="AK15" s="446" t="s">
        <v>322</v>
      </c>
      <c r="AR15" s="34" t="s">
        <v>880</v>
      </c>
      <c r="AS15" s="161">
        <v>3721</v>
      </c>
      <c r="AT15" s="34" t="s">
        <v>140</v>
      </c>
      <c r="AU15" s="162"/>
      <c r="AV15" s="162"/>
      <c r="BA15" s="34" t="s">
        <v>582</v>
      </c>
      <c r="BB15" s="180">
        <v>3300</v>
      </c>
      <c r="BC15" s="34" t="s">
        <v>140</v>
      </c>
      <c r="BD15" s="162"/>
      <c r="BE15" s="162"/>
    </row>
    <row r="16" spans="1:57" ht="18" x14ac:dyDescent="0.25">
      <c r="B16" s="423" t="s">
        <v>250</v>
      </c>
      <c r="C16" s="424">
        <v>3404243.6177032739</v>
      </c>
      <c r="D16" s="425" t="s">
        <v>122</v>
      </c>
      <c r="E16" s="426"/>
      <c r="F16" s="426"/>
      <c r="K16" s="173" t="s">
        <v>214</v>
      </c>
      <c r="L16" s="433">
        <v>460916057.01548201</v>
      </c>
      <c r="M16" s="34" t="s">
        <v>192</v>
      </c>
      <c r="N16" s="34"/>
      <c r="O16" s="34"/>
      <c r="S16"/>
      <c r="Z16" s="443" t="s">
        <v>209</v>
      </c>
      <c r="AA16" s="442">
        <v>37.116319335794905</v>
      </c>
      <c r="AB16" s="445" t="s">
        <v>886</v>
      </c>
      <c r="AC16" s="34"/>
      <c r="AD16" s="34"/>
      <c r="AI16" s="458" t="s">
        <v>533</v>
      </c>
      <c r="AJ16" s="449">
        <f>(9.01+5.71)/100</f>
        <v>0.1472</v>
      </c>
      <c r="AK16" s="446" t="s">
        <v>519</v>
      </c>
      <c r="AL16" s="481" t="s">
        <v>947</v>
      </c>
      <c r="AM16" s="34"/>
      <c r="BA16" s="34" t="s">
        <v>584</v>
      </c>
      <c r="BB16" s="180">
        <v>6000</v>
      </c>
      <c r="BC16" s="34" t="s">
        <v>140</v>
      </c>
      <c r="BD16" s="162"/>
      <c r="BE16" s="162"/>
    </row>
    <row r="17" spans="1:57" ht="18" x14ac:dyDescent="0.25">
      <c r="B17" s="423" t="s">
        <v>251</v>
      </c>
      <c r="C17" s="424">
        <v>18536711.417872287</v>
      </c>
      <c r="D17" s="425" t="s">
        <v>122</v>
      </c>
      <c r="E17" s="426"/>
      <c r="F17" s="426"/>
      <c r="L17" s="61"/>
      <c r="Q17" s="436" t="s">
        <v>531</v>
      </c>
      <c r="R17" s="266"/>
      <c r="S17" s="431" t="s">
        <v>107</v>
      </c>
      <c r="T17" s="431" t="s">
        <v>335</v>
      </c>
      <c r="U17" s="431" t="s">
        <v>856</v>
      </c>
      <c r="Z17" s="443" t="s">
        <v>212</v>
      </c>
      <c r="AA17" s="442">
        <v>25133.753260232486</v>
      </c>
      <c r="AB17" s="446" t="s">
        <v>886</v>
      </c>
      <c r="AC17" s="34"/>
      <c r="AD17" s="34"/>
      <c r="AI17" s="458" t="s">
        <v>534</v>
      </c>
      <c r="AJ17" s="449">
        <v>0.38</v>
      </c>
      <c r="AK17" s="446" t="s">
        <v>519</v>
      </c>
      <c r="AL17" s="481" t="s">
        <v>947</v>
      </c>
      <c r="AM17" s="34"/>
      <c r="BA17" s="34" t="s">
        <v>585</v>
      </c>
      <c r="BB17" s="180">
        <v>400</v>
      </c>
      <c r="BC17" s="34" t="s">
        <v>140</v>
      </c>
      <c r="BD17" s="162"/>
      <c r="BE17" s="162"/>
    </row>
    <row r="18" spans="1:57" ht="18" x14ac:dyDescent="0.25">
      <c r="B18" s="423" t="s">
        <v>252</v>
      </c>
      <c r="C18" s="424">
        <v>875123.71500684612</v>
      </c>
      <c r="D18" s="425" t="s">
        <v>122</v>
      </c>
      <c r="E18" s="426"/>
      <c r="F18" s="426"/>
      <c r="K18" s="167" t="s">
        <v>123</v>
      </c>
      <c r="L18" s="163">
        <f>L$14*R18</f>
        <v>190232678.42172083</v>
      </c>
      <c r="M18" s="34" t="s">
        <v>192</v>
      </c>
      <c r="N18" s="34"/>
      <c r="O18" s="34"/>
      <c r="Q18" s="427" t="s">
        <v>532</v>
      </c>
      <c r="R18" s="428">
        <v>0.41299999999999998</v>
      </c>
      <c r="S18" s="34" t="s">
        <v>519</v>
      </c>
      <c r="T18" s="34" t="s">
        <v>992</v>
      </c>
      <c r="U18" s="34" t="s">
        <v>993</v>
      </c>
      <c r="Z18" s="443" t="s">
        <v>887</v>
      </c>
      <c r="AA18" s="442">
        <v>75.644469029390663</v>
      </c>
      <c r="AB18" s="445" t="s">
        <v>886</v>
      </c>
      <c r="AC18" s="34"/>
      <c r="AD18" s="34"/>
      <c r="AI18" s="458" t="s">
        <v>535</v>
      </c>
      <c r="AJ18" s="449">
        <v>0.1</v>
      </c>
      <c r="AK18" s="446" t="s">
        <v>519</v>
      </c>
      <c r="AL18" s="481" t="s">
        <v>947</v>
      </c>
      <c r="AM18" s="34"/>
      <c r="BA18" s="34" t="s">
        <v>587</v>
      </c>
      <c r="BB18" s="161">
        <v>300</v>
      </c>
      <c r="BC18" s="34" t="s">
        <v>140</v>
      </c>
      <c r="BD18" s="162"/>
      <c r="BE18" s="162"/>
    </row>
    <row r="19" spans="1:57" ht="18" x14ac:dyDescent="0.25">
      <c r="B19" s="423" t="s">
        <v>253</v>
      </c>
      <c r="C19" s="424">
        <v>5648525.7968623694</v>
      </c>
      <c r="D19" s="425" t="s">
        <v>122</v>
      </c>
      <c r="E19" s="426"/>
      <c r="F19" s="426"/>
      <c r="K19" s="167" t="s">
        <v>325</v>
      </c>
      <c r="L19" s="163">
        <f>L$14*R19</f>
        <v>114692341.22762345</v>
      </c>
      <c r="M19" s="34" t="s">
        <v>192</v>
      </c>
      <c r="N19" s="34"/>
      <c r="O19" s="34"/>
      <c r="Q19" s="427" t="s">
        <v>325</v>
      </c>
      <c r="R19" s="428">
        <v>0.249</v>
      </c>
      <c r="S19" s="34" t="s">
        <v>519</v>
      </c>
      <c r="T19" s="34" t="s">
        <v>992</v>
      </c>
      <c r="U19" s="34" t="s">
        <v>994</v>
      </c>
      <c r="Z19" s="444" t="s">
        <v>214</v>
      </c>
      <c r="AA19" s="441">
        <v>25679.38427410198</v>
      </c>
      <c r="AB19" s="447" t="s">
        <v>886</v>
      </c>
      <c r="AC19" s="34"/>
      <c r="AD19" s="34"/>
      <c r="BA19" s="34" t="s">
        <v>588</v>
      </c>
      <c r="BB19" s="161">
        <v>40</v>
      </c>
      <c r="BC19" s="34" t="s">
        <v>140</v>
      </c>
      <c r="BD19" s="162"/>
      <c r="BE19" s="162"/>
    </row>
    <row r="20" spans="1:57" x14ac:dyDescent="0.25">
      <c r="B20" s="423" t="s">
        <v>254</v>
      </c>
      <c r="C20" s="424">
        <v>533194.78349569347</v>
      </c>
      <c r="D20" s="425" t="s">
        <v>122</v>
      </c>
      <c r="E20" s="426"/>
      <c r="F20" s="426"/>
      <c r="K20" s="167" t="s">
        <v>326</v>
      </c>
      <c r="L20" s="163">
        <f>L$14*R20</f>
        <v>155686792.50978607</v>
      </c>
      <c r="M20" s="34" t="s">
        <v>192</v>
      </c>
      <c r="N20" s="34"/>
      <c r="O20" s="34"/>
      <c r="Q20" s="427" t="s">
        <v>326</v>
      </c>
      <c r="R20" s="428">
        <v>0.33800000000000002</v>
      </c>
      <c r="S20" s="34" t="s">
        <v>519</v>
      </c>
      <c r="T20" s="34" t="s">
        <v>992</v>
      </c>
      <c r="U20" s="34" t="s">
        <v>995</v>
      </c>
      <c r="AH20" s="4" t="s">
        <v>57</v>
      </c>
      <c r="BA20" s="34" t="s">
        <v>589</v>
      </c>
      <c r="BB20" s="161">
        <v>15</v>
      </c>
      <c r="BC20" s="34" t="s">
        <v>140</v>
      </c>
      <c r="BD20" s="162"/>
      <c r="BE20" s="162"/>
    </row>
    <row r="21" spans="1:57" x14ac:dyDescent="0.25">
      <c r="B21" s="423" t="s">
        <v>210</v>
      </c>
      <c r="C21" s="424">
        <v>603881.656249461</v>
      </c>
      <c r="D21" s="425" t="s">
        <v>122</v>
      </c>
      <c r="E21" s="166"/>
      <c r="F21" s="166"/>
      <c r="S21"/>
      <c r="AI21" s="417" t="str">
        <f>AH20</f>
        <v>Wastewater</v>
      </c>
      <c r="AJ21" s="431">
        <f>'Baseline Statistics'!$C$12</f>
        <v>2022</v>
      </c>
      <c r="AK21" s="431" t="s">
        <v>107</v>
      </c>
      <c r="AL21" s="431" t="s">
        <v>335</v>
      </c>
      <c r="AM21" s="431" t="s">
        <v>856</v>
      </c>
      <c r="BA21" s="62" t="s">
        <v>214</v>
      </c>
      <c r="BB21" s="181">
        <f>SUM(BB14:BB20)</f>
        <v>17455</v>
      </c>
      <c r="BC21" s="34" t="s">
        <v>140</v>
      </c>
      <c r="BD21" s="162"/>
      <c r="BE21" s="162"/>
    </row>
    <row r="22" spans="1:57" ht="15" customHeight="1" x14ac:dyDescent="0.25">
      <c r="B22" s="423" t="s">
        <v>213</v>
      </c>
      <c r="C22" s="424">
        <v>307048.79688692791</v>
      </c>
      <c r="D22" s="425" t="s">
        <v>192</v>
      </c>
      <c r="E22" s="426"/>
      <c r="F22" s="426"/>
      <c r="J22" s="4" t="s">
        <v>320</v>
      </c>
      <c r="S22"/>
      <c r="AI22" s="458" t="s">
        <v>907</v>
      </c>
      <c r="AJ22" s="161">
        <v>1825.7396390900001</v>
      </c>
      <c r="AK22" s="34" t="s">
        <v>113</v>
      </c>
      <c r="AL22" s="34"/>
      <c r="AM22" s="34"/>
      <c r="BA22" s="34" t="s">
        <v>591</v>
      </c>
      <c r="BB22" s="182">
        <f>BB21/$BB21</f>
        <v>1</v>
      </c>
      <c r="BC22" s="34" t="s">
        <v>140</v>
      </c>
      <c r="BD22" s="162"/>
      <c r="BE22" s="162"/>
    </row>
    <row r="23" spans="1:57" x14ac:dyDescent="0.25">
      <c r="B23" s="423" t="s">
        <v>70</v>
      </c>
      <c r="C23" s="424">
        <v>4350044.3909544628</v>
      </c>
      <c r="D23" s="425" t="s">
        <v>122</v>
      </c>
      <c r="E23" s="426"/>
      <c r="F23" s="426"/>
      <c r="K23" s="417" t="str">
        <f>J22</f>
        <v>Natural Gas Consumption</v>
      </c>
      <c r="L23" s="431">
        <f>'Baseline Statistics'!$C$12</f>
        <v>2022</v>
      </c>
      <c r="M23" s="431" t="s">
        <v>107</v>
      </c>
      <c r="N23" s="431" t="s">
        <v>335</v>
      </c>
      <c r="O23" s="431" t="s">
        <v>856</v>
      </c>
      <c r="Q23" s="436" t="s">
        <v>896</v>
      </c>
      <c r="R23" s="266"/>
      <c r="S23" s="431" t="s">
        <v>107</v>
      </c>
      <c r="T23" s="431" t="s">
        <v>335</v>
      </c>
      <c r="U23" s="431" t="s">
        <v>856</v>
      </c>
      <c r="AI23" s="458" t="s">
        <v>908</v>
      </c>
      <c r="AJ23" s="161">
        <v>530.06849999999997</v>
      </c>
      <c r="AK23" s="34" t="s">
        <v>113</v>
      </c>
      <c r="AL23" s="34"/>
      <c r="AM23" s="34"/>
    </row>
    <row r="24" spans="1:57" x14ac:dyDescent="0.25">
      <c r="B24" s="423" t="s">
        <v>71</v>
      </c>
      <c r="C24" s="424">
        <v>578623.93901467754</v>
      </c>
      <c r="D24" s="425" t="s">
        <v>122</v>
      </c>
      <c r="E24" s="426"/>
      <c r="F24" s="426"/>
      <c r="K24" s="167" t="s">
        <v>123</v>
      </c>
      <c r="L24" s="163">
        <f>L27*R24</f>
        <v>699924.77452800004</v>
      </c>
      <c r="M24" s="34" t="s">
        <v>120</v>
      </c>
      <c r="N24" s="34"/>
      <c r="O24" s="34"/>
      <c r="Q24" s="429" t="s">
        <v>532</v>
      </c>
      <c r="R24" s="430">
        <v>0.78400000000000003</v>
      </c>
      <c r="S24" s="34" t="s">
        <v>519</v>
      </c>
      <c r="T24" s="34" t="s">
        <v>992</v>
      </c>
      <c r="U24" s="34" t="s">
        <v>996</v>
      </c>
      <c r="AI24" s="459" t="s">
        <v>214</v>
      </c>
      <c r="AJ24" s="451">
        <f>SUM(AJ22:AJ23)</f>
        <v>2355.8081390900002</v>
      </c>
      <c r="AK24" s="34" t="s">
        <v>113</v>
      </c>
      <c r="AL24" s="34"/>
      <c r="AM24" s="34"/>
      <c r="AZ24" s="4" t="s">
        <v>594</v>
      </c>
    </row>
    <row r="25" spans="1:57" x14ac:dyDescent="0.25">
      <c r="B25" s="423" t="s">
        <v>72</v>
      </c>
      <c r="C25" s="424">
        <v>538033.26885880088</v>
      </c>
      <c r="D25" s="425" t="s">
        <v>122</v>
      </c>
      <c r="E25" s="166"/>
      <c r="F25" s="166"/>
      <c r="K25" s="167" t="s">
        <v>325</v>
      </c>
      <c r="L25" s="163">
        <f>L27*R25</f>
        <v>99989.253504000008</v>
      </c>
      <c r="M25" s="34" t="s">
        <v>120</v>
      </c>
      <c r="N25" s="34"/>
      <c r="O25" s="34"/>
      <c r="Q25" s="429" t="s">
        <v>325</v>
      </c>
      <c r="R25" s="430">
        <v>0.112</v>
      </c>
      <c r="S25" s="34" t="s">
        <v>519</v>
      </c>
      <c r="T25" s="34" t="s">
        <v>992</v>
      </c>
      <c r="U25" s="34" t="s">
        <v>997</v>
      </c>
      <c r="AI25" s="458" t="s">
        <v>909</v>
      </c>
      <c r="AJ25" s="450">
        <f>AJ22/'Baseline Statistics'!C18</f>
        <v>2.0581686215180313E-2</v>
      </c>
      <c r="AK25" s="34" t="s">
        <v>113</v>
      </c>
      <c r="BA25" s="417" t="str">
        <f>AZ24</f>
        <v>Stock Numbers</v>
      </c>
      <c r="BB25" s="452">
        <f>BB13</f>
        <v>2022</v>
      </c>
      <c r="BC25" s="452" t="s">
        <v>107</v>
      </c>
      <c r="BD25" s="452" t="s">
        <v>335</v>
      </c>
      <c r="BE25" s="452" t="s">
        <v>856</v>
      </c>
    </row>
    <row r="26" spans="1:57" ht="14.45" customHeight="1" x14ac:dyDescent="0.25">
      <c r="B26" s="423" t="s">
        <v>889</v>
      </c>
      <c r="C26" s="424">
        <v>0</v>
      </c>
      <c r="D26" s="425" t="s">
        <v>122</v>
      </c>
      <c r="E26" s="166"/>
      <c r="F26" s="166"/>
      <c r="K26" s="167" t="s">
        <v>326</v>
      </c>
      <c r="L26" s="163">
        <f>L27*R26</f>
        <v>93739.925159999999</v>
      </c>
      <c r="M26" s="34" t="s">
        <v>120</v>
      </c>
      <c r="N26" s="34"/>
      <c r="O26" s="34"/>
      <c r="P26" s="416"/>
      <c r="Q26" s="429" t="s">
        <v>326</v>
      </c>
      <c r="R26" s="430">
        <v>0.105</v>
      </c>
      <c r="S26" s="34" t="s">
        <v>519</v>
      </c>
      <c r="T26" s="34" t="s">
        <v>992</v>
      </c>
      <c r="U26" s="34" t="s">
        <v>997</v>
      </c>
      <c r="AI26" s="458" t="s">
        <v>910</v>
      </c>
      <c r="AJ26" s="450">
        <f>AJ23/'Baseline Statistics'!C19</f>
        <v>0.11850402414486921</v>
      </c>
      <c r="AK26" s="34" t="s">
        <v>113</v>
      </c>
      <c r="BA26" s="34" t="s">
        <v>580</v>
      </c>
      <c r="BB26" s="161">
        <v>18164.073972016526</v>
      </c>
      <c r="BC26" s="34" t="s">
        <v>912</v>
      </c>
      <c r="BD26" s="162"/>
      <c r="BE26" s="162"/>
    </row>
    <row r="27" spans="1:57" ht="15" customHeight="1" x14ac:dyDescent="0.25">
      <c r="B27" s="423" t="s">
        <v>890</v>
      </c>
      <c r="C27" s="424">
        <v>0</v>
      </c>
      <c r="D27" s="425" t="s">
        <v>122</v>
      </c>
      <c r="E27" s="426"/>
      <c r="F27" s="426"/>
      <c r="K27" s="173" t="s">
        <v>214</v>
      </c>
      <c r="L27" s="434">
        <v>892761.19200000004</v>
      </c>
      <c r="M27" s="34" t="s">
        <v>120</v>
      </c>
      <c r="N27" s="34"/>
      <c r="O27" s="34"/>
      <c r="S27"/>
      <c r="BA27" s="34" t="s">
        <v>582</v>
      </c>
      <c r="BB27" s="161">
        <v>7062.5905647046829</v>
      </c>
      <c r="BC27" s="34" t="s">
        <v>912</v>
      </c>
      <c r="BD27" s="162"/>
      <c r="BE27" s="162"/>
    </row>
    <row r="28" spans="1:57" x14ac:dyDescent="0.25">
      <c r="B28" s="423" t="s">
        <v>255</v>
      </c>
      <c r="C28" s="424">
        <v>552915870.3663671</v>
      </c>
      <c r="D28" s="425" t="s">
        <v>256</v>
      </c>
      <c r="E28" s="426"/>
      <c r="F28" s="426"/>
      <c r="S28"/>
      <c r="BA28" s="34" t="s">
        <v>584</v>
      </c>
      <c r="BB28" s="161">
        <v>50243.256569279445</v>
      </c>
      <c r="BC28" s="34" t="s">
        <v>912</v>
      </c>
      <c r="BD28" s="162"/>
      <c r="BE28" s="162"/>
    </row>
    <row r="29" spans="1:57" x14ac:dyDescent="0.25">
      <c r="J29" s="4" t="s">
        <v>328</v>
      </c>
      <c r="S29"/>
      <c r="BA29" s="34" t="s">
        <v>585</v>
      </c>
      <c r="BB29" s="161">
        <v>337</v>
      </c>
      <c r="BC29" s="34" t="s">
        <v>912</v>
      </c>
      <c r="BD29" s="162"/>
      <c r="BE29" s="162"/>
    </row>
    <row r="30" spans="1:57" x14ac:dyDescent="0.25">
      <c r="A30" s="4" t="s">
        <v>895</v>
      </c>
      <c r="K30" s="417" t="str">
        <f>J29</f>
        <v>Coal Consumption</v>
      </c>
      <c r="L30" s="431">
        <f>'Baseline Statistics'!$C$12</f>
        <v>2022</v>
      </c>
      <c r="M30" s="431" t="s">
        <v>107</v>
      </c>
      <c r="N30" s="431" t="s">
        <v>335</v>
      </c>
      <c r="O30" s="431" t="s">
        <v>856</v>
      </c>
      <c r="Q30" s="436" t="s">
        <v>897</v>
      </c>
      <c r="R30" s="266"/>
      <c r="S30" s="431" t="s">
        <v>107</v>
      </c>
      <c r="T30" s="431" t="s">
        <v>335</v>
      </c>
      <c r="U30" s="431" t="s">
        <v>856</v>
      </c>
      <c r="BA30" s="34" t="s">
        <v>587</v>
      </c>
      <c r="BB30" s="161">
        <v>1354.9132202552214</v>
      </c>
      <c r="BC30" s="34" t="s">
        <v>912</v>
      </c>
      <c r="BD30" s="162"/>
      <c r="BE30" s="162"/>
    </row>
    <row r="31" spans="1:57" x14ac:dyDescent="0.25">
      <c r="A31" s="4"/>
      <c r="B31" s="417" t="s">
        <v>157</v>
      </c>
      <c r="C31" s="431">
        <f>'Baseline Statistics'!$C$12</f>
        <v>2022</v>
      </c>
      <c r="D31" s="431" t="s">
        <v>107</v>
      </c>
      <c r="E31" s="431" t="s">
        <v>335</v>
      </c>
      <c r="F31" s="431" t="s">
        <v>856</v>
      </c>
      <c r="K31" s="167" t="s">
        <v>546</v>
      </c>
      <c r="L31" s="161">
        <v>357135.92553191498</v>
      </c>
      <c r="M31" s="34" t="s">
        <v>120</v>
      </c>
      <c r="N31" s="34"/>
      <c r="O31" s="34"/>
      <c r="Q31" s="429" t="s">
        <v>532</v>
      </c>
      <c r="R31" s="430">
        <v>0.97</v>
      </c>
      <c r="S31" s="34" t="s">
        <v>519</v>
      </c>
      <c r="T31" s="34" t="s">
        <v>992</v>
      </c>
      <c r="U31" s="34" t="s">
        <v>1000</v>
      </c>
      <c r="BA31" s="34" t="s">
        <v>588</v>
      </c>
      <c r="BB31" s="161">
        <v>562</v>
      </c>
      <c r="BC31" s="34" t="s">
        <v>912</v>
      </c>
      <c r="BD31" s="162"/>
      <c r="BE31" s="162"/>
    </row>
    <row r="32" spans="1:57" ht="15" customHeight="1" x14ac:dyDescent="0.25">
      <c r="B32" s="167" t="s">
        <v>987</v>
      </c>
      <c r="C32" s="420">
        <v>0.02</v>
      </c>
      <c r="D32" s="167" t="s">
        <v>548</v>
      </c>
      <c r="E32" s="167" t="s">
        <v>988</v>
      </c>
      <c r="F32" s="167" t="s">
        <v>989</v>
      </c>
      <c r="K32" s="167" t="s">
        <v>325</v>
      </c>
      <c r="L32" s="161">
        <v>16945.48</v>
      </c>
      <c r="M32" s="34" t="s">
        <v>120</v>
      </c>
      <c r="N32" s="34"/>
      <c r="O32" s="34"/>
      <c r="Q32" s="429" t="s">
        <v>325</v>
      </c>
      <c r="R32" s="430">
        <v>0.02</v>
      </c>
      <c r="S32" s="34" t="s">
        <v>519</v>
      </c>
      <c r="T32" s="34" t="s">
        <v>992</v>
      </c>
      <c r="U32" s="34" t="s">
        <v>1001</v>
      </c>
      <c r="BA32" s="34" t="s">
        <v>589</v>
      </c>
      <c r="BB32" s="161">
        <v>152</v>
      </c>
      <c r="BC32" s="34" t="s">
        <v>912</v>
      </c>
      <c r="BD32" s="162"/>
      <c r="BE32" s="162"/>
    </row>
    <row r="33" spans="2:58" x14ac:dyDescent="0.25">
      <c r="B33" s="167" t="s">
        <v>985</v>
      </c>
      <c r="C33" s="420">
        <v>0.1</v>
      </c>
      <c r="D33" s="167" t="s">
        <v>548</v>
      </c>
      <c r="E33" s="167" t="s">
        <v>988</v>
      </c>
      <c r="F33" s="167" t="s">
        <v>990</v>
      </c>
      <c r="K33" s="167" t="s">
        <v>326</v>
      </c>
      <c r="L33" s="161">
        <v>4125.6000000000004</v>
      </c>
      <c r="M33" s="34" t="s">
        <v>120</v>
      </c>
      <c r="N33" s="34"/>
      <c r="O33" s="34"/>
      <c r="Q33" s="429" t="s">
        <v>326</v>
      </c>
      <c r="R33" s="430">
        <v>0.01</v>
      </c>
      <c r="S33" s="34" t="s">
        <v>519</v>
      </c>
      <c r="T33" s="34" t="s">
        <v>992</v>
      </c>
      <c r="U33" s="34" t="s">
        <v>1002</v>
      </c>
      <c r="BA33" s="62" t="s">
        <v>214</v>
      </c>
      <c r="BB33" s="181">
        <f>SUM(BB26:BB32)</f>
        <v>77875.834326255877</v>
      </c>
      <c r="BC33" s="34" t="s">
        <v>912</v>
      </c>
      <c r="BD33" s="162"/>
      <c r="BE33" s="162"/>
    </row>
    <row r="34" spans="2:58" x14ac:dyDescent="0.25">
      <c r="B34" s="167" t="s">
        <v>986</v>
      </c>
      <c r="C34" s="420">
        <v>0.04</v>
      </c>
      <c r="D34" s="167" t="s">
        <v>548</v>
      </c>
      <c r="E34" s="167" t="s">
        <v>988</v>
      </c>
      <c r="F34" s="167" t="s">
        <v>991</v>
      </c>
      <c r="K34" s="173" t="s">
        <v>214</v>
      </c>
      <c r="L34" s="433">
        <f>SUM(L31:L33)</f>
        <v>378207.00553191494</v>
      </c>
      <c r="M34" s="34" t="s">
        <v>120</v>
      </c>
      <c r="N34" s="34"/>
      <c r="O34" s="34"/>
      <c r="S34"/>
      <c r="BA34" s="34" t="s">
        <v>591</v>
      </c>
      <c r="BB34" s="182">
        <f>BB33/$BB33</f>
        <v>1</v>
      </c>
      <c r="BC34" s="34" t="s">
        <v>519</v>
      </c>
      <c r="BD34" s="162"/>
      <c r="BE34" s="162"/>
    </row>
    <row r="35" spans="2:58" x14ac:dyDescent="0.25">
      <c r="B35" s="167" t="s">
        <v>552</v>
      </c>
      <c r="C35" s="169">
        <f>58866/6288</f>
        <v>9.361641221374045</v>
      </c>
      <c r="D35" s="167" t="s">
        <v>553</v>
      </c>
      <c r="E35" s="167" t="s">
        <v>988</v>
      </c>
      <c r="F35" s="167"/>
      <c r="S35"/>
    </row>
    <row r="36" spans="2:58" ht="14.45" customHeight="1" x14ac:dyDescent="0.25">
      <c r="B36" s="167" t="s">
        <v>554</v>
      </c>
      <c r="C36" s="169">
        <f>415/101</f>
        <v>4.108910891089109</v>
      </c>
      <c r="D36" s="167" t="s">
        <v>553</v>
      </c>
      <c r="E36" s="167" t="s">
        <v>988</v>
      </c>
      <c r="F36" s="167"/>
      <c r="J36" s="4" t="s">
        <v>343</v>
      </c>
      <c r="S36"/>
      <c r="AZ36" s="4" t="s">
        <v>602</v>
      </c>
    </row>
    <row r="37" spans="2:58" x14ac:dyDescent="0.25">
      <c r="B37" s="167" t="s">
        <v>555</v>
      </c>
      <c r="C37" s="169">
        <f>686/730</f>
        <v>0.9397260273972603</v>
      </c>
      <c r="D37" s="167" t="s">
        <v>553</v>
      </c>
      <c r="E37" s="167" t="s">
        <v>988</v>
      </c>
      <c r="F37" s="167"/>
      <c r="K37" s="417" t="str">
        <f>J36</f>
        <v>Stationary Liquid Fuels</v>
      </c>
      <c r="L37" s="431">
        <f>'Baseline Statistics'!$C$12</f>
        <v>2022</v>
      </c>
      <c r="M37" s="431" t="s">
        <v>107</v>
      </c>
      <c r="N37" s="431" t="s">
        <v>335</v>
      </c>
      <c r="O37" s="431" t="s">
        <v>856</v>
      </c>
      <c r="S37"/>
      <c r="BA37" s="417" t="str">
        <f>AZ36</f>
        <v>Fertiliser Use</v>
      </c>
      <c r="BB37" s="452">
        <f>BB25</f>
        <v>2022</v>
      </c>
      <c r="BC37" s="452" t="s">
        <v>107</v>
      </c>
      <c r="BD37" s="452" t="s">
        <v>335</v>
      </c>
      <c r="BE37" s="452" t="s">
        <v>856</v>
      </c>
    </row>
    <row r="38" spans="2:58" x14ac:dyDescent="0.25">
      <c r="B38" s="167" t="s">
        <v>556</v>
      </c>
      <c r="C38" s="171">
        <f>C36/C35</f>
        <v>0.43890924613814969</v>
      </c>
      <c r="D38" s="167"/>
      <c r="K38" s="167" t="s">
        <v>69</v>
      </c>
      <c r="L38" s="161">
        <v>6227585.5710199699</v>
      </c>
      <c r="M38" s="34" t="s">
        <v>122</v>
      </c>
      <c r="N38" s="34"/>
      <c r="O38" s="34"/>
      <c r="S38"/>
      <c r="BA38" s="34" t="s">
        <v>603</v>
      </c>
      <c r="BB38" s="161">
        <v>951</v>
      </c>
      <c r="BC38" s="34" t="s">
        <v>117</v>
      </c>
      <c r="BD38" s="162"/>
      <c r="BE38" s="162"/>
    </row>
    <row r="39" spans="2:58" ht="15" customHeight="1" x14ac:dyDescent="0.25">
      <c r="B39" s="167" t="s">
        <v>557</v>
      </c>
      <c r="C39" s="171">
        <f>C37/C35</f>
        <v>0.10038047871902241</v>
      </c>
      <c r="D39" s="167"/>
      <c r="K39" s="167" t="s">
        <v>68</v>
      </c>
      <c r="L39" s="161">
        <v>2844830.6881454801</v>
      </c>
      <c r="M39" s="34" t="s">
        <v>122</v>
      </c>
      <c r="N39" s="34"/>
      <c r="O39" s="34"/>
      <c r="S39"/>
      <c r="BA39" s="34" t="s">
        <v>604</v>
      </c>
      <c r="BB39" s="161">
        <v>156</v>
      </c>
      <c r="BC39" s="34" t="s">
        <v>117</v>
      </c>
      <c r="BD39" s="162"/>
      <c r="BE39" s="162"/>
    </row>
    <row r="40" spans="2:58" x14ac:dyDescent="0.25">
      <c r="B40" s="167" t="s">
        <v>558</v>
      </c>
      <c r="C40" s="169">
        <f>1895/172</f>
        <v>11.017441860465116</v>
      </c>
      <c r="D40" s="167" t="s">
        <v>553</v>
      </c>
      <c r="E40" s="167" t="s">
        <v>988</v>
      </c>
      <c r="F40" s="167"/>
      <c r="M40" s="61"/>
      <c r="S40"/>
      <c r="BA40" s="34" t="s">
        <v>605</v>
      </c>
      <c r="BB40" s="161">
        <v>115</v>
      </c>
      <c r="BC40" s="34" t="s">
        <v>117</v>
      </c>
      <c r="BD40" s="162"/>
      <c r="BE40" s="162"/>
    </row>
    <row r="41" spans="2:58" x14ac:dyDescent="0.25">
      <c r="B41" s="167" t="s">
        <v>559</v>
      </c>
      <c r="C41" s="171">
        <f>'Baseline User Input'!$C40/'Baseline User Input'!C35</f>
        <v>1.1768707644243648</v>
      </c>
      <c r="D41" s="167"/>
      <c r="K41" s="435" t="s">
        <v>69</v>
      </c>
      <c r="L41" s="431">
        <f>'Baseline Statistics'!$C$12</f>
        <v>2022</v>
      </c>
      <c r="M41" s="431" t="s">
        <v>107</v>
      </c>
      <c r="N41" s="431" t="s">
        <v>335</v>
      </c>
      <c r="O41" s="431" t="s">
        <v>856</v>
      </c>
      <c r="Q41" s="436" t="s">
        <v>898</v>
      </c>
      <c r="R41" s="266"/>
      <c r="S41" s="431" t="s">
        <v>107</v>
      </c>
      <c r="T41" s="431" t="s">
        <v>335</v>
      </c>
      <c r="U41" s="431" t="s">
        <v>856</v>
      </c>
      <c r="BA41" s="34" t="s">
        <v>606</v>
      </c>
      <c r="BB41" s="161">
        <v>742</v>
      </c>
      <c r="BC41" s="34" t="s">
        <v>117</v>
      </c>
      <c r="BD41" s="162"/>
      <c r="BE41" s="162"/>
    </row>
    <row r="42" spans="2:58" x14ac:dyDescent="0.25">
      <c r="K42" s="167" t="s">
        <v>123</v>
      </c>
      <c r="L42" s="163">
        <f>L$38*R42</f>
        <v>3113792.7855099849</v>
      </c>
      <c r="M42" s="34" t="s">
        <v>122</v>
      </c>
      <c r="N42" s="34"/>
      <c r="O42" s="34"/>
      <c r="Q42" s="429" t="s">
        <v>532</v>
      </c>
      <c r="R42" s="430">
        <v>0.5</v>
      </c>
      <c r="S42" s="34" t="s">
        <v>519</v>
      </c>
      <c r="T42" s="481" t="s">
        <v>947</v>
      </c>
      <c r="U42" s="34"/>
    </row>
    <row r="43" spans="2:58" ht="15" customHeight="1" x14ac:dyDescent="0.25">
      <c r="B43" s="417" t="s">
        <v>547</v>
      </c>
      <c r="C43" s="431">
        <f>'Baseline Statistics'!$C$12</f>
        <v>2022</v>
      </c>
      <c r="D43" s="417" t="s">
        <v>107</v>
      </c>
      <c r="E43" s="417" t="s">
        <v>335</v>
      </c>
      <c r="F43" s="417" t="s">
        <v>856</v>
      </c>
      <c r="K43" s="167" t="s">
        <v>325</v>
      </c>
      <c r="L43" s="163">
        <f>L$38*R43</f>
        <v>3113792.7855099849</v>
      </c>
      <c r="M43" s="34" t="s">
        <v>122</v>
      </c>
      <c r="N43" s="34"/>
      <c r="O43" s="34"/>
      <c r="Q43" s="429" t="s">
        <v>325</v>
      </c>
      <c r="R43" s="430">
        <v>0.5</v>
      </c>
      <c r="S43" s="34" t="s">
        <v>519</v>
      </c>
      <c r="T43" s="481" t="s">
        <v>947</v>
      </c>
      <c r="U43" s="34"/>
      <c r="AZ43" s="4" t="s">
        <v>913</v>
      </c>
    </row>
    <row r="44" spans="2:58" x14ac:dyDescent="0.25">
      <c r="B44" s="421" t="s">
        <v>560</v>
      </c>
      <c r="C44" s="420">
        <v>0.5</v>
      </c>
      <c r="D44" s="167" t="s">
        <v>216</v>
      </c>
      <c r="E44" s="167"/>
      <c r="F44" s="661"/>
      <c r="K44" s="167" t="s">
        <v>326</v>
      </c>
      <c r="L44" s="163">
        <f>L$38*R44</f>
        <v>0</v>
      </c>
      <c r="M44" s="34" t="s">
        <v>122</v>
      </c>
      <c r="N44" s="34"/>
      <c r="O44" s="34"/>
      <c r="Q44" s="429" t="s">
        <v>326</v>
      </c>
      <c r="R44" s="430">
        <v>0</v>
      </c>
      <c r="S44" s="34" t="s">
        <v>519</v>
      </c>
      <c r="T44" s="481" t="s">
        <v>947</v>
      </c>
      <c r="U44" s="34"/>
      <c r="AC44" s="5"/>
      <c r="BA44" s="417" t="str">
        <f>AZ43</f>
        <v>Farm Equipment Fuel Use</v>
      </c>
      <c r="BB44" s="452">
        <f>BB37</f>
        <v>2022</v>
      </c>
      <c r="BC44" s="452" t="s">
        <v>107</v>
      </c>
      <c r="BD44" s="452" t="s">
        <v>335</v>
      </c>
      <c r="BE44" s="452" t="s">
        <v>856</v>
      </c>
    </row>
    <row r="45" spans="2:58" x14ac:dyDescent="0.25">
      <c r="B45" s="167" t="s">
        <v>561</v>
      </c>
      <c r="C45" s="164">
        <v>0.2</v>
      </c>
      <c r="D45" s="167" t="s">
        <v>562</v>
      </c>
      <c r="E45" s="167"/>
      <c r="F45" s="167" t="s">
        <v>563</v>
      </c>
      <c r="M45" s="61"/>
      <c r="S45"/>
      <c r="AC45" s="5"/>
      <c r="BA45" s="34" t="s">
        <v>253</v>
      </c>
      <c r="BB45" s="161">
        <v>5648525.7968623694</v>
      </c>
      <c r="BC45" s="34" t="s">
        <v>122</v>
      </c>
      <c r="BD45" s="162"/>
      <c r="BE45" s="162"/>
    </row>
    <row r="46" spans="2:58" x14ac:dyDescent="0.25">
      <c r="K46" s="435" t="s">
        <v>68</v>
      </c>
      <c r="L46" s="431">
        <f>'Baseline Statistics'!$C$12</f>
        <v>2022</v>
      </c>
      <c r="M46" s="431" t="s">
        <v>107</v>
      </c>
      <c r="N46" s="431" t="s">
        <v>335</v>
      </c>
      <c r="O46" s="431" t="s">
        <v>856</v>
      </c>
      <c r="S46"/>
      <c r="AC46" s="5"/>
      <c r="BA46" s="34" t="s">
        <v>254</v>
      </c>
      <c r="BB46" s="161">
        <v>533194.78349569347</v>
      </c>
      <c r="BC46" s="34" t="s">
        <v>122</v>
      </c>
      <c r="BD46" s="162"/>
      <c r="BE46" s="162"/>
      <c r="BF46" s="461" t="s">
        <v>1018</v>
      </c>
    </row>
    <row r="47" spans="2:58" x14ac:dyDescent="0.25">
      <c r="K47" s="167" t="s">
        <v>123</v>
      </c>
      <c r="L47" s="163">
        <f>L$39*R42</f>
        <v>1422415.3440727401</v>
      </c>
      <c r="M47" s="34" t="s">
        <v>122</v>
      </c>
      <c r="N47" s="34"/>
      <c r="O47" s="34"/>
      <c r="S47"/>
      <c r="AC47" s="5"/>
    </row>
    <row r="48" spans="2:58" x14ac:dyDescent="0.25">
      <c r="K48" s="167" t="s">
        <v>325</v>
      </c>
      <c r="L48" s="163">
        <f>L$39*R43</f>
        <v>1422415.3440727401</v>
      </c>
      <c r="M48" s="34" t="s">
        <v>122</v>
      </c>
      <c r="N48" s="34"/>
      <c r="O48" s="34"/>
      <c r="S48"/>
      <c r="AC48" s="5"/>
    </row>
    <row r="49" spans="10:29" x14ac:dyDescent="0.25">
      <c r="K49" s="167" t="s">
        <v>326</v>
      </c>
      <c r="L49" s="163">
        <f>L$39*R44</f>
        <v>0</v>
      </c>
      <c r="M49" s="34" t="s">
        <v>122</v>
      </c>
      <c r="N49" s="34"/>
      <c r="O49" s="34"/>
      <c r="S49"/>
      <c r="AC49" s="5"/>
    </row>
    <row r="50" spans="10:29" x14ac:dyDescent="0.25">
      <c r="J50" s="61"/>
      <c r="K50" s="61"/>
      <c r="L50" s="61"/>
      <c r="M50" s="61"/>
      <c r="S50"/>
      <c r="AC50" s="5"/>
    </row>
    <row r="51" spans="10:29" x14ac:dyDescent="0.25">
      <c r="J51" s="4" t="s">
        <v>64</v>
      </c>
      <c r="S51"/>
    </row>
    <row r="52" spans="10:29" x14ac:dyDescent="0.25">
      <c r="K52" s="417" t="str">
        <f>J51</f>
        <v>Stationary LPG</v>
      </c>
      <c r="L52" s="431">
        <f>'Baseline Statistics'!$C$12</f>
        <v>2022</v>
      </c>
      <c r="M52" s="431" t="s">
        <v>107</v>
      </c>
      <c r="N52" s="431" t="s">
        <v>335</v>
      </c>
      <c r="O52" s="431" t="s">
        <v>856</v>
      </c>
      <c r="S52"/>
    </row>
    <row r="53" spans="10:29" ht="15" customHeight="1" x14ac:dyDescent="0.25">
      <c r="K53" s="167" t="s">
        <v>899</v>
      </c>
      <c r="L53" s="161">
        <v>1827</v>
      </c>
      <c r="M53" s="34" t="s">
        <v>117</v>
      </c>
      <c r="N53" s="34"/>
      <c r="O53" s="34"/>
      <c r="S53"/>
      <c r="AC53" s="5"/>
    </row>
    <row r="54" spans="10:29" x14ac:dyDescent="0.25">
      <c r="K54" s="167" t="s">
        <v>900</v>
      </c>
      <c r="L54" s="168">
        <f>L53*1.9*1000</f>
        <v>3471299.9999999995</v>
      </c>
      <c r="M54" s="34" t="s">
        <v>122</v>
      </c>
      <c r="N54" s="34"/>
      <c r="O54" s="34"/>
      <c r="S54"/>
      <c r="AC54" s="5"/>
    </row>
    <row r="55" spans="10:29" x14ac:dyDescent="0.25">
      <c r="Q55" s="436" t="s">
        <v>901</v>
      </c>
      <c r="R55" s="266"/>
      <c r="S55" s="431" t="s">
        <v>107</v>
      </c>
      <c r="T55" s="431" t="s">
        <v>335</v>
      </c>
      <c r="U55" s="431" t="s">
        <v>856</v>
      </c>
      <c r="AC55" s="5"/>
    </row>
    <row r="56" spans="10:29" x14ac:dyDescent="0.25">
      <c r="K56" s="167" t="s">
        <v>123</v>
      </c>
      <c r="L56" s="163">
        <f>L$54*R56</f>
        <v>1419761.6999999997</v>
      </c>
      <c r="M56" s="34" t="s">
        <v>122</v>
      </c>
      <c r="N56" s="34"/>
      <c r="O56" s="34"/>
      <c r="Q56" s="429" t="s">
        <v>532</v>
      </c>
      <c r="R56" s="430">
        <v>0.40899999999999997</v>
      </c>
      <c r="S56" s="34" t="s">
        <v>519</v>
      </c>
      <c r="T56" s="34" t="s">
        <v>992</v>
      </c>
      <c r="U56" s="34" t="s">
        <v>993</v>
      </c>
    </row>
    <row r="57" spans="10:29" x14ac:dyDescent="0.25">
      <c r="K57" s="167" t="s">
        <v>325</v>
      </c>
      <c r="L57" s="163">
        <f>L$54*R57</f>
        <v>656075.69999999995</v>
      </c>
      <c r="M57" s="34" t="s">
        <v>122</v>
      </c>
      <c r="N57" s="34"/>
      <c r="O57" s="34"/>
      <c r="Q57" s="429" t="s">
        <v>325</v>
      </c>
      <c r="R57" s="430">
        <v>0.189</v>
      </c>
      <c r="S57" s="34" t="s">
        <v>519</v>
      </c>
      <c r="T57" s="34" t="s">
        <v>992</v>
      </c>
      <c r="U57" s="34" t="s">
        <v>998</v>
      </c>
      <c r="AC57" s="5"/>
    </row>
    <row r="58" spans="10:29" x14ac:dyDescent="0.25">
      <c r="K58" s="167" t="s">
        <v>326</v>
      </c>
      <c r="L58" s="163">
        <f>L$54*R58</f>
        <v>1395462.5999999999</v>
      </c>
      <c r="M58" s="34" t="s">
        <v>122</v>
      </c>
      <c r="N58" s="34"/>
      <c r="O58" s="34"/>
      <c r="Q58" s="429" t="s">
        <v>326</v>
      </c>
      <c r="R58" s="430">
        <v>0.40200000000000002</v>
      </c>
      <c r="S58" s="34" t="s">
        <v>519</v>
      </c>
      <c r="T58" s="34" t="s">
        <v>992</v>
      </c>
      <c r="U58" s="34" t="s">
        <v>999</v>
      </c>
    </row>
    <row r="59" spans="10:29" x14ac:dyDescent="0.25">
      <c r="S59"/>
    </row>
    <row r="60" spans="10:29" x14ac:dyDescent="0.25">
      <c r="J60" s="4" t="s">
        <v>904</v>
      </c>
      <c r="S60"/>
    </row>
    <row r="61" spans="10:29" x14ac:dyDescent="0.25">
      <c r="K61" s="417" t="str">
        <f>J60</f>
        <v>Baseline year Nationwide Electricity</v>
      </c>
      <c r="L61" s="431">
        <f>'Baseline Statistics'!$C$12</f>
        <v>2022</v>
      </c>
      <c r="M61" s="431" t="s">
        <v>107</v>
      </c>
      <c r="N61" s="431" t="s">
        <v>335</v>
      </c>
      <c r="O61" s="431" t="s">
        <v>856</v>
      </c>
    </row>
    <row r="62" spans="10:29" x14ac:dyDescent="0.25">
      <c r="K62" s="167" t="s">
        <v>564</v>
      </c>
      <c r="L62" s="163">
        <v>39038.283000000003</v>
      </c>
      <c r="M62" s="34" t="s">
        <v>433</v>
      </c>
      <c r="N62" s="34" t="s">
        <v>1004</v>
      </c>
      <c r="O62" s="34"/>
    </row>
    <row r="63" spans="10:29" x14ac:dyDescent="0.25">
      <c r="K63" s="167" t="s">
        <v>565</v>
      </c>
      <c r="L63" s="163">
        <v>277</v>
      </c>
      <c r="M63" s="34" t="s">
        <v>433</v>
      </c>
      <c r="N63" s="34" t="s">
        <v>1003</v>
      </c>
      <c r="O63" s="34"/>
      <c r="S63"/>
    </row>
    <row r="64" spans="10:29" x14ac:dyDescent="0.25">
      <c r="S64"/>
    </row>
    <row r="65" spans="10:19" x14ac:dyDescent="0.25">
      <c r="J65" s="4" t="s">
        <v>903</v>
      </c>
      <c r="S65"/>
    </row>
    <row r="66" spans="10:19" ht="15" customHeight="1" x14ac:dyDescent="0.25">
      <c r="K66" s="417" t="str">
        <f>J65</f>
        <v>Solar Hotwater and Solar PV</v>
      </c>
      <c r="L66" s="431">
        <f>'Baseline Statistics'!$C$12</f>
        <v>2022</v>
      </c>
      <c r="M66" s="431" t="s">
        <v>107</v>
      </c>
      <c r="N66" s="431" t="s">
        <v>335</v>
      </c>
      <c r="O66" s="431" t="s">
        <v>856</v>
      </c>
      <c r="S66"/>
    </row>
    <row r="67" spans="10:19" ht="15" customHeight="1" x14ac:dyDescent="0.25">
      <c r="K67" s="34" t="s">
        <v>566</v>
      </c>
      <c r="L67" s="419">
        <v>400</v>
      </c>
      <c r="M67" s="172" t="s">
        <v>912</v>
      </c>
      <c r="N67" s="460"/>
      <c r="O67" s="460"/>
      <c r="P67" s="89" t="s">
        <v>1007</v>
      </c>
      <c r="S67"/>
    </row>
    <row r="68" spans="10:19" x14ac:dyDescent="0.25">
      <c r="K68" s="34" t="s">
        <v>567</v>
      </c>
      <c r="L68" s="419">
        <v>1600</v>
      </c>
      <c r="M68" s="172" t="s">
        <v>449</v>
      </c>
      <c r="N68" s="460"/>
      <c r="O68" s="460"/>
      <c r="P68" s="89" t="s">
        <v>1007</v>
      </c>
      <c r="S68"/>
    </row>
    <row r="69" spans="10:19" x14ac:dyDescent="0.25">
      <c r="K69" s="34" t="s">
        <v>902</v>
      </c>
      <c r="L69" s="437">
        <f>'Baseline User Input'!L67/'Baseline Statistics'!C39</f>
        <v>1.1648223645894001E-2</v>
      </c>
      <c r="M69" s="172" t="s">
        <v>519</v>
      </c>
      <c r="S69"/>
    </row>
    <row r="70" spans="10:19" x14ac:dyDescent="0.25">
      <c r="K70" s="34" t="s">
        <v>950</v>
      </c>
      <c r="L70" s="161">
        <v>2500000</v>
      </c>
      <c r="M70" s="34" t="s">
        <v>459</v>
      </c>
      <c r="N70" s="460"/>
      <c r="O70" s="34" t="s">
        <v>951</v>
      </c>
      <c r="P70" s="89" t="s">
        <v>1007</v>
      </c>
      <c r="S70"/>
    </row>
    <row r="71" spans="10:19" x14ac:dyDescent="0.25">
      <c r="K71" s="34" t="s">
        <v>573</v>
      </c>
      <c r="L71" s="422">
        <v>1</v>
      </c>
      <c r="M71" s="34"/>
      <c r="N71" s="460"/>
      <c r="O71" s="34"/>
      <c r="P71" s="89" t="s">
        <v>952</v>
      </c>
      <c r="S71"/>
    </row>
    <row r="72" spans="10:19" x14ac:dyDescent="0.25">
      <c r="K72" s="34" t="s">
        <v>569</v>
      </c>
      <c r="L72" s="419">
        <v>0.5</v>
      </c>
      <c r="M72" s="34"/>
      <c r="N72" s="460"/>
      <c r="O72" s="34"/>
      <c r="P72" s="89" t="s">
        <v>952</v>
      </c>
      <c r="S72"/>
    </row>
    <row r="73" spans="10:19" x14ac:dyDescent="0.25">
      <c r="K73" s="34" t="s">
        <v>570</v>
      </c>
      <c r="L73" s="419">
        <v>0.8</v>
      </c>
      <c r="M73" s="34"/>
      <c r="N73" s="460"/>
      <c r="O73" s="34"/>
      <c r="P73" s="89" t="s">
        <v>952</v>
      </c>
      <c r="S73"/>
    </row>
    <row r="74" spans="10:19" x14ac:dyDescent="0.25">
      <c r="S74"/>
    </row>
    <row r="75" spans="10:19" ht="15.75" customHeight="1" x14ac:dyDescent="0.25">
      <c r="S75"/>
    </row>
    <row r="76" spans="10:19" x14ac:dyDescent="0.25">
      <c r="S76"/>
    </row>
    <row r="77" spans="10:19" ht="15" customHeight="1" x14ac:dyDescent="0.25">
      <c r="S77"/>
    </row>
    <row r="78" spans="10:19" x14ac:dyDescent="0.25">
      <c r="S78"/>
    </row>
    <row r="79" spans="10:19" x14ac:dyDescent="0.25">
      <c r="S79"/>
    </row>
    <row r="80" spans="10:19" x14ac:dyDescent="0.25">
      <c r="S80"/>
    </row>
    <row r="81" spans="10:19" x14ac:dyDescent="0.25">
      <c r="J81" s="4" t="s">
        <v>348</v>
      </c>
      <c r="S81"/>
    </row>
    <row r="82" spans="10:19" ht="15.75" customHeight="1" x14ac:dyDescent="0.25">
      <c r="L82" s="105" t="s">
        <v>1019</v>
      </c>
      <c r="P82" s="89" t="s">
        <v>1006</v>
      </c>
      <c r="S82"/>
    </row>
    <row r="83" spans="10:19" x14ac:dyDescent="0.25">
      <c r="K83" s="417" t="s">
        <v>349</v>
      </c>
      <c r="L83" s="431" t="s">
        <v>124</v>
      </c>
      <c r="M83" s="431" t="s">
        <v>341</v>
      </c>
      <c r="N83" s="431" t="s">
        <v>61</v>
      </c>
      <c r="O83" s="431" t="s">
        <v>107</v>
      </c>
      <c r="P83" s="431" t="s">
        <v>335</v>
      </c>
      <c r="Q83" s="431" t="s">
        <v>856</v>
      </c>
      <c r="S83"/>
    </row>
    <row r="84" spans="10:19" x14ac:dyDescent="0.25">
      <c r="K84" s="34" t="s">
        <v>345</v>
      </c>
      <c r="L84" s="420">
        <v>0.27</v>
      </c>
      <c r="M84" s="420">
        <v>0.47343295973432997</v>
      </c>
      <c r="N84" s="420">
        <v>6.24326606680062E-2</v>
      </c>
      <c r="O84" s="172" t="s">
        <v>519</v>
      </c>
      <c r="P84" s="460" t="s">
        <v>1005</v>
      </c>
      <c r="Q84" s="460"/>
      <c r="S84"/>
    </row>
    <row r="85" spans="10:19" x14ac:dyDescent="0.25">
      <c r="K85" s="34" t="s">
        <v>350</v>
      </c>
      <c r="L85" s="420">
        <v>0.17</v>
      </c>
      <c r="M85" s="420">
        <v>0</v>
      </c>
      <c r="N85" s="420">
        <v>0</v>
      </c>
      <c r="O85" s="172" t="s">
        <v>519</v>
      </c>
      <c r="P85" s="460" t="s">
        <v>1005</v>
      </c>
      <c r="Q85" s="460"/>
      <c r="S85"/>
    </row>
    <row r="86" spans="10:19" x14ac:dyDescent="0.25">
      <c r="K86" s="34" t="s">
        <v>351</v>
      </c>
      <c r="L86" s="420">
        <v>0.2</v>
      </c>
      <c r="M86" s="420">
        <v>0</v>
      </c>
      <c r="N86" s="420">
        <v>0</v>
      </c>
      <c r="O86" s="172" t="s">
        <v>519</v>
      </c>
      <c r="P86" s="460" t="s">
        <v>1005</v>
      </c>
      <c r="Q86" s="460"/>
      <c r="S86"/>
    </row>
    <row r="87" spans="10:19" x14ac:dyDescent="0.25">
      <c r="K87" s="34" t="s">
        <v>344</v>
      </c>
      <c r="L87" s="420">
        <v>0.15</v>
      </c>
      <c r="M87" s="420">
        <v>0.375856950576751</v>
      </c>
      <c r="N87" s="420">
        <v>0.93212195335022296</v>
      </c>
      <c r="O87" s="172" t="s">
        <v>519</v>
      </c>
      <c r="P87" s="460" t="s">
        <v>1005</v>
      </c>
      <c r="Q87" s="460"/>
      <c r="S87"/>
    </row>
    <row r="88" spans="10:19" x14ac:dyDescent="0.25">
      <c r="K88" s="34" t="s">
        <v>353</v>
      </c>
      <c r="L88" s="420">
        <v>0.13</v>
      </c>
      <c r="M88" s="420">
        <v>0</v>
      </c>
      <c r="N88" s="420">
        <v>0</v>
      </c>
      <c r="O88" s="172" t="s">
        <v>519</v>
      </c>
      <c r="P88" s="460" t="s">
        <v>1005</v>
      </c>
      <c r="Q88" s="460"/>
      <c r="S88"/>
    </row>
    <row r="89" spans="10:19" x14ac:dyDescent="0.25">
      <c r="K89" s="34" t="s">
        <v>354</v>
      </c>
      <c r="L89" s="420">
        <v>0.05</v>
      </c>
      <c r="M89" s="420">
        <v>0.150710089688919</v>
      </c>
      <c r="N89" s="420">
        <v>5.4453859817710599E-3</v>
      </c>
      <c r="O89" s="172" t="s">
        <v>519</v>
      </c>
      <c r="P89" s="460" t="s">
        <v>1005</v>
      </c>
      <c r="Q89" s="460"/>
      <c r="S89"/>
    </row>
    <row r="90" spans="10:19" x14ac:dyDescent="0.25">
      <c r="K90" s="34" t="s">
        <v>355</v>
      </c>
      <c r="L90" s="420">
        <v>0.03</v>
      </c>
      <c r="M90" s="420">
        <v>0</v>
      </c>
      <c r="N90" s="420">
        <v>0</v>
      </c>
      <c r="O90" s="172" t="s">
        <v>519</v>
      </c>
      <c r="P90" s="460" t="s">
        <v>1005</v>
      </c>
      <c r="Q90" s="460"/>
      <c r="S90"/>
    </row>
    <row r="91" spans="10:19" x14ac:dyDescent="0.25">
      <c r="K91" s="438" t="s">
        <v>214</v>
      </c>
      <c r="L91" s="63">
        <f>SUM(L84:L90)</f>
        <v>1.0000000000000002</v>
      </c>
      <c r="M91" s="63">
        <f t="shared" ref="M91:N91" si="0">SUM(M84:M90)</f>
        <v>0.99999999999999989</v>
      </c>
      <c r="N91" s="63">
        <f t="shared" si="0"/>
        <v>1.0000000000000002</v>
      </c>
      <c r="O91" s="172" t="s">
        <v>519</v>
      </c>
      <c r="S91"/>
    </row>
    <row r="92" spans="10:19" x14ac:dyDescent="0.25">
      <c r="K92" s="34" t="s">
        <v>356</v>
      </c>
      <c r="L92" s="186">
        <f>L84+L87+L90</f>
        <v>0.45000000000000007</v>
      </c>
      <c r="M92" s="186">
        <f>M84+M87+M90</f>
        <v>0.84928991031108092</v>
      </c>
      <c r="N92" s="186">
        <f>N84+N87+N90</f>
        <v>0.9945546140182292</v>
      </c>
      <c r="O92" s="172" t="s">
        <v>519</v>
      </c>
      <c r="S92"/>
    </row>
    <row r="93" spans="10:19" x14ac:dyDescent="0.25">
      <c r="S93"/>
    </row>
    <row r="94" spans="10:19" x14ac:dyDescent="0.25">
      <c r="J94" s="4" t="s">
        <v>359</v>
      </c>
      <c r="S94"/>
    </row>
    <row r="95" spans="10:19" ht="15" customHeight="1" x14ac:dyDescent="0.25">
      <c r="S95"/>
    </row>
    <row r="96" spans="10:19" x14ac:dyDescent="0.25">
      <c r="K96" s="417" t="s">
        <v>349</v>
      </c>
      <c r="L96" s="431" t="s">
        <v>124</v>
      </c>
      <c r="M96" s="431" t="s">
        <v>341</v>
      </c>
      <c r="N96" s="431" t="s">
        <v>61</v>
      </c>
      <c r="O96" s="431" t="s">
        <v>107</v>
      </c>
      <c r="P96" s="431" t="s">
        <v>335</v>
      </c>
      <c r="Q96" s="431" t="s">
        <v>856</v>
      </c>
      <c r="S96"/>
    </row>
    <row r="97" spans="10:19" x14ac:dyDescent="0.25">
      <c r="K97" s="34" t="s">
        <v>360</v>
      </c>
      <c r="L97" s="420">
        <v>0.11228215941881201</v>
      </c>
      <c r="M97" s="420">
        <v>0</v>
      </c>
      <c r="N97" s="420">
        <v>0</v>
      </c>
      <c r="O97" s="172" t="s">
        <v>519</v>
      </c>
      <c r="P97" s="460" t="s">
        <v>1005</v>
      </c>
      <c r="Q97" s="460"/>
      <c r="S97"/>
    </row>
    <row r="98" spans="10:19" x14ac:dyDescent="0.25">
      <c r="K98" s="34" t="s">
        <v>361</v>
      </c>
      <c r="L98" s="420">
        <v>3.3253345971336536E-2</v>
      </c>
      <c r="M98" s="420">
        <v>6.7054863987970573E-2</v>
      </c>
      <c r="N98" s="420">
        <v>0</v>
      </c>
      <c r="O98" s="172" t="s">
        <v>519</v>
      </c>
      <c r="P98" s="460" t="s">
        <v>1005</v>
      </c>
      <c r="Q98" s="460"/>
      <c r="S98"/>
    </row>
    <row r="99" spans="10:19" x14ac:dyDescent="0.25">
      <c r="K99" s="34" t="s">
        <v>363</v>
      </c>
      <c r="L99" s="420">
        <v>7.6907848559927532E-3</v>
      </c>
      <c r="M99" s="420">
        <v>0</v>
      </c>
      <c r="N99" s="420">
        <v>0.12262653085858072</v>
      </c>
      <c r="O99" s="172" t="s">
        <v>519</v>
      </c>
      <c r="P99" s="460" t="s">
        <v>1005</v>
      </c>
      <c r="Q99" s="460"/>
      <c r="S99"/>
    </row>
    <row r="100" spans="10:19" x14ac:dyDescent="0.25">
      <c r="K100" s="34" t="s">
        <v>353</v>
      </c>
      <c r="L100" s="420">
        <v>0.23298518834024226</v>
      </c>
      <c r="M100" s="420">
        <v>0</v>
      </c>
      <c r="N100" s="420">
        <v>0</v>
      </c>
      <c r="O100" s="172" t="s">
        <v>519</v>
      </c>
      <c r="P100" s="460" t="s">
        <v>1005</v>
      </c>
      <c r="Q100" s="460"/>
      <c r="S100"/>
    </row>
    <row r="101" spans="10:19" x14ac:dyDescent="0.25">
      <c r="K101" s="34" t="s">
        <v>366</v>
      </c>
      <c r="L101" s="420">
        <v>0.19055719196366977</v>
      </c>
      <c r="M101" s="420">
        <v>0.84009567011973885</v>
      </c>
      <c r="N101" s="420">
        <v>0.57150815684162648</v>
      </c>
      <c r="O101" s="172" t="s">
        <v>519</v>
      </c>
      <c r="P101" s="460" t="s">
        <v>1005</v>
      </c>
      <c r="Q101" s="460"/>
      <c r="S101"/>
    </row>
    <row r="102" spans="10:19" ht="15" customHeight="1" x14ac:dyDescent="0.25">
      <c r="K102" s="34" t="s">
        <v>367</v>
      </c>
      <c r="L102" s="420">
        <v>9.7305825679542615E-2</v>
      </c>
      <c r="M102" s="420">
        <v>9.2561850025986339E-2</v>
      </c>
      <c r="N102" s="420">
        <v>0.30586531229979302</v>
      </c>
      <c r="O102" s="172" t="s">
        <v>519</v>
      </c>
      <c r="P102" s="460" t="s">
        <v>1005</v>
      </c>
      <c r="Q102" s="460"/>
      <c r="S102"/>
    </row>
    <row r="103" spans="10:19" x14ac:dyDescent="0.25">
      <c r="K103" s="34" t="s">
        <v>350</v>
      </c>
      <c r="L103" s="420">
        <v>0.16760871782258405</v>
      </c>
      <c r="M103" s="420">
        <v>0</v>
      </c>
      <c r="N103" s="420">
        <v>0</v>
      </c>
      <c r="O103" s="172" t="s">
        <v>519</v>
      </c>
      <c r="P103" s="460" t="s">
        <v>1005</v>
      </c>
      <c r="Q103" s="460"/>
      <c r="S103"/>
    </row>
    <row r="104" spans="10:19" x14ac:dyDescent="0.25">
      <c r="K104" s="34" t="s">
        <v>368</v>
      </c>
      <c r="L104" s="420">
        <v>7.8087562165177898E-2</v>
      </c>
      <c r="M104" s="420">
        <v>0</v>
      </c>
      <c r="N104" s="420">
        <v>0</v>
      </c>
      <c r="O104" s="172" t="s">
        <v>519</v>
      </c>
      <c r="P104" s="460" t="s">
        <v>1005</v>
      </c>
      <c r="Q104" s="460"/>
      <c r="S104"/>
    </row>
    <row r="105" spans="10:19" x14ac:dyDescent="0.25">
      <c r="K105" s="34" t="s">
        <v>369</v>
      </c>
      <c r="L105" s="420">
        <v>7.9162892263022436E-2</v>
      </c>
      <c r="M105" s="420">
        <v>0</v>
      </c>
      <c r="N105" s="420">
        <v>0</v>
      </c>
      <c r="O105" s="172" t="s">
        <v>519</v>
      </c>
      <c r="P105" s="460" t="s">
        <v>1005</v>
      </c>
      <c r="Q105" s="460"/>
      <c r="S105"/>
    </row>
    <row r="106" spans="10:19" x14ac:dyDescent="0.25">
      <c r="K106" s="34" t="s">
        <v>371</v>
      </c>
      <c r="L106" s="420">
        <v>1.0663315196199001E-3</v>
      </c>
      <c r="M106" s="420">
        <v>0</v>
      </c>
      <c r="N106" s="420">
        <v>0</v>
      </c>
      <c r="O106" s="172" t="s">
        <v>519</v>
      </c>
      <c r="P106" s="460" t="s">
        <v>1005</v>
      </c>
      <c r="Q106" s="460"/>
      <c r="S106"/>
    </row>
    <row r="107" spans="10:19" x14ac:dyDescent="0.25">
      <c r="K107" s="62" t="s">
        <v>214</v>
      </c>
      <c r="L107" s="439">
        <f>SUM(L97:L106)</f>
        <v>1.0000000000000002</v>
      </c>
      <c r="M107" s="439">
        <f t="shared" ref="M107:N107" si="1">SUM(M97:M106)</f>
        <v>0.99971238413369579</v>
      </c>
      <c r="N107" s="439">
        <f t="shared" si="1"/>
        <v>1.0000000000000002</v>
      </c>
      <c r="O107" s="172" t="s">
        <v>519</v>
      </c>
      <c r="S107"/>
    </row>
    <row r="108" spans="10:19" x14ac:dyDescent="0.25">
      <c r="K108" s="34" t="s">
        <v>356</v>
      </c>
      <c r="L108" s="186">
        <f>L99+L101+L102</f>
        <v>0.29555380249920515</v>
      </c>
      <c r="M108" s="186">
        <f>M99+M101+M102</f>
        <v>0.93265752014572523</v>
      </c>
      <c r="N108" s="186">
        <f>N99+N101+N102</f>
        <v>1.0000000000000002</v>
      </c>
      <c r="O108" s="172" t="s">
        <v>519</v>
      </c>
      <c r="S108"/>
    </row>
    <row r="109" spans="10:19" x14ac:dyDescent="0.25">
      <c r="S109"/>
    </row>
    <row r="110" spans="10:19" ht="15" customHeight="1" x14ac:dyDescent="0.25">
      <c r="J110" s="4" t="s">
        <v>377</v>
      </c>
      <c r="S110"/>
    </row>
    <row r="111" spans="10:19" x14ac:dyDescent="0.25">
      <c r="S111"/>
    </row>
    <row r="112" spans="10:19" x14ac:dyDescent="0.25">
      <c r="K112" s="417" t="s">
        <v>349</v>
      </c>
      <c r="L112" s="431" t="s">
        <v>124</v>
      </c>
      <c r="M112" s="431" t="s">
        <v>341</v>
      </c>
      <c r="N112" s="431" t="s">
        <v>61</v>
      </c>
      <c r="O112" s="431" t="s">
        <v>107</v>
      </c>
      <c r="P112" s="431" t="s">
        <v>335</v>
      </c>
      <c r="Q112" s="431" t="s">
        <v>856</v>
      </c>
      <c r="S112"/>
    </row>
    <row r="113" spans="10:19" x14ac:dyDescent="0.25">
      <c r="K113" s="34" t="s">
        <v>360</v>
      </c>
      <c r="L113" s="420">
        <v>1.4219041659911801E-2</v>
      </c>
      <c r="M113" s="420">
        <v>0</v>
      </c>
      <c r="N113" s="420">
        <v>0</v>
      </c>
      <c r="O113" s="172" t="s">
        <v>519</v>
      </c>
      <c r="P113" s="460" t="s">
        <v>1005</v>
      </c>
      <c r="Q113" s="460"/>
      <c r="S113"/>
    </row>
    <row r="114" spans="10:19" x14ac:dyDescent="0.25">
      <c r="K114" s="34" t="s">
        <v>353</v>
      </c>
      <c r="L114" s="420">
        <v>3.2107603785628602E-2</v>
      </c>
      <c r="M114" s="420">
        <v>0</v>
      </c>
      <c r="N114" s="420">
        <v>0</v>
      </c>
      <c r="O114" s="172" t="s">
        <v>519</v>
      </c>
      <c r="P114" s="460" t="s">
        <v>1005</v>
      </c>
      <c r="Q114" s="460"/>
      <c r="S114"/>
    </row>
    <row r="115" spans="10:19" x14ac:dyDescent="0.25">
      <c r="K115" s="34" t="s">
        <v>366</v>
      </c>
      <c r="L115" s="420">
        <v>1.5263524441352301E-2</v>
      </c>
      <c r="M115" s="420">
        <v>1.1250141317535E-2</v>
      </c>
      <c r="N115" s="420">
        <v>0</v>
      </c>
      <c r="O115" s="172" t="s">
        <v>519</v>
      </c>
      <c r="P115" s="460" t="s">
        <v>1005</v>
      </c>
      <c r="Q115" s="460"/>
      <c r="S115"/>
    </row>
    <row r="116" spans="10:19" x14ac:dyDescent="0.25">
      <c r="K116" s="34" t="s">
        <v>379</v>
      </c>
      <c r="L116" s="420">
        <v>2.5877822475742801E-2</v>
      </c>
      <c r="M116" s="420">
        <v>3.41562372919679E-2</v>
      </c>
      <c r="N116" s="420">
        <v>1.3203894034973801E-2</v>
      </c>
      <c r="O116" s="172" t="s">
        <v>519</v>
      </c>
      <c r="P116" s="460" t="s">
        <v>1005</v>
      </c>
      <c r="Q116" s="460"/>
      <c r="S116"/>
    </row>
    <row r="117" spans="10:19" ht="15" customHeight="1" x14ac:dyDescent="0.25">
      <c r="K117" s="34" t="s">
        <v>381</v>
      </c>
      <c r="L117" s="420">
        <v>0.16934171674033099</v>
      </c>
      <c r="M117" s="420">
        <v>0.12410126266162901</v>
      </c>
      <c r="N117" s="420">
        <v>0.150121387747954</v>
      </c>
      <c r="O117" s="172" t="s">
        <v>519</v>
      </c>
      <c r="P117" s="460" t="s">
        <v>1005</v>
      </c>
      <c r="Q117" s="460"/>
      <c r="S117"/>
    </row>
    <row r="118" spans="10:19" x14ac:dyDescent="0.25">
      <c r="K118" s="34" t="s">
        <v>369</v>
      </c>
      <c r="L118" s="420">
        <v>0.48033882839354503</v>
      </c>
      <c r="M118" s="420">
        <v>0</v>
      </c>
      <c r="N118" s="420">
        <v>0</v>
      </c>
      <c r="O118" s="172" t="s">
        <v>519</v>
      </c>
      <c r="P118" s="460" t="s">
        <v>1005</v>
      </c>
      <c r="Q118" s="460"/>
      <c r="S118"/>
    </row>
    <row r="119" spans="10:19" x14ac:dyDescent="0.25">
      <c r="K119" s="34" t="s">
        <v>363</v>
      </c>
      <c r="L119" s="420">
        <v>3.8197327062468298E-2</v>
      </c>
      <c r="M119" s="420">
        <v>0.721401127503008</v>
      </c>
      <c r="N119" s="420">
        <v>0.72193013944356699</v>
      </c>
      <c r="O119" s="172" t="s">
        <v>519</v>
      </c>
      <c r="P119" s="460" t="s">
        <v>1005</v>
      </c>
      <c r="Q119" s="460"/>
      <c r="S119"/>
    </row>
    <row r="120" spans="10:19" x14ac:dyDescent="0.25">
      <c r="K120" s="34" t="s">
        <v>350</v>
      </c>
      <c r="L120" s="420">
        <v>0.12918917953654099</v>
      </c>
      <c r="M120" s="420">
        <v>0</v>
      </c>
      <c r="N120" s="420">
        <v>0</v>
      </c>
      <c r="O120" s="172" t="s">
        <v>519</v>
      </c>
      <c r="P120" s="460" t="s">
        <v>1005</v>
      </c>
      <c r="Q120" s="460"/>
      <c r="S120"/>
    </row>
    <row r="121" spans="10:19" x14ac:dyDescent="0.25">
      <c r="K121" s="34" t="s">
        <v>371</v>
      </c>
      <c r="L121" s="420">
        <v>9.5464955904478996E-2</v>
      </c>
      <c r="M121" s="420">
        <v>0</v>
      </c>
      <c r="N121" s="420">
        <v>0</v>
      </c>
      <c r="O121" s="172" t="s">
        <v>519</v>
      </c>
      <c r="P121" s="460" t="s">
        <v>1005</v>
      </c>
      <c r="Q121" s="460"/>
      <c r="S121"/>
    </row>
    <row r="122" spans="10:19" x14ac:dyDescent="0.25">
      <c r="K122" s="34" t="s">
        <v>367</v>
      </c>
      <c r="L122" s="420">
        <v>0</v>
      </c>
      <c r="M122" s="420">
        <v>0.10909123122585999</v>
      </c>
      <c r="N122" s="420">
        <v>0.114744578773505</v>
      </c>
      <c r="O122" s="172" t="s">
        <v>519</v>
      </c>
      <c r="P122" s="460" t="s">
        <v>1005</v>
      </c>
      <c r="Q122" s="460"/>
      <c r="S122"/>
    </row>
    <row r="123" spans="10:19" x14ac:dyDescent="0.25">
      <c r="K123" s="62" t="s">
        <v>214</v>
      </c>
      <c r="L123" s="439">
        <f>SUM(L113:L122)</f>
        <v>0.99999999999999978</v>
      </c>
      <c r="M123" s="439">
        <f t="shared" ref="M123:N123" si="2">SUM(M113:M122)</f>
        <v>0.99999999999999989</v>
      </c>
      <c r="N123" s="439">
        <f t="shared" si="2"/>
        <v>0.99999999999999978</v>
      </c>
      <c r="O123" s="172" t="s">
        <v>519</v>
      </c>
      <c r="S123"/>
    </row>
    <row r="124" spans="10:19" x14ac:dyDescent="0.25">
      <c r="K124" s="34" t="s">
        <v>356</v>
      </c>
      <c r="L124" s="440">
        <f>L115+L116+L117+L119+L122</f>
        <v>0.2486803907198944</v>
      </c>
      <c r="M124" s="440">
        <f>M115+M116+M117+M119+M122</f>
        <v>0.99999999999999989</v>
      </c>
      <c r="N124" s="440">
        <f>N115+N116+N117+N119+N122</f>
        <v>0.99999999999999978</v>
      </c>
      <c r="O124" s="172" t="s">
        <v>519</v>
      </c>
      <c r="S124"/>
    </row>
    <row r="125" spans="10:19" x14ac:dyDescent="0.25">
      <c r="K125" s="34" t="s">
        <v>382</v>
      </c>
      <c r="L125" s="440">
        <f>1-L126</f>
        <v>0.2862443053279129</v>
      </c>
      <c r="M125" s="440">
        <f>1-M126</f>
        <v>0.12034137254339505</v>
      </c>
      <c r="N125" s="440">
        <f>1-N126</f>
        <v>0.11474457877350519</v>
      </c>
      <c r="O125" s="172" t="s">
        <v>519</v>
      </c>
    </row>
    <row r="126" spans="10:19" x14ac:dyDescent="0.25">
      <c r="K126" s="34" t="s">
        <v>383</v>
      </c>
      <c r="L126" s="440">
        <f>SUM(L116:L119)</f>
        <v>0.7137556946720871</v>
      </c>
      <c r="M126" s="440">
        <f>SUM(M116:M119)</f>
        <v>0.87965862745660495</v>
      </c>
      <c r="N126" s="440">
        <f>SUM(N116:N119)</f>
        <v>0.88525542122649481</v>
      </c>
      <c r="O126" s="172" t="s">
        <v>519</v>
      </c>
      <c r="S126"/>
    </row>
    <row r="127" spans="10:19" x14ac:dyDescent="0.25">
      <c r="S127"/>
    </row>
    <row r="128" spans="10:19" x14ac:dyDescent="0.25">
      <c r="J128" s="4" t="s">
        <v>536</v>
      </c>
    </row>
    <row r="130" spans="11:17" x14ac:dyDescent="0.25">
      <c r="K130" s="417" t="s">
        <v>349</v>
      </c>
      <c r="L130" s="417" t="s">
        <v>72</v>
      </c>
      <c r="M130" s="417" t="s">
        <v>69</v>
      </c>
      <c r="N130" s="417" t="s">
        <v>68</v>
      </c>
      <c r="O130" s="431" t="s">
        <v>107</v>
      </c>
      <c r="P130" s="431" t="s">
        <v>335</v>
      </c>
      <c r="Q130" s="431" t="s">
        <v>856</v>
      </c>
    </row>
    <row r="131" spans="11:17" x14ac:dyDescent="0.25">
      <c r="K131" s="34" t="s">
        <v>344</v>
      </c>
      <c r="L131" s="420">
        <f>3224.6/5002.9</f>
        <v>0.64454616322532932</v>
      </c>
      <c r="M131" s="420">
        <f>928.2/5706.7</f>
        <v>0.16265091909509877</v>
      </c>
      <c r="N131" s="420">
        <v>0</v>
      </c>
      <c r="O131" s="172" t="s">
        <v>519</v>
      </c>
      <c r="P131" s="460" t="s">
        <v>1005</v>
      </c>
      <c r="Q131" s="460"/>
    </row>
    <row r="132" spans="11:17" x14ac:dyDescent="0.25">
      <c r="K132" s="34" t="s">
        <v>345</v>
      </c>
      <c r="L132" s="420">
        <v>0</v>
      </c>
      <c r="M132" s="420">
        <f>1268.3/5706.7</f>
        <v>0.22224753360085514</v>
      </c>
      <c r="N132" s="420">
        <v>0</v>
      </c>
      <c r="O132" s="172" t="s">
        <v>519</v>
      </c>
      <c r="P132" s="460" t="s">
        <v>1005</v>
      </c>
      <c r="Q132" s="460"/>
    </row>
    <row r="133" spans="11:17" ht="15" customHeight="1" x14ac:dyDescent="0.25">
      <c r="K133" s="34" t="s">
        <v>544</v>
      </c>
      <c r="L133" s="420">
        <f>SUM(534,213.6,1030.6)/5002.9</f>
        <v>0.35543384836794656</v>
      </c>
      <c r="M133" s="420">
        <f>SUM(444.7,1527.8,1485.4,52)/5706.7</f>
        <v>0.61504897751765475</v>
      </c>
      <c r="N133" s="420">
        <v>1</v>
      </c>
      <c r="O133" s="172" t="s">
        <v>519</v>
      </c>
      <c r="P133" s="460" t="s">
        <v>1005</v>
      </c>
      <c r="Q133" s="460"/>
    </row>
    <row r="134" spans="11:17" x14ac:dyDescent="0.25">
      <c r="K134" s="62" t="s">
        <v>214</v>
      </c>
      <c r="L134" s="567">
        <f>SUM(L131:L133)</f>
        <v>0.99998001159327587</v>
      </c>
      <c r="M134" s="567">
        <f>SUM(M131:M133)</f>
        <v>0.99994743021360866</v>
      </c>
      <c r="N134" s="567">
        <f>SUM(N131:N133)</f>
        <v>1</v>
      </c>
      <c r="O134" s="172" t="s">
        <v>519</v>
      </c>
    </row>
    <row r="179" spans="19:21" ht="15" customHeight="1" x14ac:dyDescent="0.25"/>
    <row r="184" spans="19:21" ht="15" customHeight="1" x14ac:dyDescent="0.25"/>
    <row r="187" spans="19:21" x14ac:dyDescent="0.25">
      <c r="U187" s="54"/>
    </row>
    <row r="188" spans="19:21" x14ac:dyDescent="0.25">
      <c r="U188" s="54"/>
    </row>
    <row r="189" spans="19:21" x14ac:dyDescent="0.25">
      <c r="S189"/>
    </row>
    <row r="190" spans="19:21" ht="15" customHeight="1" x14ac:dyDescent="0.25"/>
  </sheetData>
  <protectedRanges>
    <protectedRange sqref="AJ14 AJ22:AJ23" name="Range3"/>
    <protectedRange sqref="AA14:AA19 C14:C28 L131:M131 L133:N133 M132" name="Range1"/>
    <protectedRange sqref="L14:L16 L18:L20 L31:L33 L38:L39 L42:L44 L47:L49 L53 L56:L58 R42:R44 R31:R33 R18:R20 R24:R26 R56:R58 L92:N92 L62:L63 L24:L28 L84:N90 L97:N108 L123:N123 M113:N114 M118:N118 M120:N121 L122 L132 N131:N132" name="Range2"/>
    <protectedRange sqref="AS14:AS15" name="Range1_1"/>
    <protectedRange sqref="A8" name="Range1_6"/>
    <protectedRange sqref="A1:A5 A10 A12 J10 J12 Y10 Y12 AH10 AH12 AH20 AQ12 AZ12 AZ24 AZ36 AZ43" name="Range1_1_1_1"/>
    <protectedRange sqref="A6:A7" name="Range1_1_3"/>
    <protectedRange sqref="L67:L68" name="Range2_1_1"/>
    <protectedRange sqref="L69" name="Range2_1_2"/>
    <protectedRange sqref="BB14:BB20" name="Range1_3"/>
    <protectedRange sqref="BB31:BB32" name="Range1_4"/>
    <protectedRange sqref="BB26:BB30" name="Range1_1_2"/>
    <protectedRange sqref="BB38:BB41" name="Range1_5"/>
    <protectedRange sqref="BB45:BB46" name="Range1_7"/>
    <protectedRange sqref="L70:L71" name="Range2_1"/>
    <protectedRange sqref="L72:L73" name="Range2_1_3"/>
  </protectedRanges>
  <phoneticPr fontId="19"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48DF9-7621-46EB-AEBF-60B87E9BC84A}">
  <sheetPr codeName="Sheet5">
    <tabColor theme="9" tint="0.59999389629810485"/>
  </sheetPr>
  <dimension ref="A1:S83"/>
  <sheetViews>
    <sheetView showGridLines="0" zoomScale="80" zoomScaleNormal="80" workbookViewId="0">
      <selection activeCell="R20" sqref="R20"/>
    </sheetView>
  </sheetViews>
  <sheetFormatPr defaultRowHeight="15" x14ac:dyDescent="0.25"/>
  <cols>
    <col min="2" max="2" width="21.7109375" customWidth="1"/>
    <col min="3" max="3" width="20.140625" customWidth="1"/>
    <col min="4" max="9" width="9.5703125" customWidth="1"/>
    <col min="15" max="15" width="9.140625" customWidth="1"/>
    <col min="17" max="17" width="11" customWidth="1"/>
    <col min="18" max="18" width="9.140625" customWidth="1"/>
  </cols>
  <sheetData>
    <row r="1" spans="1:18" ht="23.25" x14ac:dyDescent="0.35">
      <c r="A1" s="35" t="s">
        <v>44</v>
      </c>
    </row>
    <row r="2" spans="1:18" ht="23.25" x14ac:dyDescent="0.35">
      <c r="A2" s="35" t="s">
        <v>154</v>
      </c>
    </row>
    <row r="4" spans="1:18" x14ac:dyDescent="0.25">
      <c r="A4" s="4" t="s">
        <v>47</v>
      </c>
      <c r="B4" s="1"/>
    </row>
    <row r="5" spans="1:18" x14ac:dyDescent="0.25">
      <c r="A5" s="39" t="s">
        <v>155</v>
      </c>
      <c r="K5" s="55"/>
    </row>
    <row r="6" spans="1:18" x14ac:dyDescent="0.25">
      <c r="A6" s="39" t="s">
        <v>156</v>
      </c>
      <c r="K6" s="55"/>
    </row>
    <row r="7" spans="1:18" x14ac:dyDescent="0.25">
      <c r="A7" s="39"/>
      <c r="K7" s="55"/>
    </row>
    <row r="8" spans="1:18" x14ac:dyDescent="0.25">
      <c r="B8" s="578" t="s">
        <v>157</v>
      </c>
      <c r="C8" s="582">
        <f>D15</f>
        <v>2022</v>
      </c>
      <c r="D8" s="582" t="s">
        <v>107</v>
      </c>
      <c r="K8" s="54"/>
      <c r="R8" s="12"/>
    </row>
    <row r="9" spans="1:18" x14ac:dyDescent="0.25">
      <c r="B9" s="579"/>
      <c r="C9" s="579"/>
      <c r="D9" s="579"/>
      <c r="K9" s="54"/>
      <c r="R9" s="12"/>
    </row>
    <row r="10" spans="1:18" x14ac:dyDescent="0.25">
      <c r="B10" s="579"/>
      <c r="C10" s="579"/>
      <c r="D10" s="579"/>
      <c r="K10" s="54"/>
      <c r="R10" s="12"/>
    </row>
    <row r="11" spans="1:18" x14ac:dyDescent="0.25">
      <c r="B11" s="34" t="s">
        <v>139</v>
      </c>
      <c r="C11" s="30">
        <f>'Baseline User Input'!AS14</f>
        <v>2721</v>
      </c>
      <c r="D11" s="34" t="s">
        <v>140</v>
      </c>
      <c r="K11" s="54"/>
      <c r="R11" s="12"/>
    </row>
    <row r="12" spans="1:18" x14ac:dyDescent="0.25">
      <c r="B12" s="34" t="s">
        <v>141</v>
      </c>
      <c r="C12" s="30">
        <f>'Baseline User Input'!AS15</f>
        <v>3721</v>
      </c>
      <c r="D12" s="34" t="s">
        <v>140</v>
      </c>
    </row>
    <row r="13" spans="1:18" ht="15.75" thickBot="1" x14ac:dyDescent="0.3">
      <c r="C13" s="7"/>
      <c r="R13" s="12"/>
    </row>
    <row r="14" spans="1:18" x14ac:dyDescent="0.25">
      <c r="A14" s="209">
        <v>4</v>
      </c>
      <c r="B14" s="252"/>
      <c r="C14" s="253"/>
      <c r="D14" s="575" t="s">
        <v>158</v>
      </c>
      <c r="E14" s="576"/>
      <c r="F14" s="576"/>
      <c r="G14" s="576"/>
      <c r="H14" s="576"/>
      <c r="I14" s="576"/>
      <c r="J14" s="577"/>
    </row>
    <row r="15" spans="1:18" x14ac:dyDescent="0.25">
      <c r="B15" s="214" t="s">
        <v>33</v>
      </c>
      <c r="C15" s="212" t="s">
        <v>159</v>
      </c>
      <c r="D15" s="212">
        <f>'Baseline Statistics'!C12</f>
        <v>2022</v>
      </c>
      <c r="E15" s="212">
        <f>'Baseline Statistics'!D12</f>
        <v>2025</v>
      </c>
      <c r="F15" s="212">
        <f>'Baseline Statistics'!E12</f>
        <v>2030</v>
      </c>
      <c r="G15" s="212">
        <f>'Baseline Statistics'!F12</f>
        <v>2035</v>
      </c>
      <c r="H15" s="212">
        <f>'Baseline Statistics'!G12</f>
        <v>2040</v>
      </c>
      <c r="I15" s="212">
        <f>'Baseline Statistics'!H12</f>
        <v>2045</v>
      </c>
      <c r="J15" s="213">
        <f>'Baseline Statistics'!I12</f>
        <v>2050</v>
      </c>
    </row>
    <row r="16" spans="1:18" x14ac:dyDescent="0.25">
      <c r="B16" s="583" t="s">
        <v>34</v>
      </c>
      <c r="C16" s="123" t="s">
        <v>160</v>
      </c>
      <c r="D16" s="124">
        <f>_xlfn.IFS($A$14=1,D20,$A$14=2,D24,$A$14=3,D28,$A$14=4,D32)</f>
        <v>20</v>
      </c>
      <c r="E16" s="124">
        <f t="shared" ref="E16:J16" si="0">_xlfn.IFS($A$14=1,E20,$A$14=2,E24,$A$14=3,E28,$A$14=4,E32)</f>
        <v>20</v>
      </c>
      <c r="F16" s="124">
        <f t="shared" si="0"/>
        <v>20</v>
      </c>
      <c r="G16" s="124">
        <f t="shared" si="0"/>
        <v>20</v>
      </c>
      <c r="H16" s="124">
        <f t="shared" si="0"/>
        <v>20</v>
      </c>
      <c r="I16" s="124">
        <f t="shared" si="0"/>
        <v>20</v>
      </c>
      <c r="J16" s="125">
        <f t="shared" si="0"/>
        <v>20</v>
      </c>
      <c r="K16" s="24" t="str">
        <f>_xlfn.IFS($A$14=1,K20,$A$14=2,K24,$A$14=3,K28,$A$14=4,K32)</f>
        <v>Majority of growth is medium/high density</v>
      </c>
    </row>
    <row r="17" spans="2:19" x14ac:dyDescent="0.25">
      <c r="B17" s="584"/>
      <c r="C17" s="95" t="s">
        <v>161</v>
      </c>
      <c r="D17" s="124">
        <f t="shared" ref="D17:J17" si="1">_xlfn.IFS($A$14=1,D21,$A$14=2,D25,$A$14=3,D29,$A$14=4,D33)</f>
        <v>0</v>
      </c>
      <c r="E17" s="124">
        <f t="shared" si="1"/>
        <v>0</v>
      </c>
      <c r="F17" s="124">
        <f t="shared" si="1"/>
        <v>0</v>
      </c>
      <c r="G17" s="124">
        <f t="shared" si="1"/>
        <v>0</v>
      </c>
      <c r="H17" s="124">
        <f t="shared" si="1"/>
        <v>0</v>
      </c>
      <c r="I17" s="124">
        <f t="shared" si="1"/>
        <v>0</v>
      </c>
      <c r="J17" s="125">
        <f t="shared" si="1"/>
        <v>0</v>
      </c>
    </row>
    <row r="18" spans="2:19" x14ac:dyDescent="0.25">
      <c r="B18" s="584"/>
      <c r="C18" s="95" t="s">
        <v>162</v>
      </c>
      <c r="D18" s="124">
        <f t="shared" ref="D18:J18" si="2">_xlfn.IFS($A$14=1,D22,$A$14=2,D26,$A$14=3,D30,$A$14=4,D34)</f>
        <v>10</v>
      </c>
      <c r="E18" s="124">
        <f t="shared" si="2"/>
        <v>10</v>
      </c>
      <c r="F18" s="124">
        <f t="shared" si="2"/>
        <v>10</v>
      </c>
      <c r="G18" s="124">
        <f t="shared" si="2"/>
        <v>10</v>
      </c>
      <c r="H18" s="124">
        <f t="shared" si="2"/>
        <v>10</v>
      </c>
      <c r="I18" s="124">
        <f t="shared" si="2"/>
        <v>10</v>
      </c>
      <c r="J18" s="125">
        <f t="shared" si="2"/>
        <v>10</v>
      </c>
    </row>
    <row r="19" spans="2:19" ht="15.75" thickBot="1" x14ac:dyDescent="0.3">
      <c r="B19" s="585"/>
      <c r="C19" s="23" t="s">
        <v>163</v>
      </c>
      <c r="D19" s="96">
        <f t="shared" ref="D19:J19" si="3">_xlfn.IFS($A$14=1,D23,$A$14=2,D27,$A$14=3,D31,$A$14=4,D35)</f>
        <v>70</v>
      </c>
      <c r="E19" s="96">
        <f t="shared" si="3"/>
        <v>70</v>
      </c>
      <c r="F19" s="96">
        <f t="shared" si="3"/>
        <v>70</v>
      </c>
      <c r="G19" s="96">
        <f t="shared" si="3"/>
        <v>70</v>
      </c>
      <c r="H19" s="96">
        <f t="shared" si="3"/>
        <v>70</v>
      </c>
      <c r="I19" s="96">
        <f t="shared" si="3"/>
        <v>70</v>
      </c>
      <c r="J19" s="97">
        <f t="shared" si="3"/>
        <v>70</v>
      </c>
    </row>
    <row r="20" spans="2:19" x14ac:dyDescent="0.25">
      <c r="B20" s="586">
        <v>1</v>
      </c>
      <c r="C20" s="254" t="s">
        <v>160</v>
      </c>
      <c r="D20" s="80">
        <v>70</v>
      </c>
      <c r="E20" s="98">
        <v>70</v>
      </c>
      <c r="F20" s="98">
        <v>70</v>
      </c>
      <c r="G20" s="98">
        <v>70</v>
      </c>
      <c r="H20" s="98">
        <v>70</v>
      </c>
      <c r="I20" s="98">
        <v>70</v>
      </c>
      <c r="J20" s="81">
        <v>70</v>
      </c>
      <c r="K20" t="s">
        <v>164</v>
      </c>
      <c r="R20" s="662"/>
      <c r="S20" s="1"/>
    </row>
    <row r="21" spans="2:19" x14ac:dyDescent="0.25">
      <c r="B21" s="586"/>
      <c r="C21" s="255" t="s">
        <v>161</v>
      </c>
      <c r="D21" s="99">
        <v>0</v>
      </c>
      <c r="E21" s="99">
        <v>0</v>
      </c>
      <c r="F21" s="99">
        <v>0</v>
      </c>
      <c r="G21" s="99">
        <v>0</v>
      </c>
      <c r="H21" s="99">
        <v>0</v>
      </c>
      <c r="I21" s="99">
        <v>0</v>
      </c>
      <c r="J21" s="100">
        <v>0</v>
      </c>
      <c r="R21" s="15"/>
    </row>
    <row r="22" spans="2:19" x14ac:dyDescent="0.25">
      <c r="B22" s="586"/>
      <c r="C22" s="255" t="s">
        <v>162</v>
      </c>
      <c r="D22" s="99">
        <v>10</v>
      </c>
      <c r="E22" s="99">
        <v>10</v>
      </c>
      <c r="F22" s="99">
        <v>10</v>
      </c>
      <c r="G22" s="99">
        <v>10</v>
      </c>
      <c r="H22" s="99">
        <v>10</v>
      </c>
      <c r="I22" s="99">
        <v>10</v>
      </c>
      <c r="J22" s="100">
        <v>10</v>
      </c>
      <c r="R22" s="15"/>
    </row>
    <row r="23" spans="2:19" ht="15.75" thickBot="1" x14ac:dyDescent="0.3">
      <c r="B23" s="587"/>
      <c r="C23" s="256" t="s">
        <v>163</v>
      </c>
      <c r="D23" s="101">
        <v>20</v>
      </c>
      <c r="E23" s="101">
        <v>20</v>
      </c>
      <c r="F23" s="101">
        <v>20</v>
      </c>
      <c r="G23" s="101">
        <v>20</v>
      </c>
      <c r="H23" s="101">
        <v>20</v>
      </c>
      <c r="I23" s="101">
        <v>20</v>
      </c>
      <c r="J23" s="102">
        <v>20</v>
      </c>
      <c r="P23" s="12"/>
    </row>
    <row r="24" spans="2:19" x14ac:dyDescent="0.25">
      <c r="B24" s="588">
        <v>2</v>
      </c>
      <c r="C24" s="257" t="s">
        <v>160</v>
      </c>
      <c r="D24" s="80">
        <v>40</v>
      </c>
      <c r="E24" s="80">
        <v>40</v>
      </c>
      <c r="F24" s="80">
        <v>40</v>
      </c>
      <c r="G24" s="80">
        <v>40</v>
      </c>
      <c r="H24" s="80">
        <v>40</v>
      </c>
      <c r="I24" s="80">
        <v>40</v>
      </c>
      <c r="J24" s="103">
        <v>40</v>
      </c>
      <c r="K24" t="s">
        <v>165</v>
      </c>
    </row>
    <row r="25" spans="2:19" x14ac:dyDescent="0.25">
      <c r="B25" s="586"/>
      <c r="C25" s="255" t="s">
        <v>161</v>
      </c>
      <c r="D25" s="99">
        <v>0</v>
      </c>
      <c r="E25" s="99">
        <v>0</v>
      </c>
      <c r="F25" s="99">
        <v>0</v>
      </c>
      <c r="G25" s="99">
        <v>0</v>
      </c>
      <c r="H25" s="99">
        <v>0</v>
      </c>
      <c r="I25" s="99">
        <v>0</v>
      </c>
      <c r="J25" s="100">
        <v>0</v>
      </c>
    </row>
    <row r="26" spans="2:19" x14ac:dyDescent="0.25">
      <c r="B26" s="586"/>
      <c r="C26" s="255" t="s">
        <v>162</v>
      </c>
      <c r="D26" s="99">
        <v>30</v>
      </c>
      <c r="E26" s="99">
        <v>30</v>
      </c>
      <c r="F26" s="99">
        <v>30</v>
      </c>
      <c r="G26" s="99">
        <v>30</v>
      </c>
      <c r="H26" s="99">
        <v>30</v>
      </c>
      <c r="I26" s="99">
        <v>30</v>
      </c>
      <c r="J26" s="100">
        <v>30</v>
      </c>
    </row>
    <row r="27" spans="2:19" ht="15.75" thickBot="1" x14ac:dyDescent="0.3">
      <c r="B27" s="587"/>
      <c r="C27" s="256" t="s">
        <v>163</v>
      </c>
      <c r="D27" s="101">
        <v>30</v>
      </c>
      <c r="E27" s="101">
        <v>30</v>
      </c>
      <c r="F27" s="101">
        <v>30</v>
      </c>
      <c r="G27" s="101">
        <v>30</v>
      </c>
      <c r="H27" s="101">
        <v>30</v>
      </c>
      <c r="I27" s="101">
        <v>30</v>
      </c>
      <c r="J27" s="102">
        <v>30</v>
      </c>
    </row>
    <row r="28" spans="2:19" x14ac:dyDescent="0.25">
      <c r="B28" s="588">
        <v>3</v>
      </c>
      <c r="C28" s="257" t="s">
        <v>160</v>
      </c>
      <c r="D28" s="80">
        <v>30</v>
      </c>
      <c r="E28" s="98">
        <v>30</v>
      </c>
      <c r="F28" s="98">
        <v>30</v>
      </c>
      <c r="G28" s="98">
        <v>30</v>
      </c>
      <c r="H28" s="98">
        <v>30</v>
      </c>
      <c r="I28" s="98">
        <v>30</v>
      </c>
      <c r="J28" s="81">
        <v>30</v>
      </c>
      <c r="K28" t="s">
        <v>166</v>
      </c>
    </row>
    <row r="29" spans="2:19" x14ac:dyDescent="0.25">
      <c r="B29" s="586"/>
      <c r="C29" s="255" t="s">
        <v>161</v>
      </c>
      <c r="D29" s="99">
        <v>0</v>
      </c>
      <c r="E29" s="99">
        <v>0</v>
      </c>
      <c r="F29" s="99">
        <v>0</v>
      </c>
      <c r="G29" s="99">
        <v>0</v>
      </c>
      <c r="H29" s="99">
        <v>0</v>
      </c>
      <c r="I29" s="99">
        <v>0</v>
      </c>
      <c r="J29" s="100">
        <v>0</v>
      </c>
    </row>
    <row r="30" spans="2:19" x14ac:dyDescent="0.25">
      <c r="B30" s="586"/>
      <c r="C30" s="255" t="s">
        <v>162</v>
      </c>
      <c r="D30" s="99">
        <v>20</v>
      </c>
      <c r="E30" s="99">
        <v>20</v>
      </c>
      <c r="F30" s="99">
        <v>20</v>
      </c>
      <c r="G30" s="99">
        <v>20</v>
      </c>
      <c r="H30" s="99">
        <v>20</v>
      </c>
      <c r="I30" s="99">
        <v>20</v>
      </c>
      <c r="J30" s="100">
        <v>20</v>
      </c>
    </row>
    <row r="31" spans="2:19" ht="15.75" thickBot="1" x14ac:dyDescent="0.3">
      <c r="B31" s="587"/>
      <c r="C31" s="256" t="s">
        <v>163</v>
      </c>
      <c r="D31" s="101">
        <v>50</v>
      </c>
      <c r="E31" s="101">
        <v>50</v>
      </c>
      <c r="F31" s="101">
        <v>50</v>
      </c>
      <c r="G31" s="101">
        <v>50</v>
      </c>
      <c r="H31" s="101">
        <v>50</v>
      </c>
      <c r="I31" s="101">
        <v>50</v>
      </c>
      <c r="J31" s="102">
        <v>50</v>
      </c>
    </row>
    <row r="32" spans="2:19" x14ac:dyDescent="0.25">
      <c r="B32" s="588">
        <v>4</v>
      </c>
      <c r="C32" s="254" t="s">
        <v>160</v>
      </c>
      <c r="D32" s="80">
        <v>20</v>
      </c>
      <c r="E32" s="98">
        <v>20</v>
      </c>
      <c r="F32" s="98">
        <v>20</v>
      </c>
      <c r="G32" s="98">
        <v>20</v>
      </c>
      <c r="H32" s="98">
        <v>20</v>
      </c>
      <c r="I32" s="98">
        <v>20</v>
      </c>
      <c r="J32" s="81">
        <v>20</v>
      </c>
      <c r="K32" t="s">
        <v>167</v>
      </c>
    </row>
    <row r="33" spans="1:18" x14ac:dyDescent="0.25">
      <c r="B33" s="586"/>
      <c r="C33" s="255" t="s">
        <v>161</v>
      </c>
      <c r="D33" s="99">
        <v>0</v>
      </c>
      <c r="E33" s="99">
        <v>0</v>
      </c>
      <c r="F33" s="99">
        <v>0</v>
      </c>
      <c r="G33" s="99">
        <v>0</v>
      </c>
      <c r="H33" s="99">
        <v>0</v>
      </c>
      <c r="I33" s="99">
        <v>0</v>
      </c>
      <c r="J33" s="100">
        <v>0</v>
      </c>
    </row>
    <row r="34" spans="1:18" x14ac:dyDescent="0.25">
      <c r="B34" s="586"/>
      <c r="C34" s="255" t="s">
        <v>162</v>
      </c>
      <c r="D34" s="99">
        <v>10</v>
      </c>
      <c r="E34" s="99">
        <v>10</v>
      </c>
      <c r="F34" s="99">
        <v>10</v>
      </c>
      <c r="G34" s="99">
        <v>10</v>
      </c>
      <c r="H34" s="99">
        <v>10</v>
      </c>
      <c r="I34" s="99">
        <v>10</v>
      </c>
      <c r="J34" s="100">
        <v>10</v>
      </c>
    </row>
    <row r="35" spans="1:18" ht="15.75" thickBot="1" x14ac:dyDescent="0.3">
      <c r="B35" s="587"/>
      <c r="C35" s="256" t="s">
        <v>163</v>
      </c>
      <c r="D35" s="101">
        <v>70</v>
      </c>
      <c r="E35" s="101">
        <v>70</v>
      </c>
      <c r="F35" s="101">
        <v>70</v>
      </c>
      <c r="G35" s="101">
        <v>70</v>
      </c>
      <c r="H35" s="101">
        <v>70</v>
      </c>
      <c r="I35" s="101">
        <v>70</v>
      </c>
      <c r="J35" s="102">
        <v>70</v>
      </c>
    </row>
    <row r="36" spans="1:18" x14ac:dyDescent="0.25">
      <c r="C36" s="39"/>
    </row>
    <row r="37" spans="1:18" ht="15.75" thickBot="1" x14ac:dyDescent="0.3"/>
    <row r="38" spans="1:18" x14ac:dyDescent="0.25">
      <c r="A38" s="209">
        <v>3</v>
      </c>
      <c r="B38" s="210"/>
      <c r="C38" s="580" t="s">
        <v>168</v>
      </c>
      <c r="D38" s="580"/>
      <c r="E38" s="580"/>
      <c r="F38" s="580"/>
      <c r="G38" s="580"/>
      <c r="H38" s="580"/>
      <c r="I38" s="581"/>
    </row>
    <row r="39" spans="1:18" x14ac:dyDescent="0.25">
      <c r="B39" s="211" t="s">
        <v>33</v>
      </c>
      <c r="C39" s="212">
        <f>'Baseline Statistics'!C12</f>
        <v>2022</v>
      </c>
      <c r="D39" s="212">
        <f>'Baseline Statistics'!D12</f>
        <v>2025</v>
      </c>
      <c r="E39" s="212">
        <f>'Baseline Statistics'!E12</f>
        <v>2030</v>
      </c>
      <c r="F39" s="212">
        <f>'Baseline Statistics'!F12</f>
        <v>2035</v>
      </c>
      <c r="G39" s="212">
        <f>'Baseline Statistics'!G12</f>
        <v>2040</v>
      </c>
      <c r="H39" s="212">
        <f>'Baseline Statistics'!H12</f>
        <v>2045</v>
      </c>
      <c r="I39" s="213">
        <f>'Baseline Statistics'!I12</f>
        <v>2050</v>
      </c>
    </row>
    <row r="40" spans="1:18" x14ac:dyDescent="0.25">
      <c r="B40" s="58" t="s">
        <v>34</v>
      </c>
      <c r="C40" s="64">
        <f>VLOOKUP($A38,$B41:$I44,COLUMN()-1,TRUE)</f>
        <v>1</v>
      </c>
      <c r="D40" s="64">
        <f t="shared" ref="D40:I40" si="4">VLOOKUP($A38,$B41:$I44,COLUMN()-1,TRUE)</f>
        <v>1.0833333333333333</v>
      </c>
      <c r="E40" s="64">
        <f t="shared" si="4"/>
        <v>1.1666666666666665</v>
      </c>
      <c r="F40" s="64">
        <f t="shared" si="4"/>
        <v>1.2499999999999998</v>
      </c>
      <c r="G40" s="64">
        <f t="shared" si="4"/>
        <v>1.333333333333333</v>
      </c>
      <c r="H40" s="64">
        <f t="shared" si="4"/>
        <v>1.4166666666666663</v>
      </c>
      <c r="I40" s="65">
        <f t="shared" si="4"/>
        <v>1.5</v>
      </c>
      <c r="J40" s="21" t="str">
        <f>VLOOKUP($A38,$B41:$J44,COLUMN()-1,TRUE)</f>
        <v>50% increase by 2050</v>
      </c>
      <c r="O40" s="12"/>
    </row>
    <row r="41" spans="1:18" x14ac:dyDescent="0.25">
      <c r="B41" s="214">
        <v>1</v>
      </c>
      <c r="C41" s="215">
        <v>1</v>
      </c>
      <c r="D41" s="216">
        <v>1</v>
      </c>
      <c r="E41" s="216">
        <v>1</v>
      </c>
      <c r="F41" s="216">
        <v>1</v>
      </c>
      <c r="G41" s="216">
        <v>1</v>
      </c>
      <c r="H41" s="216">
        <v>1</v>
      </c>
      <c r="I41" s="217">
        <v>1</v>
      </c>
      <c r="J41" t="s">
        <v>169</v>
      </c>
      <c r="P41" s="79"/>
      <c r="R41" s="662"/>
    </row>
    <row r="42" spans="1:18" x14ac:dyDescent="0.25">
      <c r="B42" s="214">
        <v>2</v>
      </c>
      <c r="C42" s="215">
        <v>1</v>
      </c>
      <c r="D42" s="216">
        <f>C42+(($I42-$C42)/6)</f>
        <v>1.0416666666666667</v>
      </c>
      <c r="E42" s="216">
        <f t="shared" ref="E42:H42" si="5">D42+(($I42-$C42)/6)</f>
        <v>1.0833333333333335</v>
      </c>
      <c r="F42" s="216">
        <f t="shared" si="5"/>
        <v>1.1250000000000002</v>
      </c>
      <c r="G42" s="216">
        <f t="shared" si="5"/>
        <v>1.166666666666667</v>
      </c>
      <c r="H42" s="216">
        <f t="shared" si="5"/>
        <v>1.2083333333333337</v>
      </c>
      <c r="I42" s="218">
        <v>1.25</v>
      </c>
      <c r="J42" t="s">
        <v>170</v>
      </c>
    </row>
    <row r="43" spans="1:18" x14ac:dyDescent="0.25">
      <c r="B43" s="214">
        <v>3</v>
      </c>
      <c r="C43" s="215">
        <v>1</v>
      </c>
      <c r="D43" s="216">
        <f t="shared" ref="D43:H43" si="6">C43+(($I43-$C43)/6)</f>
        <v>1.0833333333333333</v>
      </c>
      <c r="E43" s="216">
        <f t="shared" si="6"/>
        <v>1.1666666666666665</v>
      </c>
      <c r="F43" s="216">
        <f t="shared" si="6"/>
        <v>1.2499999999999998</v>
      </c>
      <c r="G43" s="216">
        <f t="shared" si="6"/>
        <v>1.333333333333333</v>
      </c>
      <c r="H43" s="216">
        <f t="shared" si="6"/>
        <v>1.4166666666666663</v>
      </c>
      <c r="I43" s="217">
        <v>1.5</v>
      </c>
      <c r="J43" t="s">
        <v>171</v>
      </c>
    </row>
    <row r="44" spans="1:18" ht="15.75" thickBot="1" x14ac:dyDescent="0.3">
      <c r="B44" s="258">
        <v>4</v>
      </c>
      <c r="C44" s="259">
        <v>1</v>
      </c>
      <c r="D44" s="260">
        <f t="shared" ref="D44:G44" si="7">C44+(($I44-$C44)/6)</f>
        <v>1.1666666666666667</v>
      </c>
      <c r="E44" s="260">
        <f t="shared" si="7"/>
        <v>1.3333333333333335</v>
      </c>
      <c r="F44" s="260">
        <f t="shared" si="7"/>
        <v>1.5000000000000002</v>
      </c>
      <c r="G44" s="260">
        <f t="shared" si="7"/>
        <v>1.666666666666667</v>
      </c>
      <c r="H44" s="260">
        <f>G44+(($I44-$C44)/6)</f>
        <v>1.8333333333333337</v>
      </c>
      <c r="I44" s="261">
        <v>2</v>
      </c>
      <c r="J44" t="s">
        <v>172</v>
      </c>
    </row>
    <row r="45" spans="1:18" x14ac:dyDescent="0.25">
      <c r="B45" s="201"/>
      <c r="C45" s="202"/>
      <c r="D45" s="202"/>
      <c r="E45" s="202"/>
      <c r="F45" s="202"/>
      <c r="G45" s="202"/>
      <c r="H45" s="202"/>
      <c r="I45" s="203"/>
      <c r="O45" s="54"/>
    </row>
    <row r="46" spans="1:18" x14ac:dyDescent="0.25">
      <c r="B46" s="226" t="s">
        <v>173</v>
      </c>
      <c r="C46" s="227">
        <f>C39</f>
        <v>2022</v>
      </c>
      <c r="D46" s="227">
        <f t="shared" ref="D46:I46" si="8">D39</f>
        <v>2025</v>
      </c>
      <c r="E46" s="227">
        <f t="shared" si="8"/>
        <v>2030</v>
      </c>
      <c r="F46" s="227">
        <f t="shared" si="8"/>
        <v>2035</v>
      </c>
      <c r="G46" s="227">
        <f t="shared" si="8"/>
        <v>2040</v>
      </c>
      <c r="H46" s="227">
        <f t="shared" si="8"/>
        <v>2045</v>
      </c>
      <c r="I46" s="228">
        <f t="shared" si="8"/>
        <v>2050</v>
      </c>
    </row>
    <row r="47" spans="1:18" x14ac:dyDescent="0.25">
      <c r="B47" s="126" t="s">
        <v>174</v>
      </c>
      <c r="C47" s="30">
        <f>SUM(C11:C12)</f>
        <v>6442</v>
      </c>
      <c r="D47" s="30">
        <f>$C47*D$40</f>
        <v>6978.833333333333</v>
      </c>
      <c r="E47" s="30">
        <f>$C47*E$40</f>
        <v>7515.6666666666661</v>
      </c>
      <c r="F47" s="30">
        <f t="shared" ref="F47:I47" si="9">$C47*F$40</f>
        <v>8052.4999999999982</v>
      </c>
      <c r="G47" s="30">
        <f t="shared" si="9"/>
        <v>8589.3333333333321</v>
      </c>
      <c r="H47" s="30">
        <f t="shared" si="9"/>
        <v>9126.1666666666642</v>
      </c>
      <c r="I47" s="31">
        <f t="shared" si="9"/>
        <v>9663</v>
      </c>
      <c r="J47" t="s">
        <v>140</v>
      </c>
    </row>
    <row r="48" spans="1:18" ht="15.75" thickBot="1" x14ac:dyDescent="0.3">
      <c r="B48" s="127" t="s">
        <v>175</v>
      </c>
      <c r="C48" s="32">
        <v>0</v>
      </c>
      <c r="D48" s="32">
        <f>D47-$C47</f>
        <v>536.83333333333303</v>
      </c>
      <c r="E48" s="32">
        <f t="shared" ref="E48:I48" si="10">E47-$C47</f>
        <v>1073.6666666666661</v>
      </c>
      <c r="F48" s="32">
        <f t="shared" si="10"/>
        <v>1610.4999999999982</v>
      </c>
      <c r="G48" s="32">
        <f t="shared" si="10"/>
        <v>2147.3333333333321</v>
      </c>
      <c r="H48" s="32">
        <f t="shared" si="10"/>
        <v>2684.1666666666642</v>
      </c>
      <c r="I48" s="33">
        <f t="shared" si="10"/>
        <v>3221</v>
      </c>
      <c r="J48" t="s">
        <v>140</v>
      </c>
    </row>
    <row r="49" spans="1:15" ht="15.75" thickBot="1" x14ac:dyDescent="0.3"/>
    <row r="50" spans="1:15" x14ac:dyDescent="0.25">
      <c r="A50" s="209">
        <v>3</v>
      </c>
      <c r="B50" s="210"/>
      <c r="C50" s="575" t="s">
        <v>176</v>
      </c>
      <c r="D50" s="576"/>
      <c r="E50" s="576"/>
      <c r="F50" s="576"/>
      <c r="G50" s="576"/>
      <c r="H50" s="576"/>
      <c r="I50" s="577"/>
    </row>
    <row r="51" spans="1:15" x14ac:dyDescent="0.25">
      <c r="B51" s="211" t="s">
        <v>33</v>
      </c>
      <c r="C51" s="212">
        <f>'Baseline Statistics'!C12</f>
        <v>2022</v>
      </c>
      <c r="D51" s="212">
        <f>'Baseline Statistics'!D12</f>
        <v>2025</v>
      </c>
      <c r="E51" s="212">
        <f>'Baseline Statistics'!E12</f>
        <v>2030</v>
      </c>
      <c r="F51" s="212">
        <f>'Baseline Statistics'!F12</f>
        <v>2035</v>
      </c>
      <c r="G51" s="212">
        <f>'Baseline Statistics'!G12</f>
        <v>2040</v>
      </c>
      <c r="H51" s="212">
        <f>'Baseline Statistics'!H12</f>
        <v>2045</v>
      </c>
      <c r="I51" s="213">
        <f>'Baseline Statistics'!I12</f>
        <v>2050</v>
      </c>
    </row>
    <row r="52" spans="1:15" x14ac:dyDescent="0.25">
      <c r="B52" s="58" t="s">
        <v>34</v>
      </c>
      <c r="C52" s="59">
        <f>VLOOKUP($A50,$B53:$I56,COLUMN()-1,TRUE)</f>
        <v>0.5</v>
      </c>
      <c r="D52" s="59">
        <f t="shared" ref="D52:I52" si="11">VLOOKUP($A50,$B53:$I56,COLUMN()-1,TRUE)</f>
        <v>0.5</v>
      </c>
      <c r="E52" s="59">
        <f t="shared" si="11"/>
        <v>0.5</v>
      </c>
      <c r="F52" s="59">
        <f t="shared" si="11"/>
        <v>0.5</v>
      </c>
      <c r="G52" s="59">
        <f t="shared" si="11"/>
        <v>0.5</v>
      </c>
      <c r="H52" s="59">
        <f t="shared" si="11"/>
        <v>0.5</v>
      </c>
      <c r="I52" s="59">
        <f t="shared" si="11"/>
        <v>0.5</v>
      </c>
      <c r="J52" s="21" t="str">
        <f>VLOOKUP($A50,$B53:$J56,COLUMN()-1,TRUE)</f>
        <v>New forest is 50%/50% native and exotic</v>
      </c>
    </row>
    <row r="53" spans="1:15" x14ac:dyDescent="0.25">
      <c r="B53" s="214">
        <v>1</v>
      </c>
      <c r="C53" s="216">
        <v>1</v>
      </c>
      <c r="D53" s="216">
        <v>1</v>
      </c>
      <c r="E53" s="216">
        <v>1</v>
      </c>
      <c r="F53" s="216">
        <v>1</v>
      </c>
      <c r="G53" s="216">
        <v>1</v>
      </c>
      <c r="H53" s="216">
        <v>1</v>
      </c>
      <c r="I53" s="217">
        <v>1</v>
      </c>
      <c r="J53" t="s">
        <v>177</v>
      </c>
    </row>
    <row r="54" spans="1:15" x14ac:dyDescent="0.25">
      <c r="B54" s="214">
        <v>2</v>
      </c>
      <c r="C54" s="215">
        <v>0.8</v>
      </c>
      <c r="D54" s="215">
        <v>0.8</v>
      </c>
      <c r="E54" s="215">
        <v>0.8</v>
      </c>
      <c r="F54" s="215">
        <v>0.8</v>
      </c>
      <c r="G54" s="215">
        <v>0.8</v>
      </c>
      <c r="H54" s="215">
        <v>0.8</v>
      </c>
      <c r="I54" s="218">
        <v>0.8</v>
      </c>
      <c r="J54" t="s">
        <v>178</v>
      </c>
    </row>
    <row r="55" spans="1:15" x14ac:dyDescent="0.25">
      <c r="B55" s="214">
        <v>3</v>
      </c>
      <c r="C55" s="215">
        <v>0.5</v>
      </c>
      <c r="D55" s="216">
        <v>0.5</v>
      </c>
      <c r="E55" s="216">
        <v>0.5</v>
      </c>
      <c r="F55" s="216">
        <v>0.5</v>
      </c>
      <c r="G55" s="216">
        <v>0.5</v>
      </c>
      <c r="H55" s="216">
        <v>0.5</v>
      </c>
      <c r="I55" s="217">
        <v>0.5</v>
      </c>
      <c r="J55" s="262" t="s">
        <v>179</v>
      </c>
      <c r="O55" s="54"/>
    </row>
    <row r="56" spans="1:15" ht="15.75" thickBot="1" x14ac:dyDescent="0.3">
      <c r="B56" s="258">
        <v>4</v>
      </c>
      <c r="C56" s="259">
        <v>0</v>
      </c>
      <c r="D56" s="260">
        <v>0</v>
      </c>
      <c r="E56" s="260">
        <v>0</v>
      </c>
      <c r="F56" s="260">
        <v>0</v>
      </c>
      <c r="G56" s="260">
        <v>0</v>
      </c>
      <c r="H56" s="260">
        <v>0</v>
      </c>
      <c r="I56" s="261">
        <v>0</v>
      </c>
      <c r="J56" t="s">
        <v>180</v>
      </c>
      <c r="O56" s="12"/>
    </row>
    <row r="57" spans="1:15" x14ac:dyDescent="0.25">
      <c r="B57" s="201"/>
      <c r="C57" s="202"/>
      <c r="D57" s="202"/>
      <c r="E57" s="202"/>
      <c r="F57" s="202"/>
      <c r="G57" s="202"/>
      <c r="H57" s="202"/>
      <c r="I57" s="203"/>
    </row>
    <row r="58" spans="1:15" x14ac:dyDescent="0.25">
      <c r="B58" s="226" t="s">
        <v>157</v>
      </c>
      <c r="C58" s="227">
        <f>C51</f>
        <v>2022</v>
      </c>
      <c r="D58" s="227">
        <f t="shared" ref="D58:I58" si="12">D51</f>
        <v>2025</v>
      </c>
      <c r="E58" s="227">
        <f t="shared" si="12"/>
        <v>2030</v>
      </c>
      <c r="F58" s="227">
        <f t="shared" si="12"/>
        <v>2035</v>
      </c>
      <c r="G58" s="227">
        <f t="shared" si="12"/>
        <v>2040</v>
      </c>
      <c r="H58" s="227">
        <f t="shared" si="12"/>
        <v>2045</v>
      </c>
      <c r="I58" s="228">
        <f t="shared" si="12"/>
        <v>2050</v>
      </c>
    </row>
    <row r="59" spans="1:15" x14ac:dyDescent="0.25">
      <c r="B59" s="126" t="s">
        <v>139</v>
      </c>
      <c r="C59" s="30">
        <f t="shared" ref="C59:H59" si="13">$C11+C$48*(1-C$52)</f>
        <v>2721</v>
      </c>
      <c r="D59" s="30">
        <f t="shared" si="13"/>
        <v>2989.4166666666665</v>
      </c>
      <c r="E59" s="30">
        <f t="shared" si="13"/>
        <v>3257.833333333333</v>
      </c>
      <c r="F59" s="30">
        <f t="shared" si="13"/>
        <v>3526.2499999999991</v>
      </c>
      <c r="G59" s="30">
        <f t="shared" si="13"/>
        <v>3794.6666666666661</v>
      </c>
      <c r="H59" s="30">
        <f t="shared" si="13"/>
        <v>4063.0833333333321</v>
      </c>
      <c r="I59" s="31">
        <f>$C11+I$48*(1-I$52)</f>
        <v>4331.5</v>
      </c>
      <c r="J59" t="s">
        <v>140</v>
      </c>
      <c r="K59" s="7"/>
    </row>
    <row r="60" spans="1:15" ht="15.75" thickBot="1" x14ac:dyDescent="0.3">
      <c r="B60" s="127" t="s">
        <v>141</v>
      </c>
      <c r="C60" s="32">
        <f t="shared" ref="C60:I60" si="14">$C12+C48*C52</f>
        <v>3721</v>
      </c>
      <c r="D60" s="32">
        <f t="shared" si="14"/>
        <v>3989.4166666666665</v>
      </c>
      <c r="E60" s="32">
        <f t="shared" si="14"/>
        <v>4257.833333333333</v>
      </c>
      <c r="F60" s="32">
        <f t="shared" si="14"/>
        <v>4526.2499999999991</v>
      </c>
      <c r="G60" s="32">
        <f t="shared" si="14"/>
        <v>4794.6666666666661</v>
      </c>
      <c r="H60" s="32">
        <f t="shared" si="14"/>
        <v>5063.0833333333321</v>
      </c>
      <c r="I60" s="33">
        <f t="shared" si="14"/>
        <v>5331.5</v>
      </c>
      <c r="J60" t="s">
        <v>140</v>
      </c>
    </row>
    <row r="61" spans="1:15" ht="15.75" thickBot="1" x14ac:dyDescent="0.3"/>
    <row r="62" spans="1:15" x14ac:dyDescent="0.25">
      <c r="A62" s="209">
        <v>2</v>
      </c>
      <c r="B62" s="210"/>
      <c r="C62" s="580" t="s">
        <v>181</v>
      </c>
      <c r="D62" s="580"/>
      <c r="E62" s="580"/>
      <c r="F62" s="580"/>
      <c r="G62" s="580"/>
      <c r="H62" s="580"/>
      <c r="I62" s="581"/>
      <c r="J62" t="s">
        <v>182</v>
      </c>
    </row>
    <row r="63" spans="1:15" x14ac:dyDescent="0.25">
      <c r="B63" s="211" t="s">
        <v>33</v>
      </c>
      <c r="C63" s="212">
        <f>'Baseline Statistics'!C12</f>
        <v>2022</v>
      </c>
      <c r="D63" s="212">
        <f>'Baseline Statistics'!D12</f>
        <v>2025</v>
      </c>
      <c r="E63" s="212">
        <f>'Baseline Statistics'!E12</f>
        <v>2030</v>
      </c>
      <c r="F63" s="212">
        <f>'Baseline Statistics'!F12</f>
        <v>2035</v>
      </c>
      <c r="G63" s="212">
        <f>'Baseline Statistics'!G12</f>
        <v>2040</v>
      </c>
      <c r="H63" s="212">
        <f>'Baseline Statistics'!H12</f>
        <v>2045</v>
      </c>
      <c r="I63" s="213">
        <f>'Baseline Statistics'!I12</f>
        <v>2050</v>
      </c>
      <c r="O63" s="54"/>
    </row>
    <row r="64" spans="1:15" x14ac:dyDescent="0.25">
      <c r="B64" s="58" t="s">
        <v>34</v>
      </c>
      <c r="C64" s="64">
        <f>VLOOKUP($A62,$B65:$I68,COLUMN()-1,TRUE)</f>
        <v>0</v>
      </c>
      <c r="D64" s="64">
        <f t="shared" ref="D64:I64" si="15">VLOOKUP($A62,$B65:$I68,COLUMN()-1,TRUE)</f>
        <v>3.3333333333333333E-2</v>
      </c>
      <c r="E64" s="64">
        <f t="shared" si="15"/>
        <v>6.6666666666666666E-2</v>
      </c>
      <c r="F64" s="64">
        <f t="shared" si="15"/>
        <v>0.1</v>
      </c>
      <c r="G64" s="64">
        <f t="shared" si="15"/>
        <v>0.13333333333333333</v>
      </c>
      <c r="H64" s="64">
        <f t="shared" si="15"/>
        <v>0.16666666666666666</v>
      </c>
      <c r="I64" s="65">
        <f t="shared" si="15"/>
        <v>0.2</v>
      </c>
      <c r="J64" s="21" t="str">
        <f>VLOOKUP($A62,$B65:$J68,COLUMN()-1,TRUE)</f>
        <v>20% of available forestry residual biomass used for heating by 2050</v>
      </c>
    </row>
    <row r="65" spans="1:18" x14ac:dyDescent="0.25">
      <c r="B65" s="214">
        <v>1</v>
      </c>
      <c r="C65" s="215">
        <v>0</v>
      </c>
      <c r="D65" s="216">
        <v>0</v>
      </c>
      <c r="E65" s="216">
        <v>0</v>
      </c>
      <c r="F65" s="216">
        <v>0</v>
      </c>
      <c r="G65" s="216">
        <v>0</v>
      </c>
      <c r="H65" s="216">
        <v>0</v>
      </c>
      <c r="I65" s="217">
        <v>0</v>
      </c>
      <c r="J65" t="s">
        <v>183</v>
      </c>
    </row>
    <row r="66" spans="1:18" x14ac:dyDescent="0.25">
      <c r="B66" s="214">
        <v>2</v>
      </c>
      <c r="C66" s="215">
        <v>0</v>
      </c>
      <c r="D66" s="216">
        <f t="shared" ref="D66:H66" si="16">C66+(($I66-$C66)/6)</f>
        <v>3.3333333333333333E-2</v>
      </c>
      <c r="E66" s="216">
        <f t="shared" si="16"/>
        <v>6.6666666666666666E-2</v>
      </c>
      <c r="F66" s="216">
        <f t="shared" si="16"/>
        <v>0.1</v>
      </c>
      <c r="G66" s="216">
        <f t="shared" si="16"/>
        <v>0.13333333333333333</v>
      </c>
      <c r="H66" s="216">
        <f t="shared" si="16"/>
        <v>0.16666666666666666</v>
      </c>
      <c r="I66" s="218">
        <v>0.2</v>
      </c>
      <c r="J66" t="s">
        <v>184</v>
      </c>
    </row>
    <row r="67" spans="1:18" x14ac:dyDescent="0.25">
      <c r="B67" s="214">
        <v>3</v>
      </c>
      <c r="C67" s="215">
        <v>0</v>
      </c>
      <c r="D67" s="216">
        <f t="shared" ref="D67:H67" si="17">C67+(($I67-$C67)/6)</f>
        <v>8.3333333333333329E-2</v>
      </c>
      <c r="E67" s="216">
        <f t="shared" si="17"/>
        <v>0.16666666666666666</v>
      </c>
      <c r="F67" s="216">
        <f t="shared" si="17"/>
        <v>0.25</v>
      </c>
      <c r="G67" s="216">
        <f t="shared" si="17"/>
        <v>0.33333333333333331</v>
      </c>
      <c r="H67" s="216">
        <f t="shared" si="17"/>
        <v>0.41666666666666663</v>
      </c>
      <c r="I67" s="217">
        <v>0.5</v>
      </c>
      <c r="J67" t="s">
        <v>185</v>
      </c>
      <c r="R67" s="12"/>
    </row>
    <row r="68" spans="1:18" ht="15.75" thickBot="1" x14ac:dyDescent="0.3">
      <c r="B68" s="258">
        <v>4</v>
      </c>
      <c r="C68" s="259">
        <v>0</v>
      </c>
      <c r="D68" s="216">
        <f t="shared" ref="D68:H68" si="18">C68+(($I68-$C68)/6)</f>
        <v>0.16666666666666666</v>
      </c>
      <c r="E68" s="216">
        <f t="shared" si="18"/>
        <v>0.33333333333333331</v>
      </c>
      <c r="F68" s="216">
        <f t="shared" si="18"/>
        <v>0.5</v>
      </c>
      <c r="G68" s="216">
        <f>F68+(($I68-$C68)/6)</f>
        <v>0.66666666666666663</v>
      </c>
      <c r="H68" s="216">
        <f t="shared" si="18"/>
        <v>0.83333333333333326</v>
      </c>
      <c r="I68" s="261">
        <v>1</v>
      </c>
      <c r="J68" t="s">
        <v>186</v>
      </c>
    </row>
    <row r="69" spans="1:18" x14ac:dyDescent="0.25">
      <c r="B69" s="201"/>
      <c r="C69" s="202"/>
      <c r="D69" s="202"/>
      <c r="E69" s="202"/>
      <c r="F69" s="202"/>
      <c r="G69" s="202"/>
      <c r="H69" s="202"/>
      <c r="I69" s="203"/>
    </row>
    <row r="70" spans="1:18" x14ac:dyDescent="0.25">
      <c r="B70" s="226" t="s">
        <v>187</v>
      </c>
      <c r="C70" s="227">
        <f>C63</f>
        <v>2022</v>
      </c>
      <c r="D70" s="227">
        <f t="shared" ref="D70:I70" si="19">D63</f>
        <v>2025</v>
      </c>
      <c r="E70" s="227">
        <f t="shared" si="19"/>
        <v>2030</v>
      </c>
      <c r="F70" s="227">
        <f t="shared" si="19"/>
        <v>2035</v>
      </c>
      <c r="G70" s="227">
        <f t="shared" si="19"/>
        <v>2040</v>
      </c>
      <c r="H70" s="227">
        <f t="shared" si="19"/>
        <v>2045</v>
      </c>
      <c r="I70" s="228">
        <f t="shared" si="19"/>
        <v>2050</v>
      </c>
    </row>
    <row r="71" spans="1:18" x14ac:dyDescent="0.25">
      <c r="B71" s="234" t="s">
        <v>188</v>
      </c>
      <c r="C71" s="30">
        <f>C60*C64*'Emissions Factors, etc,'!C145*'Emissions Factors, etc,'!C146*'Emissions Factors, etc,'!C147*'Emissions Factors, etc,'!C148</f>
        <v>0</v>
      </c>
      <c r="D71" s="30">
        <f>D60*D64*'Emissions Factors, etc,'!D145*'Emissions Factors, etc,'!D146*'Emissions Factors, etc,'!D147*'Emissions Factors, etc,'!D148</f>
        <v>3590.4749999999999</v>
      </c>
      <c r="E71" s="30">
        <f>E60*E64*'Emissions Factors, etc,'!E145*'Emissions Factors, etc,'!E146*'Emissions Factors, etc,'!E147*'Emissions Factors, etc,'!E148</f>
        <v>7664.0999999999995</v>
      </c>
      <c r="F71" s="30">
        <f>F60*F64*'Emissions Factors, etc,'!F145*'Emissions Factors, etc,'!F146*'Emissions Factors, etc,'!F147*'Emissions Factors, etc,'!F148</f>
        <v>12220.874999999998</v>
      </c>
      <c r="G71" s="30">
        <f>G60*G64*'Emissions Factors, etc,'!G145*'Emissions Factors, etc,'!G146*'Emissions Factors, etc,'!G147*'Emissions Factors, etc,'!G148</f>
        <v>17260.799999999996</v>
      </c>
      <c r="H71" s="30">
        <f>H60*H64*'Emissions Factors, etc,'!H145*'Emissions Factors, etc,'!H146*'Emissions Factors, etc,'!H147*'Emissions Factors, etc,'!H148</f>
        <v>22783.874999999993</v>
      </c>
      <c r="I71" s="31">
        <f>I60*I64*'Emissions Factors, etc,'!I145*'Emissions Factors, etc,'!I146*'Emissions Factors, etc,'!I147*'Emissions Factors, etc,'!I148</f>
        <v>28790.1</v>
      </c>
      <c r="J71" t="s">
        <v>117</v>
      </c>
      <c r="O71" s="12"/>
    </row>
    <row r="72" spans="1:18" x14ac:dyDescent="0.25">
      <c r="B72" s="234" t="s">
        <v>189</v>
      </c>
      <c r="C72" s="30">
        <f>C71*'Emissions Factors, etc,'!C144</f>
        <v>0</v>
      </c>
      <c r="D72" s="30">
        <f>D71*'Emissions Factors, etc,'!D144</f>
        <v>53857.125</v>
      </c>
      <c r="E72" s="30">
        <f>E71*'Emissions Factors, etc,'!E144</f>
        <v>114961.49999999999</v>
      </c>
      <c r="F72" s="30">
        <f>F71*'Emissions Factors, etc,'!F144</f>
        <v>183313.12499999997</v>
      </c>
      <c r="G72" s="30">
        <f>G71*'Emissions Factors, etc,'!G144</f>
        <v>258911.99999999994</v>
      </c>
      <c r="H72" s="30">
        <f>H71*'Emissions Factors, etc,'!H144</f>
        <v>341758.12499999988</v>
      </c>
      <c r="I72" s="31">
        <f>I71*'Emissions Factors, etc,'!I144</f>
        <v>431851.5</v>
      </c>
      <c r="J72" t="s">
        <v>120</v>
      </c>
      <c r="K72" s="12"/>
      <c r="O72" s="12"/>
    </row>
    <row r="73" spans="1:18" x14ac:dyDescent="0.25">
      <c r="B73" s="234" t="s">
        <v>190</v>
      </c>
      <c r="C73" s="30">
        <f>C71/'Emissions Factors, etc,'!C139*'Emissions Factors, etc,'!C140*'Emissions Factors, etc,'!$C179</f>
        <v>0</v>
      </c>
      <c r="D73" s="30">
        <f>D71/'Emissions Factors, etc,'!D139*'Emissions Factors, etc,'!D140*'Emissions Factors, etc,'!$C179</f>
        <v>94.249968750000008</v>
      </c>
      <c r="E73" s="30">
        <f>E71/'Emissions Factors, etc,'!E139*'Emissions Factors, etc,'!E140*'Emissions Factors, etc,'!$C179</f>
        <v>201.18262500000003</v>
      </c>
      <c r="F73" s="30">
        <f>F71/'Emissions Factors, etc,'!F139*'Emissions Factors, etc,'!F140*'Emissions Factors, etc,'!$C179</f>
        <v>320.79796875</v>
      </c>
      <c r="G73" s="30">
        <f>G71/'Emissions Factors, etc,'!G139*'Emissions Factors, etc,'!G140*'Emissions Factors, etc,'!$C179</f>
        <v>453.09599999999995</v>
      </c>
      <c r="H73" s="30">
        <f>H71/'Emissions Factors, etc,'!H139*'Emissions Factors, etc,'!H140*'Emissions Factors, etc,'!$C179</f>
        <v>598.07671874999983</v>
      </c>
      <c r="I73" s="31">
        <f>I71/'Emissions Factors, etc,'!I139*'Emissions Factors, etc,'!I140*'Emissions Factors, etc,'!$C179</f>
        <v>755.74012500000003</v>
      </c>
      <c r="J73" t="s">
        <v>122</v>
      </c>
      <c r="O73" s="12"/>
    </row>
    <row r="74" spans="1:18" ht="15.75" thickBot="1" x14ac:dyDescent="0.3">
      <c r="B74" s="263" t="s">
        <v>191</v>
      </c>
      <c r="C74" s="32">
        <f>C72*'Emissions Factors, etc,'!$C26*'Emissions Factors, etc,'!$C$152*'Emissions Factors, etc,'!$C$153</f>
        <v>0</v>
      </c>
      <c r="D74" s="32">
        <f>D72*'Emissions Factors, etc,'!$C26*'Emissions Factors, etc,'!$C$152*'Emissions Factors, etc,'!$C$153</f>
        <v>20307.668541450636</v>
      </c>
      <c r="E74" s="32">
        <f>E72*'Emissions Factors, etc,'!$C26*'Emissions Factors, etc,'!$C$152*'Emissions Factors, etc,'!$C$153</f>
        <v>43348.025670289251</v>
      </c>
      <c r="F74" s="32">
        <f>F72*'Emissions Factors, etc,'!$C26*'Emissions Factors, etc,'!$C$152*'Emissions Factors, etc,'!$C$153</f>
        <v>69121.071386515847</v>
      </c>
      <c r="G74" s="32">
        <f>G72*'Emissions Factors, etc,'!$C26*'Emissions Factors, etc,'!$C$152*'Emissions Factors, etc,'!$C$153</f>
        <v>97626.805690130423</v>
      </c>
      <c r="H74" s="32">
        <f>H72*'Emissions Factors, etc,'!$C26*'Emissions Factors, etc,'!$C$152*'Emissions Factors, etc,'!$C$153</f>
        <v>128865.22858113298</v>
      </c>
      <c r="I74" s="33">
        <f>I72*'Emissions Factors, etc,'!$C26*'Emissions Factors, etc,'!$C$152*'Emissions Factors, etc,'!$C$153</f>
        <v>162836.34005952359</v>
      </c>
      <c r="J74" t="s">
        <v>192</v>
      </c>
      <c r="O74" s="12"/>
    </row>
    <row r="75" spans="1:18" ht="15.75" thickBot="1" x14ac:dyDescent="0.3"/>
    <row r="76" spans="1:18" x14ac:dyDescent="0.25">
      <c r="A76" s="209">
        <v>1</v>
      </c>
      <c r="B76" s="210"/>
      <c r="C76" s="575" t="s">
        <v>193</v>
      </c>
      <c r="D76" s="576"/>
      <c r="E76" s="576"/>
      <c r="F76" s="576"/>
      <c r="G76" s="576"/>
      <c r="H76" s="576"/>
      <c r="I76" s="577"/>
      <c r="R76" s="662"/>
    </row>
    <row r="77" spans="1:18" x14ac:dyDescent="0.25">
      <c r="B77" s="211" t="s">
        <v>33</v>
      </c>
      <c r="C77" s="212">
        <f>'Baseline Statistics'!C12</f>
        <v>2022</v>
      </c>
      <c r="D77" s="212">
        <f>'Baseline Statistics'!D12</f>
        <v>2025</v>
      </c>
      <c r="E77" s="212">
        <f>'Baseline Statistics'!E12</f>
        <v>2030</v>
      </c>
      <c r="F77" s="212">
        <f>'Baseline Statistics'!F12</f>
        <v>2035</v>
      </c>
      <c r="G77" s="212">
        <f>'Baseline Statistics'!G12</f>
        <v>2040</v>
      </c>
      <c r="H77" s="212">
        <f>'Baseline Statistics'!H12</f>
        <v>2045</v>
      </c>
      <c r="I77" s="213">
        <f>'Baseline Statistics'!I12</f>
        <v>2050</v>
      </c>
    </row>
    <row r="78" spans="1:18" x14ac:dyDescent="0.25">
      <c r="B78" s="58" t="s">
        <v>34</v>
      </c>
      <c r="C78" s="64">
        <f t="shared" ref="C78:I78" si="20">VLOOKUP($A76,$B79:$I82,COLUMN()-1,TRUE)</f>
        <v>0</v>
      </c>
      <c r="D78" s="128">
        <f t="shared" si="20"/>
        <v>0</v>
      </c>
      <c r="E78" s="128">
        <f t="shared" si="20"/>
        <v>0</v>
      </c>
      <c r="F78" s="128">
        <f t="shared" si="20"/>
        <v>0</v>
      </c>
      <c r="G78" s="128">
        <f t="shared" si="20"/>
        <v>0</v>
      </c>
      <c r="H78" s="128">
        <f t="shared" si="20"/>
        <v>0</v>
      </c>
      <c r="I78" s="128">
        <f t="shared" si="20"/>
        <v>0</v>
      </c>
      <c r="J78" s="21" t="str">
        <f>VLOOKUP($A76,$B79:$J82,COLUMN()-1,TRUE)</f>
        <v>No experimental land management practices</v>
      </c>
    </row>
    <row r="79" spans="1:18" x14ac:dyDescent="0.25">
      <c r="B79" s="214">
        <v>1</v>
      </c>
      <c r="C79" s="215">
        <v>0</v>
      </c>
      <c r="D79" s="215">
        <v>0</v>
      </c>
      <c r="E79" s="215">
        <v>0</v>
      </c>
      <c r="F79" s="215">
        <v>0</v>
      </c>
      <c r="G79" s="215">
        <v>0</v>
      </c>
      <c r="H79" s="215">
        <v>0</v>
      </c>
      <c r="I79" s="218">
        <v>0</v>
      </c>
      <c r="J79" t="s">
        <v>194</v>
      </c>
    </row>
    <row r="80" spans="1:18" x14ac:dyDescent="0.25">
      <c r="B80" s="214">
        <v>2</v>
      </c>
      <c r="C80" s="215">
        <v>0</v>
      </c>
      <c r="D80" s="215">
        <v>0.1</v>
      </c>
      <c r="E80" s="215">
        <v>0.25</v>
      </c>
      <c r="F80" s="215">
        <v>0.25</v>
      </c>
      <c r="G80" s="215">
        <v>0.25</v>
      </c>
      <c r="H80" s="215">
        <v>0.25</v>
      </c>
      <c r="I80" s="218">
        <v>0.25</v>
      </c>
      <c r="J80" t="s">
        <v>195</v>
      </c>
    </row>
    <row r="81" spans="2:10" x14ac:dyDescent="0.25">
      <c r="B81" s="214">
        <v>3</v>
      </c>
      <c r="C81" s="215">
        <v>0</v>
      </c>
      <c r="D81" s="264">
        <v>1E-3</v>
      </c>
      <c r="E81" s="264">
        <v>2E-3</v>
      </c>
      <c r="F81" s="264">
        <v>3.0000000000000001E-3</v>
      </c>
      <c r="G81" s="264">
        <v>4.0000000000000001E-3</v>
      </c>
      <c r="H81" s="264">
        <v>4.0000000000000001E-3</v>
      </c>
      <c r="I81" s="265">
        <v>4.0000000000000001E-3</v>
      </c>
      <c r="J81" t="s">
        <v>84</v>
      </c>
    </row>
    <row r="82" spans="2:10" ht="15.75" thickBot="1" x14ac:dyDescent="0.3">
      <c r="B82" s="219">
        <v>4</v>
      </c>
      <c r="C82" s="220">
        <v>0</v>
      </c>
      <c r="D82" s="221" t="s">
        <v>196</v>
      </c>
      <c r="E82" s="221" t="s">
        <v>196</v>
      </c>
      <c r="F82" s="221" t="s">
        <v>196</v>
      </c>
      <c r="G82" s="221" t="s">
        <v>196</v>
      </c>
      <c r="H82" s="221" t="s">
        <v>196</v>
      </c>
      <c r="I82" s="222" t="s">
        <v>196</v>
      </c>
      <c r="J82" t="s">
        <v>197</v>
      </c>
    </row>
    <row r="83" spans="2:10" x14ac:dyDescent="0.25">
      <c r="C83" t="s">
        <v>198</v>
      </c>
    </row>
  </sheetData>
  <protectedRanges>
    <protectedRange sqref="A1:A1048576" name="Range1"/>
  </protectedRanges>
  <mergeCells count="13">
    <mergeCell ref="C76:I76"/>
    <mergeCell ref="B8:B10"/>
    <mergeCell ref="C62:I62"/>
    <mergeCell ref="C8:C10"/>
    <mergeCell ref="D8:D10"/>
    <mergeCell ref="C38:I38"/>
    <mergeCell ref="C50:I50"/>
    <mergeCell ref="D14:J14"/>
    <mergeCell ref="B16:B19"/>
    <mergeCell ref="B20:B23"/>
    <mergeCell ref="B24:B27"/>
    <mergeCell ref="B28:B31"/>
    <mergeCell ref="B32:B35"/>
  </mergeCells>
  <phoneticPr fontId="19" type="noConversion"/>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47097-E849-4CA1-B67C-24FB47239021}">
  <sheetPr codeName="Sheet6">
    <tabColor theme="9" tint="0.59999389629810485"/>
  </sheetPr>
  <dimension ref="A1:S235"/>
  <sheetViews>
    <sheetView showGridLines="0" zoomScale="80" zoomScaleNormal="80" workbookViewId="0">
      <selection activeCell="M17" sqref="M17"/>
    </sheetView>
  </sheetViews>
  <sheetFormatPr defaultRowHeight="15" x14ac:dyDescent="0.25"/>
  <cols>
    <col min="2" max="2" width="22.7109375" bestFit="1" customWidth="1"/>
    <col min="3" max="5" width="15.28515625" bestFit="1" customWidth="1"/>
    <col min="6" max="6" width="14.5703125" customWidth="1"/>
    <col min="7" max="9" width="15.28515625" bestFit="1" customWidth="1"/>
    <col min="10" max="10" width="19.140625" customWidth="1"/>
    <col min="11" max="11" width="14.42578125" customWidth="1"/>
    <col min="12" max="12" width="5" bestFit="1" customWidth="1"/>
    <col min="13" max="13" width="10" bestFit="1" customWidth="1"/>
    <col min="14" max="14" width="13.85546875" bestFit="1" customWidth="1"/>
    <col min="15" max="16" width="11.28515625" bestFit="1" customWidth="1"/>
  </cols>
  <sheetData>
    <row r="1" spans="1:12" ht="23.25" x14ac:dyDescent="0.35">
      <c r="A1" s="35" t="s">
        <v>44</v>
      </c>
    </row>
    <row r="2" spans="1:12" ht="23.25" x14ac:dyDescent="0.35">
      <c r="A2" s="35" t="s">
        <v>199</v>
      </c>
    </row>
    <row r="4" spans="1:12" x14ac:dyDescent="0.25">
      <c r="A4" s="4" t="s">
        <v>47</v>
      </c>
      <c r="B4" s="1"/>
    </row>
    <row r="5" spans="1:12" x14ac:dyDescent="0.25">
      <c r="A5" s="39" t="s">
        <v>155</v>
      </c>
      <c r="K5" s="55"/>
    </row>
    <row r="6" spans="1:12" x14ac:dyDescent="0.25">
      <c r="A6" s="39" t="s">
        <v>156</v>
      </c>
      <c r="K6" s="55"/>
    </row>
    <row r="8" spans="1:12" ht="26.45" customHeight="1" x14ac:dyDescent="0.25">
      <c r="B8" s="589" t="s">
        <v>200</v>
      </c>
      <c r="C8" s="594">
        <f>C27</f>
        <v>2022</v>
      </c>
      <c r="D8" s="591" t="s">
        <v>107</v>
      </c>
      <c r="F8" s="578" t="s">
        <v>201</v>
      </c>
      <c r="G8" s="592">
        <f>C27</f>
        <v>2022</v>
      </c>
      <c r="H8" s="582" t="s">
        <v>107</v>
      </c>
      <c r="J8" s="578" t="s">
        <v>202</v>
      </c>
      <c r="K8" s="589">
        <f>C27</f>
        <v>2022</v>
      </c>
      <c r="L8" s="582" t="s">
        <v>107</v>
      </c>
    </row>
    <row r="9" spans="1:12" x14ac:dyDescent="0.25">
      <c r="B9" s="590"/>
      <c r="C9" s="595"/>
      <c r="D9" s="590"/>
      <c r="F9" s="579"/>
      <c r="G9" s="593"/>
      <c r="H9" s="579"/>
      <c r="J9" s="593"/>
      <c r="K9" s="589"/>
      <c r="L9" s="579"/>
    </row>
    <row r="10" spans="1:12" x14ac:dyDescent="0.25">
      <c r="B10" s="590"/>
      <c r="C10" s="596"/>
      <c r="D10" s="590"/>
      <c r="F10" s="579"/>
      <c r="G10" s="593"/>
      <c r="H10" s="579"/>
      <c r="J10" s="593"/>
      <c r="K10" s="589"/>
      <c r="L10" s="579"/>
    </row>
    <row r="11" spans="1:12" ht="26.45" customHeight="1" x14ac:dyDescent="0.25">
      <c r="B11" s="270" t="s">
        <v>203</v>
      </c>
      <c r="C11" s="271">
        <f>'Baseline User Input'!AA14</f>
        <v>432.87022550430777</v>
      </c>
      <c r="D11" s="272" t="s">
        <v>886</v>
      </c>
      <c r="F11" s="34" t="s">
        <v>204</v>
      </c>
      <c r="G11" s="30">
        <f>'Baseline User Input'!C16</f>
        <v>3404243.6177032739</v>
      </c>
      <c r="H11" s="34" t="s">
        <v>122</v>
      </c>
      <c r="J11" s="34" t="s">
        <v>205</v>
      </c>
      <c r="K11" s="30">
        <f>'Baseline User Input'!L18*'Baseline User Input'!L126</f>
        <v>135779657.53622711</v>
      </c>
      <c r="L11" s="34" t="s">
        <v>192</v>
      </c>
    </row>
    <row r="12" spans="1:12" ht="18" x14ac:dyDescent="0.25">
      <c r="B12" s="270" t="s">
        <v>206</v>
      </c>
      <c r="C12" s="271">
        <f>'Baseline User Input'!AA15</f>
        <v>0</v>
      </c>
      <c r="D12" s="273" t="s">
        <v>886</v>
      </c>
      <c r="F12" s="34" t="s">
        <v>207</v>
      </c>
      <c r="G12" s="30">
        <f>'Baseline User Input'!C17</f>
        <v>18536711.417872287</v>
      </c>
      <c r="H12" s="34" t="s">
        <v>122</v>
      </c>
      <c r="J12" s="34" t="s">
        <v>208</v>
      </c>
      <c r="K12" s="30">
        <f>'Baseline User Input'!L24*'Baseline User Input'!M126</f>
        <v>615694.86648417416</v>
      </c>
      <c r="L12" s="34" t="s">
        <v>120</v>
      </c>
    </row>
    <row r="13" spans="1:12" ht="18" x14ac:dyDescent="0.25">
      <c r="B13" s="270" t="s">
        <v>209</v>
      </c>
      <c r="C13" s="271">
        <f>'Baseline User Input'!AA16</f>
        <v>37.116319335794905</v>
      </c>
      <c r="D13" s="272" t="s">
        <v>886</v>
      </c>
      <c r="F13" s="34" t="s">
        <v>210</v>
      </c>
      <c r="G13" s="30">
        <f>'Baseline User Input'!C21</f>
        <v>603881.656249461</v>
      </c>
      <c r="H13" s="34" t="s">
        <v>122</v>
      </c>
      <c r="J13" s="34" t="s">
        <v>211</v>
      </c>
      <c r="K13" s="30">
        <f>'Baseline User Input'!L31*'Baseline User Input'!N126</f>
        <v>316156.51419186947</v>
      </c>
      <c r="L13" s="34" t="s">
        <v>120</v>
      </c>
    </row>
    <row r="14" spans="1:12" ht="18" x14ac:dyDescent="0.25">
      <c r="B14" s="270" t="s">
        <v>212</v>
      </c>
      <c r="C14" s="271">
        <f>'Baseline User Input'!AA17</f>
        <v>25133.753260232486</v>
      </c>
      <c r="D14" s="273" t="s">
        <v>886</v>
      </c>
      <c r="F14" s="34" t="s">
        <v>213</v>
      </c>
      <c r="G14" s="30">
        <f>'Baseline User Input'!C22</f>
        <v>307048.79688692791</v>
      </c>
      <c r="H14" s="34" t="s">
        <v>192</v>
      </c>
      <c r="J14" s="34" t="s">
        <v>62</v>
      </c>
      <c r="K14" s="30">
        <f>'Baseline User Input'!L42</f>
        <v>3113792.7855099849</v>
      </c>
      <c r="L14" s="34" t="s">
        <v>122</v>
      </c>
    </row>
    <row r="15" spans="1:12" ht="18" x14ac:dyDescent="0.25">
      <c r="B15" s="270" t="s">
        <v>887</v>
      </c>
      <c r="C15" s="271">
        <f>'Baseline User Input'!AA18</f>
        <v>75.644469029390663</v>
      </c>
      <c r="D15" s="272" t="s">
        <v>886</v>
      </c>
      <c r="F15" s="34" t="s">
        <v>70</v>
      </c>
      <c r="G15" s="30">
        <f>'Baseline User Input'!C23</f>
        <v>4350044.3909544628</v>
      </c>
      <c r="H15" s="34" t="s">
        <v>122</v>
      </c>
      <c r="J15" s="34" t="s">
        <v>63</v>
      </c>
      <c r="K15" s="30">
        <f>'Baseline User Input'!L47</f>
        <v>1422415.3440727401</v>
      </c>
      <c r="L15" s="34" t="s">
        <v>122</v>
      </c>
    </row>
    <row r="16" spans="1:12" ht="18" x14ac:dyDescent="0.25">
      <c r="B16" s="274" t="s">
        <v>214</v>
      </c>
      <c r="C16" s="271">
        <f>'Baseline User Input'!AA19</f>
        <v>25679.38427410198</v>
      </c>
      <c r="D16" s="275" t="s">
        <v>888</v>
      </c>
      <c r="F16" s="34" t="s">
        <v>215</v>
      </c>
      <c r="G16" s="94">
        <f>'Baseline User Input'!C44</f>
        <v>0.5</v>
      </c>
      <c r="H16" s="34" t="s">
        <v>216</v>
      </c>
      <c r="I16" s="57"/>
      <c r="J16" s="34" t="s">
        <v>64</v>
      </c>
      <c r="K16" s="30">
        <f>'Baseline User Input'!L56</f>
        <v>1419761.6999999997</v>
      </c>
      <c r="L16" s="34" t="s">
        <v>122</v>
      </c>
    </row>
    <row r="17" spans="1:14" x14ac:dyDescent="0.25">
      <c r="B17" s="276"/>
      <c r="C17" s="277"/>
      <c r="D17" s="278"/>
      <c r="G17" s="5"/>
      <c r="K17" s="7"/>
    </row>
    <row r="18" spans="1:14" ht="15.75" thickBot="1" x14ac:dyDescent="0.3"/>
    <row r="19" spans="1:14" x14ac:dyDescent="0.25">
      <c r="A19" s="209">
        <v>2</v>
      </c>
      <c r="B19" s="210"/>
      <c r="C19" s="575" t="s">
        <v>217</v>
      </c>
      <c r="D19" s="576"/>
      <c r="E19" s="576"/>
      <c r="F19" s="576"/>
      <c r="G19" s="576"/>
      <c r="H19" s="576"/>
      <c r="I19" s="577"/>
      <c r="N19" s="569" t="s">
        <v>981</v>
      </c>
    </row>
    <row r="20" spans="1:14" x14ac:dyDescent="0.25">
      <c r="B20" s="211" t="s">
        <v>33</v>
      </c>
      <c r="C20" s="212">
        <f>C27</f>
        <v>2022</v>
      </c>
      <c r="D20" s="212">
        <f t="shared" ref="D20:H20" si="0">D27</f>
        <v>2025</v>
      </c>
      <c r="E20" s="212">
        <f t="shared" si="0"/>
        <v>2030</v>
      </c>
      <c r="F20" s="212">
        <f t="shared" si="0"/>
        <v>2035</v>
      </c>
      <c r="G20" s="212">
        <f t="shared" si="0"/>
        <v>2040</v>
      </c>
      <c r="H20" s="212">
        <f t="shared" si="0"/>
        <v>2045</v>
      </c>
      <c r="I20" s="213">
        <v>2050</v>
      </c>
      <c r="N20" s="89" t="s">
        <v>218</v>
      </c>
    </row>
    <row r="21" spans="1:14" x14ac:dyDescent="0.25">
      <c r="B21" s="58" t="s">
        <v>34</v>
      </c>
      <c r="C21" s="64">
        <f t="shared" ref="C21:I21" si="1">VLOOKUP($A19,$B22:$I25,COLUMN()-1,TRUE)</f>
        <v>1</v>
      </c>
      <c r="D21" s="64">
        <f t="shared" si="1"/>
        <v>1.08</v>
      </c>
      <c r="E21" s="64">
        <f t="shared" si="1"/>
        <v>1.1599999999999999</v>
      </c>
      <c r="F21" s="64">
        <f t="shared" si="1"/>
        <v>1.22</v>
      </c>
      <c r="G21" s="64">
        <f t="shared" si="1"/>
        <v>1.29</v>
      </c>
      <c r="H21" s="64">
        <f t="shared" si="1"/>
        <v>1.36</v>
      </c>
      <c r="I21" s="65">
        <f t="shared" si="1"/>
        <v>1.45</v>
      </c>
      <c r="J21" s="21" t="str">
        <f>VLOOKUP($A19,$B22:$J25,COLUMN()-1,TRUE)</f>
        <v>Low GDP growth rate (+1.5%pa)</v>
      </c>
      <c r="N21" s="89" t="s">
        <v>1017</v>
      </c>
    </row>
    <row r="22" spans="1:14" x14ac:dyDescent="0.25">
      <c r="B22" s="214">
        <v>1</v>
      </c>
      <c r="C22" s="215">
        <v>1</v>
      </c>
      <c r="D22" s="216">
        <v>1</v>
      </c>
      <c r="E22" s="216">
        <v>1</v>
      </c>
      <c r="F22" s="216">
        <v>1</v>
      </c>
      <c r="G22" s="216">
        <v>1</v>
      </c>
      <c r="H22" s="216">
        <v>1</v>
      </c>
      <c r="I22" s="217">
        <v>1</v>
      </c>
      <c r="J22" t="s">
        <v>219</v>
      </c>
    </row>
    <row r="23" spans="1:14" x14ac:dyDescent="0.25">
      <c r="B23" s="214">
        <v>2</v>
      </c>
      <c r="C23" s="215">
        <v>1</v>
      </c>
      <c r="D23" s="216">
        <v>1.08</v>
      </c>
      <c r="E23" s="216">
        <v>1.1599999999999999</v>
      </c>
      <c r="F23" s="216">
        <v>1.22</v>
      </c>
      <c r="G23" s="216">
        <v>1.29</v>
      </c>
      <c r="H23" s="216">
        <v>1.36</v>
      </c>
      <c r="I23" s="217">
        <v>1.45</v>
      </c>
      <c r="J23" t="s">
        <v>220</v>
      </c>
    </row>
    <row r="24" spans="1:14" x14ac:dyDescent="0.25">
      <c r="B24" s="214">
        <v>3</v>
      </c>
      <c r="C24" s="215">
        <v>1</v>
      </c>
      <c r="D24" s="215">
        <v>1.1499999999999999</v>
      </c>
      <c r="E24" s="215">
        <v>1.34</v>
      </c>
      <c r="F24" s="215">
        <v>1.56</v>
      </c>
      <c r="G24" s="215">
        <v>1.8</v>
      </c>
      <c r="H24" s="215">
        <v>2.1</v>
      </c>
      <c r="I24" s="218">
        <v>2.5</v>
      </c>
      <c r="J24" t="s">
        <v>221</v>
      </c>
    </row>
    <row r="25" spans="1:14" ht="15.75" thickBot="1" x14ac:dyDescent="0.3">
      <c r="B25" s="258">
        <v>4</v>
      </c>
      <c r="C25" s="259">
        <v>1</v>
      </c>
      <c r="D25" s="260">
        <v>1.22</v>
      </c>
      <c r="E25" s="260">
        <v>1.48</v>
      </c>
      <c r="F25" s="260">
        <v>1.8</v>
      </c>
      <c r="G25" s="260">
        <v>2.19</v>
      </c>
      <c r="H25" s="260">
        <v>2.67</v>
      </c>
      <c r="I25" s="261">
        <v>3.5</v>
      </c>
      <c r="J25" t="s">
        <v>222</v>
      </c>
    </row>
    <row r="26" spans="1:14" x14ac:dyDescent="0.25">
      <c r="B26" s="201"/>
      <c r="C26" s="202"/>
      <c r="D26" s="202"/>
      <c r="E26" s="202"/>
      <c r="F26" s="202"/>
      <c r="G26" s="202"/>
      <c r="H26" s="202"/>
      <c r="I26" s="203"/>
    </row>
    <row r="27" spans="1:14" x14ac:dyDescent="0.25">
      <c r="B27" s="226" t="s">
        <v>223</v>
      </c>
      <c r="C27" s="227">
        <f>'Baseline Statistics'!C12</f>
        <v>2022</v>
      </c>
      <c r="D27" s="227">
        <f>'Baseline Statistics'!D12</f>
        <v>2025</v>
      </c>
      <c r="E27" s="227">
        <f>'Baseline Statistics'!E12</f>
        <v>2030</v>
      </c>
      <c r="F27" s="227">
        <f>'Baseline Statistics'!F12</f>
        <v>2035</v>
      </c>
      <c r="G27" s="227">
        <f>'Baseline Statistics'!G12</f>
        <v>2040</v>
      </c>
      <c r="H27" s="227">
        <f>'Baseline Statistics'!H12</f>
        <v>2045</v>
      </c>
      <c r="I27" s="228">
        <f>'Baseline Statistics'!I12</f>
        <v>2050</v>
      </c>
    </row>
    <row r="28" spans="1:14" x14ac:dyDescent="0.25">
      <c r="B28" s="126" t="s">
        <v>224</v>
      </c>
      <c r="C28" s="30">
        <f>C16</f>
        <v>25679.38427410198</v>
      </c>
      <c r="D28" s="30">
        <f>$C28*D$21</f>
        <v>27733.735016030139</v>
      </c>
      <c r="E28" s="30">
        <f t="shared" ref="E28:I39" si="2">$C28*E$21</f>
        <v>29788.085757958295</v>
      </c>
      <c r="F28" s="30">
        <f t="shared" si="2"/>
        <v>31328.848814404413</v>
      </c>
      <c r="G28" s="30">
        <f t="shared" si="2"/>
        <v>33126.405713591557</v>
      </c>
      <c r="H28" s="30">
        <f t="shared" si="2"/>
        <v>34923.962612778698</v>
      </c>
      <c r="I28" s="31">
        <f t="shared" si="2"/>
        <v>37235.107197447869</v>
      </c>
      <c r="K28" s="5"/>
    </row>
    <row r="29" spans="1:14" x14ac:dyDescent="0.25">
      <c r="B29" s="126" t="s">
        <v>204</v>
      </c>
      <c r="C29" s="30">
        <f>G11</f>
        <v>3404243.6177032739</v>
      </c>
      <c r="D29" s="30">
        <f t="shared" ref="D29:I40" si="3">$C29*D$21</f>
        <v>3676583.107119536</v>
      </c>
      <c r="E29" s="30">
        <f t="shared" si="2"/>
        <v>3948922.5965357972</v>
      </c>
      <c r="F29" s="30">
        <f t="shared" si="2"/>
        <v>4153177.2135979938</v>
      </c>
      <c r="G29" s="30">
        <f t="shared" si="2"/>
        <v>4391474.2668372234</v>
      </c>
      <c r="H29" s="30">
        <f t="shared" si="2"/>
        <v>4629771.3200764526</v>
      </c>
      <c r="I29" s="31">
        <f t="shared" si="2"/>
        <v>4936153.2456697468</v>
      </c>
      <c r="K29" s="267"/>
    </row>
    <row r="30" spans="1:14" x14ac:dyDescent="0.25">
      <c r="B30" s="126" t="s">
        <v>207</v>
      </c>
      <c r="C30" s="30">
        <f>G12</f>
        <v>18536711.417872287</v>
      </c>
      <c r="D30" s="30">
        <f>$C30+$C30*(D$21-1)*$G$16</f>
        <v>19278179.874587178</v>
      </c>
      <c r="E30" s="30">
        <f t="shared" ref="D30:I32" si="4">$C30+$C30*(E$21-1)*$G$16</f>
        <v>20019648.331302069</v>
      </c>
      <c r="F30" s="30">
        <f t="shared" si="4"/>
        <v>20575749.673838239</v>
      </c>
      <c r="G30" s="30">
        <f t="shared" si="4"/>
        <v>21224534.573463768</v>
      </c>
      <c r="H30" s="30">
        <f t="shared" si="4"/>
        <v>21873319.4730893</v>
      </c>
      <c r="I30" s="31">
        <f t="shared" si="4"/>
        <v>22707471.48689355</v>
      </c>
    </row>
    <row r="31" spans="1:14" x14ac:dyDescent="0.25">
      <c r="B31" s="126" t="s">
        <v>210</v>
      </c>
      <c r="C31" s="30">
        <f>G13</f>
        <v>603881.656249461</v>
      </c>
      <c r="D31" s="30">
        <f t="shared" si="4"/>
        <v>628036.92249943945</v>
      </c>
      <c r="E31" s="30">
        <f t="shared" si="4"/>
        <v>652192.1887494179</v>
      </c>
      <c r="F31" s="30">
        <f t="shared" si="4"/>
        <v>670308.63843690173</v>
      </c>
      <c r="G31" s="30">
        <f t="shared" si="4"/>
        <v>691444.49640563282</v>
      </c>
      <c r="H31" s="30">
        <f t="shared" si="4"/>
        <v>712580.35437436402</v>
      </c>
      <c r="I31" s="31">
        <f t="shared" si="4"/>
        <v>739755.02890558972</v>
      </c>
    </row>
    <row r="32" spans="1:14" x14ac:dyDescent="0.25">
      <c r="B32" s="126" t="s">
        <v>213</v>
      </c>
      <c r="C32" s="30">
        <f>G14</f>
        <v>307048.79688692791</v>
      </c>
      <c r="D32" s="30">
        <f t="shared" si="4"/>
        <v>319330.74876240501</v>
      </c>
      <c r="E32" s="30">
        <f t="shared" si="4"/>
        <v>331612.70063788211</v>
      </c>
      <c r="F32" s="30">
        <f t="shared" si="4"/>
        <v>340824.16454448999</v>
      </c>
      <c r="G32" s="30">
        <f t="shared" si="4"/>
        <v>351570.87243553245</v>
      </c>
      <c r="H32" s="30">
        <f t="shared" si="4"/>
        <v>362317.58032657497</v>
      </c>
      <c r="I32" s="31">
        <f t="shared" si="4"/>
        <v>376134.77618648671</v>
      </c>
    </row>
    <row r="33" spans="1:15" x14ac:dyDescent="0.25">
      <c r="B33" s="126" t="s">
        <v>70</v>
      </c>
      <c r="C33" s="30">
        <f>G15</f>
        <v>4350044.3909544628</v>
      </c>
      <c r="D33" s="30">
        <f t="shared" si="3"/>
        <v>4698047.9422308197</v>
      </c>
      <c r="E33" s="30">
        <f t="shared" si="2"/>
        <v>5046051.4935071766</v>
      </c>
      <c r="F33" s="30">
        <f t="shared" si="2"/>
        <v>5307054.1569644446</v>
      </c>
      <c r="G33" s="30">
        <f t="shared" si="2"/>
        <v>5611557.264331257</v>
      </c>
      <c r="H33" s="30">
        <f t="shared" si="2"/>
        <v>5916060.3716980694</v>
      </c>
      <c r="I33" s="31">
        <f>$C33*I$21</f>
        <v>6307564.3668839708</v>
      </c>
      <c r="J33" s="12"/>
      <c r="O33" s="12"/>
    </row>
    <row r="34" spans="1:15" x14ac:dyDescent="0.25">
      <c r="B34" s="126" t="s">
        <v>205</v>
      </c>
      <c r="C34" s="30">
        <f t="shared" ref="C34:I36" si="5">$K11*C$21</f>
        <v>135779657.53622711</v>
      </c>
      <c r="D34" s="30">
        <f t="shared" si="5"/>
        <v>146642030.13912529</v>
      </c>
      <c r="E34" s="30">
        <f t="shared" si="5"/>
        <v>157504402.74202344</v>
      </c>
      <c r="F34" s="30">
        <f t="shared" si="5"/>
        <v>165651182.19419706</v>
      </c>
      <c r="G34" s="30">
        <f t="shared" si="5"/>
        <v>175155758.22173297</v>
      </c>
      <c r="H34" s="30">
        <f t="shared" si="5"/>
        <v>184660334.24926889</v>
      </c>
      <c r="I34" s="31">
        <f t="shared" si="5"/>
        <v>196880503.42752931</v>
      </c>
    </row>
    <row r="35" spans="1:15" x14ac:dyDescent="0.25">
      <c r="B35" s="126" t="s">
        <v>208</v>
      </c>
      <c r="C35" s="30">
        <f t="shared" si="5"/>
        <v>615694.86648417416</v>
      </c>
      <c r="D35" s="30">
        <f t="shared" si="5"/>
        <v>664950.45580290817</v>
      </c>
      <c r="E35" s="30">
        <f t="shared" si="5"/>
        <v>714206.04512164195</v>
      </c>
      <c r="F35" s="30">
        <f t="shared" si="5"/>
        <v>751147.73711069243</v>
      </c>
      <c r="G35" s="30">
        <f t="shared" si="5"/>
        <v>794246.37776458473</v>
      </c>
      <c r="H35" s="30">
        <f t="shared" si="5"/>
        <v>837345.01841847692</v>
      </c>
      <c r="I35" s="31">
        <f t="shared" si="5"/>
        <v>892757.55640205252</v>
      </c>
    </row>
    <row r="36" spans="1:15" x14ac:dyDescent="0.25">
      <c r="B36" s="126" t="s">
        <v>211</v>
      </c>
      <c r="C36" s="30">
        <f t="shared" si="5"/>
        <v>316156.51419186947</v>
      </c>
      <c r="D36" s="30">
        <f t="shared" si="5"/>
        <v>341449.03532721906</v>
      </c>
      <c r="E36" s="30">
        <f t="shared" si="5"/>
        <v>366741.55646256858</v>
      </c>
      <c r="F36" s="30">
        <f t="shared" si="5"/>
        <v>385710.94731408072</v>
      </c>
      <c r="G36" s="30">
        <f t="shared" si="5"/>
        <v>407841.90330751165</v>
      </c>
      <c r="H36" s="30">
        <f t="shared" si="5"/>
        <v>429972.85930094251</v>
      </c>
      <c r="I36" s="31">
        <f t="shared" si="5"/>
        <v>458426.9455782107</v>
      </c>
    </row>
    <row r="37" spans="1:15" x14ac:dyDescent="0.25">
      <c r="B37" s="126" t="s">
        <v>62</v>
      </c>
      <c r="C37" s="30">
        <f>K14</f>
        <v>3113792.7855099849</v>
      </c>
      <c r="D37" s="30">
        <f t="shared" si="3"/>
        <v>3362896.2083507841</v>
      </c>
      <c r="E37" s="30">
        <f t="shared" si="2"/>
        <v>3611999.6311915824</v>
      </c>
      <c r="F37" s="30">
        <f t="shared" si="2"/>
        <v>3798827.1983221816</v>
      </c>
      <c r="G37" s="30">
        <f t="shared" si="2"/>
        <v>4016792.6933078808</v>
      </c>
      <c r="H37" s="30">
        <f t="shared" si="2"/>
        <v>4234758.18829358</v>
      </c>
      <c r="I37" s="31">
        <f t="shared" si="2"/>
        <v>4514999.5389894778</v>
      </c>
    </row>
    <row r="38" spans="1:15" x14ac:dyDescent="0.25">
      <c r="B38" s="126" t="s">
        <v>63</v>
      </c>
      <c r="C38" s="30">
        <f>K15</f>
        <v>1422415.3440727401</v>
      </c>
      <c r="D38" s="30">
        <f t="shared" si="3"/>
        <v>1536208.5715985594</v>
      </c>
      <c r="E38" s="30">
        <f t="shared" si="2"/>
        <v>1650001.7991243782</v>
      </c>
      <c r="F38" s="30">
        <f t="shared" si="2"/>
        <v>1735346.7197687428</v>
      </c>
      <c r="G38" s="30">
        <f t="shared" si="2"/>
        <v>1834915.7938538347</v>
      </c>
      <c r="H38" s="30">
        <f t="shared" si="2"/>
        <v>1934484.8679389267</v>
      </c>
      <c r="I38" s="31">
        <f t="shared" si="2"/>
        <v>2062502.2489054729</v>
      </c>
    </row>
    <row r="39" spans="1:15" x14ac:dyDescent="0.25">
      <c r="B39" s="126" t="s">
        <v>64</v>
      </c>
      <c r="C39" s="30">
        <f>K16</f>
        <v>1419761.6999999997</v>
      </c>
      <c r="D39" s="30">
        <f t="shared" si="3"/>
        <v>1533342.6359999997</v>
      </c>
      <c r="E39" s="30">
        <f t="shared" si="2"/>
        <v>1646923.5719999995</v>
      </c>
      <c r="F39" s="30">
        <f t="shared" si="2"/>
        <v>1732109.2739999995</v>
      </c>
      <c r="G39" s="30">
        <f t="shared" si="2"/>
        <v>1831492.5929999996</v>
      </c>
      <c r="H39" s="30">
        <f t="shared" si="2"/>
        <v>1930875.9119999998</v>
      </c>
      <c r="I39" s="31">
        <f t="shared" si="2"/>
        <v>2058654.4649999996</v>
      </c>
    </row>
    <row r="40" spans="1:15" ht="15.75" thickBot="1" x14ac:dyDescent="0.3">
      <c r="B40" s="127" t="e">
        <f>'Baseline User Input'!#REF!</f>
        <v>#REF!</v>
      </c>
      <c r="C40" s="32">
        <f>'Baseline User Input'!C27</f>
        <v>0</v>
      </c>
      <c r="D40" s="32">
        <f t="shared" si="3"/>
        <v>0</v>
      </c>
      <c r="E40" s="32">
        <f t="shared" si="3"/>
        <v>0</v>
      </c>
      <c r="F40" s="32">
        <f t="shared" si="3"/>
        <v>0</v>
      </c>
      <c r="G40" s="32">
        <f t="shared" si="3"/>
        <v>0</v>
      </c>
      <c r="H40" s="32">
        <f t="shared" si="3"/>
        <v>0</v>
      </c>
      <c r="I40" s="33">
        <f t="shared" si="3"/>
        <v>0</v>
      </c>
    </row>
    <row r="41" spans="1:15" x14ac:dyDescent="0.25">
      <c r="C41" s="7"/>
      <c r="D41" s="7"/>
      <c r="E41" s="7"/>
      <c r="F41" s="7"/>
      <c r="G41" s="7"/>
      <c r="H41" s="7"/>
      <c r="I41" s="7"/>
    </row>
    <row r="42" spans="1:15" ht="15.75" thickBot="1" x14ac:dyDescent="0.3">
      <c r="C42" s="7"/>
      <c r="D42" s="7"/>
      <c r="E42" s="7"/>
      <c r="F42" s="7"/>
      <c r="G42" s="7"/>
      <c r="H42" s="7"/>
      <c r="I42" s="7"/>
    </row>
    <row r="43" spans="1:15" x14ac:dyDescent="0.25">
      <c r="A43" s="209">
        <v>3</v>
      </c>
      <c r="B43" s="210"/>
      <c r="C43" s="575" t="s">
        <v>225</v>
      </c>
      <c r="D43" s="576"/>
      <c r="E43" s="576"/>
      <c r="F43" s="576"/>
      <c r="G43" s="576"/>
      <c r="H43" s="576"/>
      <c r="I43" s="577"/>
    </row>
    <row r="44" spans="1:15" x14ac:dyDescent="0.25">
      <c r="B44" s="211" t="s">
        <v>33</v>
      </c>
      <c r="C44" s="212">
        <f>'Baseline Statistics'!C12</f>
        <v>2022</v>
      </c>
      <c r="D44" s="212">
        <f>'Baseline Statistics'!D12</f>
        <v>2025</v>
      </c>
      <c r="E44" s="212">
        <f>'Baseline Statistics'!E12</f>
        <v>2030</v>
      </c>
      <c r="F44" s="212">
        <f>'Baseline Statistics'!F12</f>
        <v>2035</v>
      </c>
      <c r="G44" s="212">
        <f>'Baseline Statistics'!G12</f>
        <v>2040</v>
      </c>
      <c r="H44" s="212">
        <f>'Baseline Statistics'!H12</f>
        <v>2045</v>
      </c>
      <c r="I44" s="213">
        <f>'Baseline Statistics'!I12</f>
        <v>2050</v>
      </c>
    </row>
    <row r="45" spans="1:15" x14ac:dyDescent="0.25">
      <c r="B45" s="58" t="s">
        <v>34</v>
      </c>
      <c r="C45" s="64">
        <f t="shared" ref="C45:I45" si="6">VLOOKUP($A43,$B46:$I49,COLUMN()-1,TRUE)</f>
        <v>1</v>
      </c>
      <c r="D45" s="64">
        <f t="shared" si="6"/>
        <v>0.97</v>
      </c>
      <c r="E45" s="64">
        <f t="shared" si="6"/>
        <v>0.94</v>
      </c>
      <c r="F45" s="64">
        <f t="shared" si="6"/>
        <v>0.9</v>
      </c>
      <c r="G45" s="64">
        <f t="shared" si="6"/>
        <v>0.87</v>
      </c>
      <c r="H45" s="64">
        <f t="shared" si="6"/>
        <v>0.84</v>
      </c>
      <c r="I45" s="65">
        <f t="shared" si="6"/>
        <v>0.8</v>
      </c>
      <c r="J45" s="21" t="str">
        <f>VLOOKUP($A43,$B46:$J49,COLUMN()-1,TRUE)</f>
        <v xml:space="preserve">Minor efficiency improvements + Significant programme including reduce refrigerant leaks and minimise aerosol usage (20% more efficient by 2050) </v>
      </c>
    </row>
    <row r="46" spans="1:15" x14ac:dyDescent="0.25">
      <c r="B46" s="214">
        <v>1</v>
      </c>
      <c r="C46" s="215">
        <v>1</v>
      </c>
      <c r="D46" s="216">
        <v>1</v>
      </c>
      <c r="E46" s="216">
        <v>1</v>
      </c>
      <c r="F46" s="216">
        <v>1</v>
      </c>
      <c r="G46" s="216">
        <v>1</v>
      </c>
      <c r="H46" s="216">
        <v>1</v>
      </c>
      <c r="I46" s="217">
        <v>1</v>
      </c>
      <c r="J46" t="s">
        <v>169</v>
      </c>
    </row>
    <row r="47" spans="1:15" x14ac:dyDescent="0.25">
      <c r="B47" s="214">
        <v>2</v>
      </c>
      <c r="C47" s="215">
        <v>1</v>
      </c>
      <c r="D47" s="216">
        <v>0.99</v>
      </c>
      <c r="E47" s="216">
        <v>0.98</v>
      </c>
      <c r="F47" s="216">
        <v>0.97</v>
      </c>
      <c r="G47" s="216">
        <v>0.96</v>
      </c>
      <c r="H47" s="216">
        <v>0.95</v>
      </c>
      <c r="I47" s="217">
        <v>0.95</v>
      </c>
      <c r="J47" t="s">
        <v>226</v>
      </c>
    </row>
    <row r="48" spans="1:15" x14ac:dyDescent="0.25">
      <c r="B48" s="214">
        <v>3</v>
      </c>
      <c r="C48" s="215">
        <v>1</v>
      </c>
      <c r="D48" s="215">
        <v>0.97</v>
      </c>
      <c r="E48" s="215">
        <v>0.94</v>
      </c>
      <c r="F48" s="215">
        <v>0.9</v>
      </c>
      <c r="G48" s="215">
        <v>0.87</v>
      </c>
      <c r="H48" s="215">
        <v>0.84</v>
      </c>
      <c r="I48" s="218">
        <v>0.8</v>
      </c>
      <c r="J48" s="11" t="s">
        <v>227</v>
      </c>
    </row>
    <row r="49" spans="1:19" ht="15.75" thickBot="1" x14ac:dyDescent="0.3">
      <c r="B49" s="219">
        <v>4</v>
      </c>
      <c r="C49" s="220">
        <v>1</v>
      </c>
      <c r="D49" s="221">
        <v>0.95</v>
      </c>
      <c r="E49" s="221">
        <v>0.85</v>
      </c>
      <c r="F49" s="221">
        <v>0.75</v>
      </c>
      <c r="G49" s="221">
        <v>0.7</v>
      </c>
      <c r="H49" s="221">
        <v>0.65</v>
      </c>
      <c r="I49" s="222">
        <v>0.6</v>
      </c>
      <c r="J49" s="11" t="s">
        <v>228</v>
      </c>
    </row>
    <row r="50" spans="1:19" x14ac:dyDescent="0.25">
      <c r="B50" s="201"/>
      <c r="C50" s="202"/>
      <c r="D50" s="202"/>
      <c r="E50" s="202"/>
      <c r="F50" s="202"/>
      <c r="G50" s="202"/>
      <c r="H50" s="202"/>
      <c r="I50" s="203"/>
    </row>
    <row r="51" spans="1:19" x14ac:dyDescent="0.25">
      <c r="B51" s="226" t="s">
        <v>223</v>
      </c>
      <c r="C51" s="227">
        <f>C44</f>
        <v>2022</v>
      </c>
      <c r="D51" s="227">
        <f t="shared" ref="D51:I51" si="7">D44</f>
        <v>2025</v>
      </c>
      <c r="E51" s="227">
        <f t="shared" si="7"/>
        <v>2030</v>
      </c>
      <c r="F51" s="227">
        <f t="shared" si="7"/>
        <v>2035</v>
      </c>
      <c r="G51" s="227">
        <f t="shared" si="7"/>
        <v>2040</v>
      </c>
      <c r="H51" s="227">
        <f t="shared" si="7"/>
        <v>2045</v>
      </c>
      <c r="I51" s="228">
        <f t="shared" si="7"/>
        <v>2050</v>
      </c>
    </row>
    <row r="52" spans="1:19" x14ac:dyDescent="0.25">
      <c r="B52" s="126" t="s">
        <v>224</v>
      </c>
      <c r="C52" s="30">
        <f t="shared" ref="C52:I52" si="8">C28*C45</f>
        <v>25679.38427410198</v>
      </c>
      <c r="D52" s="30">
        <f t="shared" si="8"/>
        <v>26901.722965549234</v>
      </c>
      <c r="E52" s="30">
        <f t="shared" si="8"/>
        <v>28000.800612480794</v>
      </c>
      <c r="F52" s="30">
        <f t="shared" si="8"/>
        <v>28195.963932963972</v>
      </c>
      <c r="G52" s="30">
        <f t="shared" si="8"/>
        <v>28819.972970824656</v>
      </c>
      <c r="H52" s="30">
        <f t="shared" si="8"/>
        <v>29336.128594734106</v>
      </c>
      <c r="I52" s="31">
        <f t="shared" si="8"/>
        <v>29788.085757958295</v>
      </c>
    </row>
    <row r="53" spans="1:19" x14ac:dyDescent="0.25">
      <c r="B53" s="126" t="s">
        <v>205</v>
      </c>
      <c r="C53" s="30">
        <f>C34*C$45+'1. Landuse'!C74</f>
        <v>135779657.53622711</v>
      </c>
      <c r="D53" s="30">
        <f>D34*D$45+'1. Landuse'!D74</f>
        <v>142263076.90349299</v>
      </c>
      <c r="E53" s="30">
        <f>E34*E$45+'1. Landuse'!E74</f>
        <v>148097486.6031723</v>
      </c>
      <c r="F53" s="30">
        <f>F34*F$45+'1. Landuse'!F74</f>
        <v>149155185.04616389</v>
      </c>
      <c r="G53" s="30">
        <f>G34*G$45+'1. Landuse'!G74</f>
        <v>152483136.45859784</v>
      </c>
      <c r="H53" s="30">
        <f>H34*H$45+'1. Landuse'!H74</f>
        <v>155243545.997967</v>
      </c>
      <c r="I53" s="31">
        <f>I34*I$45+'1. Landuse'!I74</f>
        <v>157667239.08208296</v>
      </c>
    </row>
    <row r="54" spans="1:19" x14ac:dyDescent="0.25">
      <c r="B54" s="126" t="s">
        <v>208</v>
      </c>
      <c r="C54" s="30">
        <f t="shared" ref="C54:I55" si="9">C35*C$45</f>
        <v>615694.86648417416</v>
      </c>
      <c r="D54" s="30">
        <f t="shared" si="9"/>
        <v>645001.94212882093</v>
      </c>
      <c r="E54" s="30">
        <f t="shared" si="9"/>
        <v>671353.68241434335</v>
      </c>
      <c r="F54" s="30">
        <f t="shared" si="9"/>
        <v>676032.96339962317</v>
      </c>
      <c r="G54" s="30">
        <f t="shared" si="9"/>
        <v>690994.34865518869</v>
      </c>
      <c r="H54" s="30">
        <f t="shared" si="9"/>
        <v>703369.81547152053</v>
      </c>
      <c r="I54" s="31">
        <f t="shared" si="9"/>
        <v>714206.04512164206</v>
      </c>
    </row>
    <row r="55" spans="1:19" x14ac:dyDescent="0.25">
      <c r="B55" s="126" t="s">
        <v>211</v>
      </c>
      <c r="C55" s="30">
        <f t="shared" si="9"/>
        <v>316156.51419186947</v>
      </c>
      <c r="D55" s="30">
        <f t="shared" si="9"/>
        <v>331205.56426740246</v>
      </c>
      <c r="E55" s="30">
        <f t="shared" si="9"/>
        <v>344737.06307481445</v>
      </c>
      <c r="F55" s="30">
        <f t="shared" si="9"/>
        <v>347139.85258267267</v>
      </c>
      <c r="G55" s="30">
        <f t="shared" si="9"/>
        <v>354822.4558775351</v>
      </c>
      <c r="H55" s="30">
        <f t="shared" si="9"/>
        <v>361177.2018127917</v>
      </c>
      <c r="I55" s="31">
        <f t="shared" si="9"/>
        <v>366741.55646256858</v>
      </c>
    </row>
    <row r="56" spans="1:19" x14ac:dyDescent="0.25">
      <c r="B56" s="126" t="s">
        <v>62</v>
      </c>
      <c r="C56" s="30">
        <f>C37*(C$45*'Baseline User Input'!$M$133+1-'Baseline User Input'!$M$133)</f>
        <v>3113792.7855099845</v>
      </c>
      <c r="D56" s="30">
        <f>D37*(D$45*'Baseline User Input'!$M$133+1-'Baseline User Input'!$M$133)</f>
        <v>3300845.8321174597</v>
      </c>
      <c r="E56" s="30">
        <f>E37*(E$45*'Baseline User Input'!$M$133+1-'Baseline User Input'!$M$133)</f>
        <v>3478706.230394071</v>
      </c>
      <c r="F56" s="30">
        <f>F37*(F$45*'Baseline User Input'!$M$133+1-'Baseline User Input'!$M$133)</f>
        <v>3565180.7199127502</v>
      </c>
      <c r="G56" s="30">
        <f>G37*(G$45*'Baseline User Input'!$M$133+1-'Baseline User Input'!$M$133)</f>
        <v>3695624.5422483594</v>
      </c>
      <c r="H56" s="30">
        <f>H37*(H$45*'Baseline User Input'!$M$133+1-'Baseline User Input'!$M$133)</f>
        <v>3818024.7972944626</v>
      </c>
      <c r="I56" s="31">
        <f>I37*(I$45*'Baseline User Input'!$M$133+1-'Baseline User Input'!$M$133)</f>
        <v>3959610.3689998458</v>
      </c>
      <c r="N56" s="268"/>
      <c r="O56" s="268"/>
      <c r="P56" s="268"/>
      <c r="Q56" s="268"/>
      <c r="R56" s="268"/>
      <c r="S56" s="268"/>
    </row>
    <row r="57" spans="1:19" x14ac:dyDescent="0.25">
      <c r="B57" s="126" t="s">
        <v>63</v>
      </c>
      <c r="C57" s="30">
        <f>C38*(C$45*'Baseline User Input'!$N$133+1-'Baseline User Input'!$N$133)</f>
        <v>1422415.3440727401</v>
      </c>
      <c r="D57" s="30">
        <f>D38*(D$45*'Baseline User Input'!$N$133+1-'Baseline User Input'!$N$133)</f>
        <v>1490122.3144506025</v>
      </c>
      <c r="E57" s="30">
        <f>E38*(E$45*'Baseline User Input'!$N$133+1-'Baseline User Input'!$N$133)</f>
        <v>1551001.6911769155</v>
      </c>
      <c r="F57" s="30">
        <f>F38*(F$45*'Baseline User Input'!$N$133+1-'Baseline User Input'!$N$133)</f>
        <v>1561812.0477918684</v>
      </c>
      <c r="G57" s="30">
        <f>G38*(G$45*'Baseline User Input'!$N$133+1-'Baseline User Input'!$N$133)</f>
        <v>1596376.7406528364</v>
      </c>
      <c r="H57" s="30">
        <f>H38*(H$45*'Baseline User Input'!$N$133+1-'Baseline User Input'!$N$133)</f>
        <v>1624967.2890686982</v>
      </c>
      <c r="I57" s="31">
        <f>I38*(I$45*'Baseline User Input'!$N$133+1-'Baseline User Input'!$N$133)</f>
        <v>1650001.7991243785</v>
      </c>
      <c r="N57" s="268"/>
      <c r="O57" s="268"/>
      <c r="P57" s="268"/>
      <c r="Q57" s="268"/>
      <c r="R57" s="268"/>
      <c r="S57" s="268"/>
    </row>
    <row r="58" spans="1:19" ht="15.75" thickBot="1" x14ac:dyDescent="0.3">
      <c r="B58" s="127" t="s">
        <v>64</v>
      </c>
      <c r="C58" s="32">
        <f>C39*(C$45*'Baseline User Input'!$L$133+1-'Baseline User Input'!$L$133)</f>
        <v>1419761.6999999997</v>
      </c>
      <c r="D58" s="32">
        <f>D39*(D$45*'Baseline User Input'!$L$133+1-'Baseline User Input'!$L$133)</f>
        <v>1516992.5797805956</v>
      </c>
      <c r="E58" s="32">
        <f>E39*(E$45*'Baseline User Input'!$L$133+1-'Baseline User Input'!$L$133)</f>
        <v>1611801.2290101689</v>
      </c>
      <c r="F58" s="32">
        <f>F39*(F$45*'Baseline User Input'!$L$133+1-'Baseline User Input'!$L$133)</f>
        <v>1670544.2474948366</v>
      </c>
      <c r="G58" s="32">
        <f>G39*(G$45*'Baseline User Input'!$L$133+1-'Baseline User Input'!$L$133)</f>
        <v>1746865.9131236402</v>
      </c>
      <c r="H58" s="32">
        <f>H39*(H$45*'Baseline User Input'!$L$133+1-'Baseline User Input'!$L$133)</f>
        <v>1821068.1270202992</v>
      </c>
      <c r="I58" s="33">
        <f>I39*(I$45*'Baseline User Input'!$L$133+1-'Baseline User Input'!$L$133)</f>
        <v>1912311.3692090383</v>
      </c>
      <c r="N58" s="268"/>
      <c r="O58" s="268"/>
      <c r="P58" s="268"/>
      <c r="Q58" s="268"/>
      <c r="R58" s="268"/>
      <c r="S58" s="268"/>
    </row>
    <row r="59" spans="1:19" ht="15.75" thickBot="1" x14ac:dyDescent="0.3">
      <c r="C59" s="7"/>
      <c r="D59" s="7"/>
      <c r="E59" s="7"/>
      <c r="F59" s="7"/>
      <c r="G59" s="7"/>
      <c r="H59" s="7"/>
      <c r="I59" s="7"/>
      <c r="N59" s="268"/>
      <c r="O59" s="268"/>
      <c r="P59" s="268"/>
      <c r="Q59" s="268"/>
      <c r="R59" s="268"/>
      <c r="S59" s="268"/>
    </row>
    <row r="60" spans="1:19" x14ac:dyDescent="0.25">
      <c r="B60" s="269" t="s">
        <v>229</v>
      </c>
      <c r="C60" s="230">
        <v>2018</v>
      </c>
      <c r="D60" s="230">
        <v>2023</v>
      </c>
      <c r="E60" s="230">
        <v>2028</v>
      </c>
      <c r="F60" s="230">
        <v>2033</v>
      </c>
      <c r="G60" s="230">
        <v>2038</v>
      </c>
      <c r="H60" s="230">
        <v>2043</v>
      </c>
      <c r="I60" s="231">
        <v>2050</v>
      </c>
      <c r="N60" s="268"/>
      <c r="O60" s="268"/>
      <c r="P60" s="268"/>
      <c r="Q60" s="268"/>
      <c r="R60" s="268"/>
      <c r="S60" s="268"/>
    </row>
    <row r="61" spans="1:19" x14ac:dyDescent="0.25">
      <c r="B61" s="234" t="s">
        <v>230</v>
      </c>
      <c r="C61" s="94">
        <f t="shared" ref="C61:I61" si="10">C21</f>
        <v>1</v>
      </c>
      <c r="D61" s="94">
        <f t="shared" si="10"/>
        <v>1.08</v>
      </c>
      <c r="E61" s="94">
        <f t="shared" si="10"/>
        <v>1.1599999999999999</v>
      </c>
      <c r="F61" s="94">
        <f t="shared" si="10"/>
        <v>1.22</v>
      </c>
      <c r="G61" s="94">
        <f t="shared" si="10"/>
        <v>1.29</v>
      </c>
      <c r="H61" s="94">
        <f t="shared" si="10"/>
        <v>1.36</v>
      </c>
      <c r="I61" s="129">
        <f t="shared" si="10"/>
        <v>1.45</v>
      </c>
      <c r="N61" s="268"/>
      <c r="O61" s="268"/>
      <c r="P61" s="268"/>
      <c r="Q61" s="268"/>
      <c r="R61" s="268"/>
      <c r="S61" s="268"/>
    </row>
    <row r="62" spans="1:19" ht="15.75" thickBot="1" x14ac:dyDescent="0.3">
      <c r="B62" s="263" t="s">
        <v>231</v>
      </c>
      <c r="C62" s="130">
        <f t="shared" ref="C62:H62" si="11">C21*C45</f>
        <v>1</v>
      </c>
      <c r="D62" s="130">
        <f t="shared" si="11"/>
        <v>1.0476000000000001</v>
      </c>
      <c r="E62" s="130">
        <f t="shared" si="11"/>
        <v>1.0903999999999998</v>
      </c>
      <c r="F62" s="130">
        <f t="shared" si="11"/>
        <v>1.0980000000000001</v>
      </c>
      <c r="G62" s="130">
        <f t="shared" si="11"/>
        <v>1.1223000000000001</v>
      </c>
      <c r="H62" s="130">
        <f t="shared" si="11"/>
        <v>1.1424000000000001</v>
      </c>
      <c r="I62" s="131">
        <f>I21*I45</f>
        <v>1.1599999999999999</v>
      </c>
    </row>
    <row r="63" spans="1:19" ht="15.75" thickBot="1" x14ac:dyDescent="0.3">
      <c r="C63" s="7"/>
      <c r="D63" s="7"/>
      <c r="E63" s="7"/>
      <c r="F63" s="7"/>
      <c r="G63" s="7"/>
      <c r="H63" s="7"/>
      <c r="I63" s="7"/>
    </row>
    <row r="64" spans="1:19" x14ac:dyDescent="0.25">
      <c r="A64" s="209">
        <v>2</v>
      </c>
      <c r="B64" s="210"/>
      <c r="C64" s="575" t="s">
        <v>232</v>
      </c>
      <c r="D64" s="576"/>
      <c r="E64" s="576"/>
      <c r="F64" s="576"/>
      <c r="G64" s="576"/>
      <c r="H64" s="576"/>
      <c r="I64" s="577"/>
    </row>
    <row r="65" spans="2:16" x14ac:dyDescent="0.25">
      <c r="B65" s="211" t="s">
        <v>33</v>
      </c>
      <c r="C65" s="212">
        <f>'Baseline Statistics'!C12</f>
        <v>2022</v>
      </c>
      <c r="D65" s="212">
        <f>'Baseline Statistics'!D12</f>
        <v>2025</v>
      </c>
      <c r="E65" s="212">
        <f>'Baseline Statistics'!E12</f>
        <v>2030</v>
      </c>
      <c r="F65" s="212">
        <f>'Baseline Statistics'!F12</f>
        <v>2035</v>
      </c>
      <c r="G65" s="212">
        <f>'Baseline Statistics'!G12</f>
        <v>2040</v>
      </c>
      <c r="H65" s="212">
        <f>'Baseline Statistics'!H12</f>
        <v>2045</v>
      </c>
      <c r="I65" s="213">
        <f>'Baseline Statistics'!I12</f>
        <v>2050</v>
      </c>
    </row>
    <row r="66" spans="2:16" x14ac:dyDescent="0.25">
      <c r="B66" s="58" t="s">
        <v>34</v>
      </c>
      <c r="C66" s="64">
        <f t="shared" ref="C66:I66" si="12">VLOOKUP($A64,$B67:$I70,COLUMN()-1,TRUE)</f>
        <v>1</v>
      </c>
      <c r="D66" s="64">
        <f t="shared" si="12"/>
        <v>1.0333333333333332</v>
      </c>
      <c r="E66" s="64">
        <f t="shared" si="12"/>
        <v>1.0666666666666664</v>
      </c>
      <c r="F66" s="64">
        <f t="shared" si="12"/>
        <v>1.0999999999999996</v>
      </c>
      <c r="G66" s="64">
        <f t="shared" si="12"/>
        <v>1.1333333333333329</v>
      </c>
      <c r="H66" s="64">
        <f t="shared" si="12"/>
        <v>1.1666666666666661</v>
      </c>
      <c r="I66" s="65">
        <f t="shared" si="12"/>
        <v>1.2</v>
      </c>
      <c r="J66" s="21" t="str">
        <f>VLOOKUP($A64,$B67:$J70,COLUMN()-1,TRUE)</f>
        <v>Modest increase (20% increase in freight by 2050)</v>
      </c>
    </row>
    <row r="67" spans="2:16" x14ac:dyDescent="0.25">
      <c r="B67" s="214">
        <v>1</v>
      </c>
      <c r="C67" s="215">
        <v>1</v>
      </c>
      <c r="D67" s="216">
        <f t="shared" ref="D67:H70" si="13">C67+(($I67-$C67)/6)</f>
        <v>0.99</v>
      </c>
      <c r="E67" s="216">
        <f t="shared" si="13"/>
        <v>0.98</v>
      </c>
      <c r="F67" s="216">
        <f t="shared" si="13"/>
        <v>0.97</v>
      </c>
      <c r="G67" s="216">
        <f t="shared" si="13"/>
        <v>0.96</v>
      </c>
      <c r="H67" s="216">
        <f t="shared" si="13"/>
        <v>0.95</v>
      </c>
      <c r="I67" s="217">
        <v>0.94</v>
      </c>
      <c r="J67" t="s">
        <v>233</v>
      </c>
      <c r="O67" s="54"/>
    </row>
    <row r="68" spans="2:16" x14ac:dyDescent="0.25">
      <c r="B68" s="214">
        <v>2</v>
      </c>
      <c r="C68" s="215">
        <v>1</v>
      </c>
      <c r="D68" s="216">
        <f t="shared" si="13"/>
        <v>1.0333333333333332</v>
      </c>
      <c r="E68" s="216">
        <f t="shared" si="13"/>
        <v>1.0666666666666664</v>
      </c>
      <c r="F68" s="216">
        <f t="shared" si="13"/>
        <v>1.0999999999999996</v>
      </c>
      <c r="G68" s="216">
        <f t="shared" si="13"/>
        <v>1.1333333333333329</v>
      </c>
      <c r="H68" s="216">
        <f t="shared" si="13"/>
        <v>1.1666666666666661</v>
      </c>
      <c r="I68" s="218">
        <v>1.2</v>
      </c>
      <c r="J68" t="s">
        <v>234</v>
      </c>
    </row>
    <row r="69" spans="2:16" x14ac:dyDescent="0.25">
      <c r="B69" s="214">
        <v>3</v>
      </c>
      <c r="C69" s="215">
        <v>1</v>
      </c>
      <c r="D69" s="216">
        <f t="shared" si="13"/>
        <v>1.1666666666666667</v>
      </c>
      <c r="E69" s="216">
        <f t="shared" si="13"/>
        <v>1.3333333333333335</v>
      </c>
      <c r="F69" s="216">
        <f t="shared" si="13"/>
        <v>1.5000000000000002</v>
      </c>
      <c r="G69" s="216">
        <f t="shared" si="13"/>
        <v>1.666666666666667</v>
      </c>
      <c r="H69" s="216">
        <f t="shared" si="13"/>
        <v>1.8333333333333337</v>
      </c>
      <c r="I69" s="217">
        <v>2</v>
      </c>
      <c r="J69" t="s">
        <v>235</v>
      </c>
    </row>
    <row r="70" spans="2:16" ht="15.75" thickBot="1" x14ac:dyDescent="0.3">
      <c r="B70" s="219">
        <v>4</v>
      </c>
      <c r="C70" s="220">
        <v>1</v>
      </c>
      <c r="D70" s="221">
        <f t="shared" si="13"/>
        <v>1.3333333333333333</v>
      </c>
      <c r="E70" s="221">
        <f t="shared" si="13"/>
        <v>1.6666666666666665</v>
      </c>
      <c r="F70" s="221">
        <f t="shared" si="13"/>
        <v>1.9999999999999998</v>
      </c>
      <c r="G70" s="221">
        <f t="shared" si="13"/>
        <v>2.333333333333333</v>
      </c>
      <c r="H70" s="221">
        <f t="shared" si="13"/>
        <v>2.6666666666666665</v>
      </c>
      <c r="I70" s="222">
        <v>3</v>
      </c>
      <c r="J70" s="1" t="s">
        <v>236</v>
      </c>
      <c r="K70" s="7"/>
      <c r="P70" s="12"/>
    </row>
    <row r="71" spans="2:16" ht="15.75" thickBot="1" x14ac:dyDescent="0.3">
      <c r="B71" s="204"/>
      <c r="I71" s="205"/>
      <c r="K71" s="7"/>
      <c r="L71" s="5"/>
    </row>
    <row r="72" spans="2:16" x14ac:dyDescent="0.25">
      <c r="B72" s="229" t="s">
        <v>223</v>
      </c>
      <c r="C72" s="230">
        <f>C65</f>
        <v>2022</v>
      </c>
      <c r="D72" s="230">
        <f t="shared" ref="D72:I72" si="14">D65</f>
        <v>2025</v>
      </c>
      <c r="E72" s="230">
        <f t="shared" si="14"/>
        <v>2030</v>
      </c>
      <c r="F72" s="230">
        <f t="shared" si="14"/>
        <v>2035</v>
      </c>
      <c r="G72" s="230">
        <f t="shared" si="14"/>
        <v>2040</v>
      </c>
      <c r="H72" s="230">
        <f t="shared" si="14"/>
        <v>2045</v>
      </c>
      <c r="I72" s="231">
        <f t="shared" si="14"/>
        <v>2050</v>
      </c>
      <c r="K72" s="5"/>
    </row>
    <row r="73" spans="2:16" x14ac:dyDescent="0.25">
      <c r="B73" s="234" t="s">
        <v>207</v>
      </c>
      <c r="C73" s="30">
        <f>C30</f>
        <v>18536711.417872287</v>
      </c>
      <c r="D73" s="30">
        <f>D30+$C73*(D$66-1)*$G$16</f>
        <v>19587125.06488505</v>
      </c>
      <c r="E73" s="30">
        <f t="shared" ref="D73:I75" si="15">E30+$C73*(E$66-1)*$G$16</f>
        <v>20637538.711897809</v>
      </c>
      <c r="F73" s="30">
        <f t="shared" si="15"/>
        <v>21502585.244731851</v>
      </c>
      <c r="G73" s="30">
        <f>G30+$C73*(G$66-1)*$G$16</f>
        <v>22460315.334655248</v>
      </c>
      <c r="H73" s="30">
        <f t="shared" si="15"/>
        <v>23418045.424578652</v>
      </c>
      <c r="I73" s="31">
        <f>I30+$C73*(I$66-1)*$G$16</f>
        <v>24561142.628680777</v>
      </c>
      <c r="K73" s="5"/>
    </row>
    <row r="74" spans="2:16" x14ac:dyDescent="0.25">
      <c r="B74" s="234" t="s">
        <v>210</v>
      </c>
      <c r="C74" s="30">
        <f>C31</f>
        <v>603881.656249461</v>
      </c>
      <c r="D74" s="30">
        <f t="shared" si="15"/>
        <v>638101.61677026376</v>
      </c>
      <c r="E74" s="30">
        <f t="shared" si="15"/>
        <v>672321.57729106653</v>
      </c>
      <c r="F74" s="30">
        <f t="shared" si="15"/>
        <v>700502.72124937468</v>
      </c>
      <c r="G74" s="30">
        <f t="shared" si="15"/>
        <v>731703.27348893008</v>
      </c>
      <c r="H74" s="30">
        <f t="shared" si="15"/>
        <v>762903.82572848559</v>
      </c>
      <c r="I74" s="31">
        <f t="shared" si="15"/>
        <v>800143.19453053584</v>
      </c>
      <c r="K74" s="5"/>
    </row>
    <row r="75" spans="2:16" x14ac:dyDescent="0.25">
      <c r="B75" s="234" t="s">
        <v>213</v>
      </c>
      <c r="C75" s="30">
        <f>C32</f>
        <v>307048.79688692791</v>
      </c>
      <c r="D75" s="30">
        <f t="shared" si="15"/>
        <v>324448.22871052043</v>
      </c>
      <c r="E75" s="30">
        <f t="shared" si="15"/>
        <v>341847.66053411301</v>
      </c>
      <c r="F75" s="30">
        <f t="shared" si="15"/>
        <v>356176.60438883631</v>
      </c>
      <c r="G75" s="30">
        <f t="shared" si="15"/>
        <v>372040.79222799424</v>
      </c>
      <c r="H75" s="30">
        <f t="shared" si="15"/>
        <v>387904.98006715218</v>
      </c>
      <c r="I75" s="31">
        <f t="shared" si="15"/>
        <v>406839.65587517951</v>
      </c>
      <c r="K75" s="5"/>
    </row>
    <row r="76" spans="2:16" ht="15.75" thickBot="1" x14ac:dyDescent="0.3">
      <c r="B76" s="263" t="e">
        <f>B40</f>
        <v>#REF!</v>
      </c>
      <c r="C76" s="32">
        <f>C40</f>
        <v>0</v>
      </c>
      <c r="D76" s="32">
        <f t="shared" ref="D76:I76" si="16">D40+$C76*(D$66-1)*$G$16</f>
        <v>0</v>
      </c>
      <c r="E76" s="32">
        <f t="shared" si="16"/>
        <v>0</v>
      </c>
      <c r="F76" s="32">
        <f t="shared" si="16"/>
        <v>0</v>
      </c>
      <c r="G76" s="32">
        <f t="shared" si="16"/>
        <v>0</v>
      </c>
      <c r="H76" s="32">
        <f t="shared" si="16"/>
        <v>0</v>
      </c>
      <c r="I76" s="33">
        <f t="shared" si="16"/>
        <v>0</v>
      </c>
    </row>
    <row r="77" spans="2:16" ht="15.75" thickBot="1" x14ac:dyDescent="0.3">
      <c r="C77" s="7"/>
      <c r="D77" s="7"/>
      <c r="E77" s="7"/>
      <c r="F77" s="7"/>
      <c r="G77" s="7"/>
      <c r="H77" s="7"/>
      <c r="I77" s="7"/>
    </row>
    <row r="78" spans="2:16" x14ac:dyDescent="0.25">
      <c r="B78" s="269" t="s">
        <v>237</v>
      </c>
      <c r="C78" s="230">
        <f t="shared" ref="C78:I78" si="17">C65</f>
        <v>2022</v>
      </c>
      <c r="D78" s="230">
        <f>D65</f>
        <v>2025</v>
      </c>
      <c r="E78" s="230">
        <f t="shared" si="17"/>
        <v>2030</v>
      </c>
      <c r="F78" s="230">
        <f t="shared" si="17"/>
        <v>2035</v>
      </c>
      <c r="G78" s="230">
        <f t="shared" si="17"/>
        <v>2040</v>
      </c>
      <c r="H78" s="230">
        <f t="shared" si="17"/>
        <v>2045</v>
      </c>
      <c r="I78" s="231">
        <f t="shared" si="17"/>
        <v>2050</v>
      </c>
    </row>
    <row r="79" spans="2:16" ht="15.75" thickBot="1" x14ac:dyDescent="0.3">
      <c r="B79" s="263" t="s">
        <v>238</v>
      </c>
      <c r="C79" s="130">
        <f>'Baseline Statistics'!C$17/'Baseline Statistics'!$C$17</f>
        <v>1</v>
      </c>
      <c r="D79" s="130">
        <f>'Baseline Statistics'!D$17/'Baseline Statistics'!$C$17</f>
        <v>1.0292015453960077</v>
      </c>
      <c r="E79" s="130">
        <f>'Baseline Statistics'!E$17/'Baseline Statistics'!$C$17</f>
        <v>1.076840523717536</v>
      </c>
      <c r="F79" s="130">
        <f>'Baseline Statistics'!F$17/'Baseline Statistics'!$C$17</f>
        <v>1.1161193389139301</v>
      </c>
      <c r="G79" s="130">
        <f>'Baseline Statistics'!G$17/'Baseline Statistics'!$C$17</f>
        <v>1.1553981541103242</v>
      </c>
      <c r="H79" s="130">
        <f>'Baseline Statistics'!H$17/'Baseline Statistics'!$C$17</f>
        <v>1.1946769693067181</v>
      </c>
      <c r="I79" s="131">
        <f>'Baseline Statistics'!I$17/'Baseline Statistics'!$C$17</f>
        <v>1.2339557845031122</v>
      </c>
    </row>
    <row r="80" spans="2:16" ht="15.75" thickBot="1" x14ac:dyDescent="0.3">
      <c r="K80" t="s">
        <v>239</v>
      </c>
    </row>
    <row r="81" spans="1:15" x14ac:dyDescent="0.25">
      <c r="A81" s="209">
        <v>2</v>
      </c>
      <c r="B81" s="210"/>
      <c r="C81" s="575" t="s">
        <v>240</v>
      </c>
      <c r="D81" s="576"/>
      <c r="E81" s="576"/>
      <c r="F81" s="576"/>
      <c r="G81" s="576"/>
      <c r="H81" s="576"/>
      <c r="I81" s="577"/>
    </row>
    <row r="82" spans="1:15" x14ac:dyDescent="0.25">
      <c r="B82" s="211" t="s">
        <v>33</v>
      </c>
      <c r="C82" s="212">
        <f>'Baseline Statistics'!C12</f>
        <v>2022</v>
      </c>
      <c r="D82" s="212">
        <f>'Baseline Statistics'!D12</f>
        <v>2025</v>
      </c>
      <c r="E82" s="212">
        <f>'Baseline Statistics'!E12</f>
        <v>2030</v>
      </c>
      <c r="F82" s="212">
        <f>'Baseline Statistics'!F12</f>
        <v>2035</v>
      </c>
      <c r="G82" s="212">
        <f>'Baseline Statistics'!G12</f>
        <v>2040</v>
      </c>
      <c r="H82" s="212">
        <f>'Baseline Statistics'!H12</f>
        <v>2045</v>
      </c>
      <c r="I82" s="213">
        <f>'Baseline Statistics'!I12</f>
        <v>2050</v>
      </c>
    </row>
    <row r="83" spans="1:15" x14ac:dyDescent="0.25">
      <c r="B83" s="58" t="s">
        <v>34</v>
      </c>
      <c r="C83" s="64">
        <f t="shared" ref="C83:I83" si="18">VLOOKUP($A81,$B84:$I87,COLUMN()-1,TRUE)</f>
        <v>1</v>
      </c>
      <c r="D83" s="64">
        <f t="shared" si="18"/>
        <v>1.0333333333333332</v>
      </c>
      <c r="E83" s="64">
        <f t="shared" si="18"/>
        <v>1.0666666666666664</v>
      </c>
      <c r="F83" s="64">
        <f t="shared" si="18"/>
        <v>1.0999999999999996</v>
      </c>
      <c r="G83" s="64">
        <f t="shared" si="18"/>
        <v>1.1333333333333329</v>
      </c>
      <c r="H83" s="64">
        <f t="shared" si="18"/>
        <v>1.1666666666666661</v>
      </c>
      <c r="I83" s="65">
        <f t="shared" si="18"/>
        <v>1.2</v>
      </c>
      <c r="J83" s="21" t="str">
        <f>VLOOKUP($A81,$B84:$J87,COLUMN()-1,TRUE)</f>
        <v>Modest Growth (20%)</v>
      </c>
    </row>
    <row r="84" spans="1:15" x14ac:dyDescent="0.25">
      <c r="B84" s="214">
        <v>1</v>
      </c>
      <c r="C84" s="215">
        <v>1</v>
      </c>
      <c r="D84" s="216">
        <f t="shared" ref="D84:H84" si="19">C84+(($I84-$C84)/6)</f>
        <v>1</v>
      </c>
      <c r="E84" s="216">
        <f t="shared" si="19"/>
        <v>1</v>
      </c>
      <c r="F84" s="216">
        <f t="shared" si="19"/>
        <v>1</v>
      </c>
      <c r="G84" s="216">
        <f t="shared" si="19"/>
        <v>1</v>
      </c>
      <c r="H84" s="216">
        <f t="shared" si="19"/>
        <v>1</v>
      </c>
      <c r="I84" s="217">
        <v>1</v>
      </c>
      <c r="J84" t="s">
        <v>241</v>
      </c>
    </row>
    <row r="85" spans="1:15" x14ac:dyDescent="0.25">
      <c r="B85" s="214">
        <v>2</v>
      </c>
      <c r="C85" s="215">
        <v>1</v>
      </c>
      <c r="D85" s="216">
        <f t="shared" ref="D85:H85" si="20">C85+(($I85-$C85)/6)</f>
        <v>1.0333333333333332</v>
      </c>
      <c r="E85" s="216">
        <f t="shared" si="20"/>
        <v>1.0666666666666664</v>
      </c>
      <c r="F85" s="216">
        <f t="shared" si="20"/>
        <v>1.0999999999999996</v>
      </c>
      <c r="G85" s="216">
        <f t="shared" si="20"/>
        <v>1.1333333333333329</v>
      </c>
      <c r="H85" s="216">
        <f t="shared" si="20"/>
        <v>1.1666666666666661</v>
      </c>
      <c r="I85" s="218">
        <v>1.2</v>
      </c>
      <c r="J85" t="s">
        <v>242</v>
      </c>
    </row>
    <row r="86" spans="1:15" x14ac:dyDescent="0.25">
      <c r="B86" s="214">
        <v>3</v>
      </c>
      <c r="C86" s="215">
        <v>1</v>
      </c>
      <c r="D86" s="216">
        <f t="shared" ref="D86:H86" si="21">C86+(($I86-$C86)/6)</f>
        <v>1.1666666666666667</v>
      </c>
      <c r="E86" s="216">
        <f t="shared" si="21"/>
        <v>1.3333333333333335</v>
      </c>
      <c r="F86" s="216">
        <f t="shared" si="21"/>
        <v>1.5000000000000002</v>
      </c>
      <c r="G86" s="216">
        <f t="shared" si="21"/>
        <v>1.666666666666667</v>
      </c>
      <c r="H86" s="216">
        <f t="shared" si="21"/>
        <v>1.8333333333333337</v>
      </c>
      <c r="I86" s="217">
        <v>2</v>
      </c>
      <c r="J86" t="s">
        <v>243</v>
      </c>
      <c r="O86" s="54"/>
    </row>
    <row r="87" spans="1:15" ht="15.75" thickBot="1" x14ac:dyDescent="0.3">
      <c r="B87" s="219">
        <v>4</v>
      </c>
      <c r="C87" s="220">
        <v>1</v>
      </c>
      <c r="D87" s="221">
        <f t="shared" ref="D87:H87" si="22">C87+(($I87-$C87)/6)</f>
        <v>1.3333333333333333</v>
      </c>
      <c r="E87" s="221">
        <f t="shared" si="22"/>
        <v>1.6666666666666665</v>
      </c>
      <c r="F87" s="221">
        <f t="shared" si="22"/>
        <v>1.9999999999999998</v>
      </c>
      <c r="G87" s="221">
        <f t="shared" si="22"/>
        <v>2.333333333333333</v>
      </c>
      <c r="H87" s="221">
        <f t="shared" si="22"/>
        <v>2.6666666666666665</v>
      </c>
      <c r="I87" s="222">
        <v>3</v>
      </c>
      <c r="J87" t="s">
        <v>244</v>
      </c>
    </row>
    <row r="88" spans="1:15" ht="15.75" thickBot="1" x14ac:dyDescent="0.3">
      <c r="B88" s="204"/>
      <c r="I88" s="205"/>
    </row>
    <row r="89" spans="1:15" x14ac:dyDescent="0.25">
      <c r="B89" s="279" t="s">
        <v>223</v>
      </c>
      <c r="C89" s="280">
        <f>'Baseline Statistics'!C12</f>
        <v>2022</v>
      </c>
      <c r="D89" s="280">
        <f>'Baseline Statistics'!D12</f>
        <v>2025</v>
      </c>
      <c r="E89" s="280">
        <f>'Baseline Statistics'!E12</f>
        <v>2030</v>
      </c>
      <c r="F89" s="280">
        <f>'Baseline Statistics'!F12</f>
        <v>2035</v>
      </c>
      <c r="G89" s="280">
        <f>'Baseline Statistics'!G12</f>
        <v>2040</v>
      </c>
      <c r="H89" s="280">
        <f>'Baseline Statistics'!H12</f>
        <v>2045</v>
      </c>
      <c r="I89" s="281">
        <f>'Baseline Statistics'!I12</f>
        <v>2050</v>
      </c>
      <c r="O89" s="12"/>
    </row>
    <row r="90" spans="1:15" x14ac:dyDescent="0.25">
      <c r="B90" s="234" t="s">
        <v>70</v>
      </c>
      <c r="C90" s="30">
        <f t="shared" ref="C90:H90" si="23">C33*C$83*C79</f>
        <v>4350044.3909544628</v>
      </c>
      <c r="D90" s="30">
        <f t="shared" si="23"/>
        <v>4996412.8092381088</v>
      </c>
      <c r="E90" s="30">
        <f t="shared" si="23"/>
        <v>5796045.5818388499</v>
      </c>
      <c r="F90" s="30">
        <f t="shared" si="23"/>
        <v>6515636.354976736</v>
      </c>
      <c r="G90" s="30">
        <f t="shared" si="23"/>
        <v>7348060.6255450733</v>
      </c>
      <c r="H90" s="30">
        <f t="shared" si="23"/>
        <v>8245744.5876117926</v>
      </c>
      <c r="I90" s="31">
        <f>I33*I$83*I79</f>
        <v>9339906.6439706236</v>
      </c>
    </row>
    <row r="91" spans="1:15" ht="15.75" thickBot="1" x14ac:dyDescent="0.3">
      <c r="B91" s="263" t="s">
        <v>245</v>
      </c>
      <c r="C91" s="32">
        <f>'Baseline Statistics'!$C27*C83-'Baseline Statistics'!$C27</f>
        <v>0</v>
      </c>
      <c r="D91" s="32">
        <f>'Baseline Statistics'!$C27*D83-'Baseline Statistics'!$C27</f>
        <v>296.24570381538797</v>
      </c>
      <c r="E91" s="32">
        <f>'Baseline Statistics'!$C27*E83-'Baseline Statistics'!$C27</f>
        <v>592.49140763077594</v>
      </c>
      <c r="F91" s="32">
        <f>'Baseline Statistics'!$C27*F83-'Baseline Statistics'!$C27</f>
        <v>888.73711144616391</v>
      </c>
      <c r="G91" s="32">
        <f>'Baseline Statistics'!$C27*G83-'Baseline Statistics'!$C27</f>
        <v>1184.9828152615519</v>
      </c>
      <c r="H91" s="32">
        <f>'Baseline Statistics'!$C27*H83-'Baseline Statistics'!$C27</f>
        <v>1481.2285190769398</v>
      </c>
      <c r="I91" s="33">
        <f>'Baseline Statistics'!$C27*I83-'Baseline Statistics'!$C27</f>
        <v>1777.4742228923333</v>
      </c>
    </row>
    <row r="127" spans="8:8" x14ac:dyDescent="0.25">
      <c r="H127" s="5"/>
    </row>
    <row r="235" spans="1:1" x14ac:dyDescent="0.25">
      <c r="A235">
        <v>1</v>
      </c>
    </row>
  </sheetData>
  <protectedRanges>
    <protectedRange sqref="A7:A87 A117:A1048576" name="Range1"/>
    <protectedRange sqref="A1:A5" name="Range1_1"/>
    <protectedRange sqref="A6" name="Range1_2"/>
  </protectedRanges>
  <mergeCells count="13">
    <mergeCell ref="C64:I64"/>
    <mergeCell ref="C81:I81"/>
    <mergeCell ref="C8:C10"/>
    <mergeCell ref="K8:K10"/>
    <mergeCell ref="J8:J10"/>
    <mergeCell ref="L8:L10"/>
    <mergeCell ref="C43:I43"/>
    <mergeCell ref="B8:B10"/>
    <mergeCell ref="D8:D10"/>
    <mergeCell ref="F8:F10"/>
    <mergeCell ref="G8:G10"/>
    <mergeCell ref="H8:H10"/>
    <mergeCell ref="C19:I19"/>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AB3B3-D312-4E9B-A079-0E27E0914841}">
  <sheetPr codeName="Sheet7">
    <tabColor theme="9" tint="0.59999389629810485"/>
  </sheetPr>
  <dimension ref="A1:W429"/>
  <sheetViews>
    <sheetView showGridLines="0" zoomScale="80" zoomScaleNormal="80" workbookViewId="0">
      <selection activeCell="M184" sqref="M184:M186"/>
    </sheetView>
  </sheetViews>
  <sheetFormatPr defaultRowHeight="15" x14ac:dyDescent="0.25"/>
  <cols>
    <col min="1" max="1" width="8.7109375" style="296" customWidth="1"/>
    <col min="2" max="2" width="29.85546875" style="296" customWidth="1"/>
    <col min="3" max="3" width="12.5703125" style="296" customWidth="1"/>
    <col min="4" max="9" width="14.85546875" style="296" customWidth="1"/>
    <col min="10" max="10" width="14.140625" style="296" customWidth="1"/>
    <col min="11" max="11" width="21.85546875" customWidth="1"/>
    <col min="13" max="13" width="21.140625" customWidth="1"/>
  </cols>
  <sheetData>
    <row r="1" spans="1:11" ht="23.25" x14ac:dyDescent="0.35">
      <c r="A1" s="35" t="s">
        <v>44</v>
      </c>
      <c r="B1"/>
      <c r="C1"/>
      <c r="D1"/>
      <c r="E1"/>
      <c r="F1"/>
      <c r="G1"/>
      <c r="H1"/>
      <c r="I1"/>
      <c r="J1"/>
    </row>
    <row r="2" spans="1:11" ht="23.25" x14ac:dyDescent="0.35">
      <c r="A2" s="35" t="s">
        <v>246</v>
      </c>
      <c r="B2"/>
      <c r="C2"/>
      <c r="D2"/>
      <c r="E2"/>
      <c r="F2"/>
      <c r="G2"/>
      <c r="H2"/>
      <c r="I2"/>
      <c r="J2"/>
    </row>
    <row r="3" spans="1:11" x14ac:dyDescent="0.25">
      <c r="A3"/>
      <c r="B3"/>
      <c r="C3"/>
      <c r="D3"/>
      <c r="E3"/>
      <c r="F3"/>
      <c r="G3"/>
      <c r="H3"/>
      <c r="I3"/>
      <c r="J3"/>
    </row>
    <row r="4" spans="1:11" x14ac:dyDescent="0.25">
      <c r="A4" s="4" t="s">
        <v>47</v>
      </c>
      <c r="B4" s="1"/>
      <c r="C4"/>
      <c r="D4"/>
      <c r="E4"/>
      <c r="F4"/>
      <c r="G4"/>
      <c r="H4"/>
      <c r="I4"/>
      <c r="J4"/>
    </row>
    <row r="5" spans="1:11" x14ac:dyDescent="0.25">
      <c r="A5" s="39" t="s">
        <v>155</v>
      </c>
      <c r="B5"/>
      <c r="C5"/>
      <c r="D5"/>
      <c r="E5"/>
      <c r="F5"/>
      <c r="G5"/>
      <c r="H5"/>
      <c r="I5"/>
      <c r="J5"/>
      <c r="K5" s="55"/>
    </row>
    <row r="6" spans="1:11" x14ac:dyDescent="0.25">
      <c r="A6" s="39" t="s">
        <v>156</v>
      </c>
      <c r="B6"/>
      <c r="C6"/>
      <c r="D6"/>
      <c r="E6"/>
      <c r="F6"/>
      <c r="G6"/>
      <c r="H6"/>
      <c r="I6"/>
      <c r="J6"/>
      <c r="K6" s="55"/>
    </row>
    <row r="7" spans="1:11" ht="15.75" thickBot="1" x14ac:dyDescent="0.3"/>
    <row r="8" spans="1:11" x14ac:dyDescent="0.25">
      <c r="B8" s="597" t="s">
        <v>247</v>
      </c>
      <c r="C8" s="615">
        <f>C27</f>
        <v>2022</v>
      </c>
      <c r="D8" s="613" t="s">
        <v>107</v>
      </c>
      <c r="E8"/>
      <c r="F8"/>
      <c r="G8"/>
      <c r="H8"/>
      <c r="I8"/>
      <c r="J8"/>
    </row>
    <row r="9" spans="1:11" x14ac:dyDescent="0.25">
      <c r="A9" s="298"/>
      <c r="B9" s="612"/>
      <c r="C9" s="579"/>
      <c r="D9" s="614"/>
      <c r="E9"/>
    </row>
    <row r="10" spans="1:11" x14ac:dyDescent="0.25">
      <c r="B10" s="612"/>
      <c r="C10" s="579"/>
      <c r="D10" s="614"/>
      <c r="E10"/>
      <c r="F10"/>
      <c r="G10"/>
      <c r="H10"/>
      <c r="I10"/>
      <c r="J10"/>
    </row>
    <row r="11" spans="1:11" ht="14.45" customHeight="1" x14ac:dyDescent="0.25">
      <c r="B11" s="299" t="s">
        <v>248</v>
      </c>
      <c r="C11" s="300">
        <f>'Baseline User Input'!C14</f>
        <v>36790440.061202846</v>
      </c>
      <c r="D11" s="301" t="s">
        <v>122</v>
      </c>
      <c r="E11"/>
      <c r="F11"/>
      <c r="G11"/>
      <c r="H11"/>
      <c r="I11"/>
      <c r="J11"/>
    </row>
    <row r="12" spans="1:11" x14ac:dyDescent="0.25">
      <c r="B12" s="299" t="s">
        <v>249</v>
      </c>
      <c r="C12" s="300">
        <f>'Baseline User Input'!C15</f>
        <v>8353453.6432471676</v>
      </c>
      <c r="D12" s="301" t="s">
        <v>122</v>
      </c>
      <c r="E12"/>
      <c r="F12"/>
      <c r="G12"/>
      <c r="H12"/>
      <c r="I12"/>
      <c r="J12"/>
    </row>
    <row r="13" spans="1:11" x14ac:dyDescent="0.25">
      <c r="B13" s="299" t="s">
        <v>250</v>
      </c>
      <c r="C13" s="300">
        <f>'Baseline User Input'!C16</f>
        <v>3404243.6177032739</v>
      </c>
      <c r="D13" s="301" t="s">
        <v>122</v>
      </c>
      <c r="E13"/>
      <c r="F13"/>
      <c r="G13"/>
      <c r="H13"/>
      <c r="I13"/>
      <c r="J13"/>
    </row>
    <row r="14" spans="1:11" x14ac:dyDescent="0.25">
      <c r="B14" s="299" t="s">
        <v>251</v>
      </c>
      <c r="C14" s="300">
        <f>'Baseline User Input'!C17</f>
        <v>18536711.417872287</v>
      </c>
      <c r="D14" s="301" t="s">
        <v>122</v>
      </c>
      <c r="E14"/>
      <c r="F14"/>
      <c r="G14"/>
      <c r="H14"/>
      <c r="I14"/>
      <c r="J14"/>
    </row>
    <row r="15" spans="1:11" ht="15" customHeight="1" x14ac:dyDescent="0.25">
      <c r="B15" s="299" t="s">
        <v>252</v>
      </c>
      <c r="C15" s="300">
        <f>'Baseline User Input'!C18</f>
        <v>875123.71500684612</v>
      </c>
      <c r="D15" s="301" t="s">
        <v>122</v>
      </c>
      <c r="E15"/>
      <c r="F15"/>
      <c r="G15"/>
      <c r="H15"/>
      <c r="I15"/>
      <c r="J15"/>
    </row>
    <row r="16" spans="1:11" x14ac:dyDescent="0.25">
      <c r="B16" s="299" t="s">
        <v>253</v>
      </c>
      <c r="C16" s="300">
        <f>'Baseline User Input'!C19</f>
        <v>5648525.7968623694</v>
      </c>
      <c r="D16" s="301" t="s">
        <v>122</v>
      </c>
      <c r="E16"/>
      <c r="F16"/>
      <c r="G16"/>
      <c r="H16"/>
      <c r="I16"/>
      <c r="J16"/>
    </row>
    <row r="17" spans="2:10" ht="15" customHeight="1" x14ac:dyDescent="0.25">
      <c r="B17" s="299" t="s">
        <v>254</v>
      </c>
      <c r="C17" s="300">
        <f>'Baseline User Input'!C20</f>
        <v>533194.78349569347</v>
      </c>
      <c r="D17" s="301" t="s">
        <v>122</v>
      </c>
      <c r="E17"/>
      <c r="F17"/>
      <c r="G17"/>
      <c r="H17"/>
      <c r="I17"/>
      <c r="J17"/>
    </row>
    <row r="18" spans="2:10" x14ac:dyDescent="0.25">
      <c r="B18" s="299" t="s">
        <v>210</v>
      </c>
      <c r="C18" s="300">
        <f>'Baseline User Input'!C21</f>
        <v>603881.656249461</v>
      </c>
      <c r="D18" s="301" t="s">
        <v>122</v>
      </c>
      <c r="E18"/>
      <c r="F18"/>
      <c r="G18"/>
      <c r="H18"/>
      <c r="I18"/>
      <c r="J18"/>
    </row>
    <row r="19" spans="2:10" x14ac:dyDescent="0.25">
      <c r="B19" s="299" t="s">
        <v>213</v>
      </c>
      <c r="C19" s="300">
        <f>'Baseline User Input'!C22</f>
        <v>307048.79688692791</v>
      </c>
      <c r="D19" s="301" t="s">
        <v>192</v>
      </c>
      <c r="E19"/>
      <c r="F19"/>
      <c r="G19"/>
      <c r="H19"/>
      <c r="I19"/>
      <c r="J19"/>
    </row>
    <row r="20" spans="2:10" x14ac:dyDescent="0.25">
      <c r="B20" s="299" t="s">
        <v>70</v>
      </c>
      <c r="C20" s="300">
        <f>'2. Industry'!C90</f>
        <v>4350044.3909544628</v>
      </c>
      <c r="D20" s="301" t="s">
        <v>122</v>
      </c>
      <c r="E20"/>
      <c r="F20"/>
      <c r="G20"/>
      <c r="H20"/>
      <c r="I20"/>
      <c r="J20"/>
    </row>
    <row r="21" spans="2:10" x14ac:dyDescent="0.25">
      <c r="B21" s="299" t="s">
        <v>127</v>
      </c>
      <c r="C21" s="300">
        <f>'Baseline User Input'!C24</f>
        <v>578623.93901467754</v>
      </c>
      <c r="D21" s="301" t="s">
        <v>122</v>
      </c>
      <c r="E21"/>
      <c r="F21"/>
      <c r="G21"/>
      <c r="H21"/>
      <c r="I21"/>
      <c r="J21"/>
    </row>
    <row r="22" spans="2:10" x14ac:dyDescent="0.25">
      <c r="B22" s="299" t="s">
        <v>72</v>
      </c>
      <c r="C22" s="300">
        <f>'Baseline User Input'!C25</f>
        <v>538033.26885880088</v>
      </c>
      <c r="D22" s="301" t="s">
        <v>122</v>
      </c>
      <c r="E22"/>
      <c r="F22"/>
      <c r="G22"/>
      <c r="H22"/>
      <c r="I22"/>
      <c r="J22"/>
    </row>
    <row r="23" spans="2:10" x14ac:dyDescent="0.25">
      <c r="B23" s="299" t="s">
        <v>129</v>
      </c>
      <c r="C23" s="300">
        <f>'Baseline User Input'!C26</f>
        <v>0</v>
      </c>
      <c r="D23" s="301" t="s">
        <v>122</v>
      </c>
      <c r="E23"/>
      <c r="F23"/>
      <c r="G23"/>
      <c r="H23"/>
      <c r="I23"/>
      <c r="J23"/>
    </row>
    <row r="24" spans="2:10" x14ac:dyDescent="0.25">
      <c r="B24" s="299" t="s">
        <v>132</v>
      </c>
      <c r="C24" s="300">
        <f>'Baseline User Input'!C27</f>
        <v>0</v>
      </c>
      <c r="D24" s="301" t="s">
        <v>122</v>
      </c>
      <c r="E24"/>
      <c r="F24"/>
      <c r="G24"/>
      <c r="H24"/>
      <c r="I24"/>
      <c r="J24"/>
    </row>
    <row r="25" spans="2:10" ht="15.75" thickBot="1" x14ac:dyDescent="0.3">
      <c r="B25" s="302" t="s">
        <v>255</v>
      </c>
      <c r="C25" s="303">
        <f>'Baseline User Input'!C28</f>
        <v>552915870.3663671</v>
      </c>
      <c r="D25" s="304" t="s">
        <v>256</v>
      </c>
      <c r="E25"/>
      <c r="F25"/>
      <c r="G25"/>
      <c r="H25"/>
      <c r="I25"/>
      <c r="J25"/>
    </row>
    <row r="26" spans="2:10" ht="15.75" thickBot="1" x14ac:dyDescent="0.3">
      <c r="B26" s="305"/>
      <c r="C26" s="306"/>
      <c r="D26" s="307"/>
      <c r="E26" s="308"/>
      <c r="F26" s="308"/>
      <c r="G26" s="307"/>
      <c r="H26" s="309"/>
      <c r="I26"/>
      <c r="J26" s="309"/>
    </row>
    <row r="27" spans="2:10" x14ac:dyDescent="0.25">
      <c r="B27" s="597" t="s">
        <v>257</v>
      </c>
      <c r="C27" s="606">
        <f>'Baseline Statistics'!C$12</f>
        <v>2022</v>
      </c>
      <c r="D27" s="606">
        <f>'Baseline Statistics'!D$12</f>
        <v>2025</v>
      </c>
      <c r="E27" s="606">
        <f>'Baseline Statistics'!E$12</f>
        <v>2030</v>
      </c>
      <c r="F27" s="606">
        <f>'Baseline Statistics'!F$12</f>
        <v>2035</v>
      </c>
      <c r="G27" s="606">
        <f>'Baseline Statistics'!G$12</f>
        <v>2040</v>
      </c>
      <c r="H27" s="606">
        <f>'Baseline Statistics'!H$12</f>
        <v>2045</v>
      </c>
      <c r="I27" s="609">
        <f>'Baseline Statistics'!I$12</f>
        <v>2050</v>
      </c>
      <c r="J27" s="309"/>
    </row>
    <row r="28" spans="2:10" x14ac:dyDescent="0.25">
      <c r="B28" s="598"/>
      <c r="C28" s="607"/>
      <c r="D28" s="607"/>
      <c r="E28" s="607"/>
      <c r="F28" s="607"/>
      <c r="G28" s="607"/>
      <c r="H28" s="607"/>
      <c r="I28" s="610"/>
      <c r="J28" s="309"/>
    </row>
    <row r="29" spans="2:10" x14ac:dyDescent="0.25">
      <c r="B29" s="598"/>
      <c r="C29" s="608"/>
      <c r="D29" s="608"/>
      <c r="E29" s="608"/>
      <c r="F29" s="608"/>
      <c r="G29" s="608"/>
      <c r="H29" s="608"/>
      <c r="I29" s="611"/>
      <c r="J29" s="309"/>
    </row>
    <row r="30" spans="2:10" x14ac:dyDescent="0.25">
      <c r="B30" s="299" t="s">
        <v>253</v>
      </c>
      <c r="C30" s="311">
        <f>'Baseline User Input'!BB45</f>
        <v>5648525.7968623694</v>
      </c>
      <c r="D30" s="311">
        <f>'Background Calcs. Agriculture'!E37</f>
        <v>5405339.5261686528</v>
      </c>
      <c r="E30" s="311">
        <f>'Background Calcs. Agriculture'!F37</f>
        <v>5155424.9922740031</v>
      </c>
      <c r="F30" s="311">
        <f>'Background Calcs. Agriculture'!G37</f>
        <v>4906763.0429621404</v>
      </c>
      <c r="G30" s="311">
        <f>'Background Calcs. Agriculture'!H37</f>
        <v>4658058.2387427678</v>
      </c>
      <c r="H30" s="311">
        <f>'Background Calcs. Agriculture'!I37</f>
        <v>4409367.6776040355</v>
      </c>
      <c r="I30" s="312">
        <f>'Background Calcs. Agriculture'!J37</f>
        <v>4131880.1126898946</v>
      </c>
      <c r="J30" s="309"/>
    </row>
    <row r="31" spans="2:10" ht="15.75" thickBot="1" x14ac:dyDescent="0.3">
      <c r="B31" s="302" t="s">
        <v>254</v>
      </c>
      <c r="C31" s="313">
        <f>'Baseline User Input'!BB46</f>
        <v>533194.78349569347</v>
      </c>
      <c r="D31" s="313">
        <f>'Background Calcs. Agriculture'!E38</f>
        <v>510239.12114859268</v>
      </c>
      <c r="E31" s="313">
        <f>'Background Calcs. Agriculture'!F38</f>
        <v>486648.34178693965</v>
      </c>
      <c r="F31" s="313">
        <f>'Background Calcs. Agriculture'!G38</f>
        <v>463175.80063282052</v>
      </c>
      <c r="G31" s="313">
        <f>'Background Calcs. Agriculture'!H38</f>
        <v>439699.21417308482</v>
      </c>
      <c r="H31" s="313">
        <f>'Background Calcs. Agriculture'!I38</f>
        <v>416223.97219447052</v>
      </c>
      <c r="I31" s="314">
        <f>'Background Calcs. Agriculture'!J38</f>
        <v>390030.42587494623</v>
      </c>
      <c r="J31" s="309"/>
    </row>
    <row r="32" spans="2:10" ht="15.75" thickBot="1" x14ac:dyDescent="0.3">
      <c r="B32" s="305"/>
      <c r="C32" s="315"/>
      <c r="D32" s="306"/>
      <c r="E32" s="307"/>
      <c r="F32" s="308"/>
      <c r="G32" s="308"/>
      <c r="H32" s="308"/>
      <c r="I32" s="307"/>
      <c r="J32"/>
    </row>
    <row r="33" spans="2:10" x14ac:dyDescent="0.25">
      <c r="B33" s="597" t="s">
        <v>258</v>
      </c>
      <c r="C33" s="606">
        <f>'Baseline Statistics'!C$12</f>
        <v>2022</v>
      </c>
      <c r="D33" s="606">
        <f>'Baseline Statistics'!D$12</f>
        <v>2025</v>
      </c>
      <c r="E33" s="606">
        <f>'Baseline Statistics'!E$12</f>
        <v>2030</v>
      </c>
      <c r="F33" s="606">
        <f>'Baseline Statistics'!F$12</f>
        <v>2035</v>
      </c>
      <c r="G33" s="606">
        <f>'Baseline Statistics'!G$12</f>
        <v>2040</v>
      </c>
      <c r="H33" s="606">
        <f>'Baseline Statistics'!H$12</f>
        <v>2045</v>
      </c>
      <c r="I33" s="609">
        <f>'Baseline Statistics'!I$12</f>
        <v>2050</v>
      </c>
      <c r="J33"/>
    </row>
    <row r="34" spans="2:10" x14ac:dyDescent="0.25">
      <c r="B34" s="598"/>
      <c r="C34" s="607"/>
      <c r="D34" s="607"/>
      <c r="E34" s="607"/>
      <c r="F34" s="607"/>
      <c r="G34" s="607"/>
      <c r="H34" s="607"/>
      <c r="I34" s="610"/>
      <c r="J34"/>
    </row>
    <row r="35" spans="2:10" x14ac:dyDescent="0.25">
      <c r="B35" s="598"/>
      <c r="C35" s="608"/>
      <c r="D35" s="608"/>
      <c r="E35" s="608"/>
      <c r="F35" s="608"/>
      <c r="G35" s="608"/>
      <c r="H35" s="608"/>
      <c r="I35" s="611"/>
      <c r="J35"/>
    </row>
    <row r="36" spans="2:10" x14ac:dyDescent="0.25">
      <c r="B36" s="316" t="s">
        <v>248</v>
      </c>
      <c r="C36" s="317">
        <f t="shared" ref="C36:I38" si="0">$C11</f>
        <v>36790440.061202846</v>
      </c>
      <c r="D36" s="317">
        <f t="shared" si="0"/>
        <v>36790440.061202846</v>
      </c>
      <c r="E36" s="317">
        <f t="shared" si="0"/>
        <v>36790440.061202846</v>
      </c>
      <c r="F36" s="317">
        <f t="shared" si="0"/>
        <v>36790440.061202846</v>
      </c>
      <c r="G36" s="317">
        <f t="shared" si="0"/>
        <v>36790440.061202846</v>
      </c>
      <c r="H36" s="317">
        <f t="shared" si="0"/>
        <v>36790440.061202846</v>
      </c>
      <c r="I36" s="317">
        <f t="shared" si="0"/>
        <v>36790440.061202846</v>
      </c>
      <c r="J36"/>
    </row>
    <row r="37" spans="2:10" x14ac:dyDescent="0.25">
      <c r="B37" s="316" t="s">
        <v>249</v>
      </c>
      <c r="C37" s="317">
        <f t="shared" si="0"/>
        <v>8353453.6432471676</v>
      </c>
      <c r="D37" s="317">
        <f t="shared" si="0"/>
        <v>8353453.6432471676</v>
      </c>
      <c r="E37" s="317">
        <f t="shared" si="0"/>
        <v>8353453.6432471676</v>
      </c>
      <c r="F37" s="317">
        <f t="shared" si="0"/>
        <v>8353453.6432471676</v>
      </c>
      <c r="G37" s="317">
        <f t="shared" si="0"/>
        <v>8353453.6432471676</v>
      </c>
      <c r="H37" s="317">
        <f t="shared" si="0"/>
        <v>8353453.6432471676</v>
      </c>
      <c r="I37" s="317">
        <f t="shared" si="0"/>
        <v>8353453.6432471676</v>
      </c>
      <c r="J37"/>
    </row>
    <row r="38" spans="2:10" x14ac:dyDescent="0.25">
      <c r="B38" s="316" t="s">
        <v>250</v>
      </c>
      <c r="C38" s="317">
        <f t="shared" si="0"/>
        <v>3404243.6177032739</v>
      </c>
      <c r="D38" s="317">
        <f t="shared" si="0"/>
        <v>3404243.6177032739</v>
      </c>
      <c r="E38" s="317">
        <f t="shared" si="0"/>
        <v>3404243.6177032739</v>
      </c>
      <c r="F38" s="317">
        <f t="shared" si="0"/>
        <v>3404243.6177032739</v>
      </c>
      <c r="G38" s="317">
        <f t="shared" si="0"/>
        <v>3404243.6177032739</v>
      </c>
      <c r="H38" s="317">
        <f t="shared" si="0"/>
        <v>3404243.6177032739</v>
      </c>
      <c r="I38" s="317">
        <f t="shared" si="0"/>
        <v>3404243.6177032739</v>
      </c>
      <c r="J38"/>
    </row>
    <row r="39" spans="2:10" x14ac:dyDescent="0.25">
      <c r="B39" s="299" t="s">
        <v>251</v>
      </c>
      <c r="C39" s="318">
        <f>'2. Industry'!C73</f>
        <v>18536711.417872287</v>
      </c>
      <c r="D39" s="318">
        <f>'2. Industry'!D73</f>
        <v>19587125.06488505</v>
      </c>
      <c r="E39" s="318">
        <f>'2. Industry'!E73</f>
        <v>20637538.711897809</v>
      </c>
      <c r="F39" s="318">
        <f>'2. Industry'!F73</f>
        <v>21502585.244731851</v>
      </c>
      <c r="G39" s="318">
        <f>'2. Industry'!G73</f>
        <v>22460315.334655248</v>
      </c>
      <c r="H39" s="318">
        <f>'2. Industry'!H73</f>
        <v>23418045.424578652</v>
      </c>
      <c r="I39" s="318">
        <f>'2. Industry'!I73</f>
        <v>24561142.628680777</v>
      </c>
      <c r="J39"/>
    </row>
    <row r="40" spans="2:10" x14ac:dyDescent="0.25">
      <c r="B40" s="316" t="s">
        <v>252</v>
      </c>
      <c r="C40" s="317">
        <f t="shared" ref="C40:I40" si="1">$C15</f>
        <v>875123.71500684612</v>
      </c>
      <c r="D40" s="317">
        <f t="shared" si="1"/>
        <v>875123.71500684612</v>
      </c>
      <c r="E40" s="317">
        <f t="shared" si="1"/>
        <v>875123.71500684612</v>
      </c>
      <c r="F40" s="317">
        <f t="shared" si="1"/>
        <v>875123.71500684612</v>
      </c>
      <c r="G40" s="317">
        <f t="shared" si="1"/>
        <v>875123.71500684612</v>
      </c>
      <c r="H40" s="317">
        <f t="shared" si="1"/>
        <v>875123.71500684612</v>
      </c>
      <c r="I40" s="317">
        <f t="shared" si="1"/>
        <v>875123.71500684612</v>
      </c>
      <c r="J40"/>
    </row>
    <row r="41" spans="2:10" x14ac:dyDescent="0.25">
      <c r="B41" s="299" t="s">
        <v>210</v>
      </c>
      <c r="C41" s="318">
        <f>'2. Industry'!C74</f>
        <v>603881.656249461</v>
      </c>
      <c r="D41" s="318">
        <f>'2. Industry'!D74</f>
        <v>638101.61677026376</v>
      </c>
      <c r="E41" s="318">
        <f>'2. Industry'!E74</f>
        <v>672321.57729106653</v>
      </c>
      <c r="F41" s="318">
        <f>'2. Industry'!F74</f>
        <v>700502.72124937468</v>
      </c>
      <c r="G41" s="318">
        <f>'2. Industry'!G74</f>
        <v>731703.27348893008</v>
      </c>
      <c r="H41" s="318">
        <f>'2. Industry'!H74</f>
        <v>762903.82572848559</v>
      </c>
      <c r="I41" s="318">
        <f>'2. Industry'!I74</f>
        <v>800143.19453053584</v>
      </c>
      <c r="J41"/>
    </row>
    <row r="42" spans="2:10" x14ac:dyDescent="0.25">
      <c r="B42" s="299" t="s">
        <v>213</v>
      </c>
      <c r="C42" s="318">
        <f>'2. Industry'!C75</f>
        <v>307048.79688692791</v>
      </c>
      <c r="D42" s="318">
        <f>'2. Industry'!D75</f>
        <v>324448.22871052043</v>
      </c>
      <c r="E42" s="318">
        <f>'2. Industry'!E75</f>
        <v>341847.66053411301</v>
      </c>
      <c r="F42" s="318">
        <f>'2. Industry'!F75</f>
        <v>356176.60438883631</v>
      </c>
      <c r="G42" s="318">
        <f>'2. Industry'!G75</f>
        <v>372040.79222799424</v>
      </c>
      <c r="H42" s="318">
        <f>'2. Industry'!H75</f>
        <v>387904.98006715218</v>
      </c>
      <c r="I42" s="318">
        <f>'2. Industry'!I75</f>
        <v>406839.65587517951</v>
      </c>
      <c r="J42"/>
    </row>
    <row r="43" spans="2:10" x14ac:dyDescent="0.25">
      <c r="B43" s="299" t="s">
        <v>70</v>
      </c>
      <c r="C43" s="311">
        <f>'2. Industry'!C90</f>
        <v>4350044.3909544628</v>
      </c>
      <c r="D43" s="311">
        <f>'2. Industry'!D90</f>
        <v>4996412.8092381088</v>
      </c>
      <c r="E43" s="311">
        <f>'2. Industry'!E90</f>
        <v>5796045.5818388499</v>
      </c>
      <c r="F43" s="311">
        <f>'2. Industry'!F90</f>
        <v>6515636.354976736</v>
      </c>
      <c r="G43" s="311">
        <f>'2. Industry'!G90</f>
        <v>7348060.6255450733</v>
      </c>
      <c r="H43" s="311">
        <f>'2. Industry'!H90</f>
        <v>8245744.5876117926</v>
      </c>
      <c r="I43" s="311">
        <f>'2. Industry'!I90</f>
        <v>9339906.6439706236</v>
      </c>
      <c r="J43"/>
    </row>
    <row r="44" spans="2:10" x14ac:dyDescent="0.25">
      <c r="B44" s="316" t="s">
        <v>127</v>
      </c>
      <c r="C44" s="317">
        <f t="shared" ref="C44:I46" si="2">$C21</f>
        <v>578623.93901467754</v>
      </c>
      <c r="D44" s="317">
        <f t="shared" si="2"/>
        <v>578623.93901467754</v>
      </c>
      <c r="E44" s="317">
        <f t="shared" si="2"/>
        <v>578623.93901467754</v>
      </c>
      <c r="F44" s="317">
        <f t="shared" si="2"/>
        <v>578623.93901467754</v>
      </c>
      <c r="G44" s="317">
        <f t="shared" si="2"/>
        <v>578623.93901467754</v>
      </c>
      <c r="H44" s="317">
        <f t="shared" si="2"/>
        <v>578623.93901467754</v>
      </c>
      <c r="I44" s="317">
        <f t="shared" si="2"/>
        <v>578623.93901467754</v>
      </c>
      <c r="J44"/>
    </row>
    <row r="45" spans="2:10" x14ac:dyDescent="0.25">
      <c r="B45" s="319" t="s">
        <v>72</v>
      </c>
      <c r="C45" s="320">
        <f t="shared" si="2"/>
        <v>538033.26885880088</v>
      </c>
      <c r="D45" s="320">
        <f t="shared" si="2"/>
        <v>538033.26885880088</v>
      </c>
      <c r="E45" s="320">
        <f t="shared" si="2"/>
        <v>538033.26885880088</v>
      </c>
      <c r="F45" s="320">
        <f t="shared" si="2"/>
        <v>538033.26885880088</v>
      </c>
      <c r="G45" s="320">
        <f t="shared" si="2"/>
        <v>538033.26885880088</v>
      </c>
      <c r="H45" s="320">
        <f t="shared" si="2"/>
        <v>538033.26885880088</v>
      </c>
      <c r="I45" s="320">
        <f t="shared" si="2"/>
        <v>538033.26885880088</v>
      </c>
      <c r="J45"/>
    </row>
    <row r="46" spans="2:10" x14ac:dyDescent="0.25">
      <c r="B46" s="316" t="str">
        <f>B23</f>
        <v>Light Fuel Oil (Marine)</v>
      </c>
      <c r="C46" s="317">
        <f t="shared" si="2"/>
        <v>0</v>
      </c>
      <c r="D46" s="317">
        <f t="shared" si="2"/>
        <v>0</v>
      </c>
      <c r="E46" s="317">
        <f t="shared" si="2"/>
        <v>0</v>
      </c>
      <c r="F46" s="317">
        <f t="shared" si="2"/>
        <v>0</v>
      </c>
      <c r="G46" s="317">
        <f t="shared" si="2"/>
        <v>0</v>
      </c>
      <c r="H46" s="317">
        <f t="shared" si="2"/>
        <v>0</v>
      </c>
      <c r="I46" s="317">
        <f t="shared" si="2"/>
        <v>0</v>
      </c>
      <c r="J46"/>
    </row>
    <row r="47" spans="2:10" ht="15.75" thickBot="1" x14ac:dyDescent="0.3">
      <c r="B47" s="302" t="str">
        <f>B24</f>
        <v>Heavy Fuel Oil (Marine)</v>
      </c>
      <c r="C47" s="313">
        <f>'2. Industry'!C76</f>
        <v>0</v>
      </c>
      <c r="D47" s="313">
        <f>'2. Industry'!D76</f>
        <v>0</v>
      </c>
      <c r="E47" s="313">
        <f>'2. Industry'!E76</f>
        <v>0</v>
      </c>
      <c r="F47" s="313">
        <f>'2. Industry'!F76</f>
        <v>0</v>
      </c>
      <c r="G47" s="313">
        <f>'2. Industry'!G76</f>
        <v>0</v>
      </c>
      <c r="H47" s="313">
        <f>'2. Industry'!H76</f>
        <v>0</v>
      </c>
      <c r="I47" s="313">
        <f>'2. Industry'!I76</f>
        <v>0</v>
      </c>
      <c r="J47"/>
    </row>
    <row r="48" spans="2:10" ht="15.75" thickBot="1" x14ac:dyDescent="0.3">
      <c r="B48"/>
      <c r="C48"/>
      <c r="D48"/>
      <c r="E48"/>
      <c r="F48"/>
      <c r="G48"/>
      <c r="H48"/>
      <c r="I48"/>
      <c r="J48"/>
    </row>
    <row r="49" spans="2:10" x14ac:dyDescent="0.25">
      <c r="B49" s="597" t="s">
        <v>259</v>
      </c>
      <c r="C49" s="606">
        <f>'Baseline Statistics'!C$12</f>
        <v>2022</v>
      </c>
      <c r="D49" s="606">
        <f>'Baseline Statistics'!D$12</f>
        <v>2025</v>
      </c>
      <c r="E49" s="606">
        <f>'Baseline Statistics'!E$12</f>
        <v>2030</v>
      </c>
      <c r="F49" s="606">
        <f>'Baseline Statistics'!F$12</f>
        <v>2035</v>
      </c>
      <c r="G49" s="606">
        <f>'Baseline Statistics'!G$12</f>
        <v>2040</v>
      </c>
      <c r="H49" s="606">
        <f>'Baseline Statistics'!H$12</f>
        <v>2045</v>
      </c>
      <c r="I49" s="609">
        <f>'Baseline Statistics'!I$12</f>
        <v>2050</v>
      </c>
      <c r="J49"/>
    </row>
    <row r="50" spans="2:10" x14ac:dyDescent="0.25">
      <c r="B50" s="598"/>
      <c r="C50" s="607"/>
      <c r="D50" s="607"/>
      <c r="E50" s="607"/>
      <c r="F50" s="607"/>
      <c r="G50" s="607"/>
      <c r="H50" s="607"/>
      <c r="I50" s="610"/>
      <c r="J50"/>
    </row>
    <row r="51" spans="2:10" x14ac:dyDescent="0.25">
      <c r="B51" s="598"/>
      <c r="C51" s="608"/>
      <c r="D51" s="608"/>
      <c r="E51" s="608"/>
      <c r="F51" s="608"/>
      <c r="G51" s="608"/>
      <c r="H51" s="608"/>
      <c r="I51" s="611"/>
      <c r="J51"/>
    </row>
    <row r="52" spans="2:10" x14ac:dyDescent="0.25">
      <c r="B52" s="321" t="s">
        <v>248</v>
      </c>
      <c r="C52" s="318">
        <f>C36*('Background Calcs. Housing'!D$39+'Baseline Statistics'!$C$17)/'Baseline Statistics'!$C$17</f>
        <v>36790440.061202846</v>
      </c>
      <c r="D52" s="318">
        <f>D36*('Background Calcs. Housing'!E$39+'Baseline Statistics'!$C$17)/'Baseline Statistics'!$C$17</f>
        <v>39074027.351310812</v>
      </c>
      <c r="E52" s="318">
        <f>E36*('Background Calcs. Housing'!F$39+'Baseline Statistics'!$C$17)/'Baseline Statistics'!$C$17</f>
        <v>42795658.386754774</v>
      </c>
      <c r="F52" s="318">
        <f>F36*('Background Calcs. Housing'!G$39+'Baseline Statistics'!$C$17)/'Baseline Statistics'!$C$17</f>
        <v>46221355.045772694</v>
      </c>
      <c r="G52" s="318">
        <f>G36*('Background Calcs. Housing'!H$39+'Baseline Statistics'!$C$17)/'Baseline Statistics'!$C$17</f>
        <v>49629273.47889103</v>
      </c>
      <c r="H52" s="318">
        <f>H36*('Background Calcs. Housing'!I$39+'Baseline Statistics'!$C$17)/'Baseline Statistics'!$C$17</f>
        <v>53016285.613213606</v>
      </c>
      <c r="I52" s="322">
        <f>I36*('Background Calcs. Housing'!J$39+'Baseline Statistics'!$C$17)/'Baseline Statistics'!$C$17</f>
        <v>62435520.681118399</v>
      </c>
      <c r="J52"/>
    </row>
    <row r="53" spans="2:10" x14ac:dyDescent="0.25">
      <c r="B53" s="321" t="s">
        <v>249</v>
      </c>
      <c r="C53" s="318">
        <f>C37*('Background Calcs. Housing'!D$39+'Baseline Statistics'!$C$17)/'Baseline Statistics'!$C$17</f>
        <v>8353453.6432471676</v>
      </c>
      <c r="D53" s="318">
        <f>D37*('Background Calcs. Housing'!E$39+'Baseline Statistics'!$C$17)/'Baseline Statistics'!$C$17</f>
        <v>8871953.5724812746</v>
      </c>
      <c r="E53" s="318">
        <f>E37*('Background Calcs. Housing'!F$39+'Baseline Statistics'!$C$17)/'Baseline Statistics'!$C$17</f>
        <v>9716968.5350675806</v>
      </c>
      <c r="F53" s="318">
        <f>F37*('Background Calcs. Housing'!G$39+'Baseline Statistics'!$C$17)/'Baseline Statistics'!$C$17</f>
        <v>10494790.115601219</v>
      </c>
      <c r="G53" s="318">
        <f>G37*('Background Calcs. Housing'!H$39+'Baseline Statistics'!$C$17)/'Baseline Statistics'!$C$17</f>
        <v>11268575.060920268</v>
      </c>
      <c r="H53" s="318">
        <f>H37*('Background Calcs. Housing'!I$39+'Baseline Statistics'!$C$17)/'Baseline Statistics'!$C$17</f>
        <v>12037613.12640989</v>
      </c>
      <c r="I53" s="322">
        <f>I37*('Background Calcs. Housing'!J$39+'Baseline Statistics'!$C$17)/'Baseline Statistics'!$C$17</f>
        <v>14176297.615198204</v>
      </c>
      <c r="J53"/>
    </row>
    <row r="54" spans="2:10" x14ac:dyDescent="0.25">
      <c r="B54" s="321" t="s">
        <v>250</v>
      </c>
      <c r="C54" s="318">
        <f>C38*('Background Calcs. Housing'!D$39+'Baseline Statistics'!$C$17)/'Baseline Statistics'!$C$17</f>
        <v>3404243.6177032739</v>
      </c>
      <c r="D54" s="318">
        <f>D38*('Background Calcs. Housing'!E$39+'Baseline Statistics'!$C$17)/'Baseline Statistics'!$C$17</f>
        <v>3615545.4516820493</v>
      </c>
      <c r="E54" s="318">
        <f>E38*('Background Calcs. Housing'!F$39+'Baseline Statistics'!$C$17)/'Baseline Statistics'!$C$17</f>
        <v>3959910.4192872313</v>
      </c>
      <c r="F54" s="318">
        <f>F38*('Background Calcs. Housing'!G$39+'Baseline Statistics'!$C$17)/'Baseline Statistics'!$C$17</f>
        <v>4276892.384391454</v>
      </c>
      <c r="G54" s="318">
        <f>G38*('Background Calcs. Housing'!H$39+'Baseline Statistics'!$C$17)/'Baseline Statistics'!$C$17</f>
        <v>4592229.3185595945</v>
      </c>
      <c r="H54" s="318">
        <f>H38*('Background Calcs. Housing'!I$39+'Baseline Statistics'!$C$17)/'Baseline Statistics'!$C$17</f>
        <v>4905631.7791490862</v>
      </c>
      <c r="I54" s="322">
        <f>I38*('Background Calcs. Housing'!J$39+'Baseline Statistics'!$C$17)/'Baseline Statistics'!$C$17</f>
        <v>5777199.7954658056</v>
      </c>
      <c r="J54"/>
    </row>
    <row r="55" spans="2:10" x14ac:dyDescent="0.25">
      <c r="B55" s="321" t="s">
        <v>251</v>
      </c>
      <c r="C55" s="318">
        <f>C39*'Baseline Statistics'!C17/'Baseline Statistics'!$C17</f>
        <v>18536711.417872287</v>
      </c>
      <c r="D55" s="318">
        <f>D39*'Baseline Statistics'!D17/'Baseline Statistics'!$C17</f>
        <v>20159099.386644572</v>
      </c>
      <c r="E55" s="318">
        <f>E39*'Baseline Statistics'!E17/'Baseline Statistics'!$C17</f>
        <v>22223337.99476096</v>
      </c>
      <c r="F55" s="318">
        <f>F39*'Baseline Statistics'!F17/'Baseline Statistics'!$C17</f>
        <v>23999451.228290539</v>
      </c>
      <c r="G55" s="318">
        <f>G39*'Baseline Statistics'!G17/'Baseline Statistics'!$C17</f>
        <v>25950606.878396478</v>
      </c>
      <c r="H55" s="318">
        <f>H39*'Baseline Statistics'!H17/'Baseline Statistics'!$C17</f>
        <v>27976999.534922685</v>
      </c>
      <c r="I55" s="322">
        <f>I39*'Baseline Statistics'!I17/'Baseline Statistics'!$C17</f>
        <v>30307364.020666622</v>
      </c>
      <c r="J55"/>
    </row>
    <row r="56" spans="2:10" x14ac:dyDescent="0.25">
      <c r="B56" s="321" t="s">
        <v>252</v>
      </c>
      <c r="C56" s="311">
        <f>C40*('Background Calcs. Housing'!D$39+'Baseline Statistics'!$C$17)/'Baseline Statistics'!$C$17</f>
        <v>875123.71500684612</v>
      </c>
      <c r="D56" s="318">
        <f>D40*('Background Calcs. Housing'!E$39+'Baseline Statistics'!$C$17)/'Baseline Statistics'!$C$17</f>
        <v>929442.75521232386</v>
      </c>
      <c r="E56" s="318">
        <f>E40*('Background Calcs. Housing'!F$39+'Baseline Statistics'!$C$17)/'Baseline Statistics'!$C$17</f>
        <v>1017968.132245175</v>
      </c>
      <c r="F56" s="318">
        <f>F40*('Background Calcs. Housing'!G$39+'Baseline Statistics'!$C$17)/'Baseline Statistics'!$C$17</f>
        <v>1099454.2025867945</v>
      </c>
      <c r="G56" s="318">
        <f>G40*('Background Calcs. Housing'!H$39+'Baseline Statistics'!$C$17)/'Baseline Statistics'!$C$17</f>
        <v>1180517.3873345042</v>
      </c>
      <c r="H56" s="318">
        <f>H40*('Background Calcs. Housing'!I$39+'Baseline Statistics'!$C$17)/'Baseline Statistics'!$C$17</f>
        <v>1261083.2799096075</v>
      </c>
      <c r="I56" s="322">
        <f>I40*('Background Calcs. Housing'!J$39+'Baseline Statistics'!$C$17)/'Baseline Statistics'!$C$17</f>
        <v>1485135.9406398118</v>
      </c>
      <c r="J56"/>
    </row>
    <row r="57" spans="2:10" x14ac:dyDescent="0.25">
      <c r="B57" s="321" t="s">
        <v>210</v>
      </c>
      <c r="C57" s="318">
        <f>C41*'Baseline Statistics'!C17/'Baseline Statistics'!$C17</f>
        <v>603881.656249461</v>
      </c>
      <c r="D57" s="318">
        <f>D41*'Baseline Statistics'!D17/'Baseline Statistics'!$C17</f>
        <v>656735.17009964655</v>
      </c>
      <c r="E57" s="318">
        <f>E41*'Baseline Statistics'!E17/'Baseline Statistics'!$C17</f>
        <v>723983.11939671193</v>
      </c>
      <c r="F57" s="318">
        <f>F41*'Baseline Statistics'!F17/'Baseline Statistics'!$C17</f>
        <v>781844.63414826104</v>
      </c>
      <c r="G57" s="318">
        <f>G41*'Baseline Statistics'!G17/'Baseline Statistics'!$C17</f>
        <v>845408.61154559138</v>
      </c>
      <c r="H57" s="318">
        <f>H41*'Baseline Statistics'!H17/'Baseline Statistics'!$C17</f>
        <v>911423.63039380789</v>
      </c>
      <c r="I57" s="322">
        <f>I41*'Baseline Statistics'!I17/'Baseline Statistics'!$C17</f>
        <v>987341.32332175376</v>
      </c>
      <c r="J57"/>
    </row>
    <row r="58" spans="2:10" x14ac:dyDescent="0.25">
      <c r="B58" s="321" t="s">
        <v>213</v>
      </c>
      <c r="C58" s="318">
        <f>C42*'Baseline Statistics'!C17/'Baseline Statistics'!$C17</f>
        <v>307048.79688692791</v>
      </c>
      <c r="D58" s="318">
        <f>D42*'Baseline Statistics'!D17/'Baseline Statistics'!$C17</f>
        <v>333922.61838986498</v>
      </c>
      <c r="E58" s="318">
        <f>E42*'Baseline Statistics'!E17/'Baseline Statistics'!$C17</f>
        <v>368115.41380116873</v>
      </c>
      <c r="F58" s="318">
        <f>F42*'Baseline Statistics'!F17/'Baseline Statistics'!$C17</f>
        <v>397535.59622707631</v>
      </c>
      <c r="G58" s="318">
        <f>G42*'Baseline Statistics'!G17/'Baseline Statistics'!$C17</f>
        <v>429855.24459396716</v>
      </c>
      <c r="H58" s="318">
        <f>H42*'Baseline Statistics'!H17/'Baseline Statistics'!$C17</f>
        <v>463421.14596560824</v>
      </c>
      <c r="I58" s="322">
        <f>I42*'Baseline Statistics'!I17/'Baseline Statistics'!$C17</f>
        <v>502022.14673243335</v>
      </c>
      <c r="J58"/>
    </row>
    <row r="59" spans="2:10" x14ac:dyDescent="0.25">
      <c r="B59" s="321" t="s">
        <v>70</v>
      </c>
      <c r="C59" s="311">
        <f>C43*'Baseline Statistics'!C17/'Baseline Statistics'!$C17</f>
        <v>4350044.3909544628</v>
      </c>
      <c r="D59" s="311">
        <f>D43*'Baseline Statistics'!D17/'Baseline Statistics'!$C17</f>
        <v>5142315.7847042698</v>
      </c>
      <c r="E59" s="311">
        <f>E43*'Baseline Statistics'!E17/'Baseline Statistics'!$C17</f>
        <v>6241416.7598380577</v>
      </c>
      <c r="F59" s="311">
        <f>F43*'Baseline Statistics'!F17/'Baseline Statistics'!$C17</f>
        <v>7272227.7411202034</v>
      </c>
      <c r="G59" s="311">
        <f>G43*'Baseline Statistics'!G17/'Baseline Statistics'!$C17</f>
        <v>8489935.6830455307</v>
      </c>
      <c r="H59" s="311">
        <f>H43*'Baseline Statistics'!H17/'Baseline Statistics'!$C17</f>
        <v>9851001.1536053307</v>
      </c>
      <c r="I59" s="312">
        <f>I43*'Baseline Statistics'!I17/'Baseline Statistics'!$C17</f>
        <v>11525031.830046602</v>
      </c>
      <c r="J59"/>
    </row>
    <row r="60" spans="2:10" x14ac:dyDescent="0.25">
      <c r="B60" s="321" t="s">
        <v>127</v>
      </c>
      <c r="C60" s="323">
        <f>C44*'Baseline Statistics'!C17/'Baseline Statistics'!$C17</f>
        <v>578623.93901467754</v>
      </c>
      <c r="D60" s="318">
        <f>D44*'Baseline Statistics'!D17/'Baseline Statistics'!$C17</f>
        <v>595520.65223703149</v>
      </c>
      <c r="E60" s="318">
        <f>E44*'Baseline Statistics'!E17/'Baseline Statistics'!$C17</f>
        <v>623085.70552406891</v>
      </c>
      <c r="F60" s="318">
        <f>F44*'Baseline Statistics'!F17/'Baseline Statistics'!$C17</f>
        <v>645813.36829283612</v>
      </c>
      <c r="G60" s="318">
        <f>G44*'Baseline Statistics'!G17/'Baseline Statistics'!$C17</f>
        <v>668541.03106160311</v>
      </c>
      <c r="H60" s="318">
        <f>H44*'Baseline Statistics'!H17/'Baseline Statistics'!$C17</f>
        <v>691268.69383037032</v>
      </c>
      <c r="I60" s="322">
        <f>I44*'Baseline Statistics'!I17/'Baseline Statistics'!$C17</f>
        <v>713996.35659913742</v>
      </c>
      <c r="J60"/>
    </row>
    <row r="61" spans="2:10" x14ac:dyDescent="0.25">
      <c r="B61" s="321" t="s">
        <v>72</v>
      </c>
      <c r="C61" s="311">
        <f>C45*('Background Calcs. Housing'!D$39+'Baseline Statistics'!$C$17)/'Baseline Statistics'!$C$17</f>
        <v>538033.26885880088</v>
      </c>
      <c r="D61" s="318">
        <f>D45*('Background Calcs. Housing'!E$39+'Baseline Statistics'!$C$17)/'Baseline Statistics'!$C$17</f>
        <v>571429.06223276653</v>
      </c>
      <c r="E61" s="318">
        <f>E45*('Background Calcs. Housing'!F$39+'Baseline Statistics'!$C$17)/'Baseline Statistics'!$C$17</f>
        <v>625855.19326450315</v>
      </c>
      <c r="F61" s="318">
        <f>F45*('Background Calcs. Housing'!G$39+'Baseline Statistics'!$C$17)/'Baseline Statistics'!$C$17</f>
        <v>675953.50055585185</v>
      </c>
      <c r="G61" s="318">
        <f>G45*('Background Calcs. Housing'!H$39+'Baseline Statistics'!$C$17)/'Baseline Statistics'!$C$17</f>
        <v>725791.81430052512</v>
      </c>
      <c r="H61" s="318">
        <f>H45*('Background Calcs. Housing'!I$39+'Baseline Statistics'!$C$17)/'Baseline Statistics'!$C$17</f>
        <v>775324.38872101228</v>
      </c>
      <c r="I61" s="322">
        <f>I45*('Background Calcs. Housing'!J$39+'Baseline Statistics'!$C$17)/'Baseline Statistics'!$C$17</f>
        <v>913073.81018222892</v>
      </c>
      <c r="J61"/>
    </row>
    <row r="62" spans="2:10" x14ac:dyDescent="0.25">
      <c r="B62" s="321" t="s">
        <v>129</v>
      </c>
      <c r="C62" s="311">
        <f>C46*'Baseline Statistics'!C17/'Baseline Statistics'!$C17</f>
        <v>0</v>
      </c>
      <c r="D62" s="318">
        <f>D46*'Baseline Statistics'!D17/'Baseline Statistics'!$C17</f>
        <v>0</v>
      </c>
      <c r="E62" s="318">
        <f>E46*'Baseline Statistics'!E17/'Baseline Statistics'!$C17</f>
        <v>0</v>
      </c>
      <c r="F62" s="318">
        <f>F46*'Baseline Statistics'!F17/'Baseline Statistics'!$C17</f>
        <v>0</v>
      </c>
      <c r="G62" s="318">
        <f>G46*'Baseline Statistics'!G17/'Baseline Statistics'!$C17</f>
        <v>0</v>
      </c>
      <c r="H62" s="318">
        <f>H46*'Baseline Statistics'!H17/'Baseline Statistics'!$C17</f>
        <v>0</v>
      </c>
      <c r="I62" s="322">
        <f>I46*'Baseline Statistics'!I17/'Baseline Statistics'!$C17</f>
        <v>0</v>
      </c>
      <c r="J62"/>
    </row>
    <row r="63" spans="2:10" ht="15.75" thickBot="1" x14ac:dyDescent="0.3">
      <c r="B63" s="324" t="str">
        <f>B47</f>
        <v>Heavy Fuel Oil (Marine)</v>
      </c>
      <c r="C63" s="313">
        <f>C47*'Baseline Statistics'!C17/'Baseline Statistics'!$C17</f>
        <v>0</v>
      </c>
      <c r="D63" s="325">
        <f>D47*'Baseline Statistics'!D17/'Baseline Statistics'!$C17</f>
        <v>0</v>
      </c>
      <c r="E63" s="325">
        <f>E47*'Baseline Statistics'!E17/'Baseline Statistics'!$C17</f>
        <v>0</v>
      </c>
      <c r="F63" s="325">
        <f>F47*'Baseline Statistics'!F17/'Baseline Statistics'!$C17</f>
        <v>0</v>
      </c>
      <c r="G63" s="325">
        <f>G47*'Baseline Statistics'!G17/'Baseline Statistics'!$C17</f>
        <v>0</v>
      </c>
      <c r="H63" s="325">
        <f>H47*'Baseline Statistics'!H17/'Baseline Statistics'!$C17</f>
        <v>0</v>
      </c>
      <c r="I63" s="326">
        <f>I47*'Baseline Statistics'!I17/'Baseline Statistics'!$C17</f>
        <v>0</v>
      </c>
      <c r="J63"/>
    </row>
    <row r="64" spans="2:10" ht="15.75" thickBot="1" x14ac:dyDescent="0.3">
      <c r="B64"/>
      <c r="C64"/>
      <c r="D64"/>
      <c r="E64"/>
      <c r="F64"/>
      <c r="G64"/>
      <c r="H64"/>
      <c r="I64"/>
      <c r="J64"/>
    </row>
    <row r="65" spans="2:10" x14ac:dyDescent="0.25">
      <c r="B65" s="616" t="s">
        <v>260</v>
      </c>
      <c r="C65" s="606">
        <f>'Baseline Statistics'!C$12</f>
        <v>2022</v>
      </c>
      <c r="D65" s="606">
        <f>'Baseline Statistics'!D$12</f>
        <v>2025</v>
      </c>
      <c r="E65" s="606">
        <f>'Baseline Statistics'!E$12</f>
        <v>2030</v>
      </c>
      <c r="F65" s="606">
        <f>'Baseline Statistics'!F$12</f>
        <v>2035</v>
      </c>
      <c r="G65" s="606">
        <f>'Baseline Statistics'!G$12</f>
        <v>2040</v>
      </c>
      <c r="H65" s="606">
        <f>'Baseline Statistics'!H$12</f>
        <v>2045</v>
      </c>
      <c r="I65" s="609">
        <f>'Baseline Statistics'!I$12</f>
        <v>2050</v>
      </c>
      <c r="J65"/>
    </row>
    <row r="66" spans="2:10" x14ac:dyDescent="0.25">
      <c r="B66" s="617"/>
      <c r="C66" s="607"/>
      <c r="D66" s="607"/>
      <c r="E66" s="607"/>
      <c r="F66" s="607"/>
      <c r="G66" s="607"/>
      <c r="H66" s="607"/>
      <c r="I66" s="610"/>
      <c r="J66"/>
    </row>
    <row r="67" spans="2:10" x14ac:dyDescent="0.25">
      <c r="B67" s="618"/>
      <c r="C67" s="608"/>
      <c r="D67" s="608"/>
      <c r="E67" s="608"/>
      <c r="F67" s="608"/>
      <c r="G67" s="608"/>
      <c r="H67" s="608"/>
      <c r="I67" s="611"/>
      <c r="J67"/>
    </row>
    <row r="68" spans="2:10" x14ac:dyDescent="0.25">
      <c r="B68" s="316" t="s">
        <v>248</v>
      </c>
      <c r="C68" s="327">
        <f t="shared" ref="C68:I77" si="3">C52</f>
        <v>36790440.061202846</v>
      </c>
      <c r="D68" s="327">
        <f t="shared" si="3"/>
        <v>39074027.351310812</v>
      </c>
      <c r="E68" s="327">
        <f t="shared" si="3"/>
        <v>42795658.386754774</v>
      </c>
      <c r="F68" s="327">
        <f t="shared" si="3"/>
        <v>46221355.045772694</v>
      </c>
      <c r="G68" s="327">
        <f t="shared" si="3"/>
        <v>49629273.47889103</v>
      </c>
      <c r="H68" s="327">
        <f t="shared" si="3"/>
        <v>53016285.613213606</v>
      </c>
      <c r="I68" s="328">
        <f t="shared" si="3"/>
        <v>62435520.681118399</v>
      </c>
      <c r="J68"/>
    </row>
    <row r="69" spans="2:10" x14ac:dyDescent="0.25">
      <c r="B69" s="316" t="s">
        <v>249</v>
      </c>
      <c r="C69" s="327">
        <f t="shared" si="3"/>
        <v>8353453.6432471676</v>
      </c>
      <c r="D69" s="327">
        <f t="shared" si="3"/>
        <v>8871953.5724812746</v>
      </c>
      <c r="E69" s="327">
        <f t="shared" si="3"/>
        <v>9716968.5350675806</v>
      </c>
      <c r="F69" s="327">
        <f t="shared" si="3"/>
        <v>10494790.115601219</v>
      </c>
      <c r="G69" s="327">
        <f t="shared" si="3"/>
        <v>11268575.060920268</v>
      </c>
      <c r="H69" s="327">
        <f t="shared" si="3"/>
        <v>12037613.12640989</v>
      </c>
      <c r="I69" s="328">
        <f t="shared" si="3"/>
        <v>14176297.615198204</v>
      </c>
      <c r="J69"/>
    </row>
    <row r="70" spans="2:10" x14ac:dyDescent="0.25">
      <c r="B70" s="316" t="s">
        <v>250</v>
      </c>
      <c r="C70" s="327">
        <f t="shared" si="3"/>
        <v>3404243.6177032739</v>
      </c>
      <c r="D70" s="327">
        <f t="shared" si="3"/>
        <v>3615545.4516820493</v>
      </c>
      <c r="E70" s="327">
        <f t="shared" si="3"/>
        <v>3959910.4192872313</v>
      </c>
      <c r="F70" s="327">
        <f t="shared" si="3"/>
        <v>4276892.384391454</v>
      </c>
      <c r="G70" s="327">
        <f t="shared" si="3"/>
        <v>4592229.3185595945</v>
      </c>
      <c r="H70" s="327">
        <f t="shared" si="3"/>
        <v>4905631.7791490862</v>
      </c>
      <c r="I70" s="328">
        <f t="shared" si="3"/>
        <v>5777199.7954658056</v>
      </c>
      <c r="J70"/>
    </row>
    <row r="71" spans="2:10" x14ac:dyDescent="0.25">
      <c r="B71" s="316" t="s">
        <v>251</v>
      </c>
      <c r="C71" s="327">
        <f t="shared" si="3"/>
        <v>18536711.417872287</v>
      </c>
      <c r="D71" s="327">
        <f t="shared" si="3"/>
        <v>20159099.386644572</v>
      </c>
      <c r="E71" s="327">
        <f t="shared" si="3"/>
        <v>22223337.99476096</v>
      </c>
      <c r="F71" s="327">
        <f t="shared" si="3"/>
        <v>23999451.228290539</v>
      </c>
      <c r="G71" s="327">
        <f t="shared" si="3"/>
        <v>25950606.878396478</v>
      </c>
      <c r="H71" s="327">
        <f t="shared" si="3"/>
        <v>27976999.534922685</v>
      </c>
      <c r="I71" s="328">
        <f t="shared" si="3"/>
        <v>30307364.020666622</v>
      </c>
      <c r="J71"/>
    </row>
    <row r="72" spans="2:10" x14ac:dyDescent="0.25">
      <c r="B72" s="316" t="s">
        <v>252</v>
      </c>
      <c r="C72" s="327">
        <f t="shared" si="3"/>
        <v>875123.71500684612</v>
      </c>
      <c r="D72" s="327">
        <f t="shared" si="3"/>
        <v>929442.75521232386</v>
      </c>
      <c r="E72" s="327">
        <f t="shared" si="3"/>
        <v>1017968.132245175</v>
      </c>
      <c r="F72" s="327">
        <f t="shared" si="3"/>
        <v>1099454.2025867945</v>
      </c>
      <c r="G72" s="327">
        <f t="shared" si="3"/>
        <v>1180517.3873345042</v>
      </c>
      <c r="H72" s="327">
        <f t="shared" si="3"/>
        <v>1261083.2799096075</v>
      </c>
      <c r="I72" s="328">
        <f t="shared" si="3"/>
        <v>1485135.9406398118</v>
      </c>
      <c r="J72"/>
    </row>
    <row r="73" spans="2:10" x14ac:dyDescent="0.25">
      <c r="B73" s="316" t="s">
        <v>210</v>
      </c>
      <c r="C73" s="327">
        <f t="shared" si="3"/>
        <v>603881.656249461</v>
      </c>
      <c r="D73" s="327">
        <f t="shared" si="3"/>
        <v>656735.17009964655</v>
      </c>
      <c r="E73" s="327">
        <f t="shared" si="3"/>
        <v>723983.11939671193</v>
      </c>
      <c r="F73" s="327">
        <f t="shared" si="3"/>
        <v>781844.63414826104</v>
      </c>
      <c r="G73" s="327">
        <f t="shared" si="3"/>
        <v>845408.61154559138</v>
      </c>
      <c r="H73" s="327">
        <f t="shared" si="3"/>
        <v>911423.63039380789</v>
      </c>
      <c r="I73" s="328">
        <f t="shared" si="3"/>
        <v>987341.32332175376</v>
      </c>
      <c r="J73"/>
    </row>
    <row r="74" spans="2:10" x14ac:dyDescent="0.25">
      <c r="B74" s="316" t="s">
        <v>213</v>
      </c>
      <c r="C74" s="327">
        <f t="shared" si="3"/>
        <v>307048.79688692791</v>
      </c>
      <c r="D74" s="327">
        <f t="shared" si="3"/>
        <v>333922.61838986498</v>
      </c>
      <c r="E74" s="327">
        <f t="shared" si="3"/>
        <v>368115.41380116873</v>
      </c>
      <c r="F74" s="327">
        <f t="shared" si="3"/>
        <v>397535.59622707631</v>
      </c>
      <c r="G74" s="327">
        <f t="shared" si="3"/>
        <v>429855.24459396716</v>
      </c>
      <c r="H74" s="327">
        <f t="shared" si="3"/>
        <v>463421.14596560824</v>
      </c>
      <c r="I74" s="328">
        <f t="shared" si="3"/>
        <v>502022.14673243335</v>
      </c>
      <c r="J74"/>
    </row>
    <row r="75" spans="2:10" x14ac:dyDescent="0.25">
      <c r="B75" s="316" t="s">
        <v>70</v>
      </c>
      <c r="C75" s="327">
        <f t="shared" si="3"/>
        <v>4350044.3909544628</v>
      </c>
      <c r="D75" s="327">
        <f t="shared" si="3"/>
        <v>5142315.7847042698</v>
      </c>
      <c r="E75" s="327">
        <f t="shared" si="3"/>
        <v>6241416.7598380577</v>
      </c>
      <c r="F75" s="327">
        <f t="shared" si="3"/>
        <v>7272227.7411202034</v>
      </c>
      <c r="G75" s="327">
        <f t="shared" si="3"/>
        <v>8489935.6830455307</v>
      </c>
      <c r="H75" s="327">
        <f t="shared" si="3"/>
        <v>9851001.1536053307</v>
      </c>
      <c r="I75" s="328">
        <f t="shared" si="3"/>
        <v>11525031.830046602</v>
      </c>
      <c r="J75"/>
    </row>
    <row r="76" spans="2:10" x14ac:dyDescent="0.25">
      <c r="B76" s="316" t="s">
        <v>127</v>
      </c>
      <c r="C76" s="327">
        <f t="shared" si="3"/>
        <v>578623.93901467754</v>
      </c>
      <c r="D76" s="327">
        <f t="shared" si="3"/>
        <v>595520.65223703149</v>
      </c>
      <c r="E76" s="327">
        <f t="shared" si="3"/>
        <v>623085.70552406891</v>
      </c>
      <c r="F76" s="327">
        <f t="shared" si="3"/>
        <v>645813.36829283612</v>
      </c>
      <c r="G76" s="327">
        <f t="shared" si="3"/>
        <v>668541.03106160311</v>
      </c>
      <c r="H76" s="327">
        <f t="shared" si="3"/>
        <v>691268.69383037032</v>
      </c>
      <c r="I76" s="328">
        <f t="shared" si="3"/>
        <v>713996.35659913742</v>
      </c>
      <c r="J76"/>
    </row>
    <row r="77" spans="2:10" x14ac:dyDescent="0.25">
      <c r="B77" s="319" t="s">
        <v>72</v>
      </c>
      <c r="C77" s="327">
        <f t="shared" si="3"/>
        <v>538033.26885880088</v>
      </c>
      <c r="D77" s="327">
        <f t="shared" si="3"/>
        <v>571429.06223276653</v>
      </c>
      <c r="E77" s="327">
        <f t="shared" si="3"/>
        <v>625855.19326450315</v>
      </c>
      <c r="F77" s="327">
        <f t="shared" si="3"/>
        <v>675953.50055585185</v>
      </c>
      <c r="G77" s="327">
        <f t="shared" si="3"/>
        <v>725791.81430052512</v>
      </c>
      <c r="H77" s="327">
        <f t="shared" si="3"/>
        <v>775324.38872101228</v>
      </c>
      <c r="I77" s="328">
        <f t="shared" si="3"/>
        <v>913073.81018222892</v>
      </c>
      <c r="J77"/>
    </row>
    <row r="78" spans="2:10" x14ac:dyDescent="0.25">
      <c r="B78" s="316" t="s">
        <v>253</v>
      </c>
      <c r="C78" s="317">
        <f t="shared" ref="C78:I79" si="4">C30</f>
        <v>5648525.7968623694</v>
      </c>
      <c r="D78" s="317">
        <f t="shared" si="4"/>
        <v>5405339.5261686528</v>
      </c>
      <c r="E78" s="317">
        <f t="shared" si="4"/>
        <v>5155424.9922740031</v>
      </c>
      <c r="F78" s="317">
        <f t="shared" si="4"/>
        <v>4906763.0429621404</v>
      </c>
      <c r="G78" s="317">
        <f t="shared" si="4"/>
        <v>4658058.2387427678</v>
      </c>
      <c r="H78" s="317">
        <f t="shared" si="4"/>
        <v>4409367.6776040355</v>
      </c>
      <c r="I78" s="329">
        <f t="shared" si="4"/>
        <v>4131880.1126898946</v>
      </c>
      <c r="J78"/>
    </row>
    <row r="79" spans="2:10" x14ac:dyDescent="0.25">
      <c r="B79" s="316" t="s">
        <v>254</v>
      </c>
      <c r="C79" s="317">
        <f t="shared" si="4"/>
        <v>533194.78349569347</v>
      </c>
      <c r="D79" s="317">
        <f t="shared" si="4"/>
        <v>510239.12114859268</v>
      </c>
      <c r="E79" s="317">
        <f t="shared" si="4"/>
        <v>486648.34178693965</v>
      </c>
      <c r="F79" s="317">
        <f t="shared" si="4"/>
        <v>463175.80063282052</v>
      </c>
      <c r="G79" s="317">
        <f t="shared" si="4"/>
        <v>439699.21417308482</v>
      </c>
      <c r="H79" s="317">
        <f t="shared" si="4"/>
        <v>416223.97219447052</v>
      </c>
      <c r="I79" s="329">
        <f t="shared" si="4"/>
        <v>390030.42587494623</v>
      </c>
      <c r="J79"/>
    </row>
    <row r="80" spans="2:10" x14ac:dyDescent="0.25">
      <c r="B80" s="316" t="str">
        <f t="shared" ref="B80:I81" si="5">B62</f>
        <v>Light Fuel Oil (Marine)</v>
      </c>
      <c r="C80" s="317">
        <f t="shared" si="5"/>
        <v>0</v>
      </c>
      <c r="D80" s="317">
        <f t="shared" si="5"/>
        <v>0</v>
      </c>
      <c r="E80" s="317">
        <f t="shared" si="5"/>
        <v>0</v>
      </c>
      <c r="F80" s="317">
        <f t="shared" si="5"/>
        <v>0</v>
      </c>
      <c r="G80" s="317">
        <f t="shared" si="5"/>
        <v>0</v>
      </c>
      <c r="H80" s="317">
        <f t="shared" si="5"/>
        <v>0</v>
      </c>
      <c r="I80" s="329">
        <f t="shared" si="5"/>
        <v>0</v>
      </c>
      <c r="J80" s="309"/>
    </row>
    <row r="81" spans="1:13" ht="15.75" thickBot="1" x14ac:dyDescent="0.3">
      <c r="B81" s="330" t="str">
        <f t="shared" si="5"/>
        <v>Heavy Fuel Oil (Marine)</v>
      </c>
      <c r="C81" s="331">
        <f t="shared" si="5"/>
        <v>0</v>
      </c>
      <c r="D81" s="331">
        <f t="shared" si="5"/>
        <v>0</v>
      </c>
      <c r="E81" s="331">
        <f t="shared" si="5"/>
        <v>0</v>
      </c>
      <c r="F81" s="331">
        <f t="shared" si="5"/>
        <v>0</v>
      </c>
      <c r="G81" s="331">
        <f t="shared" si="5"/>
        <v>0</v>
      </c>
      <c r="H81" s="331">
        <f t="shared" si="5"/>
        <v>0</v>
      </c>
      <c r="I81" s="332">
        <f t="shared" si="5"/>
        <v>0</v>
      </c>
      <c r="J81" s="309"/>
    </row>
    <row r="82" spans="1:13" ht="15.75" thickBot="1" x14ac:dyDescent="0.3">
      <c r="B82" s="305"/>
      <c r="C82" s="315"/>
      <c r="D82" s="306"/>
      <c r="E82" s="307"/>
      <c r="F82" s="308"/>
      <c r="G82" s="308"/>
      <c r="H82" s="308"/>
      <c r="I82" s="307"/>
      <c r="J82" s="309"/>
    </row>
    <row r="83" spans="1:13" x14ac:dyDescent="0.25">
      <c r="A83" s="209">
        <v>2</v>
      </c>
      <c r="B83" s="210"/>
      <c r="C83" s="575" t="s">
        <v>261</v>
      </c>
      <c r="D83" s="576"/>
      <c r="E83" s="576"/>
      <c r="F83" s="576"/>
      <c r="G83" s="576"/>
      <c r="H83" s="576"/>
      <c r="I83" s="577"/>
      <c r="J83"/>
      <c r="M83" s="54"/>
    </row>
    <row r="84" spans="1:13" x14ac:dyDescent="0.25">
      <c r="A84"/>
      <c r="B84" s="211" t="s">
        <v>33</v>
      </c>
      <c r="C84" s="212">
        <f>'Baseline Statistics'!C12</f>
        <v>2022</v>
      </c>
      <c r="D84" s="212">
        <f>'Baseline Statistics'!D12</f>
        <v>2025</v>
      </c>
      <c r="E84" s="212">
        <f>'Baseline Statistics'!E12</f>
        <v>2030</v>
      </c>
      <c r="F84" s="212">
        <f>'Baseline Statistics'!F12</f>
        <v>2035</v>
      </c>
      <c r="G84" s="212">
        <f>'Baseline Statistics'!G12</f>
        <v>2040</v>
      </c>
      <c r="H84" s="212">
        <f>'Baseline Statistics'!H12</f>
        <v>2045</v>
      </c>
      <c r="I84" s="213">
        <f>'Baseline Statistics'!I12</f>
        <v>2050</v>
      </c>
      <c r="J84"/>
    </row>
    <row r="85" spans="1:13" x14ac:dyDescent="0.25">
      <c r="A85"/>
      <c r="B85" s="58" t="s">
        <v>34</v>
      </c>
      <c r="C85" s="64">
        <f t="shared" ref="C85:I85" si="6">VLOOKUP($A83,$B86:$I89,COLUMN()-1,TRUE)</f>
        <v>1</v>
      </c>
      <c r="D85" s="64">
        <f t="shared" si="6"/>
        <v>1</v>
      </c>
      <c r="E85" s="64">
        <f t="shared" si="6"/>
        <v>1</v>
      </c>
      <c r="F85" s="64">
        <f t="shared" si="6"/>
        <v>1</v>
      </c>
      <c r="G85" s="64">
        <f t="shared" si="6"/>
        <v>1</v>
      </c>
      <c r="H85" s="64">
        <f t="shared" si="6"/>
        <v>1</v>
      </c>
      <c r="I85" s="65">
        <f t="shared" si="6"/>
        <v>1</v>
      </c>
      <c r="J85" s="21" t="str">
        <f>VLOOKUP($A83,$B86:$J89,COLUMN()-1,TRUE)</f>
        <v>No change</v>
      </c>
    </row>
    <row r="86" spans="1:13" x14ac:dyDescent="0.25">
      <c r="A86"/>
      <c r="B86" s="214">
        <v>1</v>
      </c>
      <c r="C86" s="215">
        <v>1</v>
      </c>
      <c r="D86" s="216">
        <f t="shared" ref="D86:H89" si="7">C86+(($I86-$C86)/6)</f>
        <v>1.0166666666666666</v>
      </c>
      <c r="E86" s="216">
        <f t="shared" si="7"/>
        <v>1.0333333333333332</v>
      </c>
      <c r="F86" s="216">
        <f t="shared" si="7"/>
        <v>1.0499999999999998</v>
      </c>
      <c r="G86" s="216">
        <f t="shared" si="7"/>
        <v>1.0666666666666664</v>
      </c>
      <c r="H86" s="216">
        <f t="shared" si="7"/>
        <v>1.083333333333333</v>
      </c>
      <c r="I86" s="217">
        <v>1.1000000000000001</v>
      </c>
      <c r="J86" t="s">
        <v>262</v>
      </c>
    </row>
    <row r="87" spans="1:13" x14ac:dyDescent="0.25">
      <c r="A87"/>
      <c r="B87" s="214">
        <v>2</v>
      </c>
      <c r="C87" s="215">
        <v>1</v>
      </c>
      <c r="D87" s="216">
        <f t="shared" si="7"/>
        <v>1</v>
      </c>
      <c r="E87" s="216">
        <f t="shared" si="7"/>
        <v>1</v>
      </c>
      <c r="F87" s="216">
        <f t="shared" si="7"/>
        <v>1</v>
      </c>
      <c r="G87" s="216">
        <f t="shared" si="7"/>
        <v>1</v>
      </c>
      <c r="H87" s="216">
        <f t="shared" si="7"/>
        <v>1</v>
      </c>
      <c r="I87" s="218">
        <v>1</v>
      </c>
      <c r="J87" t="s">
        <v>35</v>
      </c>
    </row>
    <row r="88" spans="1:13" x14ac:dyDescent="0.25">
      <c r="A88"/>
      <c r="B88" s="214">
        <v>3</v>
      </c>
      <c r="C88" s="215">
        <v>1</v>
      </c>
      <c r="D88" s="216">
        <f t="shared" si="7"/>
        <v>0.98333333333333339</v>
      </c>
      <c r="E88" s="216">
        <f t="shared" si="7"/>
        <v>0.96666666666666679</v>
      </c>
      <c r="F88" s="216">
        <f t="shared" si="7"/>
        <v>0.95000000000000018</v>
      </c>
      <c r="G88" s="216">
        <f t="shared" si="7"/>
        <v>0.93333333333333357</v>
      </c>
      <c r="H88" s="216">
        <f t="shared" si="7"/>
        <v>0.91666666666666696</v>
      </c>
      <c r="I88" s="217">
        <v>0.9</v>
      </c>
      <c r="J88" t="s">
        <v>263</v>
      </c>
      <c r="M88" s="12"/>
    </row>
    <row r="89" spans="1:13" ht="15.75" thickBot="1" x14ac:dyDescent="0.3">
      <c r="A89"/>
      <c r="B89" s="219">
        <v>4</v>
      </c>
      <c r="C89" s="220">
        <v>1</v>
      </c>
      <c r="D89" s="221">
        <f t="shared" si="7"/>
        <v>0.93333333333333335</v>
      </c>
      <c r="E89" s="221">
        <f t="shared" si="7"/>
        <v>0.8666666666666667</v>
      </c>
      <c r="F89" s="221">
        <f t="shared" si="7"/>
        <v>0.8</v>
      </c>
      <c r="G89" s="221">
        <f t="shared" si="7"/>
        <v>0.73333333333333339</v>
      </c>
      <c r="H89" s="221">
        <f t="shared" si="7"/>
        <v>0.66666666666666674</v>
      </c>
      <c r="I89" s="222">
        <v>0.6</v>
      </c>
      <c r="J89" t="s">
        <v>264</v>
      </c>
    </row>
    <row r="90" spans="1:13" ht="15.75" thickBot="1" x14ac:dyDescent="0.3">
      <c r="A90"/>
      <c r="B90" s="333"/>
      <c r="C90" s="315"/>
      <c r="D90" s="306"/>
      <c r="E90" s="307"/>
      <c r="F90" s="308"/>
      <c r="G90" s="308"/>
      <c r="H90" s="308"/>
      <c r="I90" s="334"/>
      <c r="J90" s="309"/>
      <c r="K90" s="3"/>
    </row>
    <row r="91" spans="1:13" x14ac:dyDescent="0.25">
      <c r="A91"/>
      <c r="B91" s="597" t="s">
        <v>223</v>
      </c>
      <c r="C91" s="599">
        <f>'Baseline Statistics'!C$12</f>
        <v>2022</v>
      </c>
      <c r="D91" s="599">
        <f>'Baseline Statistics'!D$12</f>
        <v>2025</v>
      </c>
      <c r="E91" s="599">
        <f>'Baseline Statistics'!E$12</f>
        <v>2030</v>
      </c>
      <c r="F91" s="599">
        <f>'Baseline Statistics'!F$12</f>
        <v>2035</v>
      </c>
      <c r="G91" s="599">
        <f>'Baseline Statistics'!G$12</f>
        <v>2040</v>
      </c>
      <c r="H91" s="599">
        <f>'Baseline Statistics'!H$12</f>
        <v>2045</v>
      </c>
      <c r="I91" s="601">
        <f>'Baseline Statistics'!I$12</f>
        <v>2050</v>
      </c>
      <c r="J91"/>
      <c r="K91" s="5"/>
    </row>
    <row r="92" spans="1:13" x14ac:dyDescent="0.25">
      <c r="A92" s="335"/>
      <c r="B92" s="598"/>
      <c r="C92" s="600"/>
      <c r="D92" s="600"/>
      <c r="E92" s="600"/>
      <c r="F92" s="600"/>
      <c r="G92" s="600"/>
      <c r="H92" s="600"/>
      <c r="I92" s="602"/>
      <c r="J92"/>
    </row>
    <row r="93" spans="1:13" x14ac:dyDescent="0.25">
      <c r="A93" s="335"/>
      <c r="B93" s="598"/>
      <c r="C93" s="600"/>
      <c r="D93" s="600"/>
      <c r="E93" s="600"/>
      <c r="F93" s="600"/>
      <c r="G93" s="600"/>
      <c r="H93" s="600"/>
      <c r="I93" s="602"/>
      <c r="J93"/>
    </row>
    <row r="94" spans="1:13" x14ac:dyDescent="0.25">
      <c r="A94" s="335"/>
      <c r="B94" s="299" t="s">
        <v>248</v>
      </c>
      <c r="C94" s="300">
        <f t="shared" ref="C94:I95" si="8">C68*C$85</f>
        <v>36790440.061202846</v>
      </c>
      <c r="D94" s="300">
        <f t="shared" si="8"/>
        <v>39074027.351310812</v>
      </c>
      <c r="E94" s="300">
        <f t="shared" si="8"/>
        <v>42795658.386754774</v>
      </c>
      <c r="F94" s="300">
        <f t="shared" si="8"/>
        <v>46221355.045772694</v>
      </c>
      <c r="G94" s="300">
        <f t="shared" si="8"/>
        <v>49629273.47889103</v>
      </c>
      <c r="H94" s="300">
        <f t="shared" si="8"/>
        <v>53016285.613213606</v>
      </c>
      <c r="I94" s="336">
        <f t="shared" si="8"/>
        <v>62435520.681118399</v>
      </c>
      <c r="J94"/>
    </row>
    <row r="95" spans="1:13" x14ac:dyDescent="0.25">
      <c r="A95" s="335"/>
      <c r="B95" s="299" t="s">
        <v>249</v>
      </c>
      <c r="C95" s="300">
        <f t="shared" si="8"/>
        <v>8353453.6432471676</v>
      </c>
      <c r="D95" s="300">
        <f t="shared" si="8"/>
        <v>8871953.5724812746</v>
      </c>
      <c r="E95" s="300">
        <f t="shared" si="8"/>
        <v>9716968.5350675806</v>
      </c>
      <c r="F95" s="300">
        <f t="shared" si="8"/>
        <v>10494790.115601219</v>
      </c>
      <c r="G95" s="300">
        <f t="shared" si="8"/>
        <v>11268575.060920268</v>
      </c>
      <c r="H95" s="300">
        <f t="shared" si="8"/>
        <v>12037613.12640989</v>
      </c>
      <c r="I95" s="336">
        <f t="shared" si="8"/>
        <v>14176297.615198204</v>
      </c>
      <c r="J95"/>
      <c r="K95" s="282"/>
    </row>
    <row r="96" spans="1:13" x14ac:dyDescent="0.25">
      <c r="A96" s="335"/>
      <c r="B96" s="316" t="s">
        <v>250</v>
      </c>
      <c r="C96" s="327">
        <f t="shared" ref="C96:I97" si="9">C70</f>
        <v>3404243.6177032739</v>
      </c>
      <c r="D96" s="327">
        <f t="shared" si="9"/>
        <v>3615545.4516820493</v>
      </c>
      <c r="E96" s="327">
        <f t="shared" si="9"/>
        <v>3959910.4192872313</v>
      </c>
      <c r="F96" s="327">
        <f t="shared" si="9"/>
        <v>4276892.384391454</v>
      </c>
      <c r="G96" s="327">
        <f t="shared" si="9"/>
        <v>4592229.3185595945</v>
      </c>
      <c r="H96" s="327">
        <f t="shared" si="9"/>
        <v>4905631.7791490862</v>
      </c>
      <c r="I96" s="328">
        <f t="shared" si="9"/>
        <v>5777199.7954658056</v>
      </c>
      <c r="J96"/>
      <c r="K96" s="5"/>
    </row>
    <row r="97" spans="1:13" x14ac:dyDescent="0.25">
      <c r="A97" s="335"/>
      <c r="B97" s="316" t="s">
        <v>251</v>
      </c>
      <c r="C97" s="327">
        <f t="shared" si="9"/>
        <v>18536711.417872287</v>
      </c>
      <c r="D97" s="327">
        <f t="shared" si="9"/>
        <v>20159099.386644572</v>
      </c>
      <c r="E97" s="327">
        <f t="shared" si="9"/>
        <v>22223337.99476096</v>
      </c>
      <c r="F97" s="327">
        <f t="shared" si="9"/>
        <v>23999451.228290539</v>
      </c>
      <c r="G97" s="327">
        <f t="shared" si="9"/>
        <v>25950606.878396478</v>
      </c>
      <c r="H97" s="327">
        <f t="shared" si="9"/>
        <v>27976999.534922685</v>
      </c>
      <c r="I97" s="328">
        <f t="shared" si="9"/>
        <v>30307364.020666622</v>
      </c>
      <c r="J97"/>
    </row>
    <row r="98" spans="1:13" x14ac:dyDescent="0.25">
      <c r="A98" s="335"/>
      <c r="B98" s="299" t="s">
        <v>252</v>
      </c>
      <c r="C98" s="300">
        <f t="shared" ref="C98:I98" si="10">C72*C85</f>
        <v>875123.71500684612</v>
      </c>
      <c r="D98" s="300">
        <f t="shared" si="10"/>
        <v>929442.75521232386</v>
      </c>
      <c r="E98" s="300">
        <f t="shared" si="10"/>
        <v>1017968.132245175</v>
      </c>
      <c r="F98" s="300">
        <f t="shared" si="10"/>
        <v>1099454.2025867945</v>
      </c>
      <c r="G98" s="300">
        <f t="shared" si="10"/>
        <v>1180517.3873345042</v>
      </c>
      <c r="H98" s="300">
        <f t="shared" si="10"/>
        <v>1261083.2799096075</v>
      </c>
      <c r="I98" s="336">
        <f t="shared" si="10"/>
        <v>1485135.9406398118</v>
      </c>
      <c r="J98"/>
    </row>
    <row r="99" spans="1:13" x14ac:dyDescent="0.25">
      <c r="A99" s="335"/>
      <c r="B99" s="337" t="s">
        <v>210</v>
      </c>
      <c r="C99" s="338">
        <f t="shared" ref="C99:I99" si="11">C73</f>
        <v>603881.656249461</v>
      </c>
      <c r="D99" s="338">
        <f t="shared" si="11"/>
        <v>656735.17009964655</v>
      </c>
      <c r="E99" s="338">
        <f t="shared" si="11"/>
        <v>723983.11939671193</v>
      </c>
      <c r="F99" s="338">
        <f t="shared" si="11"/>
        <v>781844.63414826104</v>
      </c>
      <c r="G99" s="338">
        <f t="shared" si="11"/>
        <v>845408.61154559138</v>
      </c>
      <c r="H99" s="338">
        <f t="shared" si="11"/>
        <v>911423.63039380789</v>
      </c>
      <c r="I99" s="339">
        <f t="shared" si="11"/>
        <v>987341.32332175376</v>
      </c>
      <c r="J99" s="309"/>
      <c r="M99" s="12"/>
    </row>
    <row r="100" spans="1:13" x14ac:dyDescent="0.25">
      <c r="A100" s="335"/>
      <c r="B100" s="299" t="s">
        <v>213</v>
      </c>
      <c r="C100" s="300">
        <f t="shared" ref="C100:I101" si="12">C74*C$85</f>
        <v>307048.79688692791</v>
      </c>
      <c r="D100" s="300">
        <f t="shared" si="12"/>
        <v>333922.61838986498</v>
      </c>
      <c r="E100" s="300">
        <f t="shared" si="12"/>
        <v>368115.41380116873</v>
      </c>
      <c r="F100" s="300">
        <f t="shared" si="12"/>
        <v>397535.59622707631</v>
      </c>
      <c r="G100" s="300">
        <f t="shared" si="12"/>
        <v>429855.24459396716</v>
      </c>
      <c r="H100" s="300">
        <f t="shared" si="12"/>
        <v>463421.14596560824</v>
      </c>
      <c r="I100" s="336">
        <f t="shared" si="12"/>
        <v>502022.14673243335</v>
      </c>
      <c r="J100" s="309"/>
    </row>
    <row r="101" spans="1:13" x14ac:dyDescent="0.25">
      <c r="A101" s="335"/>
      <c r="B101" s="299" t="s">
        <v>70</v>
      </c>
      <c r="C101" s="300">
        <f t="shared" si="12"/>
        <v>4350044.3909544628</v>
      </c>
      <c r="D101" s="300">
        <f t="shared" si="12"/>
        <v>5142315.7847042698</v>
      </c>
      <c r="E101" s="300">
        <f t="shared" si="12"/>
        <v>6241416.7598380577</v>
      </c>
      <c r="F101" s="300">
        <f t="shared" si="12"/>
        <v>7272227.7411202034</v>
      </c>
      <c r="G101" s="300">
        <f t="shared" si="12"/>
        <v>8489935.6830455307</v>
      </c>
      <c r="H101" s="300">
        <f t="shared" si="12"/>
        <v>9851001.1536053307</v>
      </c>
      <c r="I101" s="336">
        <f t="shared" si="12"/>
        <v>11525031.830046602</v>
      </c>
      <c r="J101" s="309"/>
    </row>
    <row r="102" spans="1:13" x14ac:dyDescent="0.25">
      <c r="A102" s="335"/>
      <c r="B102" s="316" t="s">
        <v>127</v>
      </c>
      <c r="C102" s="327">
        <f>C76*C$85</f>
        <v>578623.93901467754</v>
      </c>
      <c r="D102" s="327">
        <f t="shared" ref="D102:I103" si="13">D76</f>
        <v>595520.65223703149</v>
      </c>
      <c r="E102" s="327">
        <f t="shared" si="13"/>
        <v>623085.70552406891</v>
      </c>
      <c r="F102" s="327">
        <f t="shared" si="13"/>
        <v>645813.36829283612</v>
      </c>
      <c r="G102" s="327">
        <f t="shared" si="13"/>
        <v>668541.03106160311</v>
      </c>
      <c r="H102" s="327">
        <f t="shared" si="13"/>
        <v>691268.69383037032</v>
      </c>
      <c r="I102" s="328">
        <f t="shared" si="13"/>
        <v>713996.35659913742</v>
      </c>
      <c r="J102" s="309"/>
    </row>
    <row r="103" spans="1:13" ht="15.75" thickBot="1" x14ac:dyDescent="0.3">
      <c r="A103" s="335"/>
      <c r="B103" s="340" t="s">
        <v>72</v>
      </c>
      <c r="C103" s="341">
        <f>C77</f>
        <v>538033.26885880088</v>
      </c>
      <c r="D103" s="341">
        <f t="shared" si="13"/>
        <v>571429.06223276653</v>
      </c>
      <c r="E103" s="341">
        <f t="shared" si="13"/>
        <v>625855.19326450315</v>
      </c>
      <c r="F103" s="341">
        <f t="shared" si="13"/>
        <v>675953.50055585185</v>
      </c>
      <c r="G103" s="341">
        <f t="shared" si="13"/>
        <v>725791.81430052512</v>
      </c>
      <c r="H103" s="341">
        <f t="shared" si="13"/>
        <v>775324.38872101228</v>
      </c>
      <c r="I103" s="342">
        <f t="shared" si="13"/>
        <v>913073.81018222892</v>
      </c>
      <c r="J103" s="309"/>
      <c r="M103" s="54"/>
    </row>
    <row r="104" spans="1:13" ht="15.75" thickBot="1" x14ac:dyDescent="0.3">
      <c r="A104" s="335"/>
      <c r="J104" s="309"/>
    </row>
    <row r="105" spans="1:13" x14ac:dyDescent="0.25">
      <c r="A105" s="209">
        <v>2</v>
      </c>
      <c r="B105" s="210"/>
      <c r="C105" s="575" t="s">
        <v>265</v>
      </c>
      <c r="D105" s="576"/>
      <c r="E105" s="576"/>
      <c r="F105" s="576"/>
      <c r="G105" s="576"/>
      <c r="H105" s="576"/>
      <c r="I105" s="577"/>
      <c r="J105"/>
      <c r="M105" s="54"/>
    </row>
    <row r="106" spans="1:13" x14ac:dyDescent="0.25">
      <c r="A106"/>
      <c r="B106" s="211" t="s">
        <v>33</v>
      </c>
      <c r="C106" s="212">
        <f>'Baseline Statistics'!C12</f>
        <v>2022</v>
      </c>
      <c r="D106" s="212">
        <f>'Baseline Statistics'!D12</f>
        <v>2025</v>
      </c>
      <c r="E106" s="212">
        <f>'Baseline Statistics'!E12</f>
        <v>2030</v>
      </c>
      <c r="F106" s="212">
        <f>'Baseline Statistics'!F12</f>
        <v>2035</v>
      </c>
      <c r="G106" s="212">
        <f>'Baseline Statistics'!G12</f>
        <v>2040</v>
      </c>
      <c r="H106" s="212">
        <f>'Baseline Statistics'!H12</f>
        <v>2045</v>
      </c>
      <c r="I106" s="213">
        <f>'Baseline Statistics'!I12</f>
        <v>2050</v>
      </c>
      <c r="J106"/>
    </row>
    <row r="107" spans="1:13" x14ac:dyDescent="0.25">
      <c r="A107"/>
      <c r="B107" s="58" t="s">
        <v>34</v>
      </c>
      <c r="C107" s="59">
        <f t="shared" ref="C107:I107" si="14">VLOOKUP($A105,$B108:$I111,COLUMN()-1,TRUE)</f>
        <v>0</v>
      </c>
      <c r="D107" s="59">
        <f t="shared" si="14"/>
        <v>3.3333333333333333E-2</v>
      </c>
      <c r="E107" s="59">
        <f t="shared" si="14"/>
        <v>6.6666666666666666E-2</v>
      </c>
      <c r="F107" s="59">
        <f t="shared" si="14"/>
        <v>0.1</v>
      </c>
      <c r="G107" s="59">
        <f t="shared" si="14"/>
        <v>0.13333333333333333</v>
      </c>
      <c r="H107" s="59">
        <f t="shared" si="14"/>
        <v>0.16666666666666666</v>
      </c>
      <c r="I107" s="60">
        <f t="shared" si="14"/>
        <v>0.2</v>
      </c>
      <c r="J107" s="24" t="str">
        <f>VLOOKUP($A105,$B108:$J111,COLUMN()-1,TRUE)</f>
        <v>Long distance road freight shift towards rail (-20% by 2050)</v>
      </c>
    </row>
    <row r="108" spans="1:13" x14ac:dyDescent="0.25">
      <c r="A108"/>
      <c r="B108" s="214">
        <v>1</v>
      </c>
      <c r="C108" s="215">
        <v>0</v>
      </c>
      <c r="D108" s="216">
        <f t="shared" ref="D108:H111" si="15">C108+(($I108-$C108)/6)</f>
        <v>0</v>
      </c>
      <c r="E108" s="216">
        <f t="shared" si="15"/>
        <v>0</v>
      </c>
      <c r="F108" s="216">
        <f t="shared" si="15"/>
        <v>0</v>
      </c>
      <c r="G108" s="216">
        <f t="shared" si="15"/>
        <v>0</v>
      </c>
      <c r="H108" s="216">
        <f t="shared" si="15"/>
        <v>0</v>
      </c>
      <c r="I108" s="217">
        <v>0</v>
      </c>
      <c r="J108" t="s">
        <v>266</v>
      </c>
    </row>
    <row r="109" spans="1:13" x14ac:dyDescent="0.25">
      <c r="A109"/>
      <c r="B109" s="214">
        <v>2</v>
      </c>
      <c r="C109" s="215">
        <v>0</v>
      </c>
      <c r="D109" s="216">
        <f t="shared" si="15"/>
        <v>3.3333333333333333E-2</v>
      </c>
      <c r="E109" s="216">
        <f t="shared" si="15"/>
        <v>6.6666666666666666E-2</v>
      </c>
      <c r="F109" s="216">
        <f t="shared" si="15"/>
        <v>0.1</v>
      </c>
      <c r="G109" s="216">
        <f t="shared" si="15"/>
        <v>0.13333333333333333</v>
      </c>
      <c r="H109" s="216">
        <f t="shared" si="15"/>
        <v>0.16666666666666666</v>
      </c>
      <c r="I109" s="217">
        <v>0.2</v>
      </c>
      <c r="J109" t="s">
        <v>267</v>
      </c>
      <c r="M109" s="54"/>
    </row>
    <row r="110" spans="1:13" x14ac:dyDescent="0.25">
      <c r="A110"/>
      <c r="B110" s="214">
        <v>3</v>
      </c>
      <c r="C110" s="215">
        <v>0</v>
      </c>
      <c r="D110" s="216">
        <f t="shared" si="15"/>
        <v>8.3333333333333329E-2</v>
      </c>
      <c r="E110" s="216">
        <f t="shared" si="15"/>
        <v>0.16666666666666666</v>
      </c>
      <c r="F110" s="216">
        <f t="shared" si="15"/>
        <v>0.25</v>
      </c>
      <c r="G110" s="216">
        <f t="shared" si="15"/>
        <v>0.33333333333333331</v>
      </c>
      <c r="H110" s="216">
        <f t="shared" si="15"/>
        <v>0.41666666666666663</v>
      </c>
      <c r="I110" s="217">
        <v>0.5</v>
      </c>
      <c r="J110" t="s">
        <v>268</v>
      </c>
    </row>
    <row r="111" spans="1:13" ht="15.75" thickBot="1" x14ac:dyDescent="0.3">
      <c r="A111"/>
      <c r="B111" s="219">
        <v>4</v>
      </c>
      <c r="C111" s="220">
        <v>0</v>
      </c>
      <c r="D111" s="221">
        <f t="shared" si="15"/>
        <v>0.16666666666666666</v>
      </c>
      <c r="E111" s="221">
        <f t="shared" si="15"/>
        <v>0.33333333333333331</v>
      </c>
      <c r="F111" s="221">
        <f t="shared" si="15"/>
        <v>0.5</v>
      </c>
      <c r="G111" s="221">
        <f t="shared" si="15"/>
        <v>0.66666666666666663</v>
      </c>
      <c r="H111" s="221">
        <f t="shared" si="15"/>
        <v>0.83333333333333326</v>
      </c>
      <c r="I111" s="222">
        <v>1</v>
      </c>
      <c r="J111" t="s">
        <v>269</v>
      </c>
    </row>
    <row r="112" spans="1:13" ht="15.75" thickBot="1" x14ac:dyDescent="0.3">
      <c r="A112"/>
      <c r="B112" s="204"/>
      <c r="C112"/>
      <c r="D112"/>
      <c r="E112"/>
      <c r="F112"/>
      <c r="G112"/>
      <c r="H112"/>
      <c r="I112" s="205"/>
      <c r="J112"/>
    </row>
    <row r="113" spans="1:13" x14ac:dyDescent="0.25">
      <c r="A113"/>
      <c r="B113" s="597" t="s">
        <v>223</v>
      </c>
      <c r="C113" s="599">
        <f>'Baseline Statistics'!C$12</f>
        <v>2022</v>
      </c>
      <c r="D113" s="599">
        <f>'Baseline Statistics'!D$12</f>
        <v>2025</v>
      </c>
      <c r="E113" s="599">
        <f>'Baseline Statistics'!E$12</f>
        <v>2030</v>
      </c>
      <c r="F113" s="599">
        <f>'Baseline Statistics'!F$12</f>
        <v>2035</v>
      </c>
      <c r="G113" s="599">
        <f>'Baseline Statistics'!G$12</f>
        <v>2040</v>
      </c>
      <c r="H113" s="599">
        <f>'Baseline Statistics'!H$12</f>
        <v>2045</v>
      </c>
      <c r="I113" s="601">
        <f>'Baseline Statistics'!I$12</f>
        <v>2050</v>
      </c>
      <c r="J113"/>
    </row>
    <row r="114" spans="1:13" x14ac:dyDescent="0.25">
      <c r="A114"/>
      <c r="B114" s="598"/>
      <c r="C114" s="600"/>
      <c r="D114" s="600"/>
      <c r="E114" s="600"/>
      <c r="F114" s="600"/>
      <c r="G114" s="600"/>
      <c r="H114" s="600"/>
      <c r="I114" s="602"/>
      <c r="J114"/>
    </row>
    <row r="115" spans="1:13" x14ac:dyDescent="0.25">
      <c r="A115"/>
      <c r="B115" s="598"/>
      <c r="C115" s="600"/>
      <c r="D115" s="600"/>
      <c r="E115" s="600"/>
      <c r="F115" s="600"/>
      <c r="G115" s="600"/>
      <c r="H115" s="600"/>
      <c r="I115" s="602"/>
      <c r="J115"/>
    </row>
    <row r="116" spans="1:13" x14ac:dyDescent="0.25">
      <c r="A116"/>
      <c r="B116" s="316" t="s">
        <v>248</v>
      </c>
      <c r="C116" s="317">
        <f t="shared" ref="C116:I117" si="16">C94</f>
        <v>36790440.061202846</v>
      </c>
      <c r="D116" s="317">
        <f t="shared" si="16"/>
        <v>39074027.351310812</v>
      </c>
      <c r="E116" s="317">
        <f t="shared" si="16"/>
        <v>42795658.386754774</v>
      </c>
      <c r="F116" s="317">
        <f t="shared" si="16"/>
        <v>46221355.045772694</v>
      </c>
      <c r="G116" s="317">
        <f t="shared" si="16"/>
        <v>49629273.47889103</v>
      </c>
      <c r="H116" s="317">
        <f t="shared" si="16"/>
        <v>53016285.613213606</v>
      </c>
      <c r="I116" s="329">
        <f t="shared" si="16"/>
        <v>62435520.681118399</v>
      </c>
      <c r="J116"/>
    </row>
    <row r="117" spans="1:13" x14ac:dyDescent="0.25">
      <c r="A117"/>
      <c r="B117" s="316" t="s">
        <v>249</v>
      </c>
      <c r="C117" s="317">
        <f t="shared" si="16"/>
        <v>8353453.6432471676</v>
      </c>
      <c r="D117" s="317">
        <f t="shared" si="16"/>
        <v>8871953.5724812746</v>
      </c>
      <c r="E117" s="317">
        <f t="shared" si="16"/>
        <v>9716968.5350675806</v>
      </c>
      <c r="F117" s="317">
        <f t="shared" si="16"/>
        <v>10494790.115601219</v>
      </c>
      <c r="G117" s="317">
        <f t="shared" si="16"/>
        <v>11268575.060920268</v>
      </c>
      <c r="H117" s="317">
        <f t="shared" si="16"/>
        <v>12037613.12640989</v>
      </c>
      <c r="I117" s="329">
        <f t="shared" si="16"/>
        <v>14176297.615198204</v>
      </c>
      <c r="J117"/>
    </row>
    <row r="118" spans="1:13" x14ac:dyDescent="0.25">
      <c r="A118"/>
      <c r="B118" s="299" t="s">
        <v>250</v>
      </c>
      <c r="C118" s="311">
        <f>C96-((C96*'Baseline User Input'!$C$45)*(C$107))</f>
        <v>3404243.6177032739</v>
      </c>
      <c r="D118" s="311">
        <f>D96-((D96*'Baseline User Input'!$C$45)*(D$107))</f>
        <v>3591441.8153375024</v>
      </c>
      <c r="E118" s="311">
        <f>E96-((E96*'Baseline User Input'!$C$45)*(E$107))</f>
        <v>3907111.6136967349</v>
      </c>
      <c r="F118" s="311">
        <f>F96-((F96*'Baseline User Input'!$C$45)*(F$107))</f>
        <v>4191354.5367036248</v>
      </c>
      <c r="G118" s="311">
        <f>G96-((G96*'Baseline User Input'!$C$45)*(G$107))</f>
        <v>4469769.8700646721</v>
      </c>
      <c r="H118" s="311">
        <f>H96-((H96*'Baseline User Input'!$C$45)*(H$107))</f>
        <v>4742110.7198441168</v>
      </c>
      <c r="I118" s="322">
        <f>I96-((I96*'Baseline User Input'!$C$45)*(I$107))</f>
        <v>5546111.8036471736</v>
      </c>
      <c r="J118"/>
    </row>
    <row r="119" spans="1:13" x14ac:dyDescent="0.25">
      <c r="A119"/>
      <c r="B119" s="299" t="s">
        <v>251</v>
      </c>
      <c r="C119" s="318">
        <f>C97-((C97*'Baseline User Input'!$C$45)*(C$107))</f>
        <v>18536711.417872287</v>
      </c>
      <c r="D119" s="318">
        <f>D97-((D97*'Baseline User Input'!$C$45)*(D$107))</f>
        <v>20024705.390733607</v>
      </c>
      <c r="E119" s="318">
        <f>E97-((E97*'Baseline User Input'!$C$45)*(E$107))</f>
        <v>21927026.821497481</v>
      </c>
      <c r="F119" s="318">
        <f>F97-((F97*'Baseline User Input'!$C$45)*(F$107))</f>
        <v>23519462.203724727</v>
      </c>
      <c r="G119" s="318">
        <f>G97-((G97*'Baseline User Input'!$C$45)*(G$107))</f>
        <v>25258590.694972571</v>
      </c>
      <c r="H119" s="318">
        <f>H97-((H97*'Baseline User Input'!$C$45)*(H$107))</f>
        <v>27044432.883758597</v>
      </c>
      <c r="I119" s="322">
        <f>I97-((I97*'Baseline User Input'!$C$45)*(I$107))</f>
        <v>29095069.459839955</v>
      </c>
      <c r="J119"/>
    </row>
    <row r="120" spans="1:13" x14ac:dyDescent="0.25">
      <c r="A120"/>
      <c r="B120" s="316" t="s">
        <v>252</v>
      </c>
      <c r="C120" s="317">
        <f t="shared" ref="C120:I120" si="17">C98</f>
        <v>875123.71500684612</v>
      </c>
      <c r="D120" s="317">
        <f t="shared" si="17"/>
        <v>929442.75521232386</v>
      </c>
      <c r="E120" s="317">
        <f t="shared" si="17"/>
        <v>1017968.132245175</v>
      </c>
      <c r="F120" s="317">
        <f t="shared" si="17"/>
        <v>1099454.2025867945</v>
      </c>
      <c r="G120" s="317">
        <f t="shared" si="17"/>
        <v>1180517.3873345042</v>
      </c>
      <c r="H120" s="317">
        <f t="shared" si="17"/>
        <v>1261083.2799096075</v>
      </c>
      <c r="I120" s="329">
        <f t="shared" si="17"/>
        <v>1485135.9406398118</v>
      </c>
      <c r="J120"/>
      <c r="M120" s="663"/>
    </row>
    <row r="121" spans="1:13" x14ac:dyDescent="0.25">
      <c r="A121"/>
      <c r="B121" s="299" t="s">
        <v>210</v>
      </c>
      <c r="C121" s="318">
        <f>C99+(C97-C119)*'Emissions Factors, etc,'!C138*C129</f>
        <v>603881.656249461</v>
      </c>
      <c r="D121" s="318">
        <f>D99+(D97-D119)*'Emissions Factors, etc,'!D138*D129</f>
        <v>688583.63497397187</v>
      </c>
      <c r="E121" s="318">
        <f>E99+(E97-E119)*'Emissions Factors, etc,'!E138*E129</f>
        <v>788718.68184245145</v>
      </c>
      <c r="F121" s="318">
        <f>F99+(F97-F119)*'Emissions Factors, etc,'!F138*F129</f>
        <v>877825.53216704703</v>
      </c>
      <c r="G121" s="318">
        <f>G99+(G97-G119)*'Emissions Factors, etc,'!G138*G129</f>
        <v>970980.48356689943</v>
      </c>
      <c r="H121" s="318">
        <f>H99+(H97-H119)*'Emissions Factors, etc,'!H138*H129</f>
        <v>1063386.5056068485</v>
      </c>
      <c r="I121" s="322">
        <f>I99+(I97-I119)*'Emissions Factors, etc,'!I138</f>
        <v>1337559.7520050129</v>
      </c>
      <c r="J121"/>
      <c r="M121" s="663"/>
    </row>
    <row r="122" spans="1:13" x14ac:dyDescent="0.25">
      <c r="A122"/>
      <c r="B122" s="299" t="s">
        <v>213</v>
      </c>
      <c r="C122" s="318">
        <f>C100+(C97-C119)*'Emissions Factors, etc,'!C138*'Emissions Factors, etc,'!C137</f>
        <v>307048.79688692791</v>
      </c>
      <c r="D122" s="318">
        <f>D100+(D97-D119)*'Emissions Factors, etc,'!D138*'Emissions Factors, etc,'!D137</f>
        <v>484908.46564786258</v>
      </c>
      <c r="E122" s="318">
        <f>E100+(E97-E119)*'Emissions Factors, etc,'!E138*'Emissions Factors, etc,'!E137</f>
        <v>701008.21339347237</v>
      </c>
      <c r="F122" s="318">
        <f>F100+(F97-F119)*'Emissions Factors, etc,'!F138*'Emissions Factors, etc,'!F137</f>
        <v>936782.52506027278</v>
      </c>
      <c r="G122" s="318">
        <f>G100+(G97-G119)*'Emissions Factors, etc,'!G138*'Emissions Factors, etc,'!G137</f>
        <v>1207305.5247368745</v>
      </c>
      <c r="H122" s="318">
        <f>H100+(H97-H119)*'Emissions Factors, etc,'!H138*'Emissions Factors, etc,'!H137</f>
        <v>1511119.4824585964</v>
      </c>
      <c r="I122" s="322">
        <f>I100+(I97-I119)*'Emissions Factors, etc,'!I138*'Emissions Factors, etc,'!I137</f>
        <v>1863982.7027228861</v>
      </c>
      <c r="J122"/>
      <c r="M122" s="663"/>
    </row>
    <row r="123" spans="1:13" x14ac:dyDescent="0.25">
      <c r="A123"/>
      <c r="B123" s="316" t="s">
        <v>70</v>
      </c>
      <c r="C123" s="317">
        <f t="shared" ref="C123:I125" si="18">C101</f>
        <v>4350044.3909544628</v>
      </c>
      <c r="D123" s="317">
        <f t="shared" si="18"/>
        <v>5142315.7847042698</v>
      </c>
      <c r="E123" s="317">
        <f t="shared" si="18"/>
        <v>6241416.7598380577</v>
      </c>
      <c r="F123" s="317">
        <f t="shared" si="18"/>
        <v>7272227.7411202034</v>
      </c>
      <c r="G123" s="317">
        <f t="shared" si="18"/>
        <v>8489935.6830455307</v>
      </c>
      <c r="H123" s="317">
        <f t="shared" si="18"/>
        <v>9851001.1536053307</v>
      </c>
      <c r="I123" s="329">
        <f t="shared" si="18"/>
        <v>11525031.830046602</v>
      </c>
      <c r="J123"/>
    </row>
    <row r="124" spans="1:13" x14ac:dyDescent="0.25">
      <c r="A124"/>
      <c r="B124" s="316" t="s">
        <v>127</v>
      </c>
      <c r="C124" s="317">
        <f t="shared" si="18"/>
        <v>578623.93901467754</v>
      </c>
      <c r="D124" s="317">
        <f t="shared" si="18"/>
        <v>595520.65223703149</v>
      </c>
      <c r="E124" s="317">
        <f t="shared" si="18"/>
        <v>623085.70552406891</v>
      </c>
      <c r="F124" s="317">
        <f t="shared" si="18"/>
        <v>645813.36829283612</v>
      </c>
      <c r="G124" s="317">
        <f t="shared" si="18"/>
        <v>668541.03106160311</v>
      </c>
      <c r="H124" s="317">
        <f t="shared" si="18"/>
        <v>691268.69383037032</v>
      </c>
      <c r="I124" s="329">
        <f t="shared" si="18"/>
        <v>713996.35659913742</v>
      </c>
      <c r="J124"/>
    </row>
    <row r="125" spans="1:13" ht="15.75" thickBot="1" x14ac:dyDescent="0.3">
      <c r="A125"/>
      <c r="B125" s="330" t="s">
        <v>72</v>
      </c>
      <c r="C125" s="331">
        <f t="shared" si="18"/>
        <v>538033.26885880088</v>
      </c>
      <c r="D125" s="331">
        <f t="shared" si="18"/>
        <v>571429.06223276653</v>
      </c>
      <c r="E125" s="331">
        <f t="shared" si="18"/>
        <v>625855.19326450315</v>
      </c>
      <c r="F125" s="331">
        <f t="shared" si="18"/>
        <v>675953.50055585185</v>
      </c>
      <c r="G125" s="331">
        <f t="shared" si="18"/>
        <v>725791.81430052512</v>
      </c>
      <c r="H125" s="331">
        <f t="shared" si="18"/>
        <v>775324.38872101228</v>
      </c>
      <c r="I125" s="332">
        <f t="shared" si="18"/>
        <v>913073.81018222892</v>
      </c>
      <c r="J125"/>
    </row>
    <row r="126" spans="1:13" ht="15.75" thickBot="1" x14ac:dyDescent="0.3">
      <c r="A126"/>
      <c r="B126"/>
      <c r="C126"/>
      <c r="D126"/>
      <c r="E126"/>
      <c r="F126"/>
      <c r="G126"/>
      <c r="H126"/>
      <c r="I126"/>
      <c r="J126"/>
    </row>
    <row r="127" spans="1:13" x14ac:dyDescent="0.25">
      <c r="A127" s="209">
        <v>3</v>
      </c>
      <c r="B127" s="210"/>
      <c r="C127" s="575" t="s">
        <v>1015</v>
      </c>
      <c r="D127" s="576"/>
      <c r="E127" s="576"/>
      <c r="F127" s="576"/>
      <c r="G127" s="576"/>
      <c r="H127" s="576"/>
      <c r="I127" s="577"/>
      <c r="J127"/>
      <c r="M127" s="12"/>
    </row>
    <row r="128" spans="1:13" x14ac:dyDescent="0.25">
      <c r="B128" s="211" t="s">
        <v>33</v>
      </c>
      <c r="C128" s="212">
        <f t="shared" ref="C128:I128" si="19">C106</f>
        <v>2022</v>
      </c>
      <c r="D128" s="212">
        <f t="shared" si="19"/>
        <v>2025</v>
      </c>
      <c r="E128" s="212">
        <f t="shared" si="19"/>
        <v>2030</v>
      </c>
      <c r="F128" s="212">
        <f t="shared" si="19"/>
        <v>2035</v>
      </c>
      <c r="G128" s="212">
        <f t="shared" si="19"/>
        <v>2040</v>
      </c>
      <c r="H128" s="212">
        <f t="shared" si="19"/>
        <v>2045</v>
      </c>
      <c r="I128" s="213">
        <f t="shared" si="19"/>
        <v>2050</v>
      </c>
      <c r="J128"/>
      <c r="M128" s="12"/>
    </row>
    <row r="129" spans="1:23" x14ac:dyDescent="0.25">
      <c r="B129" s="58" t="s">
        <v>34</v>
      </c>
      <c r="C129" s="59">
        <f t="shared" ref="C129:I129" si="20">VLOOKUP($A127,$B130:$I133,COLUMN()-1,TRUE)</f>
        <v>0.88437152960139931</v>
      </c>
      <c r="D129" s="59">
        <f t="shared" si="20"/>
        <v>0.82030960800116604</v>
      </c>
      <c r="E129" s="59">
        <f t="shared" si="20"/>
        <v>0.75624768640093287</v>
      </c>
      <c r="F129" s="59">
        <f t="shared" si="20"/>
        <v>0.69218576480069971</v>
      </c>
      <c r="G129" s="59">
        <f t="shared" si="20"/>
        <v>0.62812384320046655</v>
      </c>
      <c r="H129" s="59">
        <f t="shared" si="20"/>
        <v>0.56406192160023338</v>
      </c>
      <c r="I129" s="60">
        <f t="shared" si="20"/>
        <v>0.5</v>
      </c>
      <c r="J129" s="24" t="str">
        <f>VLOOKUP($A127,$B130:$J133,COLUMN()-1,TRUE)</f>
        <v>50% of rail electrified by 2050</v>
      </c>
      <c r="M129" s="12"/>
    </row>
    <row r="130" spans="1:23" x14ac:dyDescent="0.25">
      <c r="B130" s="214">
        <v>1</v>
      </c>
      <c r="C130" s="215">
        <f>C99*'Emissions Factors, etc,'!C137/(C99*'Emissions Factors, etc,'!C137+C100)</f>
        <v>0.88437152960139931</v>
      </c>
      <c r="D130" s="216">
        <f>D99*'Emissions Factors, etc,'!D137/(D99*'Emissions Factors, etc,'!D137+D100)</f>
        <v>0.88437152960139931</v>
      </c>
      <c r="E130" s="216">
        <f>E99*'Emissions Factors, etc,'!E137/(E99*'Emissions Factors, etc,'!E137+E100)</f>
        <v>0.88437152960139942</v>
      </c>
      <c r="F130" s="216">
        <f>F99*'Emissions Factors, etc,'!F137/(F99*'Emissions Factors, etc,'!F137+F100)</f>
        <v>0.88437152960139931</v>
      </c>
      <c r="G130" s="216">
        <f>G99*'Emissions Factors, etc,'!G137/(G99*'Emissions Factors, etc,'!G137+G100)</f>
        <v>0.88437152960139931</v>
      </c>
      <c r="H130" s="216">
        <f>H99*'Emissions Factors, etc,'!H137/(H99*'Emissions Factors, etc,'!H137+H100)</f>
        <v>0.88437152960139931</v>
      </c>
      <c r="I130" s="217">
        <f>I99*'Emissions Factors, etc,'!I137/(I99*'Emissions Factors, etc,'!I137+I100)</f>
        <v>0.8843715296013992</v>
      </c>
      <c r="J130" t="s">
        <v>1016</v>
      </c>
      <c r="M130" s="12"/>
    </row>
    <row r="131" spans="1:23" x14ac:dyDescent="0.25">
      <c r="B131" s="214">
        <v>2</v>
      </c>
      <c r="C131" s="215">
        <f>C130</f>
        <v>0.88437152960139931</v>
      </c>
      <c r="D131" s="216">
        <f t="shared" ref="D131:D133" si="21">C131+(($I131-$C131)/6)</f>
        <v>0.83697627466783275</v>
      </c>
      <c r="E131" s="216">
        <f t="shared" ref="E131:E133" si="22">D131+(($I131-$C131)/6)</f>
        <v>0.7895810197342662</v>
      </c>
      <c r="F131" s="216">
        <f t="shared" ref="F131:F133" si="23">E131+(($I131-$C131)/6)</f>
        <v>0.74218576480069964</v>
      </c>
      <c r="G131" s="216">
        <f t="shared" ref="G131:G133" si="24">F131+(($I131-$C131)/6)</f>
        <v>0.69479050986713309</v>
      </c>
      <c r="H131" s="216">
        <f t="shared" ref="H131:H133" si="25">G131+(($I131-$C131)/6)</f>
        <v>0.64739525493356653</v>
      </c>
      <c r="I131" s="217">
        <v>0.6</v>
      </c>
      <c r="J131" t="s">
        <v>270</v>
      </c>
      <c r="M131" s="12"/>
    </row>
    <row r="132" spans="1:23" x14ac:dyDescent="0.25">
      <c r="B132" s="214">
        <v>3</v>
      </c>
      <c r="C132" s="215">
        <f>C130</f>
        <v>0.88437152960139931</v>
      </c>
      <c r="D132" s="216">
        <f t="shared" si="21"/>
        <v>0.82030960800116604</v>
      </c>
      <c r="E132" s="216">
        <f t="shared" si="22"/>
        <v>0.75624768640093287</v>
      </c>
      <c r="F132" s="216">
        <f t="shared" si="23"/>
        <v>0.69218576480069971</v>
      </c>
      <c r="G132" s="216">
        <f t="shared" si="24"/>
        <v>0.62812384320046655</v>
      </c>
      <c r="H132" s="216">
        <f t="shared" si="25"/>
        <v>0.56406192160023338</v>
      </c>
      <c r="I132" s="217">
        <v>0.5</v>
      </c>
      <c r="J132" t="s">
        <v>271</v>
      </c>
      <c r="M132" s="12"/>
    </row>
    <row r="133" spans="1:23" ht="15.75" thickBot="1" x14ac:dyDescent="0.3">
      <c r="B133" s="219">
        <v>4</v>
      </c>
      <c r="C133" s="220">
        <f>C130</f>
        <v>0.88437152960139931</v>
      </c>
      <c r="D133" s="221">
        <f t="shared" si="21"/>
        <v>0.73697627466783278</v>
      </c>
      <c r="E133" s="221">
        <f t="shared" si="22"/>
        <v>0.58958101973426624</v>
      </c>
      <c r="F133" s="221">
        <f t="shared" si="23"/>
        <v>0.44218576480069971</v>
      </c>
      <c r="G133" s="221">
        <f t="shared" si="24"/>
        <v>0.29479050986713318</v>
      </c>
      <c r="H133" s="221">
        <f t="shared" si="25"/>
        <v>0.14739525493356662</v>
      </c>
      <c r="I133" s="222">
        <v>0</v>
      </c>
      <c r="J133" t="s">
        <v>272</v>
      </c>
      <c r="M133" s="12"/>
    </row>
    <row r="134" spans="1:23" ht="15.75" thickBot="1" x14ac:dyDescent="0.3">
      <c r="A134"/>
      <c r="B134" s="204"/>
      <c r="C134"/>
      <c r="D134"/>
      <c r="E134"/>
      <c r="F134"/>
      <c r="G134"/>
      <c r="H134"/>
      <c r="I134" s="205"/>
      <c r="J134"/>
    </row>
    <row r="135" spans="1:23" x14ac:dyDescent="0.25">
      <c r="A135" s="335"/>
      <c r="B135" s="597" t="s">
        <v>223</v>
      </c>
      <c r="C135" s="599">
        <f>'Baseline Statistics'!C$12</f>
        <v>2022</v>
      </c>
      <c r="D135" s="599">
        <f>'Baseline Statistics'!D$12</f>
        <v>2025</v>
      </c>
      <c r="E135" s="599">
        <f>'Baseline Statistics'!E$12</f>
        <v>2030</v>
      </c>
      <c r="F135" s="599">
        <f>'Baseline Statistics'!F$12</f>
        <v>2035</v>
      </c>
      <c r="G135" s="599">
        <f>'Baseline Statistics'!G$12</f>
        <v>2040</v>
      </c>
      <c r="H135" s="599">
        <f>'Baseline Statistics'!H$12</f>
        <v>2045</v>
      </c>
      <c r="I135" s="601">
        <f>'Baseline Statistics'!I$12</f>
        <v>2050</v>
      </c>
      <c r="J135"/>
      <c r="O135" s="104"/>
    </row>
    <row r="136" spans="1:23" x14ac:dyDescent="0.25">
      <c r="A136" s="335"/>
      <c r="B136" s="598"/>
      <c r="C136" s="600"/>
      <c r="D136" s="600"/>
      <c r="E136" s="600"/>
      <c r="F136" s="600"/>
      <c r="G136" s="600"/>
      <c r="H136" s="600"/>
      <c r="I136" s="602"/>
      <c r="J136"/>
    </row>
    <row r="137" spans="1:23" x14ac:dyDescent="0.25">
      <c r="A137" s="335"/>
      <c r="B137" s="598"/>
      <c r="C137" s="600"/>
      <c r="D137" s="600"/>
      <c r="E137" s="600"/>
      <c r="F137" s="600"/>
      <c r="G137" s="600"/>
      <c r="H137" s="600"/>
      <c r="I137" s="602"/>
      <c r="J137"/>
      <c r="M137" s="663"/>
    </row>
    <row r="138" spans="1:23" x14ac:dyDescent="0.25">
      <c r="A138" s="335"/>
      <c r="B138" s="299" t="s">
        <v>210</v>
      </c>
      <c r="C138" s="318">
        <f>C121</f>
        <v>603881.656249461</v>
      </c>
      <c r="D138" s="318">
        <f>D121*(D129/$C129)</f>
        <v>638704.15631324635</v>
      </c>
      <c r="E138" s="318">
        <f t="shared" ref="E138:I138" si="26">E121*(E129/$C129)</f>
        <v>674452.60097120563</v>
      </c>
      <c r="F138" s="318">
        <f t="shared" si="26"/>
        <v>687062.30018337676</v>
      </c>
      <c r="G138" s="318">
        <f t="shared" si="26"/>
        <v>689637.75132559775</v>
      </c>
      <c r="H138" s="318">
        <f t="shared" si="26"/>
        <v>678239.64892526914</v>
      </c>
      <c r="I138" s="322">
        <f t="shared" si="26"/>
        <v>756220.49513956707</v>
      </c>
      <c r="J138"/>
      <c r="K138" s="104"/>
      <c r="M138" s="663"/>
    </row>
    <row r="139" spans="1:23" ht="15.75" thickBot="1" x14ac:dyDescent="0.3">
      <c r="A139" s="335"/>
      <c r="B139" s="302" t="s">
        <v>213</v>
      </c>
      <c r="C139" s="325">
        <f>C122</f>
        <v>307048.79688692791</v>
      </c>
      <c r="D139" s="325">
        <f>D122*((1-D129)/(1-$C129))</f>
        <v>753563.47770965588</v>
      </c>
      <c r="E139" s="325">
        <f t="shared" ref="E139:H139" si="27">E122*((1-E129)/(1-$C129))</f>
        <v>1477770.7711393829</v>
      </c>
      <c r="F139" s="325">
        <f t="shared" si="27"/>
        <v>2493806.2010633224</v>
      </c>
      <c r="G139" s="325">
        <f t="shared" si="27"/>
        <v>3882851.1444827197</v>
      </c>
      <c r="H139" s="325">
        <f t="shared" si="27"/>
        <v>5697165.4225344006</v>
      </c>
      <c r="I139" s="326">
        <f>I122*((1-I129)/(1-$C129))</f>
        <v>8060223.8198657501</v>
      </c>
      <c r="J139" s="12"/>
      <c r="M139" s="663"/>
    </row>
    <row r="140" spans="1:23" ht="15.75" thickBot="1" x14ac:dyDescent="0.3">
      <c r="B140" s="305"/>
      <c r="C140" s="315"/>
      <c r="D140" s="306"/>
      <c r="E140" s="307"/>
      <c r="F140" s="308"/>
      <c r="G140" s="308"/>
      <c r="H140" s="308"/>
      <c r="I140" s="307"/>
      <c r="J140"/>
    </row>
    <row r="141" spans="1:23" x14ac:dyDescent="0.25">
      <c r="A141" s="209">
        <v>4</v>
      </c>
      <c r="B141" s="210"/>
      <c r="C141" s="575" t="s">
        <v>984</v>
      </c>
      <c r="D141" s="576"/>
      <c r="E141" s="576"/>
      <c r="F141" s="576"/>
      <c r="G141" s="576"/>
      <c r="H141" s="576"/>
      <c r="I141" s="577"/>
      <c r="J141"/>
      <c r="M141" s="12"/>
      <c r="W141" s="11"/>
    </row>
    <row r="142" spans="1:23" x14ac:dyDescent="0.25">
      <c r="A142"/>
      <c r="B142" s="211" t="s">
        <v>33</v>
      </c>
      <c r="C142" s="212">
        <f>'Baseline Statistics'!C12</f>
        <v>2022</v>
      </c>
      <c r="D142" s="212">
        <f>'Baseline Statistics'!D12</f>
        <v>2025</v>
      </c>
      <c r="E142" s="212">
        <f>'Baseline Statistics'!E12</f>
        <v>2030</v>
      </c>
      <c r="F142" s="212">
        <f>'Baseline Statistics'!F12</f>
        <v>2035</v>
      </c>
      <c r="G142" s="212">
        <f>'Baseline Statistics'!G12</f>
        <v>2040</v>
      </c>
      <c r="H142" s="212">
        <f>'Baseline Statistics'!H12</f>
        <v>2045</v>
      </c>
      <c r="I142" s="213">
        <f>'Baseline Statistics'!I12</f>
        <v>2050</v>
      </c>
      <c r="J142"/>
      <c r="M142" s="54"/>
    </row>
    <row r="143" spans="1:23" x14ac:dyDescent="0.25">
      <c r="A143"/>
      <c r="B143" s="58" t="s">
        <v>34</v>
      </c>
      <c r="C143" s="64">
        <f t="shared" ref="C143:I143" si="28">VLOOKUP($A141,$B144:$I147,COLUMN()-1,TRUE)</f>
        <v>0.02</v>
      </c>
      <c r="D143" s="64">
        <f t="shared" si="28"/>
        <v>4.3333333333333335E-2</v>
      </c>
      <c r="E143" s="64">
        <f t="shared" si="28"/>
        <v>6.6666666666666666E-2</v>
      </c>
      <c r="F143" s="64">
        <f t="shared" si="28"/>
        <v>0.09</v>
      </c>
      <c r="G143" s="64">
        <f t="shared" si="28"/>
        <v>0.11333333333333333</v>
      </c>
      <c r="H143" s="64">
        <f t="shared" si="28"/>
        <v>0.13666666666666666</v>
      </c>
      <c r="I143" s="65">
        <f t="shared" si="28"/>
        <v>0.16</v>
      </c>
      <c r="J143" s="21" t="str">
        <f>VLOOKUP($A141,$B144:$J147,COLUMN()-1,TRUE)</f>
        <v xml:space="preserve">Culture of biking (over 8x increase in cycling) </v>
      </c>
      <c r="N143" s="12"/>
    </row>
    <row r="144" spans="1:23" x14ac:dyDescent="0.25">
      <c r="A144"/>
      <c r="B144" s="214">
        <v>1</v>
      </c>
      <c r="C144" s="215">
        <f>'Baseline User Input'!C$32</f>
        <v>0.02</v>
      </c>
      <c r="D144" s="216">
        <f>C144+(($I144-$C144)/6)</f>
        <v>0.02</v>
      </c>
      <c r="E144" s="216">
        <f t="shared" ref="E144:E145" si="29">D144+(($I144-$C144)/6)</f>
        <v>0.02</v>
      </c>
      <c r="F144" s="216">
        <f t="shared" ref="F144:F145" si="30">E144+(($I144-$C144)/6)</f>
        <v>0.02</v>
      </c>
      <c r="G144" s="216">
        <f t="shared" ref="G144:G145" si="31">F144+(($I144-$C144)/6)</f>
        <v>0.02</v>
      </c>
      <c r="H144" s="216">
        <f t="shared" ref="H144:H145" si="32">G144+(($I144-$C144)/6)</f>
        <v>0.02</v>
      </c>
      <c r="I144" s="218">
        <f t="shared" ref="I144" si="33">$C144</f>
        <v>0.02</v>
      </c>
      <c r="J144" t="s">
        <v>273</v>
      </c>
    </row>
    <row r="145" spans="1:14" x14ac:dyDescent="0.25">
      <c r="A145"/>
      <c r="B145" s="214">
        <v>2</v>
      </c>
      <c r="C145" s="215">
        <f>'Baseline User Input'!C$32</f>
        <v>0.02</v>
      </c>
      <c r="D145" s="216">
        <f t="shared" ref="D145" si="34">C145+(($I145-$C145)/6)</f>
        <v>2.3333333333333334E-2</v>
      </c>
      <c r="E145" s="216">
        <f t="shared" si="29"/>
        <v>2.6666666666666668E-2</v>
      </c>
      <c r="F145" s="216">
        <f t="shared" si="30"/>
        <v>3.0000000000000002E-2</v>
      </c>
      <c r="G145" s="216">
        <f t="shared" si="31"/>
        <v>3.3333333333333333E-2</v>
      </c>
      <c r="H145" s="216">
        <f t="shared" si="32"/>
        <v>3.6666666666666667E-2</v>
      </c>
      <c r="I145" s="217">
        <f>C145*2</f>
        <v>0.04</v>
      </c>
      <c r="J145" t="s">
        <v>274</v>
      </c>
    </row>
    <row r="146" spans="1:14" x14ac:dyDescent="0.25">
      <c r="A146"/>
      <c r="B146" s="214">
        <v>3</v>
      </c>
      <c r="C146" s="215">
        <f>'Baseline User Input'!C$32</f>
        <v>0.02</v>
      </c>
      <c r="D146" s="216">
        <f t="shared" ref="D146:D147" si="35">C146+(($I146-$C146)/6)</f>
        <v>3.3333333333333333E-2</v>
      </c>
      <c r="E146" s="216">
        <f t="shared" ref="E146:E147" si="36">D146+(($I146-$C146)/6)</f>
        <v>4.6666666666666669E-2</v>
      </c>
      <c r="F146" s="216">
        <f t="shared" ref="F146:F147" si="37">E146+(($I146-$C146)/6)</f>
        <v>6.0000000000000005E-2</v>
      </c>
      <c r="G146" s="216">
        <f t="shared" ref="G146:G147" si="38">F146+(($I146-$C146)/6)</f>
        <v>7.3333333333333334E-2</v>
      </c>
      <c r="H146" s="216">
        <f t="shared" ref="H146:H147" si="39">G146+(($I146-$C146)/6)</f>
        <v>8.666666666666667E-2</v>
      </c>
      <c r="I146" s="217">
        <v>0.1</v>
      </c>
      <c r="J146" t="s">
        <v>275</v>
      </c>
      <c r="L146" s="12"/>
    </row>
    <row r="147" spans="1:14" ht="15.75" thickBot="1" x14ac:dyDescent="0.3">
      <c r="A147"/>
      <c r="B147" s="219">
        <v>4</v>
      </c>
      <c r="C147" s="220">
        <f>'Baseline User Input'!C$32</f>
        <v>0.02</v>
      </c>
      <c r="D147" s="221">
        <f t="shared" si="35"/>
        <v>4.3333333333333335E-2</v>
      </c>
      <c r="E147" s="221">
        <f t="shared" si="36"/>
        <v>6.6666666666666666E-2</v>
      </c>
      <c r="F147" s="221">
        <f t="shared" si="37"/>
        <v>0.09</v>
      </c>
      <c r="G147" s="221">
        <f t="shared" si="38"/>
        <v>0.11333333333333333</v>
      </c>
      <c r="H147" s="221">
        <f t="shared" si="39"/>
        <v>0.13666666666666666</v>
      </c>
      <c r="I147" s="222">
        <f>C147*8</f>
        <v>0.16</v>
      </c>
      <c r="J147" t="s">
        <v>276</v>
      </c>
    </row>
    <row r="148" spans="1:14" ht="15.75" thickBot="1" x14ac:dyDescent="0.3">
      <c r="A148"/>
      <c r="B148"/>
      <c r="C148"/>
      <c r="D148"/>
      <c r="E148"/>
      <c r="F148"/>
      <c r="G148"/>
      <c r="H148"/>
      <c r="I148"/>
      <c r="J148"/>
    </row>
    <row r="149" spans="1:14" x14ac:dyDescent="0.25">
      <c r="A149" s="209">
        <v>4</v>
      </c>
      <c r="B149" s="210"/>
      <c r="C149" s="619" t="s">
        <v>985</v>
      </c>
      <c r="D149" s="619"/>
      <c r="E149" s="619"/>
      <c r="F149" s="619"/>
      <c r="G149" s="619"/>
      <c r="H149" s="619"/>
      <c r="I149" s="620"/>
      <c r="J149" s="283"/>
      <c r="M149" s="54"/>
    </row>
    <row r="150" spans="1:14" x14ac:dyDescent="0.25">
      <c r="A150"/>
      <c r="B150" s="211" t="s">
        <v>33</v>
      </c>
      <c r="C150" s="212">
        <f>C142</f>
        <v>2022</v>
      </c>
      <c r="D150" s="212">
        <f t="shared" ref="D150:I150" si="40">D142</f>
        <v>2025</v>
      </c>
      <c r="E150" s="212">
        <f t="shared" si="40"/>
        <v>2030</v>
      </c>
      <c r="F150" s="212">
        <f t="shared" si="40"/>
        <v>2035</v>
      </c>
      <c r="G150" s="212">
        <f t="shared" si="40"/>
        <v>2040</v>
      </c>
      <c r="H150" s="212">
        <f t="shared" si="40"/>
        <v>2045</v>
      </c>
      <c r="I150" s="213">
        <f t="shared" si="40"/>
        <v>2050</v>
      </c>
      <c r="J150" s="283"/>
      <c r="M150" s="54"/>
    </row>
    <row r="151" spans="1:14" x14ac:dyDescent="0.25">
      <c r="A151" s="335"/>
      <c r="B151" s="58" t="s">
        <v>34</v>
      </c>
      <c r="C151" s="64">
        <f t="shared" ref="C151:I151" si="41">VLOOKUP($A149,$B152:$I155,COLUMN()-1,TRUE)</f>
        <v>0.1</v>
      </c>
      <c r="D151" s="64">
        <f t="shared" si="41"/>
        <v>0.125</v>
      </c>
      <c r="E151" s="64">
        <f t="shared" si="41"/>
        <v>0.15</v>
      </c>
      <c r="F151" s="64">
        <f t="shared" si="41"/>
        <v>0.17499999999999999</v>
      </c>
      <c r="G151" s="64">
        <f t="shared" si="41"/>
        <v>0.19999999999999998</v>
      </c>
      <c r="H151" s="64">
        <f t="shared" si="41"/>
        <v>0.22499999999999998</v>
      </c>
      <c r="I151" s="65">
        <f t="shared" si="41"/>
        <v>0.25</v>
      </c>
      <c r="J151" s="21" t="str">
        <f>VLOOKUP($A141,$B152:$J155,COLUMN()-1,TRUE)</f>
        <v>Highly active city (walking represents 25% of all trips by 2050)</v>
      </c>
      <c r="N151" s="12"/>
    </row>
    <row r="152" spans="1:14" x14ac:dyDescent="0.25">
      <c r="A152" s="335"/>
      <c r="B152" s="214">
        <v>1</v>
      </c>
      <c r="C152" s="215">
        <f>'Baseline User Input'!C$33</f>
        <v>0.1</v>
      </c>
      <c r="D152" s="216">
        <f>C152+(($I152-$C152)/6)</f>
        <v>0.1</v>
      </c>
      <c r="E152" s="216">
        <f t="shared" ref="E152:E155" si="42">D152+(($I152-$C152)/6)</f>
        <v>0.1</v>
      </c>
      <c r="F152" s="216">
        <f t="shared" ref="F152:F155" si="43">E152+(($I152-$C152)/6)</f>
        <v>0.1</v>
      </c>
      <c r="G152" s="216">
        <f t="shared" ref="G152:G155" si="44">F152+(($I152-$C152)/6)</f>
        <v>0.1</v>
      </c>
      <c r="H152" s="216">
        <f t="shared" ref="H152:H155" si="45">G152+(($I152-$C152)/6)</f>
        <v>0.1</v>
      </c>
      <c r="I152" s="218">
        <f>C152</f>
        <v>0.1</v>
      </c>
      <c r="J152" t="s">
        <v>273</v>
      </c>
      <c r="N152" s="12"/>
    </row>
    <row r="153" spans="1:14" x14ac:dyDescent="0.25">
      <c r="A153" s="335"/>
      <c r="B153" s="214">
        <v>2</v>
      </c>
      <c r="C153" s="215">
        <f>'Baseline User Input'!C$33</f>
        <v>0.1</v>
      </c>
      <c r="D153" s="216">
        <f t="shared" ref="D153:D155" si="46">C153+(($I153-$C153)/6)</f>
        <v>0.10833333333333334</v>
      </c>
      <c r="E153" s="216">
        <f t="shared" si="42"/>
        <v>0.11666666666666667</v>
      </c>
      <c r="F153" s="216">
        <f t="shared" si="43"/>
        <v>0.125</v>
      </c>
      <c r="G153" s="216">
        <f t="shared" si="44"/>
        <v>0.13333333333333333</v>
      </c>
      <c r="H153" s="216">
        <f t="shared" si="45"/>
        <v>0.14166666666666666</v>
      </c>
      <c r="I153" s="217">
        <f>C153*1.5</f>
        <v>0.15000000000000002</v>
      </c>
      <c r="J153" t="s">
        <v>277</v>
      </c>
    </row>
    <row r="154" spans="1:14" x14ac:dyDescent="0.25">
      <c r="A154" s="335"/>
      <c r="B154" s="214">
        <v>3</v>
      </c>
      <c r="C154" s="215">
        <f>'Baseline User Input'!C$33</f>
        <v>0.1</v>
      </c>
      <c r="D154" s="216">
        <f t="shared" si="46"/>
        <v>0.11666666666666667</v>
      </c>
      <c r="E154" s="216">
        <f t="shared" si="42"/>
        <v>0.13333333333333333</v>
      </c>
      <c r="F154" s="216">
        <f t="shared" si="43"/>
        <v>0.15</v>
      </c>
      <c r="G154" s="216">
        <f t="shared" si="44"/>
        <v>0.16666666666666666</v>
      </c>
      <c r="H154" s="216">
        <f t="shared" si="45"/>
        <v>0.18333333333333332</v>
      </c>
      <c r="I154" s="217">
        <f>C154*2</f>
        <v>0.2</v>
      </c>
      <c r="J154" t="s">
        <v>278</v>
      </c>
    </row>
    <row r="155" spans="1:14" ht="15.75" thickBot="1" x14ac:dyDescent="0.3">
      <c r="A155" s="335"/>
      <c r="B155" s="219">
        <v>4</v>
      </c>
      <c r="C155" s="220">
        <f>'Baseline User Input'!C$33</f>
        <v>0.1</v>
      </c>
      <c r="D155" s="221">
        <f t="shared" si="46"/>
        <v>0.125</v>
      </c>
      <c r="E155" s="221">
        <f t="shared" si="42"/>
        <v>0.15</v>
      </c>
      <c r="F155" s="221">
        <f t="shared" si="43"/>
        <v>0.17499999999999999</v>
      </c>
      <c r="G155" s="221">
        <f t="shared" si="44"/>
        <v>0.19999999999999998</v>
      </c>
      <c r="H155" s="221">
        <f t="shared" si="45"/>
        <v>0.22499999999999998</v>
      </c>
      <c r="I155" s="222">
        <v>0.25</v>
      </c>
      <c r="J155" s="1" t="s">
        <v>279</v>
      </c>
    </row>
    <row r="156" spans="1:14" ht="15.75" thickBot="1" x14ac:dyDescent="0.3">
      <c r="A156" s="335"/>
      <c r="B156" s="333"/>
      <c r="C156" s="315"/>
      <c r="D156" s="306"/>
      <c r="E156" s="307"/>
      <c r="F156" s="308"/>
      <c r="G156" s="308"/>
      <c r="H156" s="308"/>
      <c r="I156" s="334"/>
      <c r="J156"/>
    </row>
    <row r="157" spans="1:14" x14ac:dyDescent="0.25">
      <c r="A157" s="335"/>
      <c r="B157" s="597" t="s">
        <v>280</v>
      </c>
      <c r="C157" s="599">
        <f>'Baseline Statistics'!C$12</f>
        <v>2022</v>
      </c>
      <c r="D157" s="599">
        <f>'Baseline Statistics'!D$12</f>
        <v>2025</v>
      </c>
      <c r="E157" s="599">
        <f>'Baseline Statistics'!E$12</f>
        <v>2030</v>
      </c>
      <c r="F157" s="599">
        <f>'Baseline Statistics'!F$12</f>
        <v>2035</v>
      </c>
      <c r="G157" s="599">
        <f>'Baseline Statistics'!G$12</f>
        <v>2040</v>
      </c>
      <c r="H157" s="599">
        <f>'Baseline Statistics'!H$12</f>
        <v>2045</v>
      </c>
      <c r="I157" s="601">
        <f>'Baseline Statistics'!I$12</f>
        <v>2050</v>
      </c>
      <c r="J157"/>
    </row>
    <row r="158" spans="1:14" x14ac:dyDescent="0.25">
      <c r="A158" s="335"/>
      <c r="B158" s="598"/>
      <c r="C158" s="600"/>
      <c r="D158" s="600"/>
      <c r="E158" s="600"/>
      <c r="F158" s="600"/>
      <c r="G158" s="600"/>
      <c r="H158" s="600"/>
      <c r="I158" s="602"/>
      <c r="J158"/>
    </row>
    <row r="159" spans="1:14" x14ac:dyDescent="0.25">
      <c r="A159" s="335"/>
      <c r="B159" s="598"/>
      <c r="C159" s="600"/>
      <c r="D159" s="600"/>
      <c r="E159" s="600"/>
      <c r="F159" s="600"/>
      <c r="G159" s="600"/>
      <c r="H159" s="600"/>
      <c r="I159" s="602"/>
      <c r="J159"/>
    </row>
    <row r="160" spans="1:14" x14ac:dyDescent="0.25">
      <c r="A160" s="335"/>
      <c r="B160" s="299" t="s">
        <v>281</v>
      </c>
      <c r="C160" s="343">
        <f>'Baseline User Input'!$C38*C143</f>
        <v>8.7781849227629941E-3</v>
      </c>
      <c r="D160" s="343">
        <f>'Baseline User Input'!$C38*D143</f>
        <v>1.9019400665986487E-2</v>
      </c>
      <c r="E160" s="343">
        <f>'Baseline User Input'!$C38*E143</f>
        <v>2.9260616409209978E-2</v>
      </c>
      <c r="F160" s="343">
        <f>'Baseline User Input'!$C38*F143</f>
        <v>3.9501832152433469E-2</v>
      </c>
      <c r="G160" s="343">
        <f>'Baseline User Input'!$C38*G143</f>
        <v>4.9743047895656964E-2</v>
      </c>
      <c r="H160" s="343">
        <f>'Baseline User Input'!$C38*H143</f>
        <v>5.9984263638880451E-2</v>
      </c>
      <c r="I160" s="344">
        <f>'Baseline User Input'!$C38*I143</f>
        <v>7.0225479382103953E-2</v>
      </c>
      <c r="J160"/>
      <c r="M160" s="662"/>
    </row>
    <row r="161" spans="1:14" x14ac:dyDescent="0.25">
      <c r="A161" s="335"/>
      <c r="B161" s="299" t="s">
        <v>282</v>
      </c>
      <c r="C161" s="345">
        <f>'Baseline User Input'!$C39*C151</f>
        <v>1.0038047871902241E-2</v>
      </c>
      <c r="D161" s="343">
        <f>'Baseline User Input'!$C39*D151</f>
        <v>1.2547559839877801E-2</v>
      </c>
      <c r="E161" s="343">
        <f>'Baseline User Input'!$C39*E151</f>
        <v>1.5057071807853361E-2</v>
      </c>
      <c r="F161" s="343">
        <f>'Baseline User Input'!$C39*F151</f>
        <v>1.7566583775828919E-2</v>
      </c>
      <c r="G161" s="343">
        <f>'Baseline User Input'!$C39*G151</f>
        <v>2.0076095743804478E-2</v>
      </c>
      <c r="H161" s="343">
        <f>'Baseline User Input'!$C39*H151</f>
        <v>2.2585607711780038E-2</v>
      </c>
      <c r="I161" s="344">
        <f>'Baseline User Input'!$C39*I151</f>
        <v>2.5095119679755602E-2</v>
      </c>
      <c r="J161"/>
      <c r="M161" s="662"/>
    </row>
    <row r="162" spans="1:14" ht="15.75" thickBot="1" x14ac:dyDescent="0.3">
      <c r="A162" s="335"/>
      <c r="B162" s="302" t="s">
        <v>283</v>
      </c>
      <c r="C162" s="346">
        <f>SUM(C160:C161)</f>
        <v>1.8816232794665235E-2</v>
      </c>
      <c r="D162" s="347">
        <f t="shared" ref="D162:H162" si="47">SUM(D160:D161)</f>
        <v>3.1566960505864286E-2</v>
      </c>
      <c r="E162" s="347">
        <f t="shared" si="47"/>
        <v>4.431768821706334E-2</v>
      </c>
      <c r="F162" s="347">
        <f t="shared" si="47"/>
        <v>5.7068415928262388E-2</v>
      </c>
      <c r="G162" s="347">
        <f t="shared" si="47"/>
        <v>6.9819143639461442E-2</v>
      </c>
      <c r="H162" s="347">
        <f t="shared" si="47"/>
        <v>8.256987135066049E-2</v>
      </c>
      <c r="I162" s="348">
        <f>SUM(I160:I161)</f>
        <v>9.5320599061859551E-2</v>
      </c>
      <c r="J162"/>
    </row>
    <row r="163" spans="1:14" ht="15.75" thickBot="1" x14ac:dyDescent="0.3">
      <c r="A163"/>
      <c r="B163"/>
      <c r="C163"/>
      <c r="D163"/>
      <c r="E163"/>
      <c r="F163"/>
      <c r="G163"/>
      <c r="H163"/>
      <c r="I163"/>
      <c r="J163"/>
    </row>
    <row r="164" spans="1:14" x14ac:dyDescent="0.25">
      <c r="A164" s="209">
        <v>4</v>
      </c>
      <c r="B164" s="210"/>
      <c r="C164" s="580" t="s">
        <v>986</v>
      </c>
      <c r="D164" s="580"/>
      <c r="E164" s="580"/>
      <c r="F164" s="580"/>
      <c r="G164" s="580"/>
      <c r="H164" s="580"/>
      <c r="I164" s="581"/>
      <c r="J164"/>
    </row>
    <row r="165" spans="1:14" x14ac:dyDescent="0.25">
      <c r="A165"/>
      <c r="B165" s="214" t="s">
        <v>33</v>
      </c>
      <c r="C165" s="212">
        <f>'Baseline Statistics'!C12</f>
        <v>2022</v>
      </c>
      <c r="D165" s="212">
        <f>'Baseline Statistics'!D12</f>
        <v>2025</v>
      </c>
      <c r="E165" s="212">
        <f>'Baseline Statistics'!E12</f>
        <v>2030</v>
      </c>
      <c r="F165" s="212">
        <f>'Baseline Statistics'!F12</f>
        <v>2035</v>
      </c>
      <c r="G165" s="212">
        <f>'Baseline Statistics'!G12</f>
        <v>2040</v>
      </c>
      <c r="H165" s="212">
        <f>'Baseline Statistics'!H12</f>
        <v>2045</v>
      </c>
      <c r="I165" s="213">
        <f>'Baseline Statistics'!I12</f>
        <v>2050</v>
      </c>
      <c r="J165"/>
      <c r="M165" s="54"/>
    </row>
    <row r="166" spans="1:14" x14ac:dyDescent="0.25">
      <c r="A166"/>
      <c r="B166" s="58" t="s">
        <v>34</v>
      </c>
      <c r="C166" s="59">
        <f t="shared" ref="C166:I166" si="48">VLOOKUP($A164,$B167:$I170,COLUMN()-1,TRUE)</f>
        <v>0.04</v>
      </c>
      <c r="D166" s="59">
        <f t="shared" si="48"/>
        <v>7.4999999999999997E-2</v>
      </c>
      <c r="E166" s="59">
        <f t="shared" si="48"/>
        <v>0.10999999999999999</v>
      </c>
      <c r="F166" s="59">
        <f t="shared" si="48"/>
        <v>0.14499999999999999</v>
      </c>
      <c r="G166" s="59">
        <f t="shared" si="48"/>
        <v>0.18</v>
      </c>
      <c r="H166" s="59">
        <f t="shared" si="48"/>
        <v>0.215</v>
      </c>
      <c r="I166" s="60">
        <f t="shared" si="48"/>
        <v>0.25</v>
      </c>
      <c r="J166" s="24" t="str">
        <f>VLOOKUP($A164,$B167:$J170,COLUMN()-1,TRUE)</f>
        <v>Metro city (25% of all trips by 2050)</v>
      </c>
      <c r="N166" s="12"/>
    </row>
    <row r="167" spans="1:14" x14ac:dyDescent="0.25">
      <c r="A167"/>
      <c r="B167" s="214">
        <v>1</v>
      </c>
      <c r="C167" s="216">
        <f>'Baseline User Input'!C$34</f>
        <v>0.04</v>
      </c>
      <c r="D167" s="216">
        <f t="shared" ref="D167:D170" si="49">C167+(($I167-$C167)/6)</f>
        <v>0.04</v>
      </c>
      <c r="E167" s="216">
        <f t="shared" ref="E167:E170" si="50">D167+(($I167-$C167)/6)</f>
        <v>0.04</v>
      </c>
      <c r="F167" s="216">
        <f t="shared" ref="F167:F170" si="51">E167+(($I167-$C167)/6)</f>
        <v>0.04</v>
      </c>
      <c r="G167" s="216">
        <f t="shared" ref="G167:G170" si="52">F167+(($I167-$C167)/6)</f>
        <v>0.04</v>
      </c>
      <c r="H167" s="216">
        <f t="shared" ref="H167:H170" si="53">G167+(($I167-$C167)/6)</f>
        <v>0.04</v>
      </c>
      <c r="I167" s="218">
        <f>C167</f>
        <v>0.04</v>
      </c>
      <c r="J167" t="s">
        <v>169</v>
      </c>
    </row>
    <row r="168" spans="1:14" x14ac:dyDescent="0.25">
      <c r="A168"/>
      <c r="B168" s="214">
        <v>2</v>
      </c>
      <c r="C168" s="216">
        <f>'Baseline User Input'!C$34</f>
        <v>0.04</v>
      </c>
      <c r="D168" s="216">
        <f t="shared" si="49"/>
        <v>4.6666666666666669E-2</v>
      </c>
      <c r="E168" s="216">
        <f t="shared" si="50"/>
        <v>5.3333333333333337E-2</v>
      </c>
      <c r="F168" s="216">
        <f t="shared" si="51"/>
        <v>6.0000000000000005E-2</v>
      </c>
      <c r="G168" s="216">
        <f t="shared" si="52"/>
        <v>6.6666666666666666E-2</v>
      </c>
      <c r="H168" s="216">
        <f t="shared" si="53"/>
        <v>7.3333333333333334E-2</v>
      </c>
      <c r="I168" s="217">
        <f>C168*2</f>
        <v>0.08</v>
      </c>
      <c r="J168" t="s">
        <v>284</v>
      </c>
    </row>
    <row r="169" spans="1:14" x14ac:dyDescent="0.25">
      <c r="A169"/>
      <c r="B169" s="214">
        <v>3</v>
      </c>
      <c r="C169" s="216">
        <f>'Baseline User Input'!C$34</f>
        <v>0.04</v>
      </c>
      <c r="D169" s="216">
        <f t="shared" si="49"/>
        <v>5.8333333333333334E-2</v>
      </c>
      <c r="E169" s="216">
        <f t="shared" si="50"/>
        <v>7.6666666666666661E-2</v>
      </c>
      <c r="F169" s="216">
        <f t="shared" si="51"/>
        <v>9.4999999999999987E-2</v>
      </c>
      <c r="G169" s="216">
        <f t="shared" si="52"/>
        <v>0.11333333333333331</v>
      </c>
      <c r="H169" s="216">
        <f t="shared" si="53"/>
        <v>0.13166666666666665</v>
      </c>
      <c r="I169" s="217">
        <v>0.15</v>
      </c>
      <c r="J169" t="s">
        <v>285</v>
      </c>
    </row>
    <row r="170" spans="1:14" ht="15.75" thickBot="1" x14ac:dyDescent="0.3">
      <c r="A170"/>
      <c r="B170" s="219">
        <v>4</v>
      </c>
      <c r="C170" s="221">
        <f>'Baseline User Input'!C$34</f>
        <v>0.04</v>
      </c>
      <c r="D170" s="221">
        <f t="shared" si="49"/>
        <v>7.4999999999999997E-2</v>
      </c>
      <c r="E170" s="221">
        <f t="shared" si="50"/>
        <v>0.10999999999999999</v>
      </c>
      <c r="F170" s="221">
        <f t="shared" si="51"/>
        <v>0.14499999999999999</v>
      </c>
      <c r="G170" s="221">
        <f t="shared" si="52"/>
        <v>0.18</v>
      </c>
      <c r="H170" s="221">
        <f t="shared" si="53"/>
        <v>0.215</v>
      </c>
      <c r="I170" s="222">
        <v>0.25</v>
      </c>
      <c r="J170" s="1" t="s">
        <v>286</v>
      </c>
    </row>
    <row r="171" spans="1:14" ht="15.75" thickBot="1" x14ac:dyDescent="0.3">
      <c r="A171"/>
      <c r="B171" s="204"/>
      <c r="C171"/>
      <c r="D171"/>
      <c r="E171"/>
      <c r="F171"/>
      <c r="G171"/>
      <c r="H171"/>
      <c r="I171" s="205"/>
      <c r="J171"/>
    </row>
    <row r="172" spans="1:14" x14ac:dyDescent="0.25">
      <c r="A172"/>
      <c r="B172" s="597" t="s">
        <v>287</v>
      </c>
      <c r="C172" s="599">
        <f>'Baseline Statistics'!C$12</f>
        <v>2022</v>
      </c>
      <c r="D172" s="599">
        <f>'Baseline Statistics'!D$12</f>
        <v>2025</v>
      </c>
      <c r="E172" s="599">
        <f>'Baseline Statistics'!E$12</f>
        <v>2030</v>
      </c>
      <c r="F172" s="599">
        <f>'Baseline Statistics'!F$12</f>
        <v>2035</v>
      </c>
      <c r="G172" s="599">
        <f>'Baseline Statistics'!G$12</f>
        <v>2040</v>
      </c>
      <c r="H172" s="599">
        <f>'Baseline Statistics'!H$12</f>
        <v>2045</v>
      </c>
      <c r="I172" s="601">
        <f>'Baseline Statistics'!I$12</f>
        <v>2050</v>
      </c>
      <c r="J172"/>
    </row>
    <row r="173" spans="1:14" x14ac:dyDescent="0.25">
      <c r="A173" s="335"/>
      <c r="B173" s="598"/>
      <c r="C173" s="600"/>
      <c r="D173" s="600"/>
      <c r="E173" s="600"/>
      <c r="F173" s="600"/>
      <c r="G173" s="600"/>
      <c r="H173" s="600"/>
      <c r="I173" s="602"/>
      <c r="J173"/>
    </row>
    <row r="174" spans="1:14" x14ac:dyDescent="0.25">
      <c r="A174" s="335"/>
      <c r="B174" s="598"/>
      <c r="C174" s="600"/>
      <c r="D174" s="600"/>
      <c r="E174" s="600"/>
      <c r="F174" s="600"/>
      <c r="G174" s="600"/>
      <c r="H174" s="600"/>
      <c r="I174" s="602"/>
      <c r="J174"/>
    </row>
    <row r="175" spans="1:14" ht="15.75" thickBot="1" x14ac:dyDescent="0.3">
      <c r="A175" s="335"/>
      <c r="B175" s="302" t="s">
        <v>288</v>
      </c>
      <c r="C175" s="347">
        <f>'Baseline User Input'!$C41*C166</f>
        <v>4.7074830576974591E-2</v>
      </c>
      <c r="D175" s="347">
        <f>'Baseline User Input'!$C41*D166</f>
        <v>8.8265307331827358E-2</v>
      </c>
      <c r="E175" s="347">
        <f>'Baseline User Input'!$C41*E166</f>
        <v>0.1294557840866801</v>
      </c>
      <c r="F175" s="347">
        <f>'Baseline User Input'!$C41*F166</f>
        <v>0.17064626084153289</v>
      </c>
      <c r="G175" s="347">
        <f>'Baseline User Input'!$C41*G166</f>
        <v>0.21183673759638566</v>
      </c>
      <c r="H175" s="347">
        <f>'Baseline User Input'!$C41*H166</f>
        <v>0.25302721435123843</v>
      </c>
      <c r="I175" s="347">
        <f>'Baseline User Input'!$C41*I166</f>
        <v>0.29421769110609119</v>
      </c>
      <c r="J175"/>
      <c r="M175" s="662"/>
    </row>
    <row r="176" spans="1:14" ht="15.75" thickBot="1" x14ac:dyDescent="0.3">
      <c r="B176"/>
      <c r="C176"/>
      <c r="D176"/>
      <c r="E176"/>
      <c r="F176"/>
      <c r="G176"/>
      <c r="H176"/>
      <c r="I176"/>
      <c r="J176"/>
    </row>
    <row r="177" spans="1:14" x14ac:dyDescent="0.25">
      <c r="A177" s="335"/>
      <c r="B177" s="597" t="s">
        <v>223</v>
      </c>
      <c r="C177" s="599">
        <f>'Baseline Statistics'!C$12</f>
        <v>2022</v>
      </c>
      <c r="D177" s="599">
        <f>'Baseline Statistics'!D$12</f>
        <v>2025</v>
      </c>
      <c r="E177" s="599">
        <f>'Baseline Statistics'!E$12</f>
        <v>2030</v>
      </c>
      <c r="F177" s="599">
        <f>'Baseline Statistics'!F$12</f>
        <v>2035</v>
      </c>
      <c r="G177" s="599">
        <f>'Baseline Statistics'!G$12</f>
        <v>2040</v>
      </c>
      <c r="H177" s="599">
        <f>'Baseline Statistics'!H$12</f>
        <v>2045</v>
      </c>
      <c r="I177" s="601">
        <f>'Baseline Statistics'!I$12</f>
        <v>2050</v>
      </c>
      <c r="J177"/>
    </row>
    <row r="178" spans="1:14" x14ac:dyDescent="0.25">
      <c r="A178" s="335"/>
      <c r="B178" s="598"/>
      <c r="C178" s="600"/>
      <c r="D178" s="600"/>
      <c r="E178" s="600"/>
      <c r="F178" s="600"/>
      <c r="G178" s="600"/>
      <c r="H178" s="600"/>
      <c r="I178" s="602"/>
      <c r="J178"/>
    </row>
    <row r="179" spans="1:14" x14ac:dyDescent="0.25">
      <c r="A179" s="335"/>
      <c r="B179" s="598"/>
      <c r="C179" s="600"/>
      <c r="D179" s="600"/>
      <c r="E179" s="600"/>
      <c r="F179" s="600"/>
      <c r="G179" s="600"/>
      <c r="H179" s="600"/>
      <c r="I179" s="602"/>
      <c r="J179"/>
    </row>
    <row r="180" spans="1:14" x14ac:dyDescent="0.25">
      <c r="A180" s="335"/>
      <c r="B180" s="299" t="s">
        <v>248</v>
      </c>
      <c r="C180" s="300">
        <f t="shared" ref="C180:I181" si="54">C116*(1-C$162+$C$162-C$175+$C$175)</f>
        <v>36790440.061202846</v>
      </c>
      <c r="D180" s="300">
        <f t="shared" si="54"/>
        <v>36966327.252641656</v>
      </c>
      <c r="E180" s="300">
        <f t="shared" si="54"/>
        <v>38178759.668156281</v>
      </c>
      <c r="F180" s="300">
        <f t="shared" si="54"/>
        <v>38741648.356106691</v>
      </c>
      <c r="G180" s="300">
        <f t="shared" si="54"/>
        <v>38921022.325985178</v>
      </c>
      <c r="H180" s="300">
        <f t="shared" si="54"/>
        <v>38717474.101748824</v>
      </c>
      <c r="I180" s="336">
        <f t="shared" si="54"/>
        <v>42228437.559090719</v>
      </c>
      <c r="J180" s="3"/>
      <c r="K180" s="3"/>
    </row>
    <row r="181" spans="1:14" x14ac:dyDescent="0.25">
      <c r="A181" s="335"/>
      <c r="B181" s="299" t="s">
        <v>249</v>
      </c>
      <c r="C181" s="300">
        <f t="shared" si="54"/>
        <v>8353453.6432471676</v>
      </c>
      <c r="D181" s="300">
        <f t="shared" si="54"/>
        <v>8393389.7108147442</v>
      </c>
      <c r="E181" s="300">
        <f t="shared" si="54"/>
        <v>8668678.561987035</v>
      </c>
      <c r="F181" s="300">
        <f t="shared" si="54"/>
        <v>8796485.2572393846</v>
      </c>
      <c r="G181" s="300">
        <f t="shared" si="54"/>
        <v>8837213.0153116584</v>
      </c>
      <c r="H181" s="300">
        <f t="shared" si="54"/>
        <v>8790996.3717353642</v>
      </c>
      <c r="I181" s="336">
        <f t="shared" si="54"/>
        <v>9588178.2058001496</v>
      </c>
      <c r="J181" s="3"/>
      <c r="K181" s="3"/>
    </row>
    <row r="182" spans="1:14" x14ac:dyDescent="0.25">
      <c r="A182" s="335"/>
      <c r="B182" s="316" t="s">
        <v>250</v>
      </c>
      <c r="C182" s="327">
        <f t="shared" ref="C182:I182" si="55">C96</f>
        <v>3404243.6177032739</v>
      </c>
      <c r="D182" s="327">
        <f t="shared" si="55"/>
        <v>3615545.4516820493</v>
      </c>
      <c r="E182" s="327">
        <f t="shared" si="55"/>
        <v>3959910.4192872313</v>
      </c>
      <c r="F182" s="327">
        <f t="shared" si="55"/>
        <v>4276892.384391454</v>
      </c>
      <c r="G182" s="327">
        <f t="shared" si="55"/>
        <v>4592229.3185595945</v>
      </c>
      <c r="H182" s="327">
        <f t="shared" si="55"/>
        <v>4905631.7791490862</v>
      </c>
      <c r="I182" s="328">
        <f t="shared" si="55"/>
        <v>5777199.7954658056</v>
      </c>
      <c r="J182"/>
      <c r="K182" s="3"/>
    </row>
    <row r="183" spans="1:14" x14ac:dyDescent="0.25">
      <c r="A183" s="335"/>
      <c r="B183" s="316" t="s">
        <v>251</v>
      </c>
      <c r="C183" s="327">
        <f t="shared" ref="C183:I183" si="56">C119</f>
        <v>18536711.417872287</v>
      </c>
      <c r="D183" s="327">
        <f t="shared" si="56"/>
        <v>20024705.390733607</v>
      </c>
      <c r="E183" s="327">
        <f t="shared" si="56"/>
        <v>21927026.821497481</v>
      </c>
      <c r="F183" s="327">
        <f t="shared" si="56"/>
        <v>23519462.203724727</v>
      </c>
      <c r="G183" s="327">
        <f t="shared" si="56"/>
        <v>25258590.694972571</v>
      </c>
      <c r="H183" s="327">
        <f t="shared" si="56"/>
        <v>27044432.883758597</v>
      </c>
      <c r="I183" s="328">
        <f t="shared" si="56"/>
        <v>29095069.459839955</v>
      </c>
      <c r="J183"/>
    </row>
    <row r="184" spans="1:14" x14ac:dyDescent="0.25">
      <c r="A184" s="335"/>
      <c r="B184" s="299" t="s">
        <v>252</v>
      </c>
      <c r="C184" s="300">
        <f t="shared" ref="C184:I184" si="57">C120*(1+C$175-$C$175)</f>
        <v>875123.71500684612</v>
      </c>
      <c r="D184" s="300">
        <f t="shared" si="57"/>
        <v>967726.94541586342</v>
      </c>
      <c r="E184" s="300">
        <f t="shared" si="57"/>
        <v>1101829.3176220264</v>
      </c>
      <c r="F184" s="300">
        <f t="shared" si="57"/>
        <v>1235315.3309108242</v>
      </c>
      <c r="G184" s="300">
        <f t="shared" si="57"/>
        <v>1375021.6833413099</v>
      </c>
      <c r="H184" s="300">
        <f t="shared" si="57"/>
        <v>1520806.3875448583</v>
      </c>
      <c r="I184" s="336">
        <f t="shared" si="57"/>
        <v>1852176.6852841352</v>
      </c>
      <c r="J184"/>
      <c r="M184" s="662"/>
    </row>
    <row r="185" spans="1:14" x14ac:dyDescent="0.25">
      <c r="A185" s="335"/>
      <c r="B185" s="316" t="s">
        <v>210</v>
      </c>
      <c r="C185" s="327">
        <f>C138</f>
        <v>603881.656249461</v>
      </c>
      <c r="D185" s="327">
        <f t="shared" ref="D185:I185" si="58">D138</f>
        <v>638704.15631324635</v>
      </c>
      <c r="E185" s="327">
        <f t="shared" si="58"/>
        <v>674452.60097120563</v>
      </c>
      <c r="F185" s="327">
        <f t="shared" si="58"/>
        <v>687062.30018337676</v>
      </c>
      <c r="G185" s="327">
        <f t="shared" si="58"/>
        <v>689637.75132559775</v>
      </c>
      <c r="H185" s="327">
        <f t="shared" si="58"/>
        <v>678239.64892526914</v>
      </c>
      <c r="I185" s="328">
        <f t="shared" si="58"/>
        <v>756220.49513956707</v>
      </c>
      <c r="J185"/>
      <c r="M185" s="663"/>
    </row>
    <row r="186" spans="1:14" x14ac:dyDescent="0.25">
      <c r="A186" s="335"/>
      <c r="B186" s="316" t="s">
        <v>213</v>
      </c>
      <c r="C186" s="327">
        <f>C139</f>
        <v>307048.79688692791</v>
      </c>
      <c r="D186" s="327">
        <f t="shared" ref="D186:I186" si="59">D139</f>
        <v>753563.47770965588</v>
      </c>
      <c r="E186" s="327">
        <f t="shared" si="59"/>
        <v>1477770.7711393829</v>
      </c>
      <c r="F186" s="327">
        <f t="shared" si="59"/>
        <v>2493806.2010633224</v>
      </c>
      <c r="G186" s="327">
        <f t="shared" si="59"/>
        <v>3882851.1444827197</v>
      </c>
      <c r="H186" s="327">
        <f t="shared" si="59"/>
        <v>5697165.4225344006</v>
      </c>
      <c r="I186" s="328">
        <f t="shared" si="59"/>
        <v>8060223.8198657501</v>
      </c>
      <c r="J186"/>
      <c r="M186" s="662"/>
    </row>
    <row r="187" spans="1:14" x14ac:dyDescent="0.25">
      <c r="A187" s="335"/>
      <c r="B187" s="316" t="s">
        <v>70</v>
      </c>
      <c r="C187" s="327">
        <f t="shared" ref="C187:I189" si="60">C101</f>
        <v>4350044.3909544628</v>
      </c>
      <c r="D187" s="327">
        <f t="shared" si="60"/>
        <v>5142315.7847042698</v>
      </c>
      <c r="E187" s="327">
        <f t="shared" si="60"/>
        <v>6241416.7598380577</v>
      </c>
      <c r="F187" s="327">
        <f t="shared" si="60"/>
        <v>7272227.7411202034</v>
      </c>
      <c r="G187" s="327">
        <f t="shared" si="60"/>
        <v>8489935.6830455307</v>
      </c>
      <c r="H187" s="327">
        <f t="shared" si="60"/>
        <v>9851001.1536053307</v>
      </c>
      <c r="I187" s="328">
        <f t="shared" si="60"/>
        <v>11525031.830046602</v>
      </c>
      <c r="J187"/>
    </row>
    <row r="188" spans="1:14" x14ac:dyDescent="0.25">
      <c r="A188" s="335"/>
      <c r="B188" s="316" t="s">
        <v>127</v>
      </c>
      <c r="C188" s="327">
        <f t="shared" si="60"/>
        <v>578623.93901467754</v>
      </c>
      <c r="D188" s="327">
        <f t="shared" si="60"/>
        <v>595520.65223703149</v>
      </c>
      <c r="E188" s="327">
        <f t="shared" si="60"/>
        <v>623085.70552406891</v>
      </c>
      <c r="F188" s="327">
        <f t="shared" si="60"/>
        <v>645813.36829283612</v>
      </c>
      <c r="G188" s="327">
        <f t="shared" si="60"/>
        <v>668541.03106160311</v>
      </c>
      <c r="H188" s="327">
        <f t="shared" si="60"/>
        <v>691268.69383037032</v>
      </c>
      <c r="I188" s="328">
        <f t="shared" si="60"/>
        <v>713996.35659913742</v>
      </c>
      <c r="J188"/>
    </row>
    <row r="189" spans="1:14" ht="15.75" thickBot="1" x14ac:dyDescent="0.3">
      <c r="A189" s="335"/>
      <c r="B189" s="330" t="s">
        <v>72</v>
      </c>
      <c r="C189" s="349">
        <f t="shared" si="60"/>
        <v>538033.26885880088</v>
      </c>
      <c r="D189" s="349">
        <f t="shared" si="60"/>
        <v>571429.06223276653</v>
      </c>
      <c r="E189" s="349">
        <f t="shared" si="60"/>
        <v>625855.19326450315</v>
      </c>
      <c r="F189" s="349">
        <f t="shared" si="60"/>
        <v>675953.50055585185</v>
      </c>
      <c r="G189" s="349">
        <f t="shared" si="60"/>
        <v>725791.81430052512</v>
      </c>
      <c r="H189" s="349">
        <f t="shared" si="60"/>
        <v>775324.38872101228</v>
      </c>
      <c r="I189" s="350">
        <f t="shared" si="60"/>
        <v>913073.81018222892</v>
      </c>
      <c r="J189"/>
    </row>
    <row r="190" spans="1:14" ht="15.75" thickBot="1" x14ac:dyDescent="0.3">
      <c r="B190"/>
      <c r="C190"/>
      <c r="D190"/>
      <c r="E190"/>
      <c r="F190"/>
      <c r="G190"/>
      <c r="H190"/>
      <c r="I190"/>
      <c r="J190"/>
    </row>
    <row r="191" spans="1:14" x14ac:dyDescent="0.25">
      <c r="A191" s="209">
        <v>4</v>
      </c>
      <c r="B191" s="210"/>
      <c r="C191" s="575" t="s">
        <v>289</v>
      </c>
      <c r="D191" s="576"/>
      <c r="E191" s="576"/>
      <c r="F191" s="576"/>
      <c r="G191" s="576"/>
      <c r="H191" s="576"/>
      <c r="I191" s="577"/>
      <c r="J191"/>
    </row>
    <row r="192" spans="1:14" x14ac:dyDescent="0.25">
      <c r="A192"/>
      <c r="B192" s="211" t="s">
        <v>33</v>
      </c>
      <c r="C192" s="212">
        <f>'Baseline Statistics'!C12</f>
        <v>2022</v>
      </c>
      <c r="D192" s="212">
        <f>'Baseline Statistics'!D12</f>
        <v>2025</v>
      </c>
      <c r="E192" s="212">
        <f>'Baseline Statistics'!E12</f>
        <v>2030</v>
      </c>
      <c r="F192" s="212">
        <f>'Baseline Statistics'!F12</f>
        <v>2035</v>
      </c>
      <c r="G192" s="212">
        <f>'Baseline Statistics'!G12</f>
        <v>2040</v>
      </c>
      <c r="H192" s="212">
        <f>'Baseline Statistics'!H12</f>
        <v>2045</v>
      </c>
      <c r="I192" s="213">
        <f>'Baseline Statistics'!I12</f>
        <v>2050</v>
      </c>
      <c r="J192"/>
      <c r="N192" s="12"/>
    </row>
    <row r="193" spans="1:14" x14ac:dyDescent="0.25">
      <c r="A193"/>
      <c r="B193" s="58" t="s">
        <v>34</v>
      </c>
      <c r="C193" s="84">
        <f>VLOOKUP($A191,$B194:$I197,COLUMN()-1,TRUE)</f>
        <v>0</v>
      </c>
      <c r="D193" s="59">
        <f t="shared" ref="D193:I193" si="61">VLOOKUP($A191,$B194:$I197,COLUMN()-1,TRUE)</f>
        <v>0.16666666666666666</v>
      </c>
      <c r="E193" s="59">
        <f t="shared" si="61"/>
        <v>0.33333333333333331</v>
      </c>
      <c r="F193" s="59">
        <f t="shared" si="61"/>
        <v>0.5</v>
      </c>
      <c r="G193" s="59">
        <f t="shared" si="61"/>
        <v>0.66666666666666663</v>
      </c>
      <c r="H193" s="59">
        <f t="shared" si="61"/>
        <v>0.83333333333333326</v>
      </c>
      <c r="I193" s="60">
        <f t="shared" si="61"/>
        <v>1</v>
      </c>
      <c r="J193" s="24" t="str">
        <f>VLOOKUP($A191,$B194:$J197,COLUMN()-1,TRUE)</f>
        <v>100% of light vehicle trips completed by EV's by 2050</v>
      </c>
    </row>
    <row r="194" spans="1:14" x14ac:dyDescent="0.25">
      <c r="A194"/>
      <c r="B194" s="214">
        <v>1</v>
      </c>
      <c r="C194" s="284">
        <v>0</v>
      </c>
      <c r="D194" s="216">
        <f t="shared" ref="D194:D197" si="62">C194+(($I194-$C194)/6)</f>
        <v>8.3333333333333332E-3</v>
      </c>
      <c r="E194" s="216">
        <f t="shared" ref="E194:E197" si="63">D194+(($I194-$C194)/6)</f>
        <v>1.6666666666666666E-2</v>
      </c>
      <c r="F194" s="216">
        <f t="shared" ref="F194:F197" si="64">E194+(($I194-$C194)/6)</f>
        <v>2.5000000000000001E-2</v>
      </c>
      <c r="G194" s="216">
        <f t="shared" ref="G194:G197" si="65">F194+(($I194-$C194)/6)</f>
        <v>3.3333333333333333E-2</v>
      </c>
      <c r="H194" s="216">
        <f t="shared" ref="H194:H197" si="66">G194+(($I194-$C194)/6)</f>
        <v>4.1666666666666664E-2</v>
      </c>
      <c r="I194" s="217">
        <v>0.05</v>
      </c>
      <c r="J194" t="s">
        <v>290</v>
      </c>
      <c r="K194" s="12"/>
    </row>
    <row r="195" spans="1:14" x14ac:dyDescent="0.25">
      <c r="A195"/>
      <c r="B195" s="214">
        <v>2</v>
      </c>
      <c r="C195" s="284">
        <v>0</v>
      </c>
      <c r="D195" s="216">
        <f t="shared" si="62"/>
        <v>4.9999999999999996E-2</v>
      </c>
      <c r="E195" s="216">
        <f t="shared" si="63"/>
        <v>9.9999999999999992E-2</v>
      </c>
      <c r="F195" s="216">
        <f t="shared" si="64"/>
        <v>0.15</v>
      </c>
      <c r="G195" s="216">
        <f t="shared" si="65"/>
        <v>0.19999999999999998</v>
      </c>
      <c r="H195" s="216">
        <f t="shared" si="66"/>
        <v>0.24999999999999997</v>
      </c>
      <c r="I195" s="217">
        <v>0.3</v>
      </c>
      <c r="J195" t="s">
        <v>291</v>
      </c>
    </row>
    <row r="196" spans="1:14" x14ac:dyDescent="0.25">
      <c r="A196"/>
      <c r="B196" s="214">
        <v>3</v>
      </c>
      <c r="C196" s="284">
        <v>0</v>
      </c>
      <c r="D196" s="216">
        <f t="shared" si="62"/>
        <v>9.9999999999999992E-2</v>
      </c>
      <c r="E196" s="216">
        <f t="shared" si="63"/>
        <v>0.19999999999999998</v>
      </c>
      <c r="F196" s="216">
        <f t="shared" si="64"/>
        <v>0.3</v>
      </c>
      <c r="G196" s="216">
        <f t="shared" si="65"/>
        <v>0.39999999999999997</v>
      </c>
      <c r="H196" s="216">
        <f t="shared" si="66"/>
        <v>0.49999999999999994</v>
      </c>
      <c r="I196" s="217">
        <v>0.6</v>
      </c>
      <c r="J196" t="s">
        <v>292</v>
      </c>
      <c r="L196" s="10"/>
      <c r="N196" s="54"/>
    </row>
    <row r="197" spans="1:14" ht="15.75" thickBot="1" x14ac:dyDescent="0.3">
      <c r="A197"/>
      <c r="B197" s="219">
        <v>4</v>
      </c>
      <c r="C197" s="285">
        <v>0</v>
      </c>
      <c r="D197" s="221">
        <f t="shared" si="62"/>
        <v>0.16666666666666666</v>
      </c>
      <c r="E197" s="221">
        <f t="shared" si="63"/>
        <v>0.33333333333333331</v>
      </c>
      <c r="F197" s="221">
        <f t="shared" si="64"/>
        <v>0.5</v>
      </c>
      <c r="G197" s="221">
        <f t="shared" si="65"/>
        <v>0.66666666666666663</v>
      </c>
      <c r="H197" s="221">
        <f t="shared" si="66"/>
        <v>0.83333333333333326</v>
      </c>
      <c r="I197" s="222">
        <v>1</v>
      </c>
      <c r="J197" t="s">
        <v>293</v>
      </c>
    </row>
    <row r="198" spans="1:14" ht="15.75" thickBot="1" x14ac:dyDescent="0.3">
      <c r="A198"/>
      <c r="B198" s="351"/>
      <c r="C198" s="352"/>
      <c r="D198" s="353"/>
      <c r="E198" s="354"/>
      <c r="F198" s="355"/>
      <c r="G198" s="355"/>
      <c r="H198" s="355"/>
      <c r="I198" s="356"/>
      <c r="J198" s="309"/>
    </row>
    <row r="199" spans="1:14" x14ac:dyDescent="0.25">
      <c r="A199"/>
      <c r="B199" s="597" t="s">
        <v>223</v>
      </c>
      <c r="C199" s="599">
        <f>'Baseline Statistics'!C$12</f>
        <v>2022</v>
      </c>
      <c r="D199" s="599">
        <f>'Baseline Statistics'!D$12</f>
        <v>2025</v>
      </c>
      <c r="E199" s="599">
        <f>'Baseline Statistics'!E$12</f>
        <v>2030</v>
      </c>
      <c r="F199" s="599">
        <f>'Baseline Statistics'!F$12</f>
        <v>2035</v>
      </c>
      <c r="G199" s="599">
        <f>'Baseline Statistics'!G$12</f>
        <v>2040</v>
      </c>
      <c r="H199" s="599">
        <f>'Baseline Statistics'!H$12</f>
        <v>2045</v>
      </c>
      <c r="I199" s="601">
        <f>'Baseline Statistics'!I$12</f>
        <v>2050</v>
      </c>
      <c r="J199"/>
    </row>
    <row r="200" spans="1:14" x14ac:dyDescent="0.25">
      <c r="A200" s="335"/>
      <c r="B200" s="598"/>
      <c r="C200" s="600"/>
      <c r="D200" s="600"/>
      <c r="E200" s="600"/>
      <c r="F200" s="600"/>
      <c r="G200" s="600"/>
      <c r="H200" s="600"/>
      <c r="I200" s="602"/>
      <c r="J200"/>
    </row>
    <row r="201" spans="1:14" x14ac:dyDescent="0.25">
      <c r="A201" s="335"/>
      <c r="B201" s="598"/>
      <c r="C201" s="600"/>
      <c r="D201" s="600"/>
      <c r="E201" s="600"/>
      <c r="F201" s="600"/>
      <c r="G201" s="600"/>
      <c r="H201" s="600"/>
      <c r="I201" s="602"/>
      <c r="J201"/>
      <c r="N201" s="54"/>
    </row>
    <row r="202" spans="1:14" x14ac:dyDescent="0.25">
      <c r="A202" s="335"/>
      <c r="B202" s="299" t="s">
        <v>248</v>
      </c>
      <c r="C202" s="300">
        <f>C180</f>
        <v>36790440.061202846</v>
      </c>
      <c r="D202" s="300">
        <f>D180*(1-(D193-$C193)/(1-$C193))</f>
        <v>30805272.710534714</v>
      </c>
      <c r="E202" s="300">
        <f t="shared" ref="E202:I202" si="67">E180*(1-(E193-$C193)/(1-$C193))</f>
        <v>25452506.445437524</v>
      </c>
      <c r="F202" s="300">
        <f t="shared" si="67"/>
        <v>19370824.178053346</v>
      </c>
      <c r="G202" s="300">
        <f t="shared" si="67"/>
        <v>12973674.108661728</v>
      </c>
      <c r="H202" s="300">
        <f>H180*(1-(H193-$C193)/(1-$C193))</f>
        <v>6452912.3502914738</v>
      </c>
      <c r="I202" s="336">
        <f t="shared" si="67"/>
        <v>0</v>
      </c>
      <c r="J202" s="3"/>
    </row>
    <row r="203" spans="1:14" x14ac:dyDescent="0.25">
      <c r="A203" s="335"/>
      <c r="B203" s="299" t="s">
        <v>249</v>
      </c>
      <c r="C203" s="300">
        <f>C181</f>
        <v>8353453.6432471676</v>
      </c>
      <c r="D203" s="300">
        <f>D181*(1-(D193-$C193)/(1-$C193))</f>
        <v>6994491.4256789535</v>
      </c>
      <c r="E203" s="300">
        <f t="shared" ref="E203:I203" si="68">E181*(1-(E193-$C193)/(1-$C193))</f>
        <v>5779119.0413246909</v>
      </c>
      <c r="F203" s="300">
        <f t="shared" si="68"/>
        <v>4398242.6286196923</v>
      </c>
      <c r="G203" s="300">
        <f>G181*(1-(G193-$C193)/(1-$C193))</f>
        <v>2945737.6717705531</v>
      </c>
      <c r="H203" s="300">
        <f t="shared" si="68"/>
        <v>1465166.0619558946</v>
      </c>
      <c r="I203" s="336">
        <f t="shared" si="68"/>
        <v>0</v>
      </c>
      <c r="J203"/>
    </row>
    <row r="204" spans="1:14" x14ac:dyDescent="0.25">
      <c r="A204" s="335"/>
      <c r="B204" s="316" t="s">
        <v>250</v>
      </c>
      <c r="C204" s="327">
        <f t="shared" ref="C204:C210" si="69">C182</f>
        <v>3404243.6177032739</v>
      </c>
      <c r="D204" s="327">
        <f t="shared" ref="D204:I210" si="70">D182</f>
        <v>3615545.4516820493</v>
      </c>
      <c r="E204" s="327">
        <f t="shared" si="70"/>
        <v>3959910.4192872313</v>
      </c>
      <c r="F204" s="327">
        <f t="shared" si="70"/>
        <v>4276892.384391454</v>
      </c>
      <c r="G204" s="327">
        <f t="shared" si="70"/>
        <v>4592229.3185595945</v>
      </c>
      <c r="H204" s="327">
        <f t="shared" si="70"/>
        <v>4905631.7791490862</v>
      </c>
      <c r="I204" s="328">
        <f t="shared" si="70"/>
        <v>5777199.7954658056</v>
      </c>
      <c r="J204"/>
    </row>
    <row r="205" spans="1:14" x14ac:dyDescent="0.25">
      <c r="A205" s="335"/>
      <c r="B205" s="316" t="s">
        <v>251</v>
      </c>
      <c r="C205" s="327">
        <f t="shared" si="69"/>
        <v>18536711.417872287</v>
      </c>
      <c r="D205" s="327">
        <f t="shared" si="70"/>
        <v>20024705.390733607</v>
      </c>
      <c r="E205" s="327">
        <f t="shared" si="70"/>
        <v>21927026.821497481</v>
      </c>
      <c r="F205" s="327">
        <f t="shared" si="70"/>
        <v>23519462.203724727</v>
      </c>
      <c r="G205" s="327">
        <f t="shared" si="70"/>
        <v>25258590.694972571</v>
      </c>
      <c r="H205" s="327">
        <f t="shared" si="70"/>
        <v>27044432.883758597</v>
      </c>
      <c r="I205" s="328">
        <f t="shared" si="70"/>
        <v>29095069.459839955</v>
      </c>
      <c r="J205"/>
    </row>
    <row r="206" spans="1:14" x14ac:dyDescent="0.25">
      <c r="A206" s="335"/>
      <c r="B206" s="316" t="s">
        <v>252</v>
      </c>
      <c r="C206" s="327">
        <f t="shared" si="69"/>
        <v>875123.71500684612</v>
      </c>
      <c r="D206" s="327">
        <f t="shared" si="70"/>
        <v>967726.94541586342</v>
      </c>
      <c r="E206" s="327">
        <f t="shared" si="70"/>
        <v>1101829.3176220264</v>
      </c>
      <c r="F206" s="327">
        <f t="shared" si="70"/>
        <v>1235315.3309108242</v>
      </c>
      <c r="G206" s="327">
        <f t="shared" si="70"/>
        <v>1375021.6833413099</v>
      </c>
      <c r="H206" s="327">
        <f t="shared" si="70"/>
        <v>1520806.3875448583</v>
      </c>
      <c r="I206" s="328">
        <f t="shared" si="70"/>
        <v>1852176.6852841352</v>
      </c>
      <c r="J206"/>
    </row>
    <row r="207" spans="1:14" x14ac:dyDescent="0.25">
      <c r="A207" s="335"/>
      <c r="B207" s="316" t="s">
        <v>210</v>
      </c>
      <c r="C207" s="327">
        <f t="shared" si="69"/>
        <v>603881.656249461</v>
      </c>
      <c r="D207" s="327">
        <f t="shared" si="70"/>
        <v>638704.15631324635</v>
      </c>
      <c r="E207" s="327">
        <f t="shared" si="70"/>
        <v>674452.60097120563</v>
      </c>
      <c r="F207" s="327">
        <f t="shared" si="70"/>
        <v>687062.30018337676</v>
      </c>
      <c r="G207" s="327">
        <f t="shared" si="70"/>
        <v>689637.75132559775</v>
      </c>
      <c r="H207" s="327">
        <f t="shared" si="70"/>
        <v>678239.64892526914</v>
      </c>
      <c r="I207" s="328">
        <f t="shared" si="70"/>
        <v>756220.49513956707</v>
      </c>
      <c r="J207"/>
    </row>
    <row r="208" spans="1:14" x14ac:dyDescent="0.25">
      <c r="A208" s="335"/>
      <c r="B208" s="316" t="s">
        <v>213</v>
      </c>
      <c r="C208" s="327">
        <f t="shared" si="69"/>
        <v>307048.79688692791</v>
      </c>
      <c r="D208" s="327">
        <f t="shared" si="70"/>
        <v>753563.47770965588</v>
      </c>
      <c r="E208" s="327">
        <f t="shared" si="70"/>
        <v>1477770.7711393829</v>
      </c>
      <c r="F208" s="327">
        <f t="shared" si="70"/>
        <v>2493806.2010633224</v>
      </c>
      <c r="G208" s="327">
        <f t="shared" si="70"/>
        <v>3882851.1444827197</v>
      </c>
      <c r="H208" s="327">
        <f t="shared" si="70"/>
        <v>5697165.4225344006</v>
      </c>
      <c r="I208" s="328">
        <f t="shared" si="70"/>
        <v>8060223.8198657501</v>
      </c>
      <c r="J208"/>
    </row>
    <row r="209" spans="1:15" x14ac:dyDescent="0.25">
      <c r="A209" s="335"/>
      <c r="B209" s="316" t="s">
        <v>70</v>
      </c>
      <c r="C209" s="327">
        <f t="shared" si="69"/>
        <v>4350044.3909544628</v>
      </c>
      <c r="D209" s="327">
        <f t="shared" si="70"/>
        <v>5142315.7847042698</v>
      </c>
      <c r="E209" s="327">
        <f t="shared" si="70"/>
        <v>6241416.7598380577</v>
      </c>
      <c r="F209" s="327">
        <f t="shared" si="70"/>
        <v>7272227.7411202034</v>
      </c>
      <c r="G209" s="327">
        <f t="shared" si="70"/>
        <v>8489935.6830455307</v>
      </c>
      <c r="H209" s="327">
        <f t="shared" si="70"/>
        <v>9851001.1536053307</v>
      </c>
      <c r="I209" s="328">
        <f t="shared" si="70"/>
        <v>11525031.830046602</v>
      </c>
      <c r="J209"/>
    </row>
    <row r="210" spans="1:15" x14ac:dyDescent="0.25">
      <c r="A210" s="335"/>
      <c r="B210" s="316" t="s">
        <v>127</v>
      </c>
      <c r="C210" s="327">
        <f t="shared" si="69"/>
        <v>578623.93901467754</v>
      </c>
      <c r="D210" s="327">
        <f t="shared" si="70"/>
        <v>595520.65223703149</v>
      </c>
      <c r="E210" s="327">
        <f t="shared" si="70"/>
        <v>623085.70552406891</v>
      </c>
      <c r="F210" s="327">
        <f t="shared" si="70"/>
        <v>645813.36829283612</v>
      </c>
      <c r="G210" s="327">
        <f t="shared" si="70"/>
        <v>668541.03106160311</v>
      </c>
      <c r="H210" s="327">
        <f t="shared" si="70"/>
        <v>691268.69383037032</v>
      </c>
      <c r="I210" s="328">
        <f t="shared" si="70"/>
        <v>713996.35659913742</v>
      </c>
      <c r="J210"/>
    </row>
    <row r="211" spans="1:15" x14ac:dyDescent="0.25">
      <c r="A211" s="335"/>
      <c r="B211" s="316" t="s">
        <v>72</v>
      </c>
      <c r="C211" s="327">
        <f t="shared" ref="C211:I211" si="71">C189</f>
        <v>538033.26885880088</v>
      </c>
      <c r="D211" s="327">
        <f t="shared" si="71"/>
        <v>571429.06223276653</v>
      </c>
      <c r="E211" s="327">
        <f t="shared" si="71"/>
        <v>625855.19326450315</v>
      </c>
      <c r="F211" s="327">
        <f t="shared" si="71"/>
        <v>675953.50055585185</v>
      </c>
      <c r="G211" s="327">
        <f t="shared" si="71"/>
        <v>725791.81430052512</v>
      </c>
      <c r="H211" s="327">
        <f t="shared" si="71"/>
        <v>775324.38872101228</v>
      </c>
      <c r="I211" s="328">
        <f t="shared" si="71"/>
        <v>913073.81018222892</v>
      </c>
      <c r="J211"/>
    </row>
    <row r="212" spans="1:15" x14ac:dyDescent="0.25">
      <c r="A212" s="335"/>
      <c r="B212" s="316" t="s">
        <v>253</v>
      </c>
      <c r="C212" s="327">
        <f t="shared" ref="C212:I212" si="72">C78</f>
        <v>5648525.7968623694</v>
      </c>
      <c r="D212" s="327">
        <f t="shared" si="72"/>
        <v>5405339.5261686528</v>
      </c>
      <c r="E212" s="327">
        <f t="shared" si="72"/>
        <v>5155424.9922740031</v>
      </c>
      <c r="F212" s="327">
        <f t="shared" si="72"/>
        <v>4906763.0429621404</v>
      </c>
      <c r="G212" s="327">
        <f t="shared" si="72"/>
        <v>4658058.2387427678</v>
      </c>
      <c r="H212" s="327">
        <f t="shared" si="72"/>
        <v>4409367.6776040355</v>
      </c>
      <c r="I212" s="328">
        <f t="shared" si="72"/>
        <v>4131880.1126898946</v>
      </c>
      <c r="J212"/>
    </row>
    <row r="213" spans="1:15" x14ac:dyDescent="0.25">
      <c r="A213" s="335"/>
      <c r="B213" s="299" t="s">
        <v>254</v>
      </c>
      <c r="C213" s="300">
        <f>C79</f>
        <v>533194.78349569347</v>
      </c>
      <c r="D213" s="300">
        <f t="shared" ref="D213:I213" si="73">D79*(1-(D193-$C193)/(1-$C193))</f>
        <v>425199.26762382727</v>
      </c>
      <c r="E213" s="300">
        <f t="shared" si="73"/>
        <v>324432.22785795981</v>
      </c>
      <c r="F213" s="300">
        <f t="shared" si="73"/>
        <v>231587.90031641026</v>
      </c>
      <c r="G213" s="300">
        <f t="shared" si="73"/>
        <v>146566.40472436164</v>
      </c>
      <c r="H213" s="300">
        <f t="shared" si="73"/>
        <v>69370.662032411783</v>
      </c>
      <c r="I213" s="336">
        <f t="shared" si="73"/>
        <v>0</v>
      </c>
      <c r="J213"/>
    </row>
    <row r="214" spans="1:15" ht="15.75" thickBot="1" x14ac:dyDescent="0.3">
      <c r="A214" s="335"/>
      <c r="B214" s="357" t="s">
        <v>294</v>
      </c>
      <c r="C214" s="358">
        <v>0</v>
      </c>
      <c r="D214" s="358">
        <f>(D180-D202)/'Emissions Factors, etc,'!D121*'Emissions Factors, etc,'!D126+(D181-D203)/'Emissions Factors, etc,'!D122*'Emissions Factors, etc,'!D126+(D79-D213)/'Emissions Factors, etc,'!D121*'Emissions Factors, etc,'!D126</f>
        <v>8771107.9401702918</v>
      </c>
      <c r="E214" s="358">
        <f>(E180-E202)/'Emissions Factors, etc,'!E121*'Emissions Factors, etc,'!E126+(E181-E203)/'Emissions Factors, etc,'!E122*'Emissions Factors, etc,'!E126+(E79-E213)/'Emissions Factors, etc,'!E121*'Emissions Factors, etc,'!E126</f>
        <v>18102006.283583853</v>
      </c>
      <c r="F214" s="358">
        <f>(F180-F202)/'Emissions Factors, etc,'!F121*'Emissions Factors, etc,'!F126+(F181-F203)/'Emissions Factors, etc,'!F122*'Emissions Factors, etc,'!F126+(F79-F213)/'Emissions Factors, etc,'!F121*'Emissions Factors, etc,'!F126</f>
        <v>27535596.666436113</v>
      </c>
      <c r="G214" s="358">
        <f>(G180-G202)/'Emissions Factors, etc,'!G121*'Emissions Factors, etc,'!G126+(G181-G203)/'Emissions Factors, etc,'!G122*'Emissions Factors, etc,'!G126+(G79-G213)/'Emissions Factors, etc,'!G121*'Emissions Factors, etc,'!G126</f>
        <v>36864337.750999846</v>
      </c>
      <c r="H214" s="358">
        <f>(H180-H202)/'Emissions Factors, etc,'!H121*'Emissions Factors, etc,'!H126+(H181-H203)/'Emissions Factors, etc,'!H122*'Emissions Factors, etc,'!H126+(H79-H213)/'Emissions Factors, etc,'!H121*'Emissions Factors, etc,'!H126</f>
        <v>45818999.201579891</v>
      </c>
      <c r="I214" s="359">
        <f>(I180-I202)/'Emissions Factors, etc,'!I121*'Emissions Factors, etc,'!I126+(I181-I203)/'Emissions Factors, etc,'!I122*'Emissions Factors, etc,'!I126+(I79-I213)/'Emissions Factors, etc,'!I121*'Emissions Factors, etc,'!I126</f>
        <v>59894695.798445672</v>
      </c>
      <c r="J214"/>
      <c r="N214" s="54"/>
    </row>
    <row r="215" spans="1:15" ht="15.75" thickBot="1" x14ac:dyDescent="0.3">
      <c r="B215"/>
      <c r="C215"/>
      <c r="D215"/>
      <c r="E215"/>
      <c r="F215"/>
      <c r="G215"/>
      <c r="H215"/>
      <c r="I215"/>
      <c r="J215"/>
    </row>
    <row r="216" spans="1:15" x14ac:dyDescent="0.25">
      <c r="A216" s="209">
        <v>3</v>
      </c>
      <c r="B216" s="210"/>
      <c r="C216" s="575" t="s">
        <v>295</v>
      </c>
      <c r="D216" s="576"/>
      <c r="E216" s="576"/>
      <c r="F216" s="576"/>
      <c r="G216" s="576"/>
      <c r="H216" s="576"/>
      <c r="I216" s="577"/>
      <c r="J216"/>
      <c r="N216" s="54"/>
    </row>
    <row r="217" spans="1:15" x14ac:dyDescent="0.25">
      <c r="A217"/>
      <c r="B217" s="214" t="s">
        <v>33</v>
      </c>
      <c r="C217" s="212">
        <f>'Baseline Statistics'!C12</f>
        <v>2022</v>
      </c>
      <c r="D217" s="212">
        <f>'Baseline Statistics'!D12</f>
        <v>2025</v>
      </c>
      <c r="E217" s="212">
        <f>'Baseline Statistics'!E12</f>
        <v>2030</v>
      </c>
      <c r="F217" s="212">
        <f>'Baseline Statistics'!F12</f>
        <v>2035</v>
      </c>
      <c r="G217" s="212">
        <f>'Baseline Statistics'!G12</f>
        <v>2040</v>
      </c>
      <c r="H217" s="212">
        <f>'Baseline Statistics'!H12</f>
        <v>2045</v>
      </c>
      <c r="I217" s="213">
        <f>'Baseline Statistics'!I12</f>
        <v>2050</v>
      </c>
      <c r="J217" s="12"/>
      <c r="O217" s="54"/>
    </row>
    <row r="218" spans="1:15" x14ac:dyDescent="0.25">
      <c r="A218"/>
      <c r="B218" s="58" t="s">
        <v>34</v>
      </c>
      <c r="C218" s="85">
        <f>VLOOKUP($A216,$B$219:$I$222,COLUMN()-1,TRUE)</f>
        <v>0</v>
      </c>
      <c r="D218" s="85">
        <f t="shared" ref="D218:I218" si="74">VLOOKUP($A216,$B$219:$I$222,COLUMN()-1,TRUE)</f>
        <v>8.3333333333333329E-2</v>
      </c>
      <c r="E218" s="85">
        <f t="shared" si="74"/>
        <v>0.16666666666666666</v>
      </c>
      <c r="F218" s="85">
        <f t="shared" si="74"/>
        <v>0.25</v>
      </c>
      <c r="G218" s="85">
        <f t="shared" si="74"/>
        <v>0.33333333333333331</v>
      </c>
      <c r="H218" s="85">
        <f t="shared" si="74"/>
        <v>0.41666666666666663</v>
      </c>
      <c r="I218" s="86">
        <f t="shared" si="74"/>
        <v>0.5</v>
      </c>
      <c r="J218" s="24" t="str">
        <f>VLOOKUP($A216,$B219:$J222,COLUMN()-1,TRUE)</f>
        <v>50% of heavy vehicle trips are EV's by 2050</v>
      </c>
    </row>
    <row r="219" spans="1:15" x14ac:dyDescent="0.25">
      <c r="A219"/>
      <c r="B219" s="214">
        <v>1</v>
      </c>
      <c r="C219" s="215">
        <v>0</v>
      </c>
      <c r="D219" s="216">
        <f t="shared" ref="D219:D222" si="75">C219+(($I219-$C219)/6)</f>
        <v>1.6666666666666668E-3</v>
      </c>
      <c r="E219" s="216">
        <f t="shared" ref="E219:E222" si="76">D219+(($I219-$C219)/6)</f>
        <v>3.3333333333333335E-3</v>
      </c>
      <c r="F219" s="216">
        <f t="shared" ref="F219:F222" si="77">E219+(($I219-$C219)/6)</f>
        <v>5.0000000000000001E-3</v>
      </c>
      <c r="G219" s="216">
        <f t="shared" ref="G219:G222" si="78">F219+(($I219-$C219)/6)</f>
        <v>6.6666666666666671E-3</v>
      </c>
      <c r="H219" s="216">
        <f t="shared" ref="H219:H222" si="79">G219+(($I219-$C219)/6)</f>
        <v>8.3333333333333332E-3</v>
      </c>
      <c r="I219" s="217">
        <v>0.01</v>
      </c>
      <c r="J219" t="s">
        <v>296</v>
      </c>
    </row>
    <row r="220" spans="1:15" x14ac:dyDescent="0.25">
      <c r="A220"/>
      <c r="B220" s="214">
        <v>2</v>
      </c>
      <c r="C220" s="215">
        <v>0</v>
      </c>
      <c r="D220" s="216">
        <f t="shared" si="75"/>
        <v>3.3333333333333333E-2</v>
      </c>
      <c r="E220" s="216">
        <f t="shared" si="76"/>
        <v>6.6666666666666666E-2</v>
      </c>
      <c r="F220" s="216">
        <f t="shared" si="77"/>
        <v>0.1</v>
      </c>
      <c r="G220" s="216">
        <f t="shared" si="78"/>
        <v>0.13333333333333333</v>
      </c>
      <c r="H220" s="216">
        <f t="shared" si="79"/>
        <v>0.16666666666666666</v>
      </c>
      <c r="I220" s="217">
        <v>0.2</v>
      </c>
      <c r="J220" t="s">
        <v>297</v>
      </c>
    </row>
    <row r="221" spans="1:15" x14ac:dyDescent="0.25">
      <c r="A221"/>
      <c r="B221" s="214">
        <v>3</v>
      </c>
      <c r="C221" s="215">
        <v>0</v>
      </c>
      <c r="D221" s="216">
        <f t="shared" si="75"/>
        <v>8.3333333333333329E-2</v>
      </c>
      <c r="E221" s="216">
        <f t="shared" si="76"/>
        <v>0.16666666666666666</v>
      </c>
      <c r="F221" s="216">
        <f t="shared" si="77"/>
        <v>0.25</v>
      </c>
      <c r="G221" s="216">
        <f t="shared" si="78"/>
        <v>0.33333333333333331</v>
      </c>
      <c r="H221" s="216">
        <f t="shared" si="79"/>
        <v>0.41666666666666663</v>
      </c>
      <c r="I221" s="217">
        <v>0.5</v>
      </c>
      <c r="J221" t="s">
        <v>298</v>
      </c>
    </row>
    <row r="222" spans="1:15" ht="15.75" thickBot="1" x14ac:dyDescent="0.3">
      <c r="A222"/>
      <c r="B222" s="219">
        <v>4</v>
      </c>
      <c r="C222" s="220">
        <v>0</v>
      </c>
      <c r="D222" s="221">
        <f t="shared" si="75"/>
        <v>0.125</v>
      </c>
      <c r="E222" s="221">
        <f t="shared" si="76"/>
        <v>0.25</v>
      </c>
      <c r="F222" s="221">
        <f t="shared" si="77"/>
        <v>0.375</v>
      </c>
      <c r="G222" s="221">
        <f t="shared" si="78"/>
        <v>0.5</v>
      </c>
      <c r="H222" s="221">
        <f t="shared" si="79"/>
        <v>0.625</v>
      </c>
      <c r="I222" s="217">
        <v>0.75</v>
      </c>
      <c r="J222" t="s">
        <v>299</v>
      </c>
    </row>
    <row r="223" spans="1:15" ht="15.75" thickBot="1" x14ac:dyDescent="0.3">
      <c r="A223"/>
      <c r="B223" s="603"/>
      <c r="C223" s="604"/>
      <c r="D223" s="604"/>
      <c r="E223" s="604"/>
      <c r="F223" s="604"/>
      <c r="G223" s="604"/>
      <c r="H223" s="604"/>
      <c r="I223" s="605"/>
      <c r="J223"/>
    </row>
    <row r="224" spans="1:15" x14ac:dyDescent="0.25">
      <c r="A224" s="209">
        <v>2</v>
      </c>
      <c r="B224" s="210"/>
      <c r="C224" s="580" t="s">
        <v>300</v>
      </c>
      <c r="D224" s="580"/>
      <c r="E224" s="580"/>
      <c r="F224" s="580"/>
      <c r="G224" s="580"/>
      <c r="H224" s="580"/>
      <c r="I224" s="581"/>
      <c r="J224"/>
    </row>
    <row r="225" spans="1:10" x14ac:dyDescent="0.25">
      <c r="A225"/>
      <c r="B225" s="214" t="s">
        <v>33</v>
      </c>
      <c r="C225" s="212">
        <f>C217</f>
        <v>2022</v>
      </c>
      <c r="D225" s="212">
        <f t="shared" ref="D225:I225" si="80">D217</f>
        <v>2025</v>
      </c>
      <c r="E225" s="212">
        <f t="shared" si="80"/>
        <v>2030</v>
      </c>
      <c r="F225" s="212">
        <f t="shared" si="80"/>
        <v>2035</v>
      </c>
      <c r="G225" s="212">
        <f t="shared" si="80"/>
        <v>2040</v>
      </c>
      <c r="H225" s="212">
        <f t="shared" si="80"/>
        <v>2045</v>
      </c>
      <c r="I225" s="213">
        <f t="shared" si="80"/>
        <v>2050</v>
      </c>
      <c r="J225"/>
    </row>
    <row r="226" spans="1:10" x14ac:dyDescent="0.25">
      <c r="A226"/>
      <c r="B226" s="58" t="s">
        <v>34</v>
      </c>
      <c r="C226" s="87">
        <f>VLOOKUP($A$224,$B$227:$I$230,COLUMN()-1,TRUE)</f>
        <v>0</v>
      </c>
      <c r="D226" s="87">
        <f t="shared" ref="D226:I226" si="81">VLOOKUP($A$224,$B$227:$I$230,COLUMN()-1,TRUE)</f>
        <v>0.16666666666666666</v>
      </c>
      <c r="E226" s="87">
        <f t="shared" si="81"/>
        <v>0.33333333333333331</v>
      </c>
      <c r="F226" s="87">
        <f t="shared" si="81"/>
        <v>0.5</v>
      </c>
      <c r="G226" s="87">
        <f t="shared" si="81"/>
        <v>0.66666666666666663</v>
      </c>
      <c r="H226" s="87">
        <f t="shared" si="81"/>
        <v>0.83333333333333326</v>
      </c>
      <c r="I226" s="88">
        <f t="shared" si="81"/>
        <v>1</v>
      </c>
      <c r="J226" s="24" t="str">
        <f>VLOOKUP($A224,$B227:$J230,COLUMN()-1,TRUE)</f>
        <v>Busses 100% electrified by 2050</v>
      </c>
    </row>
    <row r="227" spans="1:10" x14ac:dyDescent="0.25">
      <c r="A227"/>
      <c r="B227" s="214">
        <v>1</v>
      </c>
      <c r="C227" s="216">
        <v>0</v>
      </c>
      <c r="D227" s="216">
        <f>C227+(($I227-$C227)/6)</f>
        <v>2.5000000000000001E-3</v>
      </c>
      <c r="E227" s="216">
        <f t="shared" ref="E227:H228" si="82">D227+(($I227-$C227)/6)</f>
        <v>5.0000000000000001E-3</v>
      </c>
      <c r="F227" s="216">
        <f t="shared" si="82"/>
        <v>7.4999999999999997E-3</v>
      </c>
      <c r="G227" s="216">
        <f t="shared" si="82"/>
        <v>0.01</v>
      </c>
      <c r="H227" s="216">
        <f t="shared" si="82"/>
        <v>1.2500000000000001E-2</v>
      </c>
      <c r="I227" s="217">
        <v>1.4999999999999999E-2</v>
      </c>
      <c r="J227" t="s">
        <v>301</v>
      </c>
    </row>
    <row r="228" spans="1:10" x14ac:dyDescent="0.25">
      <c r="A228"/>
      <c r="B228" s="214">
        <v>2</v>
      </c>
      <c r="C228" s="216">
        <v>0</v>
      </c>
      <c r="D228" s="216">
        <f>C228+(($I228-$C228)/6)</f>
        <v>0.16666666666666666</v>
      </c>
      <c r="E228" s="216">
        <f t="shared" si="82"/>
        <v>0.33333333333333331</v>
      </c>
      <c r="F228" s="216">
        <f>E228+(($I228-$C228)/6)</f>
        <v>0.5</v>
      </c>
      <c r="G228" s="216">
        <f t="shared" si="82"/>
        <v>0.66666666666666663</v>
      </c>
      <c r="H228" s="216">
        <f t="shared" si="82"/>
        <v>0.83333333333333326</v>
      </c>
      <c r="I228" s="217">
        <v>1</v>
      </c>
      <c r="J228" t="s">
        <v>302</v>
      </c>
    </row>
    <row r="229" spans="1:10" x14ac:dyDescent="0.25">
      <c r="A229"/>
      <c r="B229" s="214">
        <v>3</v>
      </c>
      <c r="C229" s="216">
        <v>0</v>
      </c>
      <c r="D229" s="216">
        <f>C229+(($I229-$C229)/4)</f>
        <v>0.25</v>
      </c>
      <c r="E229" s="216">
        <f t="shared" ref="E229:F229" si="83">D229+(($I229-$C229)/4)</f>
        <v>0.5</v>
      </c>
      <c r="F229" s="216">
        <f t="shared" si="83"/>
        <v>0.75</v>
      </c>
      <c r="G229" s="216">
        <v>1</v>
      </c>
      <c r="H229" s="216">
        <v>1</v>
      </c>
      <c r="I229" s="217">
        <v>1</v>
      </c>
      <c r="J229" t="s">
        <v>303</v>
      </c>
    </row>
    <row r="230" spans="1:10" ht="15.75" thickBot="1" x14ac:dyDescent="0.3">
      <c r="A230"/>
      <c r="B230" s="219">
        <v>4</v>
      </c>
      <c r="C230" s="221">
        <v>0</v>
      </c>
      <c r="D230" s="221">
        <f>C230+(($I230-$C230)/2)</f>
        <v>0.5</v>
      </c>
      <c r="E230" s="221">
        <v>1</v>
      </c>
      <c r="F230" s="221">
        <v>1</v>
      </c>
      <c r="G230" s="221">
        <v>1</v>
      </c>
      <c r="H230" s="221">
        <v>1</v>
      </c>
      <c r="I230" s="222">
        <v>1</v>
      </c>
      <c r="J230" t="s">
        <v>304</v>
      </c>
    </row>
    <row r="231" spans="1:10" x14ac:dyDescent="0.25">
      <c r="A231" s="335"/>
      <c r="B231" s="360"/>
      <c r="C231" s="361"/>
      <c r="D231" s="362"/>
      <c r="E231" s="363"/>
      <c r="F231" s="364"/>
      <c r="G231" s="364"/>
      <c r="H231" s="364"/>
      <c r="I231" s="365"/>
      <c r="J231" s="309"/>
    </row>
    <row r="232" spans="1:10" x14ac:dyDescent="0.25">
      <c r="A232" s="335"/>
      <c r="B232" s="598" t="s">
        <v>223</v>
      </c>
      <c r="C232" s="600">
        <f>'Baseline Statistics'!C$12</f>
        <v>2022</v>
      </c>
      <c r="D232" s="600">
        <f>'Baseline Statistics'!D$12</f>
        <v>2025</v>
      </c>
      <c r="E232" s="600">
        <f>'Baseline Statistics'!E$12</f>
        <v>2030</v>
      </c>
      <c r="F232" s="600">
        <f>'Baseline Statistics'!F$12</f>
        <v>2035</v>
      </c>
      <c r="G232" s="600">
        <f>'Baseline Statistics'!G$12</f>
        <v>2040</v>
      </c>
      <c r="H232" s="600">
        <f>'Baseline Statistics'!H$12</f>
        <v>2045</v>
      </c>
      <c r="I232" s="602">
        <f>'Baseline Statistics'!I$12</f>
        <v>2050</v>
      </c>
      <c r="J232"/>
    </row>
    <row r="233" spans="1:10" x14ac:dyDescent="0.25">
      <c r="A233" s="335"/>
      <c r="B233" s="598"/>
      <c r="C233" s="600"/>
      <c r="D233" s="600"/>
      <c r="E233" s="600"/>
      <c r="F233" s="600"/>
      <c r="G233" s="600"/>
      <c r="H233" s="600"/>
      <c r="I233" s="602"/>
      <c r="J233"/>
    </row>
    <row r="234" spans="1:10" x14ac:dyDescent="0.25">
      <c r="A234" s="335"/>
      <c r="B234" s="598"/>
      <c r="C234" s="600"/>
      <c r="D234" s="600"/>
      <c r="E234" s="600"/>
      <c r="F234" s="600"/>
      <c r="G234" s="600"/>
      <c r="H234" s="600"/>
      <c r="I234" s="602"/>
      <c r="J234"/>
    </row>
    <row r="235" spans="1:10" x14ac:dyDescent="0.25">
      <c r="A235" s="335"/>
      <c r="B235" s="316" t="s">
        <v>248</v>
      </c>
      <c r="C235" s="327">
        <f t="shared" ref="C235:H236" si="84">C202</f>
        <v>36790440.061202846</v>
      </c>
      <c r="D235" s="327">
        <f t="shared" si="84"/>
        <v>30805272.710534714</v>
      </c>
      <c r="E235" s="327">
        <f t="shared" si="84"/>
        <v>25452506.445437524</v>
      </c>
      <c r="F235" s="327">
        <f t="shared" si="84"/>
        <v>19370824.178053346</v>
      </c>
      <c r="G235" s="327">
        <f t="shared" si="84"/>
        <v>12973674.108661728</v>
      </c>
      <c r="H235" s="327">
        <f t="shared" si="84"/>
        <v>6452912.3502914738</v>
      </c>
      <c r="I235" s="328">
        <f>I202</f>
        <v>0</v>
      </c>
      <c r="J235"/>
    </row>
    <row r="236" spans="1:10" x14ac:dyDescent="0.25">
      <c r="A236" s="335"/>
      <c r="B236" s="316" t="s">
        <v>249</v>
      </c>
      <c r="C236" s="327">
        <f t="shared" si="84"/>
        <v>8353453.6432471676</v>
      </c>
      <c r="D236" s="327">
        <f t="shared" si="84"/>
        <v>6994491.4256789535</v>
      </c>
      <c r="E236" s="327">
        <f t="shared" si="84"/>
        <v>5779119.0413246909</v>
      </c>
      <c r="F236" s="327">
        <f t="shared" si="84"/>
        <v>4398242.6286196923</v>
      </c>
      <c r="G236" s="327">
        <f t="shared" si="84"/>
        <v>2945737.6717705531</v>
      </c>
      <c r="H236" s="327">
        <f t="shared" si="84"/>
        <v>1465166.0619558946</v>
      </c>
      <c r="I236" s="328">
        <f>I203</f>
        <v>0</v>
      </c>
      <c r="J236"/>
    </row>
    <row r="237" spans="1:10" x14ac:dyDescent="0.25">
      <c r="A237" s="335"/>
      <c r="B237" s="299" t="s">
        <v>250</v>
      </c>
      <c r="C237" s="300">
        <f t="shared" ref="C237:H237" si="85">C204*(1-(C$218-$C$218))</f>
        <v>3404243.6177032739</v>
      </c>
      <c r="D237" s="300">
        <f t="shared" si="85"/>
        <v>3314249.9973752117</v>
      </c>
      <c r="E237" s="300">
        <f t="shared" si="85"/>
        <v>3299925.3494060263</v>
      </c>
      <c r="F237" s="300">
        <f t="shared" si="85"/>
        <v>3207669.2882935908</v>
      </c>
      <c r="G237" s="300">
        <f t="shared" si="85"/>
        <v>3061486.2123730634</v>
      </c>
      <c r="H237" s="300">
        <f t="shared" si="85"/>
        <v>2861618.537836967</v>
      </c>
      <c r="I237" s="336">
        <f>I204*(1-(I$218-$C$218))</f>
        <v>2888599.8977329028</v>
      </c>
      <c r="J237"/>
    </row>
    <row r="238" spans="1:10" x14ac:dyDescent="0.25">
      <c r="A238" s="335"/>
      <c r="B238" s="299" t="s">
        <v>251</v>
      </c>
      <c r="C238" s="300">
        <f>C205*(1-(C$218-$C$218))</f>
        <v>18536711.417872287</v>
      </c>
      <c r="D238" s="300">
        <f t="shared" ref="D238:H238" si="86">D205*(1-(D$218-$C$218))</f>
        <v>18355979.941505805</v>
      </c>
      <c r="E238" s="300">
        <f t="shared" si="86"/>
        <v>18272522.351247903</v>
      </c>
      <c r="F238" s="300">
        <f t="shared" si="86"/>
        <v>17639596.652793545</v>
      </c>
      <c r="G238" s="300">
        <f t="shared" si="86"/>
        <v>16839060.463315051</v>
      </c>
      <c r="H238" s="300">
        <f t="shared" si="86"/>
        <v>15775919.182192516</v>
      </c>
      <c r="I238" s="336">
        <f>I205*(1-(I$218-$C$218))</f>
        <v>14547534.729919977</v>
      </c>
      <c r="J238"/>
    </row>
    <row r="239" spans="1:10" x14ac:dyDescent="0.25">
      <c r="A239" s="335"/>
      <c r="B239" s="299" t="s">
        <v>305</v>
      </c>
      <c r="C239" s="300">
        <f t="shared" ref="C239:C246" si="87">C206</f>
        <v>875123.71500684612</v>
      </c>
      <c r="D239" s="300">
        <f>D206*(1-D226)</f>
        <v>806439.12117988616</v>
      </c>
      <c r="E239" s="300">
        <f t="shared" ref="E239:H239" si="88">E206*(1-E226)</f>
        <v>734552.87841468432</v>
      </c>
      <c r="F239" s="300">
        <f t="shared" si="88"/>
        <v>617657.66545541212</v>
      </c>
      <c r="G239" s="300">
        <f t="shared" si="88"/>
        <v>458340.56111377</v>
      </c>
      <c r="H239" s="300">
        <f t="shared" si="88"/>
        <v>253467.73125747649</v>
      </c>
      <c r="I239" s="336">
        <f>I206*(1-I226)</f>
        <v>0</v>
      </c>
      <c r="J239"/>
    </row>
    <row r="240" spans="1:10" x14ac:dyDescent="0.25">
      <c r="A240" s="335"/>
      <c r="B240" s="316" t="s">
        <v>210</v>
      </c>
      <c r="C240" s="327">
        <f t="shared" si="87"/>
        <v>603881.656249461</v>
      </c>
      <c r="D240" s="327">
        <f t="shared" ref="D240:I244" si="89">D207</f>
        <v>638704.15631324635</v>
      </c>
      <c r="E240" s="327">
        <f t="shared" si="89"/>
        <v>674452.60097120563</v>
      </c>
      <c r="F240" s="327">
        <f t="shared" si="89"/>
        <v>687062.30018337676</v>
      </c>
      <c r="G240" s="327">
        <f t="shared" si="89"/>
        <v>689637.75132559775</v>
      </c>
      <c r="H240" s="327">
        <f t="shared" si="89"/>
        <v>678239.64892526914</v>
      </c>
      <c r="I240" s="328">
        <f t="shared" si="89"/>
        <v>756220.49513956707</v>
      </c>
      <c r="J240" s="309"/>
    </row>
    <row r="241" spans="1:14" x14ac:dyDescent="0.25">
      <c r="A241" s="335"/>
      <c r="B241" s="316" t="s">
        <v>213</v>
      </c>
      <c r="C241" s="327">
        <f t="shared" si="87"/>
        <v>307048.79688692791</v>
      </c>
      <c r="D241" s="327">
        <f t="shared" si="89"/>
        <v>753563.47770965588</v>
      </c>
      <c r="E241" s="327">
        <f t="shared" si="89"/>
        <v>1477770.7711393829</v>
      </c>
      <c r="F241" s="327">
        <f t="shared" si="89"/>
        <v>2493806.2010633224</v>
      </c>
      <c r="G241" s="327">
        <f t="shared" si="89"/>
        <v>3882851.1444827197</v>
      </c>
      <c r="H241" s="327">
        <f t="shared" si="89"/>
        <v>5697165.4225344006</v>
      </c>
      <c r="I241" s="328">
        <f t="shared" si="89"/>
        <v>8060223.8198657501</v>
      </c>
      <c r="J241" s="309"/>
    </row>
    <row r="242" spans="1:14" x14ac:dyDescent="0.25">
      <c r="A242" s="335"/>
      <c r="B242" s="316" t="s">
        <v>70</v>
      </c>
      <c r="C242" s="327">
        <f t="shared" si="87"/>
        <v>4350044.3909544628</v>
      </c>
      <c r="D242" s="327">
        <f t="shared" si="89"/>
        <v>5142315.7847042698</v>
      </c>
      <c r="E242" s="327">
        <f t="shared" si="89"/>
        <v>6241416.7598380577</v>
      </c>
      <c r="F242" s="327">
        <f t="shared" si="89"/>
        <v>7272227.7411202034</v>
      </c>
      <c r="G242" s="327">
        <f t="shared" si="89"/>
        <v>8489935.6830455307</v>
      </c>
      <c r="H242" s="327">
        <f t="shared" si="89"/>
        <v>9851001.1536053307</v>
      </c>
      <c r="I242" s="328">
        <f t="shared" si="89"/>
        <v>11525031.830046602</v>
      </c>
      <c r="J242" s="309"/>
    </row>
    <row r="243" spans="1:14" x14ac:dyDescent="0.25">
      <c r="A243" s="335"/>
      <c r="B243" s="316" t="s">
        <v>127</v>
      </c>
      <c r="C243" s="327">
        <f t="shared" si="87"/>
        <v>578623.93901467754</v>
      </c>
      <c r="D243" s="327">
        <f t="shared" si="89"/>
        <v>595520.65223703149</v>
      </c>
      <c r="E243" s="327">
        <f t="shared" si="89"/>
        <v>623085.70552406891</v>
      </c>
      <c r="F243" s="327">
        <f t="shared" si="89"/>
        <v>645813.36829283612</v>
      </c>
      <c r="G243" s="327">
        <f t="shared" si="89"/>
        <v>668541.03106160311</v>
      </c>
      <c r="H243" s="327">
        <f t="shared" si="89"/>
        <v>691268.69383037032</v>
      </c>
      <c r="I243" s="328">
        <f t="shared" si="89"/>
        <v>713996.35659913742</v>
      </c>
      <c r="J243" s="309"/>
    </row>
    <row r="244" spans="1:14" x14ac:dyDescent="0.25">
      <c r="A244" s="335"/>
      <c r="B244" s="316" t="s">
        <v>72</v>
      </c>
      <c r="C244" s="327">
        <f t="shared" si="87"/>
        <v>538033.26885880088</v>
      </c>
      <c r="D244" s="327">
        <f t="shared" si="89"/>
        <v>571429.06223276653</v>
      </c>
      <c r="E244" s="327">
        <f t="shared" si="89"/>
        <v>625855.19326450315</v>
      </c>
      <c r="F244" s="327">
        <f t="shared" si="89"/>
        <v>675953.50055585185</v>
      </c>
      <c r="G244" s="327">
        <f t="shared" si="89"/>
        <v>725791.81430052512</v>
      </c>
      <c r="H244" s="327">
        <f t="shared" si="89"/>
        <v>775324.38872101228</v>
      </c>
      <c r="I244" s="328">
        <f t="shared" si="89"/>
        <v>913073.81018222892</v>
      </c>
      <c r="J244" s="309"/>
    </row>
    <row r="245" spans="1:14" x14ac:dyDescent="0.25">
      <c r="A245" s="335"/>
      <c r="B245" s="299" t="s">
        <v>253</v>
      </c>
      <c r="C245" s="300">
        <f t="shared" si="87"/>
        <v>5648525.7968623694</v>
      </c>
      <c r="D245" s="300">
        <f>D212*(1-D218)</f>
        <v>4954894.5656545982</v>
      </c>
      <c r="E245" s="300">
        <f t="shared" ref="E245:H245" si="90">E212*(1-E218)</f>
        <v>4296187.4935616693</v>
      </c>
      <c r="F245" s="300">
        <f t="shared" si="90"/>
        <v>3680072.2822216051</v>
      </c>
      <c r="G245" s="300">
        <f t="shared" si="90"/>
        <v>3105372.1591618457</v>
      </c>
      <c r="H245" s="300">
        <f t="shared" si="90"/>
        <v>2572131.1452690209</v>
      </c>
      <c r="I245" s="336">
        <f>I212*(1-I218)</f>
        <v>2065940.0563449473</v>
      </c>
      <c r="J245" s="309"/>
    </row>
    <row r="246" spans="1:14" x14ac:dyDescent="0.25">
      <c r="A246" s="335"/>
      <c r="B246" s="316" t="s">
        <v>254</v>
      </c>
      <c r="C246" s="327">
        <f t="shared" si="87"/>
        <v>533194.78349569347</v>
      </c>
      <c r="D246" s="327">
        <f t="shared" ref="D246:I246" si="91">D213</f>
        <v>425199.26762382727</v>
      </c>
      <c r="E246" s="327">
        <f t="shared" si="91"/>
        <v>324432.22785795981</v>
      </c>
      <c r="F246" s="327">
        <f t="shared" si="91"/>
        <v>231587.90031641026</v>
      </c>
      <c r="G246" s="327">
        <f t="shared" si="91"/>
        <v>146566.40472436164</v>
      </c>
      <c r="H246" s="327">
        <f t="shared" si="91"/>
        <v>69370.662032411783</v>
      </c>
      <c r="I246" s="328">
        <f t="shared" si="91"/>
        <v>0</v>
      </c>
      <c r="J246" s="309"/>
    </row>
    <row r="247" spans="1:14" ht="15.75" thickBot="1" x14ac:dyDescent="0.3">
      <c r="A247" s="335"/>
      <c r="B247" s="357" t="s">
        <v>294</v>
      </c>
      <c r="C247" s="358">
        <v>0</v>
      </c>
      <c r="D247" s="358">
        <f>(D182-D237)/'Emissions Factors, etc,'!D123*'Emissions Factors, etc,'!D127+(D183-D238)/'Emissions Factors, etc,'!D124*'Emissions Factors, etc,'!D129+(D184-D239)/'Emissions Factors, etc,'!D125*'Emissions Factors, etc,'!D130+(D212-D245)/'Emissions Factors, etc,'!D124*'Emissions Factors, etc,'!D127</f>
        <v>17103226.513614863</v>
      </c>
      <c r="E247" s="358">
        <f>(E182-E237)/'Emissions Factors, etc,'!$C123*'Emissions Factors, etc,'!$C127+(E183-E238)/'Emissions Factors, etc,'!$C124*'Emissions Factors, etc,'!$C129+(E184-E239)/'Emissions Factors, etc,'!$C125*'Emissions Factors, etc,'!$C130+(E212-E245)/'Emissions Factors, etc,'!$C124*'Emissions Factors, etc,'!$C127</f>
        <v>37335748.816113837</v>
      </c>
      <c r="F247" s="358">
        <f>(F182-F237)/'Emissions Factors, etc,'!$C123*'Emissions Factors, etc,'!$C127+(F183-F238)/'Emissions Factors, etc,'!$C124*'Emissions Factors, etc,'!$C129+(F184-F239)/'Emissions Factors, etc,'!$C125*'Emissions Factors, etc,'!$C130+(F212-F245)/'Emissions Factors, etc,'!$C124*'Emissions Factors, etc,'!$C127</f>
        <v>59985560.618964233</v>
      </c>
      <c r="G247" s="358">
        <f>(G182-G237)/'Emissions Factors, etc,'!$C123*'Emissions Factors, etc,'!$C127+(G183-G238)/'Emissions Factors, etc,'!$C124*'Emissions Factors, etc,'!$C129+(G184-G239)/'Emissions Factors, etc,'!$C125*'Emissions Factors, etc,'!$C130+(G212-G245)/'Emissions Factors, etc,'!$C124*'Emissions Factors, etc,'!$C127</f>
        <v>85749693.02779983</v>
      </c>
      <c r="H247" s="358">
        <f>(H182-H237)/'Emissions Factors, etc,'!$C123*'Emissions Factors, etc,'!$C127+(H183-H238)/'Emissions Factors, etc,'!$C124*'Emissions Factors, etc,'!$C129+(H184-H239)/'Emissions Factors, etc,'!$C125*'Emissions Factors, etc,'!$C130+(H212-H245)/'Emissions Factors, etc,'!$C124*'Emissions Factors, etc,'!$C127</f>
        <v>114597197.87665838</v>
      </c>
      <c r="I247" s="366">
        <f>(I182-I237)/'Emissions Factors, etc,'!$C123*'Emissions Factors, etc,'!$C127+(I183-I238)/'Emissions Factors, etc,'!$C124*'Emissions Factors, etc,'!$C129+(I184-I239)/'Emissions Factors, etc,'!$C125*'Emissions Factors, etc,'!$C130+(I212-I245)/'Emissions Factors, etc,'!$C124*'Emissions Factors, etc,'!$C127</f>
        <v>149064805.87568372</v>
      </c>
      <c r="J247" s="309"/>
      <c r="N247" s="54"/>
    </row>
    <row r="248" spans="1:14" x14ac:dyDescent="0.25">
      <c r="A248"/>
      <c r="B248"/>
      <c r="C248"/>
      <c r="D248"/>
      <c r="E248"/>
      <c r="F248"/>
      <c r="G248"/>
      <c r="H248"/>
      <c r="I248"/>
      <c r="J248"/>
    </row>
    <row r="249" spans="1:14" ht="15.75" thickBot="1" x14ac:dyDescent="0.3">
      <c r="A249" s="335"/>
      <c r="B249"/>
      <c r="C249"/>
      <c r="D249"/>
      <c r="E249"/>
      <c r="F249"/>
      <c r="G249"/>
      <c r="H249"/>
      <c r="I249"/>
      <c r="J249"/>
    </row>
    <row r="250" spans="1:14" x14ac:dyDescent="0.25">
      <c r="A250" s="209">
        <v>3</v>
      </c>
      <c r="B250" s="210"/>
      <c r="C250" s="575" t="s">
        <v>306</v>
      </c>
      <c r="D250" s="576"/>
      <c r="E250" s="576"/>
      <c r="F250" s="576"/>
      <c r="G250" s="576"/>
      <c r="H250" s="576"/>
      <c r="I250" s="577"/>
      <c r="J250"/>
    </row>
    <row r="251" spans="1:14" x14ac:dyDescent="0.25">
      <c r="A251"/>
      <c r="B251" s="214" t="s">
        <v>33</v>
      </c>
      <c r="C251" s="212">
        <f>'Baseline Statistics'!C12</f>
        <v>2022</v>
      </c>
      <c r="D251" s="212">
        <f>'Baseline Statistics'!D12</f>
        <v>2025</v>
      </c>
      <c r="E251" s="212">
        <f>'Baseline Statistics'!E12</f>
        <v>2030</v>
      </c>
      <c r="F251" s="212">
        <f>'Baseline Statistics'!F12</f>
        <v>2035</v>
      </c>
      <c r="G251" s="212">
        <f>'Baseline Statistics'!G12</f>
        <v>2040</v>
      </c>
      <c r="H251" s="212">
        <f>'Baseline Statistics'!H12</f>
        <v>2045</v>
      </c>
      <c r="I251" s="213">
        <f>'Baseline Statistics'!I12</f>
        <v>2050</v>
      </c>
      <c r="J251"/>
    </row>
    <row r="252" spans="1:14" x14ac:dyDescent="0.25">
      <c r="A252"/>
      <c r="B252" s="58" t="s">
        <v>34</v>
      </c>
      <c r="C252" s="128">
        <f t="shared" ref="C252:I252" si="92">VLOOKUP($A250,$B253:$I256,COLUMN()-1,TRUE)</f>
        <v>0</v>
      </c>
      <c r="D252" s="128">
        <f t="shared" si="92"/>
        <v>1.6666666666666666E-2</v>
      </c>
      <c r="E252" s="128">
        <f t="shared" si="92"/>
        <v>3.3333333333333333E-2</v>
      </c>
      <c r="F252" s="128">
        <f t="shared" si="92"/>
        <v>0.05</v>
      </c>
      <c r="G252" s="128">
        <f t="shared" si="92"/>
        <v>6.6666666666666666E-2</v>
      </c>
      <c r="H252" s="128">
        <f t="shared" si="92"/>
        <v>8.3333333333333329E-2</v>
      </c>
      <c r="I252" s="132">
        <f t="shared" si="92"/>
        <v>0.1</v>
      </c>
      <c r="J252" s="21" t="str">
        <f>VLOOKUP($A250,$B253:$J256,COLUMN()-1,TRUE)</f>
        <v>Current trend (+10% by 2050)</v>
      </c>
    </row>
    <row r="253" spans="1:14" x14ac:dyDescent="0.25">
      <c r="A253"/>
      <c r="B253" s="214">
        <v>1</v>
      </c>
      <c r="C253" s="286">
        <v>0</v>
      </c>
      <c r="D253" s="264">
        <f>C253+(($I253-$C253)/6)</f>
        <v>0</v>
      </c>
      <c r="E253" s="264">
        <f t="shared" ref="E253:F256" si="93">D253+(($I253-$C253)/6)</f>
        <v>0</v>
      </c>
      <c r="F253" s="264">
        <f t="shared" ref="F253" si="94">E253+(($I253-$C253)/6)</f>
        <v>0</v>
      </c>
      <c r="G253" s="264">
        <f t="shared" ref="G253:G256" si="95">F253+(($I253-$C253)/6)</f>
        <v>0</v>
      </c>
      <c r="H253" s="264">
        <f t="shared" ref="H253:H256" si="96">G253+(($I253-$C253)/6)</f>
        <v>0</v>
      </c>
      <c r="I253" s="265">
        <v>0</v>
      </c>
      <c r="J253" t="s">
        <v>273</v>
      </c>
    </row>
    <row r="254" spans="1:14" x14ac:dyDescent="0.25">
      <c r="A254"/>
      <c r="B254" s="214">
        <v>2</v>
      </c>
      <c r="C254" s="286">
        <v>0</v>
      </c>
      <c r="D254" s="264">
        <f>C254+(($I254-$C254)/6)</f>
        <v>8.3333333333333332E-3</v>
      </c>
      <c r="E254" s="264">
        <f t="shared" si="93"/>
        <v>1.6666666666666666E-2</v>
      </c>
      <c r="F254" s="264">
        <f>E254+(($I254-$C254)/6)</f>
        <v>2.5000000000000001E-2</v>
      </c>
      <c r="G254" s="264">
        <f t="shared" si="95"/>
        <v>3.3333333333333333E-2</v>
      </c>
      <c r="H254" s="264">
        <f t="shared" si="96"/>
        <v>4.1666666666666664E-2</v>
      </c>
      <c r="I254" s="265">
        <v>0.05</v>
      </c>
      <c r="J254" t="s">
        <v>307</v>
      </c>
    </row>
    <row r="255" spans="1:14" x14ac:dyDescent="0.25">
      <c r="A255"/>
      <c r="B255" s="214">
        <v>3</v>
      </c>
      <c r="C255" s="286">
        <v>0</v>
      </c>
      <c r="D255" s="264">
        <f t="shared" ref="D255:D256" si="97">C255+(($I255-$C255)/6)</f>
        <v>1.6666666666666666E-2</v>
      </c>
      <c r="E255" s="264">
        <f t="shared" si="93"/>
        <v>3.3333333333333333E-2</v>
      </c>
      <c r="F255" s="264">
        <f t="shared" si="93"/>
        <v>0.05</v>
      </c>
      <c r="G255" s="264">
        <f t="shared" si="95"/>
        <v>6.6666666666666666E-2</v>
      </c>
      <c r="H255" s="264">
        <f t="shared" si="96"/>
        <v>8.3333333333333329E-2</v>
      </c>
      <c r="I255" s="265">
        <v>0.1</v>
      </c>
      <c r="J255" t="s">
        <v>308</v>
      </c>
    </row>
    <row r="256" spans="1:14" ht="14.45" customHeight="1" thickBot="1" x14ac:dyDescent="0.3">
      <c r="A256"/>
      <c r="B256" s="219">
        <v>4</v>
      </c>
      <c r="C256" s="287">
        <v>0</v>
      </c>
      <c r="D256" s="288">
        <f t="shared" si="97"/>
        <v>6.6666666666666666E-2</v>
      </c>
      <c r="E256" s="288">
        <f t="shared" si="93"/>
        <v>0.13333333333333333</v>
      </c>
      <c r="F256" s="288">
        <f t="shared" si="93"/>
        <v>0.2</v>
      </c>
      <c r="G256" s="288">
        <f t="shared" si="95"/>
        <v>0.26666666666666666</v>
      </c>
      <c r="H256" s="288">
        <f t="shared" si="96"/>
        <v>0.33333333333333331</v>
      </c>
      <c r="I256" s="289">
        <v>0.4</v>
      </c>
      <c r="J256" t="s">
        <v>309</v>
      </c>
    </row>
    <row r="257" spans="1:10" ht="15.75" thickBot="1" x14ac:dyDescent="0.3">
      <c r="A257"/>
      <c r="B257" s="201"/>
      <c r="C257" s="202"/>
      <c r="D257" s="202"/>
      <c r="E257" s="202"/>
      <c r="F257" s="202"/>
      <c r="G257" s="202"/>
      <c r="H257" s="202"/>
      <c r="I257" s="203"/>
      <c r="J257"/>
    </row>
    <row r="258" spans="1:10" x14ac:dyDescent="0.25">
      <c r="A258" s="335"/>
      <c r="B258" s="597" t="s">
        <v>223</v>
      </c>
      <c r="C258" s="599">
        <f>'Baseline Statistics'!C$12</f>
        <v>2022</v>
      </c>
      <c r="D258" s="599">
        <f>'Baseline Statistics'!D$12</f>
        <v>2025</v>
      </c>
      <c r="E258" s="599">
        <f>'Baseline Statistics'!E$12</f>
        <v>2030</v>
      </c>
      <c r="F258" s="599">
        <f>'Baseline Statistics'!F$12</f>
        <v>2035</v>
      </c>
      <c r="G258" s="599">
        <f>'Baseline Statistics'!G$12</f>
        <v>2040</v>
      </c>
      <c r="H258" s="599">
        <f>'Baseline Statistics'!H$12</f>
        <v>2045</v>
      </c>
      <c r="I258" s="601">
        <f>'Baseline Statistics'!I$12</f>
        <v>2050</v>
      </c>
      <c r="J258"/>
    </row>
    <row r="259" spans="1:10" x14ac:dyDescent="0.25">
      <c r="A259" s="335"/>
      <c r="B259" s="598"/>
      <c r="C259" s="600"/>
      <c r="D259" s="600"/>
      <c r="E259" s="600"/>
      <c r="F259" s="600"/>
      <c r="G259" s="600"/>
      <c r="H259" s="600"/>
      <c r="I259" s="602"/>
      <c r="J259"/>
    </row>
    <row r="260" spans="1:10" x14ac:dyDescent="0.25">
      <c r="A260" s="335"/>
      <c r="B260" s="598"/>
      <c r="C260" s="600"/>
      <c r="D260" s="600"/>
      <c r="E260" s="600"/>
      <c r="F260" s="600"/>
      <c r="G260" s="600"/>
      <c r="H260" s="600"/>
      <c r="I260" s="602"/>
      <c r="J260"/>
    </row>
    <row r="261" spans="1:10" x14ac:dyDescent="0.25">
      <c r="A261" s="335"/>
      <c r="B261" s="234" t="s">
        <v>248</v>
      </c>
      <c r="C261" s="290">
        <f t="shared" ref="C261:I270" si="98">C235*(1-C$252)/(1-$C$252)</f>
        <v>36790440.061202846</v>
      </c>
      <c r="D261" s="290">
        <f t="shared" si="98"/>
        <v>30291851.498692468</v>
      </c>
      <c r="E261" s="290">
        <f t="shared" si="98"/>
        <v>24604089.563922942</v>
      </c>
      <c r="F261" s="290">
        <f t="shared" si="98"/>
        <v>18402282.969150677</v>
      </c>
      <c r="G261" s="290">
        <f t="shared" si="98"/>
        <v>12108762.501417613</v>
      </c>
      <c r="H261" s="290">
        <f t="shared" si="98"/>
        <v>5915169.6544338511</v>
      </c>
      <c r="I261" s="291">
        <f t="shared" si="98"/>
        <v>0</v>
      </c>
      <c r="J261"/>
    </row>
    <row r="262" spans="1:10" x14ac:dyDescent="0.25">
      <c r="A262" s="335"/>
      <c r="B262" s="234" t="s">
        <v>249</v>
      </c>
      <c r="C262" s="290">
        <f t="shared" si="98"/>
        <v>8353453.6432471676</v>
      </c>
      <c r="D262" s="290">
        <f t="shared" si="98"/>
        <v>6877916.5685843043</v>
      </c>
      <c r="E262" s="290">
        <f t="shared" si="98"/>
        <v>5586481.7399472017</v>
      </c>
      <c r="F262" s="290">
        <f t="shared" si="98"/>
        <v>4178330.4971887073</v>
      </c>
      <c r="G262" s="290">
        <f t="shared" si="98"/>
        <v>2749355.160319183</v>
      </c>
      <c r="H262" s="290">
        <f t="shared" si="98"/>
        <v>1343068.8901262367</v>
      </c>
      <c r="I262" s="291">
        <f t="shared" si="98"/>
        <v>0</v>
      </c>
      <c r="J262"/>
    </row>
    <row r="263" spans="1:10" x14ac:dyDescent="0.25">
      <c r="A263" s="335"/>
      <c r="B263" s="234" t="s">
        <v>250</v>
      </c>
      <c r="C263" s="290">
        <f t="shared" si="98"/>
        <v>3404243.6177032739</v>
      </c>
      <c r="D263" s="290">
        <f t="shared" si="98"/>
        <v>3259012.4974189578</v>
      </c>
      <c r="E263" s="290">
        <f t="shared" si="98"/>
        <v>3189927.8377591586</v>
      </c>
      <c r="F263" s="290">
        <f t="shared" si="98"/>
        <v>3047285.8238789109</v>
      </c>
      <c r="G263" s="290">
        <f t="shared" si="98"/>
        <v>2857387.1315481924</v>
      </c>
      <c r="H263" s="290">
        <f t="shared" si="98"/>
        <v>2623150.326350553</v>
      </c>
      <c r="I263" s="291">
        <f t="shared" si="98"/>
        <v>2599739.9079596126</v>
      </c>
      <c r="J263"/>
    </row>
    <row r="264" spans="1:10" x14ac:dyDescent="0.25">
      <c r="A264" s="335"/>
      <c r="B264" s="234" t="s">
        <v>251</v>
      </c>
      <c r="C264" s="290">
        <f t="shared" si="98"/>
        <v>18536711.417872287</v>
      </c>
      <c r="D264" s="290">
        <f t="shared" si="98"/>
        <v>18050046.942480706</v>
      </c>
      <c r="E264" s="290">
        <f t="shared" si="98"/>
        <v>17663438.272872973</v>
      </c>
      <c r="F264" s="290">
        <f t="shared" si="98"/>
        <v>16757616.820153868</v>
      </c>
      <c r="G264" s="290">
        <f t="shared" si="98"/>
        <v>15716456.432427382</v>
      </c>
      <c r="H264" s="290">
        <f t="shared" si="98"/>
        <v>14461259.250343138</v>
      </c>
      <c r="I264" s="291">
        <f t="shared" si="98"/>
        <v>13092781.25692798</v>
      </c>
      <c r="J264"/>
    </row>
    <row r="265" spans="1:10" x14ac:dyDescent="0.25">
      <c r="A265" s="335"/>
      <c r="B265" s="234" t="s">
        <v>305</v>
      </c>
      <c r="C265" s="290">
        <f t="shared" si="98"/>
        <v>875123.71500684612</v>
      </c>
      <c r="D265" s="290">
        <f t="shared" si="98"/>
        <v>792998.4691602214</v>
      </c>
      <c r="E265" s="290">
        <f t="shared" si="98"/>
        <v>710067.78246752813</v>
      </c>
      <c r="F265" s="290">
        <f t="shared" si="98"/>
        <v>586774.78218264144</v>
      </c>
      <c r="G265" s="290">
        <f t="shared" si="98"/>
        <v>427784.52370618534</v>
      </c>
      <c r="H265" s="290">
        <f t="shared" si="98"/>
        <v>232345.42031935343</v>
      </c>
      <c r="I265" s="291">
        <f t="shared" si="98"/>
        <v>0</v>
      </c>
      <c r="J265"/>
    </row>
    <row r="266" spans="1:10" x14ac:dyDescent="0.25">
      <c r="A266" s="335"/>
      <c r="B266" s="234" t="s">
        <v>210</v>
      </c>
      <c r="C266" s="290">
        <f t="shared" si="98"/>
        <v>603881.656249461</v>
      </c>
      <c r="D266" s="290">
        <f t="shared" si="98"/>
        <v>628059.08704135893</v>
      </c>
      <c r="E266" s="290">
        <f t="shared" si="98"/>
        <v>651970.84760549874</v>
      </c>
      <c r="F266" s="290">
        <f t="shared" si="98"/>
        <v>652709.1851742079</v>
      </c>
      <c r="G266" s="290">
        <f t="shared" si="98"/>
        <v>643661.90123722458</v>
      </c>
      <c r="H266" s="290">
        <f t="shared" si="98"/>
        <v>621719.67818149668</v>
      </c>
      <c r="I266" s="291">
        <f t="shared" si="98"/>
        <v>680598.44562561042</v>
      </c>
      <c r="J266" s="309"/>
    </row>
    <row r="267" spans="1:10" x14ac:dyDescent="0.25">
      <c r="A267" s="335"/>
      <c r="B267" s="234" t="s">
        <v>213</v>
      </c>
      <c r="C267" s="290">
        <f t="shared" si="98"/>
        <v>307048.79688692791</v>
      </c>
      <c r="D267" s="290">
        <f t="shared" si="98"/>
        <v>741004.0864144949</v>
      </c>
      <c r="E267" s="290">
        <f t="shared" si="98"/>
        <v>1428511.7454347368</v>
      </c>
      <c r="F267" s="290">
        <f t="shared" si="98"/>
        <v>2369115.8910101564</v>
      </c>
      <c r="G267" s="290">
        <f t="shared" si="98"/>
        <v>3623994.4015172049</v>
      </c>
      <c r="H267" s="290">
        <f t="shared" si="98"/>
        <v>5222401.6373232007</v>
      </c>
      <c r="I267" s="291">
        <f t="shared" si="98"/>
        <v>7254201.4378791749</v>
      </c>
      <c r="J267" s="309"/>
    </row>
    <row r="268" spans="1:10" x14ac:dyDescent="0.25">
      <c r="A268" s="335"/>
      <c r="B268" s="234" t="s">
        <v>70</v>
      </c>
      <c r="C268" s="290">
        <f t="shared" si="98"/>
        <v>4350044.3909544628</v>
      </c>
      <c r="D268" s="290">
        <f t="shared" si="98"/>
        <v>5056610.5216258653</v>
      </c>
      <c r="E268" s="290">
        <f t="shared" si="98"/>
        <v>6033369.5345101226</v>
      </c>
      <c r="F268" s="290">
        <f t="shared" si="98"/>
        <v>6908616.3540641926</v>
      </c>
      <c r="G268" s="290">
        <f t="shared" si="98"/>
        <v>7923939.9708424956</v>
      </c>
      <c r="H268" s="290">
        <f t="shared" si="98"/>
        <v>9030084.3908048868</v>
      </c>
      <c r="I268" s="291">
        <f t="shared" si="98"/>
        <v>10372528.647041941</v>
      </c>
      <c r="J268" s="309"/>
    </row>
    <row r="269" spans="1:10" x14ac:dyDescent="0.25">
      <c r="A269" s="335"/>
      <c r="B269" s="234" t="s">
        <v>127</v>
      </c>
      <c r="C269" s="290">
        <f t="shared" si="98"/>
        <v>578623.93901467754</v>
      </c>
      <c r="D269" s="290">
        <f t="shared" si="98"/>
        <v>585595.30803308089</v>
      </c>
      <c r="E269" s="290">
        <f t="shared" si="98"/>
        <v>602316.18200659996</v>
      </c>
      <c r="F269" s="290">
        <f t="shared" si="98"/>
        <v>613522.69987819425</v>
      </c>
      <c r="G269" s="290">
        <f t="shared" si="98"/>
        <v>623971.62899082957</v>
      </c>
      <c r="H269" s="290">
        <f t="shared" si="98"/>
        <v>633662.96934450616</v>
      </c>
      <c r="I269" s="291">
        <f t="shared" si="98"/>
        <v>642596.72093922365</v>
      </c>
      <c r="J269" s="309"/>
    </row>
    <row r="270" spans="1:10" x14ac:dyDescent="0.25">
      <c r="A270" s="309"/>
      <c r="B270" s="234" t="s">
        <v>72</v>
      </c>
      <c r="C270" s="290">
        <f t="shared" si="98"/>
        <v>538033.26885880088</v>
      </c>
      <c r="D270" s="290">
        <f t="shared" si="98"/>
        <v>561905.24452888709</v>
      </c>
      <c r="E270" s="290">
        <f t="shared" si="98"/>
        <v>604993.35348901968</v>
      </c>
      <c r="F270" s="290">
        <f t="shared" si="98"/>
        <v>642155.82552805927</v>
      </c>
      <c r="G270" s="290">
        <f t="shared" si="98"/>
        <v>677405.69334715675</v>
      </c>
      <c r="H270" s="290">
        <f t="shared" si="98"/>
        <v>710714.02299426123</v>
      </c>
      <c r="I270" s="291">
        <f t="shared" si="98"/>
        <v>821766.42916400603</v>
      </c>
      <c r="J270" s="309"/>
    </row>
    <row r="271" spans="1:10" x14ac:dyDescent="0.25">
      <c r="B271" s="234" t="s">
        <v>253</v>
      </c>
      <c r="C271" s="290">
        <f t="shared" ref="C271:I272" si="99">C78*(1-C$252)/(1-$C$252)</f>
        <v>5648525.7968623694</v>
      </c>
      <c r="D271" s="290">
        <f t="shared" si="99"/>
        <v>5315250.5340658417</v>
      </c>
      <c r="E271" s="290">
        <f t="shared" si="99"/>
        <v>4983577.4925315361</v>
      </c>
      <c r="F271" s="290">
        <f t="shared" si="99"/>
        <v>4661424.8908140333</v>
      </c>
      <c r="G271" s="290">
        <f t="shared" si="99"/>
        <v>4347521.0228265831</v>
      </c>
      <c r="H271" s="290">
        <f t="shared" si="99"/>
        <v>4041920.3711370323</v>
      </c>
      <c r="I271" s="291">
        <f t="shared" si="99"/>
        <v>3718692.1014209054</v>
      </c>
      <c r="J271" s="309"/>
    </row>
    <row r="272" spans="1:10" x14ac:dyDescent="0.25">
      <c r="B272" s="234" t="s">
        <v>254</v>
      </c>
      <c r="C272" s="290">
        <f t="shared" si="99"/>
        <v>533194.78349569347</v>
      </c>
      <c r="D272" s="290">
        <f t="shared" si="99"/>
        <v>501735.13579611608</v>
      </c>
      <c r="E272" s="290">
        <f t="shared" si="99"/>
        <v>470426.73039404169</v>
      </c>
      <c r="F272" s="290">
        <f t="shared" si="99"/>
        <v>440017.0106011795</v>
      </c>
      <c r="G272" s="290">
        <f t="shared" si="99"/>
        <v>410385.93322821253</v>
      </c>
      <c r="H272" s="290">
        <f t="shared" si="99"/>
        <v>381538.64117826463</v>
      </c>
      <c r="I272" s="291">
        <f t="shared" si="99"/>
        <v>351027.38328745164</v>
      </c>
      <c r="J272" s="309"/>
    </row>
    <row r="273" spans="1:10" ht="15.75" thickBot="1" x14ac:dyDescent="0.3">
      <c r="B273" s="357" t="s">
        <v>294</v>
      </c>
      <c r="C273" s="358">
        <f>C267-$C267+C247</f>
        <v>0</v>
      </c>
      <c r="D273" s="358">
        <f t="shared" ref="D273:I273" si="100">D267-$C267+D247</f>
        <v>17537181.803142428</v>
      </c>
      <c r="E273" s="358">
        <f t="shared" si="100"/>
        <v>38457211.764661647</v>
      </c>
      <c r="F273" s="358">
        <f t="shared" si="100"/>
        <v>62047627.713087462</v>
      </c>
      <c r="G273" s="358">
        <f t="shared" si="100"/>
        <v>89066638.632430106</v>
      </c>
      <c r="H273" s="358">
        <f t="shared" si="100"/>
        <v>119512550.71709466</v>
      </c>
      <c r="I273" s="359">
        <f t="shared" si="100"/>
        <v>156011958.51667598</v>
      </c>
      <c r="J273"/>
    </row>
    <row r="274" spans="1:10" ht="15.75" thickBot="1" x14ac:dyDescent="0.3">
      <c r="B274"/>
      <c r="C274"/>
      <c r="D274"/>
      <c r="E274"/>
      <c r="F274"/>
      <c r="G274"/>
      <c r="H274"/>
      <c r="I274"/>
      <c r="J274"/>
    </row>
    <row r="275" spans="1:10" x14ac:dyDescent="0.25">
      <c r="B275" s="597" t="s">
        <v>310</v>
      </c>
      <c r="C275" s="599">
        <f>'Baseline Statistics'!C$12</f>
        <v>2022</v>
      </c>
      <c r="D275" s="599">
        <f>'Baseline Statistics'!D$12</f>
        <v>2025</v>
      </c>
      <c r="E275" s="599">
        <f>'Baseline Statistics'!E$12</f>
        <v>2030</v>
      </c>
      <c r="F275" s="599">
        <f>'Baseline Statistics'!F$12</f>
        <v>2035</v>
      </c>
      <c r="G275" s="599">
        <f>'Baseline Statistics'!G$12</f>
        <v>2040</v>
      </c>
      <c r="H275" s="599">
        <f>'Baseline Statistics'!H$12</f>
        <v>2045</v>
      </c>
      <c r="I275" s="601">
        <f>'Baseline Statistics'!I$12</f>
        <v>2050</v>
      </c>
      <c r="J275"/>
    </row>
    <row r="276" spans="1:10" x14ac:dyDescent="0.25">
      <c r="B276" s="598"/>
      <c r="C276" s="600"/>
      <c r="D276" s="600"/>
      <c r="E276" s="600"/>
      <c r="F276" s="600"/>
      <c r="G276" s="600"/>
      <c r="H276" s="600"/>
      <c r="I276" s="602"/>
      <c r="J276"/>
    </row>
    <row r="277" spans="1:10" x14ac:dyDescent="0.25">
      <c r="B277" s="598"/>
      <c r="C277" s="600"/>
      <c r="D277" s="600"/>
      <c r="E277" s="600"/>
      <c r="F277" s="600"/>
      <c r="G277" s="600"/>
      <c r="H277" s="600"/>
      <c r="I277" s="602"/>
      <c r="J277"/>
    </row>
    <row r="278" spans="1:10" x14ac:dyDescent="0.25">
      <c r="B278" s="234" t="s">
        <v>68</v>
      </c>
      <c r="C278" s="290">
        <f>C261+C263+C272</f>
        <v>40727878.462401815</v>
      </c>
      <c r="D278" s="290">
        <f t="shared" ref="D278:I278" si="101">D261+D263+D272</f>
        <v>34052599.131907545</v>
      </c>
      <c r="E278" s="290">
        <f t="shared" si="101"/>
        <v>28264444.132076144</v>
      </c>
      <c r="F278" s="290">
        <f t="shared" si="101"/>
        <v>21889585.803630766</v>
      </c>
      <c r="G278" s="290">
        <f t="shared" si="101"/>
        <v>15376535.566194018</v>
      </c>
      <c r="H278" s="290">
        <f t="shared" si="101"/>
        <v>8919858.6219626702</v>
      </c>
      <c r="I278" s="291">
        <f t="shared" si="101"/>
        <v>2950767.2912470642</v>
      </c>
      <c r="J278"/>
    </row>
    <row r="279" spans="1:10" x14ac:dyDescent="0.25">
      <c r="B279" s="234" t="s">
        <v>69</v>
      </c>
      <c r="C279" s="290">
        <f>SUM(C262,C264:C266,C271)</f>
        <v>34017696.22923813</v>
      </c>
      <c r="D279" s="290">
        <f t="shared" ref="D279:I279" si="102">SUM(D262,D264:D266,D271)</f>
        <v>31664271.601332434</v>
      </c>
      <c r="E279" s="290">
        <f t="shared" si="102"/>
        <v>29595536.135424741</v>
      </c>
      <c r="F279" s="290">
        <f t="shared" si="102"/>
        <v>26836856.175513458</v>
      </c>
      <c r="G279" s="290">
        <f t="shared" si="102"/>
        <v>23884779.040516555</v>
      </c>
      <c r="H279" s="290">
        <f t="shared" si="102"/>
        <v>20700313.610107258</v>
      </c>
      <c r="I279" s="291">
        <f t="shared" si="102"/>
        <v>17492071.803974494</v>
      </c>
      <c r="J279"/>
    </row>
    <row r="280" spans="1:10" x14ac:dyDescent="0.25">
      <c r="B280" s="234" t="s">
        <v>70</v>
      </c>
      <c r="C280" s="290">
        <f>C268</f>
        <v>4350044.3909544628</v>
      </c>
      <c r="D280" s="290">
        <f t="shared" ref="D280:I280" si="103">D268</f>
        <v>5056610.5216258653</v>
      </c>
      <c r="E280" s="290">
        <f t="shared" si="103"/>
        <v>6033369.5345101226</v>
      </c>
      <c r="F280" s="290">
        <f t="shared" si="103"/>
        <v>6908616.3540641926</v>
      </c>
      <c r="G280" s="290">
        <f t="shared" si="103"/>
        <v>7923939.9708424956</v>
      </c>
      <c r="H280" s="290">
        <f t="shared" si="103"/>
        <v>9030084.3908048868</v>
      </c>
      <c r="I280" s="291">
        <f t="shared" si="103"/>
        <v>10372528.647041941</v>
      </c>
      <c r="J280"/>
    </row>
    <row r="281" spans="1:10" x14ac:dyDescent="0.25">
      <c r="B281" s="234" t="s">
        <v>127</v>
      </c>
      <c r="C281" s="290">
        <f t="shared" ref="C281:I281" si="104">C269</f>
        <v>578623.93901467754</v>
      </c>
      <c r="D281" s="290">
        <f t="shared" si="104"/>
        <v>585595.30803308089</v>
      </c>
      <c r="E281" s="290">
        <f t="shared" si="104"/>
        <v>602316.18200659996</v>
      </c>
      <c r="F281" s="290">
        <f t="shared" si="104"/>
        <v>613522.69987819425</v>
      </c>
      <c r="G281" s="290">
        <f t="shared" si="104"/>
        <v>623971.62899082957</v>
      </c>
      <c r="H281" s="290">
        <f t="shared" si="104"/>
        <v>633662.96934450616</v>
      </c>
      <c r="I281" s="291">
        <f t="shared" si="104"/>
        <v>642596.72093922365</v>
      </c>
      <c r="J281"/>
    </row>
    <row r="282" spans="1:10" x14ac:dyDescent="0.25">
      <c r="B282" s="234" t="s">
        <v>72</v>
      </c>
      <c r="C282" s="290">
        <f t="shared" ref="C282:I282" si="105">C270</f>
        <v>538033.26885880088</v>
      </c>
      <c r="D282" s="290">
        <f t="shared" si="105"/>
        <v>561905.24452888709</v>
      </c>
      <c r="E282" s="290">
        <f t="shared" si="105"/>
        <v>604993.35348901968</v>
      </c>
      <c r="F282" s="290">
        <f t="shared" si="105"/>
        <v>642155.82552805927</v>
      </c>
      <c r="G282" s="290">
        <f t="shared" si="105"/>
        <v>677405.69334715675</v>
      </c>
      <c r="H282" s="290">
        <f t="shared" si="105"/>
        <v>710714.02299426123</v>
      </c>
      <c r="I282" s="291">
        <f t="shared" si="105"/>
        <v>821766.42916400603</v>
      </c>
      <c r="J282"/>
    </row>
    <row r="283" spans="1:10" ht="15.75" thickBot="1" x14ac:dyDescent="0.3">
      <c r="B283" s="263" t="s">
        <v>311</v>
      </c>
      <c r="C283" s="292">
        <f t="shared" ref="C283:H283" si="106">C273+C247+C214</f>
        <v>0</v>
      </c>
      <c r="D283" s="292">
        <f t="shared" si="106"/>
        <v>43411516.25692758</v>
      </c>
      <c r="E283" s="292">
        <f t="shared" si="106"/>
        <v>93894966.864359334</v>
      </c>
      <c r="F283" s="292">
        <f>F273+F247+F214</f>
        <v>149568784.9984878</v>
      </c>
      <c r="G283" s="292">
        <f t="shared" si="106"/>
        <v>211680669.41122976</v>
      </c>
      <c r="H283" s="292">
        <f t="shared" si="106"/>
        <v>279928747.79533291</v>
      </c>
      <c r="I283" s="293">
        <f>I273+I247+I214</f>
        <v>364971460.19080544</v>
      </c>
      <c r="J283"/>
    </row>
    <row r="284" spans="1:10" ht="15.75" thickBot="1" x14ac:dyDescent="0.3">
      <c r="B284"/>
      <c r="C284"/>
      <c r="D284"/>
      <c r="E284"/>
      <c r="F284"/>
      <c r="G284"/>
      <c r="H284"/>
      <c r="I284"/>
      <c r="J284"/>
    </row>
    <row r="285" spans="1:10" x14ac:dyDescent="0.25">
      <c r="A285" s="209">
        <v>2</v>
      </c>
      <c r="B285" s="210"/>
      <c r="C285" s="580" t="s">
        <v>312</v>
      </c>
      <c r="D285" s="580"/>
      <c r="E285" s="580"/>
      <c r="F285" s="580"/>
      <c r="G285" s="580"/>
      <c r="H285" s="580"/>
      <c r="I285" s="581"/>
      <c r="J285"/>
    </row>
    <row r="286" spans="1:10" x14ac:dyDescent="0.25">
      <c r="A286"/>
      <c r="B286" s="214" t="s">
        <v>33</v>
      </c>
      <c r="C286" s="294">
        <f>C275</f>
        <v>2022</v>
      </c>
      <c r="D286" s="294">
        <f t="shared" ref="D286:I286" si="107">D275</f>
        <v>2025</v>
      </c>
      <c r="E286" s="294">
        <f t="shared" si="107"/>
        <v>2030</v>
      </c>
      <c r="F286" s="294">
        <f t="shared" si="107"/>
        <v>2035</v>
      </c>
      <c r="G286" s="294">
        <f t="shared" si="107"/>
        <v>2040</v>
      </c>
      <c r="H286" s="294">
        <f t="shared" si="107"/>
        <v>2045</v>
      </c>
      <c r="I286" s="295">
        <f t="shared" si="107"/>
        <v>2050</v>
      </c>
      <c r="J286"/>
    </row>
    <row r="287" spans="1:10" x14ac:dyDescent="0.25">
      <c r="A287"/>
      <c r="B287" s="58" t="s">
        <v>34</v>
      </c>
      <c r="C287" s="59">
        <f t="shared" ref="C287:I287" si="108">VLOOKUP($A285,$B288:$I291,COLUMN()-1,TRUE)</f>
        <v>1</v>
      </c>
      <c r="D287" s="59">
        <f t="shared" si="108"/>
        <v>0.96666666666666667</v>
      </c>
      <c r="E287" s="59">
        <f t="shared" si="108"/>
        <v>0.93333333333333335</v>
      </c>
      <c r="F287" s="59">
        <f t="shared" si="108"/>
        <v>0.9</v>
      </c>
      <c r="G287" s="59">
        <f t="shared" si="108"/>
        <v>0.8666666666666667</v>
      </c>
      <c r="H287" s="59">
        <f t="shared" si="108"/>
        <v>0.83333333333333337</v>
      </c>
      <c r="I287" s="60">
        <f t="shared" si="108"/>
        <v>0.8</v>
      </c>
      <c r="J287" s="21" t="str">
        <f>VLOOKUP($A285,$B288:$J291,COLUMN()-1,TRUE)</f>
        <v>20% reduction in fuel use per tkm by 2050</v>
      </c>
    </row>
    <row r="288" spans="1:10" x14ac:dyDescent="0.25">
      <c r="A288"/>
      <c r="B288" s="214">
        <v>1</v>
      </c>
      <c r="C288" s="216">
        <v>1</v>
      </c>
      <c r="D288" s="216">
        <f>C288+(($I288-$C288)/6)</f>
        <v>1</v>
      </c>
      <c r="E288" s="216">
        <f t="shared" ref="E288:E289" si="109">D288+(($I288-$C288)/6)</f>
        <v>1</v>
      </c>
      <c r="F288" s="216">
        <f t="shared" ref="F288" si="110">E288+(($I288-$C288)/6)</f>
        <v>1</v>
      </c>
      <c r="G288" s="216">
        <f t="shared" ref="G288:G289" si="111">F288+(($I288-$C288)/6)</f>
        <v>1</v>
      </c>
      <c r="H288" s="216">
        <f t="shared" ref="H288:H289" si="112">G288+(($I288-$C288)/6)</f>
        <v>1</v>
      </c>
      <c r="I288" s="217">
        <v>1</v>
      </c>
      <c r="J288" t="s">
        <v>273</v>
      </c>
    </row>
    <row r="289" spans="1:10" x14ac:dyDescent="0.25">
      <c r="A289"/>
      <c r="B289" s="214">
        <v>2</v>
      </c>
      <c r="C289" s="216">
        <v>1</v>
      </c>
      <c r="D289" s="216">
        <f>C289+(($I289-$C289)/6)</f>
        <v>0.96666666666666667</v>
      </c>
      <c r="E289" s="216">
        <f t="shared" si="109"/>
        <v>0.93333333333333335</v>
      </c>
      <c r="F289" s="216">
        <f>E289+(($I289-$C289)/6)</f>
        <v>0.9</v>
      </c>
      <c r="G289" s="216">
        <f t="shared" si="111"/>
        <v>0.8666666666666667</v>
      </c>
      <c r="H289" s="216">
        <f t="shared" si="112"/>
        <v>0.83333333333333337</v>
      </c>
      <c r="I289" s="217">
        <v>0.8</v>
      </c>
      <c r="J289" t="s">
        <v>313</v>
      </c>
    </row>
    <row r="290" spans="1:10" x14ac:dyDescent="0.25">
      <c r="A290"/>
      <c r="B290" s="214">
        <v>3</v>
      </c>
      <c r="C290" s="216">
        <v>1</v>
      </c>
      <c r="D290" s="216">
        <f t="shared" ref="D290:D291" si="113">C290+(($I290-$C290)/6)</f>
        <v>0.93333333333333335</v>
      </c>
      <c r="E290" s="216">
        <f t="shared" ref="E290:E291" si="114">D290+(($I290-$C290)/6)</f>
        <v>0.8666666666666667</v>
      </c>
      <c r="F290" s="216">
        <f t="shared" ref="F290:F291" si="115">E290+(($I290-$C290)/6)</f>
        <v>0.8</v>
      </c>
      <c r="G290" s="216">
        <f t="shared" ref="G290:G291" si="116">F290+(($I290-$C290)/6)</f>
        <v>0.73333333333333339</v>
      </c>
      <c r="H290" s="216">
        <f t="shared" ref="H290:H291" si="117">G290+(($I290-$C290)/6)</f>
        <v>0.66666666666666674</v>
      </c>
      <c r="I290" s="217">
        <v>0.6</v>
      </c>
      <c r="J290" t="s">
        <v>314</v>
      </c>
    </row>
    <row r="291" spans="1:10" ht="14.45" customHeight="1" thickBot="1" x14ac:dyDescent="0.3">
      <c r="A291"/>
      <c r="B291" s="219">
        <v>4</v>
      </c>
      <c r="C291" s="221">
        <v>1</v>
      </c>
      <c r="D291" s="221">
        <f t="shared" si="113"/>
        <v>0.9</v>
      </c>
      <c r="E291" s="221">
        <f t="shared" si="114"/>
        <v>0.8</v>
      </c>
      <c r="F291" s="221">
        <f t="shared" si="115"/>
        <v>0.70000000000000007</v>
      </c>
      <c r="G291" s="221">
        <f t="shared" si="116"/>
        <v>0.60000000000000009</v>
      </c>
      <c r="H291" s="221">
        <f t="shared" si="117"/>
        <v>0.50000000000000011</v>
      </c>
      <c r="I291" s="222">
        <v>0.4</v>
      </c>
      <c r="J291" t="s">
        <v>315</v>
      </c>
    </row>
    <row r="292" spans="1:10" ht="15.75" thickBot="1" x14ac:dyDescent="0.3">
      <c r="A292"/>
      <c r="B292" s="333"/>
      <c r="C292" s="315"/>
      <c r="D292" s="306"/>
      <c r="E292" s="307"/>
      <c r="F292" s="308"/>
      <c r="G292" s="308"/>
      <c r="H292" s="308"/>
      <c r="I292" s="334"/>
      <c r="J292" s="54"/>
    </row>
    <row r="293" spans="1:10" x14ac:dyDescent="0.25">
      <c r="A293"/>
      <c r="B293" s="597" t="s">
        <v>223</v>
      </c>
      <c r="C293" s="599">
        <f>'Baseline Statistics'!C$12</f>
        <v>2022</v>
      </c>
      <c r="D293" s="599">
        <f>'Baseline Statistics'!D$12</f>
        <v>2025</v>
      </c>
      <c r="E293" s="599">
        <f>'Baseline Statistics'!E$12</f>
        <v>2030</v>
      </c>
      <c r="F293" s="599">
        <f>'Baseline Statistics'!F$12</f>
        <v>2035</v>
      </c>
      <c r="G293" s="599">
        <f>'Baseline Statistics'!G$12</f>
        <v>2040</v>
      </c>
      <c r="H293" s="599">
        <f>'Baseline Statistics'!H$12</f>
        <v>2045</v>
      </c>
      <c r="I293" s="601">
        <f>'Baseline Statistics'!I$12</f>
        <v>2050</v>
      </c>
    </row>
    <row r="294" spans="1:10" x14ac:dyDescent="0.25">
      <c r="A294"/>
      <c r="B294" s="598"/>
      <c r="C294" s="600"/>
      <c r="D294" s="600"/>
      <c r="E294" s="600"/>
      <c r="F294" s="600"/>
      <c r="G294" s="600"/>
      <c r="H294" s="600"/>
      <c r="I294" s="602"/>
      <c r="J294"/>
    </row>
    <row r="295" spans="1:10" x14ac:dyDescent="0.25">
      <c r="A295"/>
      <c r="B295" s="598"/>
      <c r="C295" s="600"/>
      <c r="D295" s="600"/>
      <c r="E295" s="600"/>
      <c r="F295" s="600"/>
      <c r="G295" s="600"/>
      <c r="H295" s="600"/>
      <c r="I295" s="602"/>
      <c r="J295"/>
    </row>
    <row r="296" spans="1:10" x14ac:dyDescent="0.25">
      <c r="A296"/>
      <c r="B296" s="234" t="str">
        <f>B80</f>
        <v>Light Fuel Oil (Marine)</v>
      </c>
      <c r="C296" s="290">
        <f t="shared" ref="C296:I297" si="118">C80*C$287</f>
        <v>0</v>
      </c>
      <c r="D296" s="290">
        <f t="shared" si="118"/>
        <v>0</v>
      </c>
      <c r="E296" s="290">
        <f t="shared" si="118"/>
        <v>0</v>
      </c>
      <c r="F296" s="290">
        <f t="shared" si="118"/>
        <v>0</v>
      </c>
      <c r="G296" s="290">
        <f t="shared" si="118"/>
        <v>0</v>
      </c>
      <c r="H296" s="290">
        <f t="shared" si="118"/>
        <v>0</v>
      </c>
      <c r="I296" s="291">
        <f t="shared" si="118"/>
        <v>0</v>
      </c>
      <c r="J296"/>
    </row>
    <row r="297" spans="1:10" ht="15.75" thickBot="1" x14ac:dyDescent="0.3">
      <c r="A297"/>
      <c r="B297" s="263" t="str">
        <f>B81</f>
        <v>Heavy Fuel Oil (Marine)</v>
      </c>
      <c r="C297" s="292">
        <f t="shared" si="118"/>
        <v>0</v>
      </c>
      <c r="D297" s="292">
        <f t="shared" si="118"/>
        <v>0</v>
      </c>
      <c r="E297" s="292">
        <f t="shared" si="118"/>
        <v>0</v>
      </c>
      <c r="F297" s="292">
        <f t="shared" si="118"/>
        <v>0</v>
      </c>
      <c r="G297" s="292">
        <f t="shared" si="118"/>
        <v>0</v>
      </c>
      <c r="H297" s="292">
        <f t="shared" si="118"/>
        <v>0</v>
      </c>
      <c r="I297" s="293">
        <f t="shared" si="118"/>
        <v>0</v>
      </c>
      <c r="J297"/>
    </row>
    <row r="298" spans="1:10" x14ac:dyDescent="0.25">
      <c r="A298"/>
      <c r="B298"/>
      <c r="C298"/>
      <c r="D298"/>
      <c r="E298"/>
      <c r="F298"/>
      <c r="G298"/>
      <c r="H298"/>
      <c r="I298"/>
      <c r="J298"/>
    </row>
    <row r="299" spans="1:10" x14ac:dyDescent="0.25">
      <c r="A299"/>
      <c r="B299"/>
      <c r="C299"/>
      <c r="D299"/>
      <c r="E299"/>
      <c r="F299"/>
      <c r="G299"/>
      <c r="H299"/>
      <c r="I299"/>
      <c r="J299"/>
    </row>
    <row r="300" spans="1:10" x14ac:dyDescent="0.25">
      <c r="A300"/>
      <c r="B300"/>
      <c r="C300"/>
      <c r="D300"/>
      <c r="E300"/>
      <c r="F300"/>
      <c r="G300"/>
      <c r="H300"/>
      <c r="I300"/>
      <c r="J300"/>
    </row>
    <row r="301" spans="1:10" x14ac:dyDescent="0.25">
      <c r="A301"/>
      <c r="B301"/>
      <c r="C301"/>
      <c r="D301"/>
      <c r="E301"/>
      <c r="F301"/>
      <c r="G301"/>
      <c r="H301"/>
      <c r="I301"/>
      <c r="J301"/>
    </row>
    <row r="302" spans="1:10" x14ac:dyDescent="0.25">
      <c r="A302"/>
      <c r="B302"/>
      <c r="C302"/>
      <c r="D302"/>
      <c r="E302"/>
      <c r="F302"/>
      <c r="G302"/>
      <c r="H302"/>
      <c r="I302"/>
      <c r="J302"/>
    </row>
    <row r="303" spans="1:10" x14ac:dyDescent="0.25">
      <c r="A303"/>
      <c r="B303"/>
      <c r="C303"/>
      <c r="D303"/>
      <c r="E303"/>
      <c r="F303"/>
      <c r="G303"/>
      <c r="H303"/>
      <c r="I303"/>
      <c r="J303"/>
    </row>
    <row r="304" spans="1:10" x14ac:dyDescent="0.25">
      <c r="A304"/>
      <c r="B304"/>
      <c r="C304"/>
      <c r="D304"/>
      <c r="E304"/>
      <c r="F304"/>
      <c r="G304"/>
      <c r="H304"/>
      <c r="I304"/>
      <c r="J304"/>
    </row>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spans="1:10" x14ac:dyDescent="0.25">
      <c r="A369"/>
      <c r="B369"/>
      <c r="C369"/>
      <c r="D369"/>
      <c r="E369"/>
      <c r="F369"/>
      <c r="G369"/>
      <c r="H369"/>
      <c r="I369"/>
      <c r="J369"/>
    </row>
    <row r="370" spans="1:10" x14ac:dyDescent="0.25">
      <c r="B370"/>
      <c r="C370"/>
      <c r="D370"/>
      <c r="E370"/>
      <c r="F370"/>
      <c r="G370"/>
      <c r="H370"/>
      <c r="I370"/>
      <c r="J370"/>
    </row>
    <row r="371" spans="1:10" x14ac:dyDescent="0.25">
      <c r="B371"/>
      <c r="C371"/>
      <c r="D371"/>
      <c r="E371"/>
      <c r="F371"/>
      <c r="G371"/>
      <c r="H371"/>
      <c r="I371"/>
      <c r="J371"/>
    </row>
    <row r="372" spans="1:10" x14ac:dyDescent="0.25">
      <c r="B372"/>
      <c r="C372"/>
      <c r="D372"/>
      <c r="E372"/>
      <c r="F372"/>
      <c r="G372"/>
      <c r="H372"/>
      <c r="I372"/>
      <c r="J372"/>
    </row>
    <row r="373" spans="1:10" x14ac:dyDescent="0.25">
      <c r="B373"/>
      <c r="C373"/>
      <c r="D373"/>
      <c r="E373"/>
      <c r="F373"/>
      <c r="G373"/>
      <c r="H373"/>
      <c r="I373"/>
      <c r="J373"/>
    </row>
    <row r="374" spans="1:10" x14ac:dyDescent="0.25">
      <c r="B374"/>
      <c r="C374"/>
      <c r="D374"/>
      <c r="E374"/>
      <c r="F374"/>
      <c r="G374"/>
      <c r="H374"/>
      <c r="I374"/>
      <c r="J374"/>
    </row>
    <row r="375" spans="1:10" x14ac:dyDescent="0.25">
      <c r="B375"/>
      <c r="C375"/>
      <c r="D375"/>
      <c r="E375"/>
      <c r="F375"/>
      <c r="G375"/>
      <c r="H375"/>
      <c r="I375"/>
      <c r="J375"/>
    </row>
    <row r="376" spans="1:10" x14ac:dyDescent="0.25">
      <c r="B376"/>
      <c r="C376"/>
      <c r="D376"/>
      <c r="E376"/>
      <c r="F376"/>
      <c r="G376"/>
      <c r="H376"/>
      <c r="I376"/>
      <c r="J376"/>
    </row>
    <row r="377" spans="1:10" x14ac:dyDescent="0.25">
      <c r="B377"/>
      <c r="C377"/>
      <c r="D377"/>
      <c r="E377"/>
      <c r="F377"/>
      <c r="G377"/>
      <c r="H377"/>
      <c r="I377"/>
      <c r="J377"/>
    </row>
    <row r="378" spans="1:10" x14ac:dyDescent="0.25">
      <c r="B378"/>
      <c r="C378"/>
      <c r="D378"/>
      <c r="E378"/>
      <c r="F378"/>
      <c r="G378"/>
      <c r="H378"/>
      <c r="I378"/>
      <c r="J378"/>
    </row>
    <row r="379" spans="1:10" x14ac:dyDescent="0.25">
      <c r="B379"/>
      <c r="C379"/>
      <c r="D379"/>
      <c r="E379"/>
      <c r="F379"/>
      <c r="G379"/>
      <c r="H379"/>
      <c r="I379"/>
      <c r="J379"/>
    </row>
    <row r="380" spans="1:10" x14ac:dyDescent="0.25">
      <c r="B380"/>
      <c r="C380"/>
      <c r="D380"/>
      <c r="E380"/>
      <c r="F380"/>
      <c r="G380"/>
      <c r="H380"/>
      <c r="I380"/>
      <c r="J380"/>
    </row>
    <row r="381" spans="1:10" x14ac:dyDescent="0.25">
      <c r="B381"/>
      <c r="C381"/>
      <c r="D381"/>
      <c r="E381"/>
      <c r="F381"/>
      <c r="G381"/>
      <c r="H381"/>
      <c r="I381"/>
      <c r="J381"/>
    </row>
    <row r="382" spans="1:10" x14ac:dyDescent="0.25">
      <c r="B382"/>
      <c r="C382"/>
      <c r="D382"/>
      <c r="E382"/>
      <c r="F382"/>
      <c r="G382"/>
      <c r="H382"/>
      <c r="I382"/>
      <c r="J382"/>
    </row>
    <row r="383" spans="1:10" x14ac:dyDescent="0.25">
      <c r="B383"/>
      <c r="C383"/>
      <c r="D383"/>
      <c r="E383"/>
      <c r="F383"/>
      <c r="G383"/>
      <c r="H383"/>
      <c r="I383"/>
      <c r="J383"/>
    </row>
    <row r="384" spans="1:10" x14ac:dyDescent="0.25">
      <c r="B384"/>
      <c r="C384"/>
      <c r="D384"/>
      <c r="E384"/>
      <c r="F384"/>
      <c r="G384"/>
      <c r="H384"/>
      <c r="I384"/>
      <c r="J384"/>
    </row>
    <row r="385" spans="2:10" x14ac:dyDescent="0.25">
      <c r="B385"/>
      <c r="C385"/>
      <c r="D385"/>
      <c r="E385"/>
      <c r="F385"/>
      <c r="G385"/>
      <c r="H385"/>
      <c r="I385"/>
      <c r="J385"/>
    </row>
    <row r="386" spans="2:10" x14ac:dyDescent="0.25">
      <c r="B386"/>
      <c r="C386"/>
      <c r="D386"/>
      <c r="E386"/>
      <c r="F386"/>
      <c r="G386"/>
      <c r="H386"/>
      <c r="I386"/>
      <c r="J386"/>
    </row>
    <row r="387" spans="2:10" x14ac:dyDescent="0.25">
      <c r="B387"/>
      <c r="C387"/>
      <c r="D387"/>
      <c r="E387"/>
      <c r="F387"/>
      <c r="G387"/>
      <c r="H387"/>
      <c r="I387"/>
      <c r="J387"/>
    </row>
    <row r="388" spans="2:10" x14ac:dyDescent="0.25">
      <c r="B388"/>
      <c r="C388"/>
      <c r="D388"/>
      <c r="E388"/>
      <c r="F388"/>
      <c r="G388"/>
      <c r="H388"/>
      <c r="I388"/>
      <c r="J388"/>
    </row>
    <row r="389" spans="2:10" x14ac:dyDescent="0.25">
      <c r="B389"/>
      <c r="C389"/>
      <c r="D389"/>
      <c r="E389"/>
      <c r="F389"/>
      <c r="G389"/>
      <c r="H389"/>
      <c r="I389"/>
      <c r="J389"/>
    </row>
    <row r="390" spans="2:10" x14ac:dyDescent="0.25">
      <c r="B390"/>
      <c r="C390"/>
      <c r="D390"/>
      <c r="E390"/>
      <c r="F390"/>
      <c r="G390"/>
      <c r="H390"/>
      <c r="I390"/>
      <c r="J390"/>
    </row>
    <row r="391" spans="2:10" x14ac:dyDescent="0.25">
      <c r="B391"/>
      <c r="C391"/>
      <c r="D391"/>
      <c r="E391"/>
      <c r="F391"/>
      <c r="G391"/>
      <c r="H391"/>
      <c r="I391"/>
      <c r="J391"/>
    </row>
    <row r="392" spans="2:10" x14ac:dyDescent="0.25">
      <c r="B392"/>
      <c r="C392"/>
      <c r="D392"/>
      <c r="E392"/>
      <c r="F392"/>
      <c r="G392"/>
      <c r="H392"/>
      <c r="I392"/>
      <c r="J392"/>
    </row>
    <row r="393" spans="2:10" x14ac:dyDescent="0.25">
      <c r="B393"/>
      <c r="C393"/>
      <c r="D393"/>
      <c r="E393"/>
      <c r="F393"/>
      <c r="G393"/>
      <c r="H393"/>
      <c r="I393"/>
      <c r="J393"/>
    </row>
    <row r="394" spans="2:10" x14ac:dyDescent="0.25">
      <c r="B394"/>
      <c r="C394"/>
      <c r="D394"/>
      <c r="E394"/>
      <c r="F394"/>
      <c r="G394"/>
      <c r="H394"/>
      <c r="I394"/>
      <c r="J394"/>
    </row>
    <row r="395" spans="2:10" x14ac:dyDescent="0.25">
      <c r="B395"/>
      <c r="C395"/>
      <c r="D395"/>
      <c r="E395"/>
      <c r="F395"/>
      <c r="G395"/>
      <c r="H395"/>
      <c r="I395"/>
      <c r="J395"/>
    </row>
    <row r="396" spans="2:10" x14ac:dyDescent="0.25">
      <c r="B396"/>
      <c r="C396"/>
      <c r="D396"/>
      <c r="E396"/>
      <c r="F396"/>
      <c r="G396"/>
      <c r="H396"/>
      <c r="I396"/>
      <c r="J396"/>
    </row>
    <row r="397" spans="2:10" x14ac:dyDescent="0.25">
      <c r="B397"/>
      <c r="C397"/>
      <c r="D397"/>
      <c r="E397"/>
      <c r="F397"/>
      <c r="G397"/>
      <c r="H397"/>
      <c r="I397"/>
      <c r="J397"/>
    </row>
    <row r="398" spans="2:10" x14ac:dyDescent="0.25">
      <c r="B398"/>
      <c r="C398"/>
      <c r="D398"/>
      <c r="E398"/>
      <c r="F398"/>
      <c r="G398"/>
      <c r="H398"/>
      <c r="I398"/>
      <c r="J398"/>
    </row>
    <row r="399" spans="2:10" x14ac:dyDescent="0.25">
      <c r="B399"/>
      <c r="C399"/>
      <c r="D399"/>
      <c r="E399"/>
      <c r="F399"/>
      <c r="G399"/>
      <c r="H399"/>
      <c r="I399"/>
      <c r="J399"/>
    </row>
    <row r="400" spans="2:10" x14ac:dyDescent="0.25">
      <c r="B400"/>
      <c r="C400"/>
      <c r="D400"/>
      <c r="E400"/>
      <c r="F400"/>
      <c r="G400"/>
      <c r="H400"/>
      <c r="I400"/>
      <c r="J400"/>
    </row>
    <row r="401" spans="2:10" x14ac:dyDescent="0.25">
      <c r="B401"/>
      <c r="C401"/>
      <c r="D401"/>
      <c r="E401"/>
      <c r="F401"/>
      <c r="G401"/>
      <c r="H401"/>
      <c r="I401"/>
      <c r="J401"/>
    </row>
    <row r="402" spans="2:10" x14ac:dyDescent="0.25">
      <c r="B402"/>
      <c r="C402"/>
      <c r="D402"/>
      <c r="E402"/>
      <c r="F402"/>
      <c r="G402"/>
      <c r="H402"/>
      <c r="I402"/>
      <c r="J402"/>
    </row>
    <row r="403" spans="2:10" x14ac:dyDescent="0.25">
      <c r="B403"/>
      <c r="C403"/>
      <c r="D403"/>
      <c r="E403"/>
      <c r="F403"/>
      <c r="G403"/>
      <c r="H403"/>
      <c r="I403"/>
      <c r="J403"/>
    </row>
    <row r="404" spans="2:10" x14ac:dyDescent="0.25">
      <c r="B404"/>
      <c r="C404"/>
      <c r="D404"/>
      <c r="E404"/>
      <c r="F404"/>
      <c r="G404"/>
      <c r="H404"/>
      <c r="I404"/>
      <c r="J404"/>
    </row>
    <row r="405" spans="2:10" x14ac:dyDescent="0.25">
      <c r="B405"/>
      <c r="C405"/>
      <c r="D405"/>
      <c r="E405"/>
      <c r="F405"/>
      <c r="G405"/>
      <c r="H405"/>
      <c r="I405"/>
      <c r="J405"/>
    </row>
    <row r="406" spans="2:10" x14ac:dyDescent="0.25">
      <c r="B406"/>
      <c r="C406"/>
      <c r="D406"/>
      <c r="E406"/>
      <c r="F406"/>
      <c r="G406"/>
      <c r="H406"/>
      <c r="I406"/>
      <c r="J406"/>
    </row>
    <row r="407" spans="2:10" x14ac:dyDescent="0.25">
      <c r="B407"/>
      <c r="C407"/>
      <c r="D407"/>
      <c r="E407"/>
      <c r="F407"/>
      <c r="G407"/>
      <c r="H407"/>
      <c r="I407"/>
      <c r="J407"/>
    </row>
    <row r="408" spans="2:10" x14ac:dyDescent="0.25">
      <c r="B408"/>
      <c r="C408"/>
      <c r="D408"/>
      <c r="E408"/>
      <c r="F408"/>
      <c r="G408"/>
      <c r="H408"/>
      <c r="I408"/>
      <c r="J408"/>
    </row>
    <row r="409" spans="2:10" x14ac:dyDescent="0.25">
      <c r="B409"/>
      <c r="C409"/>
      <c r="D409"/>
      <c r="E409"/>
      <c r="F409"/>
      <c r="G409"/>
      <c r="H409"/>
      <c r="I409"/>
      <c r="J409"/>
    </row>
    <row r="410" spans="2:10" x14ac:dyDescent="0.25">
      <c r="B410"/>
      <c r="C410"/>
      <c r="D410"/>
      <c r="E410"/>
      <c r="F410"/>
      <c r="G410"/>
      <c r="H410"/>
      <c r="I410"/>
      <c r="J410"/>
    </row>
    <row r="411" spans="2:10" x14ac:dyDescent="0.25">
      <c r="B411"/>
      <c r="C411"/>
      <c r="D411"/>
      <c r="E411"/>
      <c r="F411"/>
      <c r="G411"/>
      <c r="H411"/>
      <c r="I411"/>
      <c r="J411"/>
    </row>
    <row r="412" spans="2:10" x14ac:dyDescent="0.25">
      <c r="B412"/>
      <c r="C412"/>
      <c r="D412"/>
      <c r="E412"/>
      <c r="F412"/>
      <c r="G412"/>
      <c r="H412"/>
      <c r="I412"/>
      <c r="J412"/>
    </row>
    <row r="413" spans="2:10" x14ac:dyDescent="0.25">
      <c r="B413"/>
      <c r="C413"/>
      <c r="D413"/>
      <c r="E413"/>
      <c r="F413"/>
      <c r="G413"/>
      <c r="H413"/>
      <c r="I413"/>
      <c r="J413"/>
    </row>
    <row r="414" spans="2:10" x14ac:dyDescent="0.25">
      <c r="B414"/>
      <c r="C414"/>
      <c r="D414"/>
      <c r="E414"/>
      <c r="F414"/>
      <c r="G414"/>
      <c r="H414"/>
      <c r="I414"/>
      <c r="J414"/>
    </row>
    <row r="415" spans="2:10" x14ac:dyDescent="0.25">
      <c r="B415"/>
      <c r="C415"/>
      <c r="D415"/>
      <c r="E415"/>
      <c r="F415"/>
      <c r="G415"/>
      <c r="H415"/>
      <c r="I415"/>
      <c r="J415"/>
    </row>
    <row r="416" spans="2:10" x14ac:dyDescent="0.25">
      <c r="B416"/>
      <c r="C416"/>
      <c r="D416"/>
      <c r="E416"/>
      <c r="F416"/>
      <c r="G416"/>
      <c r="H416"/>
      <c r="I416"/>
      <c r="J416"/>
    </row>
    <row r="417" spans="2:10" x14ac:dyDescent="0.25">
      <c r="B417"/>
      <c r="C417"/>
      <c r="D417"/>
      <c r="E417"/>
      <c r="F417"/>
      <c r="G417"/>
      <c r="H417"/>
      <c r="I417"/>
      <c r="J417"/>
    </row>
    <row r="418" spans="2:10" x14ac:dyDescent="0.25">
      <c r="B418"/>
      <c r="C418"/>
      <c r="D418"/>
      <c r="E418"/>
      <c r="F418"/>
      <c r="G418"/>
      <c r="H418"/>
      <c r="I418"/>
      <c r="J418"/>
    </row>
    <row r="419" spans="2:10" x14ac:dyDescent="0.25">
      <c r="B419"/>
      <c r="C419"/>
      <c r="D419"/>
      <c r="E419"/>
      <c r="F419"/>
      <c r="G419"/>
      <c r="H419"/>
      <c r="I419"/>
      <c r="J419"/>
    </row>
    <row r="420" spans="2:10" x14ac:dyDescent="0.25">
      <c r="B420"/>
      <c r="C420"/>
      <c r="D420"/>
      <c r="E420"/>
      <c r="F420"/>
      <c r="G420"/>
      <c r="H420"/>
      <c r="I420"/>
      <c r="J420"/>
    </row>
    <row r="421" spans="2:10" x14ac:dyDescent="0.25">
      <c r="B421"/>
      <c r="C421"/>
      <c r="D421"/>
      <c r="E421"/>
      <c r="F421"/>
      <c r="G421"/>
      <c r="H421"/>
      <c r="I421"/>
      <c r="J421"/>
    </row>
    <row r="422" spans="2:10" x14ac:dyDescent="0.25">
      <c r="B422"/>
      <c r="C422"/>
      <c r="D422"/>
      <c r="E422"/>
      <c r="F422"/>
      <c r="G422"/>
      <c r="H422"/>
      <c r="I422"/>
      <c r="J422"/>
    </row>
    <row r="423" spans="2:10" x14ac:dyDescent="0.25">
      <c r="B423"/>
      <c r="C423"/>
      <c r="D423"/>
      <c r="E423"/>
      <c r="F423"/>
      <c r="G423"/>
      <c r="H423"/>
      <c r="I423"/>
      <c r="J423"/>
    </row>
    <row r="424" spans="2:10" x14ac:dyDescent="0.25">
      <c r="B424"/>
      <c r="C424"/>
      <c r="D424"/>
      <c r="E424"/>
      <c r="F424"/>
      <c r="G424"/>
      <c r="H424"/>
      <c r="I424"/>
      <c r="J424"/>
    </row>
    <row r="425" spans="2:10" x14ac:dyDescent="0.25">
      <c r="B425"/>
      <c r="C425"/>
      <c r="D425"/>
      <c r="E425"/>
      <c r="F425"/>
      <c r="G425"/>
      <c r="H425"/>
      <c r="I425"/>
      <c r="J425"/>
    </row>
    <row r="426" spans="2:10" x14ac:dyDescent="0.25">
      <c r="B426"/>
      <c r="C426"/>
      <c r="D426"/>
      <c r="E426"/>
      <c r="F426"/>
      <c r="G426"/>
      <c r="H426"/>
      <c r="I426"/>
      <c r="J426"/>
    </row>
    <row r="427" spans="2:10" x14ac:dyDescent="0.25">
      <c r="B427"/>
      <c r="C427"/>
      <c r="D427"/>
      <c r="E427"/>
      <c r="F427"/>
      <c r="G427"/>
      <c r="H427"/>
      <c r="I427"/>
      <c r="J427"/>
    </row>
    <row r="428" spans="2:10" x14ac:dyDescent="0.25">
      <c r="B428"/>
      <c r="C428"/>
      <c r="D428"/>
      <c r="E428"/>
      <c r="F428"/>
      <c r="G428"/>
      <c r="H428"/>
      <c r="I428"/>
      <c r="J428"/>
    </row>
    <row r="429" spans="2:10" x14ac:dyDescent="0.25">
      <c r="B429"/>
      <c r="C429"/>
      <c r="D429"/>
      <c r="E429"/>
      <c r="F429"/>
      <c r="G429"/>
      <c r="H429"/>
      <c r="I429"/>
      <c r="J429"/>
    </row>
  </sheetData>
  <protectedRanges>
    <protectedRange sqref="C11:C25" name="Range2"/>
    <protectedRange sqref="A224:A230" name="Range1_2"/>
    <protectedRange sqref="A1:A5" name="Range1_1"/>
    <protectedRange sqref="A6" name="Range1"/>
  </protectedRanges>
  <mergeCells count="135">
    <mergeCell ref="B157:B159"/>
    <mergeCell ref="D157:D159"/>
    <mergeCell ref="E157:E159"/>
    <mergeCell ref="C149:I149"/>
    <mergeCell ref="C141:I141"/>
    <mergeCell ref="C105:I105"/>
    <mergeCell ref="B113:B115"/>
    <mergeCell ref="D113:D115"/>
    <mergeCell ref="C157:C159"/>
    <mergeCell ref="F157:F159"/>
    <mergeCell ref="G157:G159"/>
    <mergeCell ref="H157:H159"/>
    <mergeCell ref="I157:I159"/>
    <mergeCell ref="C127:I127"/>
    <mergeCell ref="B135:B137"/>
    <mergeCell ref="C135:C137"/>
    <mergeCell ref="D135:D137"/>
    <mergeCell ref="E135:E137"/>
    <mergeCell ref="F135:F137"/>
    <mergeCell ref="G135:G137"/>
    <mergeCell ref="H135:H137"/>
    <mergeCell ref="I135:I137"/>
    <mergeCell ref="I27:I29"/>
    <mergeCell ref="C65:C67"/>
    <mergeCell ref="B49:B51"/>
    <mergeCell ref="C49:C51"/>
    <mergeCell ref="D49:D51"/>
    <mergeCell ref="E49:E51"/>
    <mergeCell ref="F49:F51"/>
    <mergeCell ref="G49:G51"/>
    <mergeCell ref="H49:H51"/>
    <mergeCell ref="F65:F67"/>
    <mergeCell ref="C164:I164"/>
    <mergeCell ref="B8:B10"/>
    <mergeCell ref="C83:I83"/>
    <mergeCell ref="D8:D10"/>
    <mergeCell ref="C8:C10"/>
    <mergeCell ref="B27:B29"/>
    <mergeCell ref="D27:D29"/>
    <mergeCell ref="E27:E29"/>
    <mergeCell ref="B91:B93"/>
    <mergeCell ref="D91:D93"/>
    <mergeCell ref="E91:E93"/>
    <mergeCell ref="B33:B35"/>
    <mergeCell ref="D33:D35"/>
    <mergeCell ref="E33:E35"/>
    <mergeCell ref="B65:B67"/>
    <mergeCell ref="D65:D67"/>
    <mergeCell ref="E65:E67"/>
    <mergeCell ref="F27:F29"/>
    <mergeCell ref="G27:G29"/>
    <mergeCell ref="H27:H29"/>
    <mergeCell ref="G91:G93"/>
    <mergeCell ref="H91:H93"/>
    <mergeCell ref="H65:H67"/>
    <mergeCell ref="G65:G67"/>
    <mergeCell ref="F258:F260"/>
    <mergeCell ref="G258:G260"/>
    <mergeCell ref="D232:D234"/>
    <mergeCell ref="E232:E234"/>
    <mergeCell ref="H258:H260"/>
    <mergeCell ref="I258:I260"/>
    <mergeCell ref="C27:C29"/>
    <mergeCell ref="I65:I67"/>
    <mergeCell ref="C91:C93"/>
    <mergeCell ref="F91:F93"/>
    <mergeCell ref="I91:I93"/>
    <mergeCell ref="F33:F35"/>
    <mergeCell ref="G33:G35"/>
    <mergeCell ref="H33:H35"/>
    <mergeCell ref="I33:I35"/>
    <mergeCell ref="C33:C35"/>
    <mergeCell ref="I49:I51"/>
    <mergeCell ref="C113:C115"/>
    <mergeCell ref="F113:F115"/>
    <mergeCell ref="G113:G115"/>
    <mergeCell ref="H113:H115"/>
    <mergeCell ref="I113:I115"/>
    <mergeCell ref="E113:E115"/>
    <mergeCell ref="F172:F174"/>
    <mergeCell ref="C224:I224"/>
    <mergeCell ref="F199:F201"/>
    <mergeCell ref="G199:G201"/>
    <mergeCell ref="H199:H201"/>
    <mergeCell ref="I199:I201"/>
    <mergeCell ref="B223:I223"/>
    <mergeCell ref="C216:I216"/>
    <mergeCell ref="C250:I250"/>
    <mergeCell ref="C232:C234"/>
    <mergeCell ref="F232:F234"/>
    <mergeCell ref="G232:G234"/>
    <mergeCell ref="H232:H234"/>
    <mergeCell ref="I232:I234"/>
    <mergeCell ref="B172:B174"/>
    <mergeCell ref="D172:D174"/>
    <mergeCell ref="E172:E174"/>
    <mergeCell ref="B199:B201"/>
    <mergeCell ref="D199:D201"/>
    <mergeCell ref="E199:E201"/>
    <mergeCell ref="B177:B179"/>
    <mergeCell ref="D177:D179"/>
    <mergeCell ref="E177:E179"/>
    <mergeCell ref="C172:C174"/>
    <mergeCell ref="C199:C201"/>
    <mergeCell ref="C191:I191"/>
    <mergeCell ref="C177:C179"/>
    <mergeCell ref="F177:F179"/>
    <mergeCell ref="G177:G179"/>
    <mergeCell ref="H177:H179"/>
    <mergeCell ref="I177:I179"/>
    <mergeCell ref="G172:G174"/>
    <mergeCell ref="H172:H174"/>
    <mergeCell ref="I172:I174"/>
    <mergeCell ref="F293:F295"/>
    <mergeCell ref="G293:G295"/>
    <mergeCell ref="H293:H295"/>
    <mergeCell ref="C285:I285"/>
    <mergeCell ref="I293:I295"/>
    <mergeCell ref="C275:C277"/>
    <mergeCell ref="F275:F277"/>
    <mergeCell ref="G275:G277"/>
    <mergeCell ref="H275:H277"/>
    <mergeCell ref="I275:I277"/>
    <mergeCell ref="D275:D277"/>
    <mergeCell ref="B258:B260"/>
    <mergeCell ref="D258:D260"/>
    <mergeCell ref="E258:E260"/>
    <mergeCell ref="B232:B234"/>
    <mergeCell ref="E275:E277"/>
    <mergeCell ref="B275:B277"/>
    <mergeCell ref="B293:B295"/>
    <mergeCell ref="C293:C295"/>
    <mergeCell ref="D293:D295"/>
    <mergeCell ref="E293:E295"/>
    <mergeCell ref="C258:C260"/>
  </mergeCells>
  <phoneticPr fontId="19" type="noConversion"/>
  <pageMargins left="0.7" right="0.7" top="0.75" bottom="0.75" header="0.3" footer="0.3"/>
  <pageSetup paperSize="9" orientation="portrait" r:id="rId1"/>
  <ignoredErrors>
    <ignoredError sqref="C182:I182 C187:I189 C33:I33 C36" unlockedFormula="1"/>
    <ignoredError sqref="C39:I39" 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792542763DD664290F43524E9BA7AAD" ma:contentTypeVersion="17" ma:contentTypeDescription="Create a new document." ma:contentTypeScope="" ma:versionID="8a19ce99af706c8e4f867569a2db810d">
  <xsd:schema xmlns:xsd="http://www.w3.org/2001/XMLSchema" xmlns:xs="http://www.w3.org/2001/XMLSchema" xmlns:p="http://schemas.microsoft.com/office/2006/metadata/properties" xmlns:ns2="48c84dcb-7a60-44a5-9d89-4b1bb30fc754" xmlns:ns3="f3066bf1-d010-4b80-a61b-4bb0021ddd6f" targetNamespace="http://schemas.microsoft.com/office/2006/metadata/properties" ma:root="true" ma:fieldsID="b4003e3ffb3b134f858c2dda008e2370" ns2:_="" ns3:_="">
    <xsd:import namespace="48c84dcb-7a60-44a5-9d89-4b1bb30fc754"/>
    <xsd:import namespace="f3066bf1-d010-4b80-a61b-4bb0021ddd6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bjectDetectorVersions"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c84dcb-7a60-44a5-9d89-4b1bb30fc7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c166aa50-2606-4bee-b14b-7e98c91f201a"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3066bf1-d010-4b80-a61b-4bb0021ddd6f"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757dc19b-4556-4fba-9a5d-91f850794e3a}" ma:internalName="TaxCatchAll" ma:showField="CatchAllData" ma:web="f3066bf1-d010-4b80-a61b-4bb0021ddd6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3066bf1-d010-4b80-a61b-4bb0021ddd6f" xsi:nil="true"/>
    <lcf76f155ced4ddcb4097134ff3c332f xmlns="48c84dcb-7a60-44a5-9d89-4b1bb30fc75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8CC3280-62E6-4060-A00C-09D9F2E987B4}">
  <ds:schemaRefs>
    <ds:schemaRef ds:uri="http://schemas.microsoft.com/sharepoint/v3/contenttype/forms"/>
  </ds:schemaRefs>
</ds:datastoreItem>
</file>

<file path=customXml/itemProps2.xml><?xml version="1.0" encoding="utf-8"?>
<ds:datastoreItem xmlns:ds="http://schemas.openxmlformats.org/officeDocument/2006/customXml" ds:itemID="{C42A1126-946D-42E9-B40E-73F04EE0B8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c84dcb-7a60-44a5-9d89-4b1bb30fc754"/>
    <ds:schemaRef ds:uri="f3066bf1-d010-4b80-a61b-4bb0021ddd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FC4542-B719-47A0-8F15-4A1F84096D21}">
  <ds:schemaRefs>
    <ds:schemaRef ds:uri="http://purl.org/dc/elements/1.1/"/>
    <ds:schemaRef ds:uri="http://schemas.openxmlformats.org/package/2006/metadata/core-properties"/>
    <ds:schemaRef ds:uri="http://schemas.microsoft.com/office/infopath/2007/PartnerControls"/>
    <ds:schemaRef ds:uri="http://purl.org/dc/terms/"/>
    <ds:schemaRef ds:uri="48c84dcb-7a60-44a5-9d89-4b1bb30fc754"/>
    <ds:schemaRef ds:uri="http://purl.org/dc/dcmitype/"/>
    <ds:schemaRef ds:uri="http://schemas.microsoft.com/office/2006/documentManagement/types"/>
    <ds:schemaRef ds:uri="http://www.w3.org/XML/1998/namespace"/>
    <ds:schemaRef ds:uri="f3066bf1-d010-4b80-a61b-4bb0021ddd6f"/>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Welcome</vt:lpstr>
      <vt:lpstr>Modelled Results</vt:lpstr>
      <vt:lpstr>Chosen Scenarios</vt:lpstr>
      <vt:lpstr>Base-Year</vt:lpstr>
      <vt:lpstr>Baseline Statistics</vt:lpstr>
      <vt:lpstr>Baseline User Input</vt:lpstr>
      <vt:lpstr>1. Landuse</vt:lpstr>
      <vt:lpstr>2. Industry</vt:lpstr>
      <vt:lpstr>3. Transport</vt:lpstr>
      <vt:lpstr>4. Buildings</vt:lpstr>
      <vt:lpstr>5. Energy</vt:lpstr>
      <vt:lpstr>Emissions Factors, etc,</vt:lpstr>
      <vt:lpstr>Background Calcs. Agriculture</vt:lpstr>
      <vt:lpstr>Background Calcs. Housing</vt:lpstr>
      <vt:lpstr>Background Calcs. Electricity</vt:lpstr>
      <vt:lpstr>Workspace</vt:lpstr>
      <vt:lpstr>Patch 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Jarvis;Phaveethra Manohar</dc:creator>
  <cp:keywords/>
  <dc:description/>
  <cp:lastModifiedBy>Adam Jarvis</cp:lastModifiedBy>
  <cp:revision/>
  <dcterms:created xsi:type="dcterms:W3CDTF">2019-11-13T00:33:23Z</dcterms:created>
  <dcterms:modified xsi:type="dcterms:W3CDTF">2024-09-10T21:25:41Z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0x0101009792542763DD664290F43524E9BA7AAD</vt:lpwstr>
  </property>
  <property fmtid="{D5CDD505-2E9C-101B-9397-08002B2CF9AE}" pid="3" name="MediaServiceImageTags">
    <vt:lpwstr/>
  </property>
</Properties>
</file>