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comments10.xml" ContentType="application/vnd.openxmlformats-officedocument.spreadsheetml.comments+xml"/>
  <Override PartName="/xl/threadedComments/threadedComment9.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codeName="ThisWorkbook" defaultThemeVersion="166925"/>
  <mc:AlternateContent xmlns:mc="http://schemas.openxmlformats.org/markup-compatibility/2006">
    <mc:Choice Requires="x15">
      <x15ac:absPath xmlns:x15ac="http://schemas.microsoft.com/office/spreadsheetml/2010/11/ac" url="https://azurepnccgovt-my.sharepoint.com/personal/adam_jarvis_pncc_govt_nz/Documents/Desktop/"/>
    </mc:Choice>
  </mc:AlternateContent>
  <xr:revisionPtr revIDLastSave="0" documentId="8_{F20AFF61-F242-40BD-BD0F-34B3BF616ADE}" xr6:coauthVersionLast="45" xr6:coauthVersionMax="45" xr10:uidLastSave="{00000000-0000-0000-0000-000000000000}"/>
  <workbookProtection workbookAlgorithmName="SHA-512" workbookHashValue="euamP/CQ0+h153QWGsDfxEPYavXFK3T+fPIZfBdlxaKvtUYsSH/v/FOuZx/QyguD8a6W/DOSbvYWn/r/USgjhA==" workbookSaltValue="UqO26+exOQWmduezYt2cHQ==" workbookSpinCount="100000" lockStructure="1"/>
  <bookViews>
    <workbookView xWindow="-120" yWindow="-120" windowWidth="29040" windowHeight="15840" tabRatio="791" xr2:uid="{F21C635C-4F50-4874-BDFF-91B8F5F15B79}"/>
  </bookViews>
  <sheets>
    <sheet name="Welcome" sheetId="18" r:id="rId1"/>
    <sheet name="Patch Notes" sheetId="16" r:id="rId2"/>
    <sheet name="Results" sheetId="17" r:id="rId3"/>
    <sheet name="1. Landuse" sheetId="9" r:id="rId4"/>
    <sheet name="2. Industry" sheetId="8" r:id="rId5"/>
    <sheet name="3. Transport" sheetId="5" r:id="rId6"/>
    <sheet name="4. Buildings" sheetId="6" r:id="rId7"/>
    <sheet name="5. Energy" sheetId="7" r:id="rId8"/>
    <sheet name="Baseline Statistics" sheetId="1" r:id="rId9"/>
    <sheet name="Baseline Usage" sheetId="13" r:id="rId10"/>
    <sheet name="Landuse a. Agriculture" sheetId="15" r:id="rId11"/>
    <sheet name="Landuse b. Housing Growth" sheetId="2" r:id="rId12"/>
    <sheet name="Energy a. Electricity Supply" sheetId="10" r:id="rId13"/>
    <sheet name="Emissions Factors" sheetId="14" r:id="rId14"/>
    <sheet name="Workspace" sheetId="20" r:id="rId15"/>
    <sheet name="Workspace 2" sheetId="19"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5" i="6" l="1"/>
  <c r="D135" i="6"/>
  <c r="E135" i="6"/>
  <c r="F135" i="6"/>
  <c r="G135" i="6"/>
  <c r="H135" i="6"/>
  <c r="I135" i="6"/>
  <c r="C135" i="6"/>
  <c r="D133" i="6"/>
  <c r="E133" i="6"/>
  <c r="F133" i="6"/>
  <c r="G133" i="6"/>
  <c r="H133" i="6"/>
  <c r="I133" i="6"/>
  <c r="C133" i="6"/>
  <c r="D134" i="6"/>
  <c r="E134" i="6"/>
  <c r="F134" i="6"/>
  <c r="G134" i="6"/>
  <c r="H134" i="6"/>
  <c r="I134" i="6"/>
  <c r="C134" i="6"/>
  <c r="C54" i="6"/>
  <c r="D53" i="6"/>
  <c r="C53" i="6"/>
  <c r="D52" i="6"/>
  <c r="E52" i="6"/>
  <c r="C52" i="6"/>
  <c r="C49" i="6"/>
  <c r="D49" i="6"/>
  <c r="D48" i="6"/>
  <c r="E48" i="6"/>
  <c r="C48" i="6"/>
  <c r="D47" i="6"/>
  <c r="E47" i="6"/>
  <c r="F47" i="6"/>
  <c r="O75" i="6"/>
  <c r="P75" i="6"/>
  <c r="O76" i="6"/>
  <c r="P76" i="6"/>
  <c r="O77" i="6"/>
  <c r="P77" i="6"/>
  <c r="O78" i="6"/>
  <c r="P78" i="6"/>
  <c r="O79" i="6"/>
  <c r="P79" i="6"/>
  <c r="O80" i="6"/>
  <c r="P80" i="6"/>
  <c r="O81" i="6"/>
  <c r="P81" i="6"/>
  <c r="O82" i="6"/>
  <c r="P82" i="6"/>
  <c r="O83" i="6"/>
  <c r="P83" i="6"/>
  <c r="O84" i="6"/>
  <c r="P84" i="6"/>
  <c r="O85" i="6"/>
  <c r="P85" i="6"/>
  <c r="O86" i="6"/>
  <c r="P86" i="6"/>
  <c r="O87" i="6"/>
  <c r="P87" i="6"/>
  <c r="O88" i="6"/>
  <c r="P88" i="6"/>
  <c r="N76" i="6"/>
  <c r="N77" i="6"/>
  <c r="N78" i="6"/>
  <c r="N79" i="6"/>
  <c r="N80" i="6"/>
  <c r="N81" i="6"/>
  <c r="N82" i="6"/>
  <c r="N83" i="6"/>
  <c r="N84" i="6"/>
  <c r="N85" i="6"/>
  <c r="N86" i="6"/>
  <c r="N87" i="6"/>
  <c r="N88" i="6"/>
  <c r="N75" i="6"/>
  <c r="O59" i="6"/>
  <c r="P59" i="6"/>
  <c r="O60" i="6"/>
  <c r="P60" i="6"/>
  <c r="O61" i="6"/>
  <c r="P61" i="6"/>
  <c r="O62" i="6"/>
  <c r="P62" i="6"/>
  <c r="O63" i="6"/>
  <c r="P63" i="6"/>
  <c r="O64" i="6"/>
  <c r="P64" i="6"/>
  <c r="O65" i="6"/>
  <c r="P65" i="6"/>
  <c r="O66" i="6"/>
  <c r="P66" i="6"/>
  <c r="O67" i="6"/>
  <c r="P67" i="6"/>
  <c r="O68" i="6"/>
  <c r="P68" i="6"/>
  <c r="O69" i="6"/>
  <c r="P69" i="6"/>
  <c r="O70" i="6"/>
  <c r="P70" i="6"/>
  <c r="N60" i="6"/>
  <c r="N61" i="6"/>
  <c r="N62" i="6"/>
  <c r="N63" i="6"/>
  <c r="N64" i="6"/>
  <c r="N65" i="6"/>
  <c r="N66" i="6"/>
  <c r="N67" i="6"/>
  <c r="N68" i="6"/>
  <c r="N69" i="6"/>
  <c r="N70" i="6"/>
  <c r="N59" i="6"/>
  <c r="O47" i="6"/>
  <c r="P47" i="6"/>
  <c r="O48" i="6"/>
  <c r="P48" i="6"/>
  <c r="O49" i="6"/>
  <c r="P49" i="6"/>
  <c r="O50" i="6"/>
  <c r="P50" i="6"/>
  <c r="O51" i="6"/>
  <c r="P51" i="6"/>
  <c r="O52" i="6"/>
  <c r="P52" i="6"/>
  <c r="O53" i="6"/>
  <c r="P53" i="6"/>
  <c r="O54" i="6"/>
  <c r="P54" i="6"/>
  <c r="N48" i="6"/>
  <c r="N49" i="6"/>
  <c r="N50" i="6"/>
  <c r="N51" i="6"/>
  <c r="N52" i="6"/>
  <c r="N53" i="6"/>
  <c r="N54" i="6"/>
  <c r="N47" i="6"/>
  <c r="I119" i="6"/>
  <c r="H119" i="6"/>
  <c r="G119" i="6"/>
  <c r="F119" i="6"/>
  <c r="E119" i="6"/>
  <c r="D119" i="6"/>
  <c r="C119" i="6"/>
  <c r="I112" i="6"/>
  <c r="H112" i="6"/>
  <c r="G112" i="6"/>
  <c r="F112" i="6"/>
  <c r="E112" i="6"/>
  <c r="D112" i="6"/>
  <c r="C112" i="6"/>
  <c r="I65" i="6"/>
  <c r="H65" i="6"/>
  <c r="G65" i="6"/>
  <c r="F65" i="6"/>
  <c r="E65" i="6"/>
  <c r="D65" i="6"/>
  <c r="I51" i="6"/>
  <c r="H51" i="6"/>
  <c r="G51" i="6"/>
  <c r="F51" i="6"/>
  <c r="E51" i="6"/>
  <c r="D51" i="6"/>
  <c r="C51" i="6"/>
  <c r="I46" i="6"/>
  <c r="H46" i="6"/>
  <c r="G46" i="6"/>
  <c r="F46" i="6"/>
  <c r="E46" i="6"/>
  <c r="D46" i="6"/>
  <c r="C46" i="6"/>
  <c r="I39" i="6"/>
  <c r="H39" i="6"/>
  <c r="G39" i="6"/>
  <c r="F39" i="6"/>
  <c r="E39" i="6"/>
  <c r="D39" i="6"/>
  <c r="C39" i="6"/>
  <c r="I40" i="6"/>
  <c r="I48" i="6" s="1"/>
  <c r="H40" i="6"/>
  <c r="H53" i="6" s="1"/>
  <c r="G40" i="6"/>
  <c r="G47" i="6" s="1"/>
  <c r="F40" i="6"/>
  <c r="F52" i="6" s="1"/>
  <c r="E40" i="6"/>
  <c r="E53" i="6" s="1"/>
  <c r="D40" i="6"/>
  <c r="D54" i="6" s="1"/>
  <c r="C40" i="6"/>
  <c r="C47" i="6" s="1"/>
  <c r="H54" i="6" l="1"/>
  <c r="H49" i="6"/>
  <c r="I52" i="6"/>
  <c r="I47" i="6"/>
  <c r="H48" i="6"/>
  <c r="G49" i="6"/>
  <c r="H52" i="6"/>
  <c r="G53" i="6"/>
  <c r="F54" i="6"/>
  <c r="I54" i="6"/>
  <c r="I49" i="6"/>
  <c r="I53" i="6"/>
  <c r="G54" i="6"/>
  <c r="H47" i="6"/>
  <c r="G48" i="6"/>
  <c r="F49" i="6"/>
  <c r="G52" i="6"/>
  <c r="F53" i="6"/>
  <c r="E54" i="6"/>
  <c r="K48" i="6"/>
  <c r="F48" i="6"/>
  <c r="E49" i="6"/>
  <c r="C65" i="6" l="1"/>
  <c r="D80" i="6"/>
  <c r="D90" i="6" s="1"/>
  <c r="D100" i="6" s="1"/>
  <c r="E80" i="6"/>
  <c r="E90" i="6" s="1"/>
  <c r="E100" i="6" s="1"/>
  <c r="F80" i="6"/>
  <c r="F90" i="6" s="1"/>
  <c r="F100" i="6" s="1"/>
  <c r="G80" i="6"/>
  <c r="H80" i="6"/>
  <c r="I80" i="6"/>
  <c r="C80" i="6"/>
  <c r="C90" i="6" s="1"/>
  <c r="C100" i="6" s="1"/>
  <c r="D107" i="6"/>
  <c r="E107" i="6"/>
  <c r="F107" i="6"/>
  <c r="G107" i="6"/>
  <c r="H107" i="6"/>
  <c r="I107" i="6"/>
  <c r="C107" i="6"/>
  <c r="D108" i="6"/>
  <c r="E108" i="6"/>
  <c r="F108" i="6"/>
  <c r="G108" i="6"/>
  <c r="H108" i="6"/>
  <c r="I108" i="6"/>
  <c r="C108" i="6"/>
  <c r="D109" i="6"/>
  <c r="E109" i="6"/>
  <c r="F109" i="6"/>
  <c r="G109" i="6"/>
  <c r="H109" i="6"/>
  <c r="I109" i="6"/>
  <c r="C109" i="6"/>
  <c r="I113" i="6"/>
  <c r="H113" i="6"/>
  <c r="G113" i="6"/>
  <c r="F113" i="6"/>
  <c r="E113" i="6"/>
  <c r="D113" i="6"/>
  <c r="C113" i="6"/>
  <c r="C89" i="6"/>
  <c r="C99" i="6" s="1"/>
  <c r="C88" i="6"/>
  <c r="C87" i="6"/>
  <c r="C97" i="6" s="1"/>
  <c r="C84" i="6"/>
  <c r="C81" i="6"/>
  <c r="C91" i="6" s="1"/>
  <c r="I90" i="6"/>
  <c r="I100" i="6" s="1"/>
  <c r="H90" i="6"/>
  <c r="H100" i="6" s="1"/>
  <c r="G90" i="6"/>
  <c r="G100" i="6" s="1"/>
  <c r="I59" i="6"/>
  <c r="H59" i="6"/>
  <c r="G59" i="6"/>
  <c r="F59" i="6"/>
  <c r="E59" i="6"/>
  <c r="D59" i="6"/>
  <c r="C59" i="6"/>
  <c r="I58" i="6"/>
  <c r="H58" i="6"/>
  <c r="G58" i="6"/>
  <c r="F58" i="6"/>
  <c r="E58" i="6"/>
  <c r="D58" i="6"/>
  <c r="C58" i="6"/>
  <c r="P94" i="6"/>
  <c r="C85" i="6"/>
  <c r="C82" i="6"/>
  <c r="C86" i="6"/>
  <c r="C83" i="6"/>
  <c r="C70" i="6" l="1"/>
  <c r="C75" i="6"/>
  <c r="C71" i="6"/>
  <c r="C77" i="6"/>
  <c r="C76" i="6"/>
  <c r="C69" i="6"/>
  <c r="F77" i="6"/>
  <c r="F131" i="6" s="1"/>
  <c r="F10" i="17" s="1"/>
  <c r="F76" i="6"/>
  <c r="F75" i="6"/>
  <c r="F69" i="6"/>
  <c r="F70" i="6"/>
  <c r="F71" i="6"/>
  <c r="E75" i="6"/>
  <c r="E76" i="6"/>
  <c r="E69" i="6"/>
  <c r="E77" i="6"/>
  <c r="E70" i="6"/>
  <c r="E71" i="6"/>
  <c r="H76" i="6"/>
  <c r="H69" i="6"/>
  <c r="H70" i="6"/>
  <c r="H75" i="6"/>
  <c r="H129" i="6" s="1"/>
  <c r="H8" i="17" s="1"/>
  <c r="H77" i="6"/>
  <c r="H71" i="6"/>
  <c r="D75" i="6"/>
  <c r="D69" i="6"/>
  <c r="D77" i="6"/>
  <c r="D70" i="6"/>
  <c r="D71" i="6"/>
  <c r="D76" i="6"/>
  <c r="I71" i="6"/>
  <c r="I76" i="6"/>
  <c r="I75" i="6"/>
  <c r="I70" i="6"/>
  <c r="I69" i="6"/>
  <c r="I77" i="6"/>
  <c r="G69" i="6"/>
  <c r="G76" i="6"/>
  <c r="G75" i="6"/>
  <c r="G129" i="6" s="1"/>
  <c r="G8" i="17" s="1"/>
  <c r="G77" i="6"/>
  <c r="G70" i="6"/>
  <c r="G71" i="6"/>
  <c r="I131" i="6"/>
  <c r="I10" i="17" s="1"/>
  <c r="D129" i="6"/>
  <c r="D8" i="17" s="1"/>
  <c r="D130" i="6"/>
  <c r="D9" i="17" s="1"/>
  <c r="D131" i="6"/>
  <c r="D10" i="17" s="1"/>
  <c r="E130" i="6"/>
  <c r="E9" i="17" s="1"/>
  <c r="F129" i="6"/>
  <c r="F8" i="17" s="1"/>
  <c r="H130" i="6"/>
  <c r="H9" i="17" s="1"/>
  <c r="F87" i="6"/>
  <c r="F97" i="6" s="1"/>
  <c r="G88" i="6"/>
  <c r="G98" i="6" s="1"/>
  <c r="C129" i="6"/>
  <c r="C8" i="17" s="1"/>
  <c r="D89" i="6"/>
  <c r="D99" i="6" s="1"/>
  <c r="D81" i="6"/>
  <c r="D91" i="6" s="1"/>
  <c r="H89" i="6"/>
  <c r="H99" i="6" s="1"/>
  <c r="H81" i="6"/>
  <c r="H91" i="6" s="1"/>
  <c r="F84" i="6"/>
  <c r="F94" i="6" s="1"/>
  <c r="E83" i="6"/>
  <c r="E93" i="6" s="1"/>
  <c r="D83" i="6"/>
  <c r="D93" i="6" s="1"/>
  <c r="C93" i="6"/>
  <c r="I83" i="6"/>
  <c r="I93" i="6" s="1"/>
  <c r="H83" i="6"/>
  <c r="H93" i="6" s="1"/>
  <c r="F83" i="6"/>
  <c r="F93" i="6" s="1"/>
  <c r="G83" i="6"/>
  <c r="G93" i="6" s="1"/>
  <c r="H86" i="6"/>
  <c r="H96" i="6" s="1"/>
  <c r="G86" i="6"/>
  <c r="G96" i="6" s="1"/>
  <c r="F86" i="6"/>
  <c r="F96" i="6" s="1"/>
  <c r="E86" i="6"/>
  <c r="E96" i="6" s="1"/>
  <c r="D86" i="6"/>
  <c r="D96" i="6" s="1"/>
  <c r="I86" i="6"/>
  <c r="I96" i="6" s="1"/>
  <c r="C96" i="6"/>
  <c r="D82" i="6"/>
  <c r="D92" i="6" s="1"/>
  <c r="C92" i="6"/>
  <c r="I82" i="6"/>
  <c r="I92" i="6" s="1"/>
  <c r="H82" i="6"/>
  <c r="H92" i="6" s="1"/>
  <c r="G82" i="6"/>
  <c r="G92" i="6" s="1"/>
  <c r="F82" i="6"/>
  <c r="F92" i="6" s="1"/>
  <c r="E82" i="6"/>
  <c r="E92" i="6" s="1"/>
  <c r="G85" i="6"/>
  <c r="G95" i="6" s="1"/>
  <c r="F85" i="6"/>
  <c r="F95" i="6" s="1"/>
  <c r="D85" i="6"/>
  <c r="D95" i="6" s="1"/>
  <c r="E85" i="6"/>
  <c r="E95" i="6" s="1"/>
  <c r="H85" i="6"/>
  <c r="H95" i="6" s="1"/>
  <c r="C95" i="6"/>
  <c r="I85" i="6"/>
  <c r="I95" i="6" s="1"/>
  <c r="I130" i="6"/>
  <c r="I9" i="17" s="1"/>
  <c r="I129" i="6"/>
  <c r="I8" i="17" s="1"/>
  <c r="C131" i="6"/>
  <c r="C10" i="17" s="1"/>
  <c r="E81" i="6"/>
  <c r="E91" i="6" s="1"/>
  <c r="H84" i="6"/>
  <c r="H94" i="6" s="1"/>
  <c r="D88" i="6"/>
  <c r="D98" i="6" s="1"/>
  <c r="E89" i="6"/>
  <c r="E99" i="6" s="1"/>
  <c r="C130" i="6"/>
  <c r="C9" i="17" s="1"/>
  <c r="F81" i="6"/>
  <c r="F91" i="6" s="1"/>
  <c r="I84" i="6"/>
  <c r="I94" i="6" s="1"/>
  <c r="D87" i="6"/>
  <c r="D97" i="6" s="1"/>
  <c r="E88" i="6"/>
  <c r="E98" i="6" s="1"/>
  <c r="F89" i="6"/>
  <c r="F99" i="6" s="1"/>
  <c r="C94" i="6"/>
  <c r="G84" i="6"/>
  <c r="G94" i="6" s="1"/>
  <c r="E131" i="6"/>
  <c r="E10" i="17" s="1"/>
  <c r="G81" i="6"/>
  <c r="G91" i="6" s="1"/>
  <c r="E87" i="6"/>
  <c r="E97" i="6" s="1"/>
  <c r="F88" i="6"/>
  <c r="F98" i="6" s="1"/>
  <c r="G89" i="6"/>
  <c r="G99" i="6" s="1"/>
  <c r="E129" i="6"/>
  <c r="E8" i="17" s="1"/>
  <c r="F130" i="6"/>
  <c r="F9" i="17" s="1"/>
  <c r="G131" i="6"/>
  <c r="G10" i="17" s="1"/>
  <c r="I81" i="6"/>
  <c r="I91" i="6" s="1"/>
  <c r="D84" i="6"/>
  <c r="D94" i="6" s="1"/>
  <c r="G87" i="6"/>
  <c r="G97" i="6" s="1"/>
  <c r="H88" i="6"/>
  <c r="H98" i="6" s="1"/>
  <c r="I89" i="6"/>
  <c r="I99" i="6" s="1"/>
  <c r="G130" i="6"/>
  <c r="G9" i="17" s="1"/>
  <c r="H131" i="6"/>
  <c r="H10" i="17" s="1"/>
  <c r="E84" i="6"/>
  <c r="E94" i="6" s="1"/>
  <c r="H87" i="6"/>
  <c r="H97" i="6" s="1"/>
  <c r="I88" i="6"/>
  <c r="I98" i="6" s="1"/>
  <c r="C98" i="6"/>
  <c r="I87" i="6"/>
  <c r="I97" i="6" s="1"/>
  <c r="R13" i="9" l="1"/>
  <c r="R14" i="9"/>
  <c r="R12" i="9"/>
  <c r="AV27" i="13"/>
  <c r="AV26" i="13"/>
  <c r="AE11" i="13"/>
  <c r="AE30" i="13"/>
  <c r="U54" i="13"/>
  <c r="U44" i="13"/>
  <c r="U45" i="13"/>
  <c r="U46" i="13"/>
  <c r="U47" i="13"/>
  <c r="U48" i="13"/>
  <c r="U49" i="13"/>
  <c r="U50" i="13"/>
  <c r="U51" i="13"/>
  <c r="U52" i="13"/>
  <c r="U53" i="13"/>
  <c r="U43" i="13"/>
  <c r="T39" i="13"/>
  <c r="T36" i="13"/>
  <c r="O16" i="13"/>
  <c r="D41" i="1" l="1"/>
  <c r="D44" i="1"/>
  <c r="D49" i="1"/>
  <c r="D20" i="1" l="1"/>
  <c r="D21" i="1"/>
  <c r="J18" i="1"/>
  <c r="I18" i="1"/>
  <c r="H18" i="1"/>
  <c r="G18" i="1"/>
  <c r="F18" i="1"/>
  <c r="E18" i="1"/>
  <c r="D18" i="1"/>
  <c r="D28" i="1"/>
  <c r="H27" i="1"/>
  <c r="I27" i="1" s="1"/>
  <c r="J27" i="1" s="1"/>
  <c r="H17" i="1"/>
  <c r="I17" i="1" s="1"/>
  <c r="J17" i="1" s="1"/>
  <c r="I200" i="6" l="1"/>
  <c r="H200" i="6"/>
  <c r="G200" i="6"/>
  <c r="F200" i="6"/>
  <c r="E200" i="6"/>
  <c r="D200" i="6"/>
  <c r="C200" i="6"/>
  <c r="AT13" i="13"/>
  <c r="I194" i="6"/>
  <c r="H194" i="6"/>
  <c r="G194" i="6"/>
  <c r="F194" i="6"/>
  <c r="E194" i="6"/>
  <c r="D194" i="6"/>
  <c r="C194" i="6"/>
  <c r="I188" i="6"/>
  <c r="H188" i="6"/>
  <c r="G188" i="6"/>
  <c r="F188" i="6"/>
  <c r="E188" i="6"/>
  <c r="D188" i="6"/>
  <c r="C188" i="6"/>
  <c r="P55" i="17"/>
  <c r="B41" i="5"/>
  <c r="C36" i="8"/>
  <c r="C72" i="8" s="1"/>
  <c r="C42" i="5" s="1"/>
  <c r="B36" i="8"/>
  <c r="B72" i="8" s="1"/>
  <c r="B75" i="5"/>
  <c r="B300" i="5" s="1"/>
  <c r="B42" i="5"/>
  <c r="C18" i="5"/>
  <c r="I44" i="5"/>
  <c r="H44" i="5"/>
  <c r="G44" i="5"/>
  <c r="F44" i="5"/>
  <c r="E44" i="5"/>
  <c r="D44" i="5"/>
  <c r="C44" i="5"/>
  <c r="C60" i="5"/>
  <c r="D60" i="5"/>
  <c r="E60" i="5"/>
  <c r="F60" i="5"/>
  <c r="G60" i="5"/>
  <c r="H60" i="5"/>
  <c r="I60" i="5"/>
  <c r="D162" i="5" l="1"/>
  <c r="E162" i="5"/>
  <c r="F162" i="5"/>
  <c r="G162" i="5"/>
  <c r="H162" i="5"/>
  <c r="I162" i="5"/>
  <c r="C162" i="5"/>
  <c r="C163" i="5" s="1"/>
  <c r="D145" i="5"/>
  <c r="D147" i="5" s="1"/>
  <c r="E145" i="5"/>
  <c r="F145" i="5"/>
  <c r="G145" i="5"/>
  <c r="H145" i="5"/>
  <c r="I145" i="5"/>
  <c r="C145" i="5"/>
  <c r="D144" i="5"/>
  <c r="E144" i="5"/>
  <c r="F144" i="5"/>
  <c r="G144" i="5"/>
  <c r="H144" i="5"/>
  <c r="I144" i="5"/>
  <c r="C144" i="5"/>
  <c r="D143" i="5"/>
  <c r="E143" i="5"/>
  <c r="F143" i="5"/>
  <c r="G143" i="5"/>
  <c r="H143" i="5"/>
  <c r="I143" i="5"/>
  <c r="C143" i="5"/>
  <c r="E146" i="5" l="1"/>
  <c r="F163" i="5"/>
  <c r="I163" i="5"/>
  <c r="H163" i="5"/>
  <c r="F146" i="5"/>
  <c r="E147" i="5"/>
  <c r="C146" i="5"/>
  <c r="G163" i="5"/>
  <c r="F147" i="5"/>
  <c r="E163" i="5"/>
  <c r="D146" i="5"/>
  <c r="D163" i="5"/>
  <c r="C147" i="5"/>
  <c r="I146" i="5"/>
  <c r="H147" i="5"/>
  <c r="G146" i="5"/>
  <c r="I147" i="5"/>
  <c r="H146" i="5"/>
  <c r="G147" i="5"/>
  <c r="D75" i="8"/>
  <c r="E75" i="8"/>
  <c r="F75" i="8"/>
  <c r="G75" i="8"/>
  <c r="H75" i="8"/>
  <c r="I75" i="8"/>
  <c r="C75" i="8"/>
  <c r="C57" i="7"/>
  <c r="C5" i="9"/>
  <c r="C28" i="14"/>
  <c r="C29" i="14"/>
  <c r="D28" i="14"/>
  <c r="E28" i="14"/>
  <c r="F28" i="14"/>
  <c r="G28" i="14"/>
  <c r="H28" i="14"/>
  <c r="I28" i="14"/>
  <c r="D29" i="14"/>
  <c r="E29" i="14"/>
  <c r="F29" i="14"/>
  <c r="G29" i="14"/>
  <c r="H29" i="14"/>
  <c r="I29" i="14"/>
  <c r="O68" i="9"/>
  <c r="E61" i="1"/>
  <c r="F61" i="1"/>
  <c r="G61" i="1"/>
  <c r="H61" i="1"/>
  <c r="I61" i="1"/>
  <c r="J61" i="1"/>
  <c r="D61" i="1"/>
  <c r="I11" i="9" l="1"/>
  <c r="J11" i="9"/>
  <c r="I12" i="9"/>
  <c r="J12" i="9"/>
  <c r="I13" i="9"/>
  <c r="J13" i="9"/>
  <c r="J10" i="9"/>
  <c r="AV24" i="13" l="1"/>
  <c r="AV25" i="13"/>
  <c r="N6" i="9"/>
  <c r="N7" i="9"/>
  <c r="N8" i="9"/>
  <c r="I297" i="5" l="1"/>
  <c r="H297" i="5"/>
  <c r="G297" i="5"/>
  <c r="F297" i="5"/>
  <c r="E297" i="5"/>
  <c r="D297" i="5"/>
  <c r="C297" i="5"/>
  <c r="I291" i="5"/>
  <c r="H291" i="5"/>
  <c r="G291" i="5"/>
  <c r="F291" i="5"/>
  <c r="E291" i="5"/>
  <c r="D291" i="5"/>
  <c r="C291" i="5"/>
  <c r="I290" i="5"/>
  <c r="H290" i="5"/>
  <c r="G290" i="5"/>
  <c r="F290" i="5"/>
  <c r="E290" i="5"/>
  <c r="D290" i="5"/>
  <c r="C290" i="5"/>
  <c r="C17" i="5"/>
  <c r="I3" i="14"/>
  <c r="I24" i="14" s="1"/>
  <c r="I36" i="14" s="1"/>
  <c r="I40" i="14" s="1"/>
  <c r="I49" i="14" s="1"/>
  <c r="D3" i="14"/>
  <c r="D14" i="14" s="1"/>
  <c r="E3" i="14"/>
  <c r="E14" i="14" s="1"/>
  <c r="F3" i="14"/>
  <c r="F24" i="14" s="1"/>
  <c r="F36" i="14" s="1"/>
  <c r="F40" i="14" s="1"/>
  <c r="F49" i="14" s="1"/>
  <c r="G3" i="14"/>
  <c r="G24" i="14" s="1"/>
  <c r="G36" i="14" s="1"/>
  <c r="G40" i="14" s="1"/>
  <c r="G49" i="14" s="1"/>
  <c r="H3" i="14"/>
  <c r="H24" i="14" s="1"/>
  <c r="H36" i="14" s="1"/>
  <c r="H40" i="14" s="1"/>
  <c r="H49" i="14" s="1"/>
  <c r="C3" i="14"/>
  <c r="C14" i="14" s="1"/>
  <c r="B59" i="1"/>
  <c r="Z70" i="13"/>
  <c r="Z60" i="13"/>
  <c r="Z63" i="13"/>
  <c r="I279" i="5"/>
  <c r="H279" i="5"/>
  <c r="G279" i="5"/>
  <c r="F279" i="5"/>
  <c r="E279" i="5"/>
  <c r="D279" i="5"/>
  <c r="C279" i="5"/>
  <c r="I262" i="5"/>
  <c r="H262" i="5"/>
  <c r="G262" i="5"/>
  <c r="F262" i="5"/>
  <c r="E262" i="5"/>
  <c r="D262" i="5"/>
  <c r="C262" i="5"/>
  <c r="I236" i="5"/>
  <c r="H236" i="5"/>
  <c r="G236" i="5"/>
  <c r="F236" i="5"/>
  <c r="E236" i="5"/>
  <c r="D236" i="5"/>
  <c r="C236" i="5"/>
  <c r="I189" i="5"/>
  <c r="H189" i="5"/>
  <c r="G189" i="5"/>
  <c r="F189" i="5"/>
  <c r="E189" i="5"/>
  <c r="D189" i="5"/>
  <c r="C189" i="5"/>
  <c r="I167" i="5"/>
  <c r="H167" i="5"/>
  <c r="G167" i="5"/>
  <c r="F167" i="5"/>
  <c r="E167" i="5"/>
  <c r="D167" i="5"/>
  <c r="C167" i="5"/>
  <c r="I159" i="5"/>
  <c r="H159" i="5"/>
  <c r="G159" i="5"/>
  <c r="F159" i="5"/>
  <c r="E159" i="5"/>
  <c r="D159" i="5"/>
  <c r="C159" i="5"/>
  <c r="I140" i="5"/>
  <c r="H140" i="5"/>
  <c r="G140" i="5"/>
  <c r="F140" i="5"/>
  <c r="E140" i="5"/>
  <c r="D140" i="5"/>
  <c r="C140" i="5"/>
  <c r="I112" i="5"/>
  <c r="H112" i="5"/>
  <c r="G112" i="5"/>
  <c r="F112" i="5"/>
  <c r="E112" i="5"/>
  <c r="D112" i="5"/>
  <c r="C112" i="5"/>
  <c r="I86" i="5"/>
  <c r="H86" i="5"/>
  <c r="G86" i="5"/>
  <c r="F86" i="5"/>
  <c r="E86" i="5"/>
  <c r="D86" i="5"/>
  <c r="C86" i="5"/>
  <c r="C28" i="5"/>
  <c r="C22" i="5"/>
  <c r="C2" i="5" s="1"/>
  <c r="I28" i="5"/>
  <c r="H28" i="5"/>
  <c r="G28" i="5"/>
  <c r="F28" i="5"/>
  <c r="E28" i="5"/>
  <c r="D28" i="5"/>
  <c r="E22" i="5"/>
  <c r="F22" i="5"/>
  <c r="G22" i="5"/>
  <c r="H22" i="5"/>
  <c r="I22" i="5"/>
  <c r="D22" i="5"/>
  <c r="AW26" i="13"/>
  <c r="E41" i="1"/>
  <c r="F41" i="1"/>
  <c r="G41" i="1"/>
  <c r="H41" i="1"/>
  <c r="I41" i="1"/>
  <c r="J41" i="1"/>
  <c r="E44" i="1"/>
  <c r="F44" i="1"/>
  <c r="G44" i="1"/>
  <c r="H44" i="1"/>
  <c r="I44" i="1"/>
  <c r="J44" i="1"/>
  <c r="E49" i="1"/>
  <c r="F49" i="1"/>
  <c r="G49" i="1"/>
  <c r="H49" i="1"/>
  <c r="I49" i="1"/>
  <c r="J49" i="1"/>
  <c r="E50" i="1"/>
  <c r="F50" i="1"/>
  <c r="G50" i="1"/>
  <c r="H50" i="1"/>
  <c r="I50" i="1"/>
  <c r="J50" i="1"/>
  <c r="AJ81" i="13"/>
  <c r="AK81" i="13"/>
  <c r="AL81" i="13"/>
  <c r="AJ83" i="13"/>
  <c r="AJ82" i="13" s="1"/>
  <c r="AK83" i="13"/>
  <c r="AK82" i="13" s="1"/>
  <c r="AL83" i="13"/>
  <c r="AL82" i="13" s="1"/>
  <c r="AJ65" i="13"/>
  <c r="AK65" i="13"/>
  <c r="AL65" i="13"/>
  <c r="AJ49" i="13"/>
  <c r="AK49" i="13"/>
  <c r="AL49" i="13"/>
  <c r="AS11" i="13"/>
  <c r="M26" i="13"/>
  <c r="L25" i="13"/>
  <c r="K25" i="13"/>
  <c r="L24" i="13"/>
  <c r="L23" i="13"/>
  <c r="K23" i="13"/>
  <c r="C6" i="9"/>
  <c r="C8" i="13"/>
  <c r="C6" i="8"/>
  <c r="C7" i="8"/>
  <c r="C8" i="8"/>
  <c r="C9" i="8"/>
  <c r="C10" i="8"/>
  <c r="C24" i="8" s="1"/>
  <c r="C5" i="8"/>
  <c r="G6" i="8"/>
  <c r="G5" i="8"/>
  <c r="G9" i="8"/>
  <c r="C86" i="8" s="1"/>
  <c r="C38" i="5" s="1"/>
  <c r="C54" i="5" s="1"/>
  <c r="G8" i="8"/>
  <c r="G7" i="8"/>
  <c r="C6" i="5"/>
  <c r="C7" i="5"/>
  <c r="C8" i="5"/>
  <c r="C9" i="5"/>
  <c r="C10" i="5"/>
  <c r="C11" i="5"/>
  <c r="C12" i="5"/>
  <c r="C13" i="5"/>
  <c r="C15" i="5"/>
  <c r="C16" i="5"/>
  <c r="C19" i="5"/>
  <c r="C5" i="5"/>
  <c r="T8" i="13"/>
  <c r="L8" i="13" s="1"/>
  <c r="D8" i="13" s="1"/>
  <c r="P36" i="15"/>
  <c r="P32" i="15"/>
  <c r="D2" i="15"/>
  <c r="E2" i="15"/>
  <c r="F2" i="15"/>
  <c r="G2" i="15"/>
  <c r="H2" i="15"/>
  <c r="I2" i="15"/>
  <c r="J2" i="15"/>
  <c r="AS9" i="13"/>
  <c r="W62" i="17"/>
  <c r="H85" i="8"/>
  <c r="G57" i="9"/>
  <c r="G64" i="9" s="1"/>
  <c r="T34" i="17"/>
  <c r="Q2" i="17"/>
  <c r="AC9" i="13"/>
  <c r="AT9" i="13" s="1"/>
  <c r="D14" i="1"/>
  <c r="D32" i="1" s="1"/>
  <c r="P62" i="17"/>
  <c r="Q62" i="17"/>
  <c r="R62" i="17"/>
  <c r="S62" i="17"/>
  <c r="U62" i="17"/>
  <c r="V62" i="17"/>
  <c r="P63" i="17"/>
  <c r="Q63" i="17"/>
  <c r="R63" i="17"/>
  <c r="S63" i="17"/>
  <c r="T63" i="17"/>
  <c r="U63" i="17"/>
  <c r="V63" i="17"/>
  <c r="W63" i="17"/>
  <c r="P64" i="17"/>
  <c r="Q64" i="17"/>
  <c r="P65" i="17"/>
  <c r="Q65" i="17"/>
  <c r="R65" i="17"/>
  <c r="S65" i="17"/>
  <c r="T65" i="17"/>
  <c r="U65" i="17"/>
  <c r="V65" i="17"/>
  <c r="W65" i="17"/>
  <c r="P66" i="17"/>
  <c r="Q66" i="17"/>
  <c r="P67" i="17"/>
  <c r="P68" i="17"/>
  <c r="Q68" i="17"/>
  <c r="R68" i="17"/>
  <c r="S68" i="17"/>
  <c r="T68" i="17"/>
  <c r="U68" i="17"/>
  <c r="V68" i="17"/>
  <c r="W68" i="17"/>
  <c r="P69" i="17"/>
  <c r="Q69" i="17"/>
  <c r="J11" i="1"/>
  <c r="W69" i="17" s="1"/>
  <c r="F11" i="1"/>
  <c r="S69" i="17" s="1"/>
  <c r="G11" i="1"/>
  <c r="T69" i="17" s="1"/>
  <c r="H11" i="1"/>
  <c r="U69" i="17" s="1"/>
  <c r="I11" i="1"/>
  <c r="V69" i="17" s="1"/>
  <c r="E11" i="1"/>
  <c r="R69" i="17" s="1"/>
  <c r="J8" i="1"/>
  <c r="W66" i="17" s="1"/>
  <c r="J6" i="1"/>
  <c r="W64" i="17" s="1"/>
  <c r="I8" i="1"/>
  <c r="V66" i="17" s="1"/>
  <c r="F8" i="1"/>
  <c r="S66" i="17" s="1"/>
  <c r="G8" i="1"/>
  <c r="T66" i="17" s="1"/>
  <c r="H8" i="1"/>
  <c r="U66" i="17" s="1"/>
  <c r="E8" i="1"/>
  <c r="R66" i="17" s="1"/>
  <c r="F6" i="1"/>
  <c r="S64" i="17" s="1"/>
  <c r="G6" i="1"/>
  <c r="T64" i="17" s="1"/>
  <c r="H6" i="1"/>
  <c r="U64" i="17" s="1"/>
  <c r="I6" i="1"/>
  <c r="E6" i="1"/>
  <c r="D9" i="1"/>
  <c r="Q67" i="17" s="1"/>
  <c r="C85" i="8"/>
  <c r="D85" i="8"/>
  <c r="E85" i="8"/>
  <c r="F85" i="8"/>
  <c r="I85" i="8"/>
  <c r="Q44" i="17"/>
  <c r="R44" i="17"/>
  <c r="S44" i="17"/>
  <c r="W44" i="17"/>
  <c r="Q34" i="17"/>
  <c r="R34" i="17"/>
  <c r="S34" i="17"/>
  <c r="V34" i="17"/>
  <c r="W34" i="17"/>
  <c r="R2" i="17"/>
  <c r="S2" i="17"/>
  <c r="U2" i="17"/>
  <c r="V2" i="17"/>
  <c r="W2" i="17"/>
  <c r="D2" i="17"/>
  <c r="E2" i="17"/>
  <c r="G2" i="17"/>
  <c r="C71" i="9"/>
  <c r="D71" i="9"/>
  <c r="E71" i="9"/>
  <c r="I71" i="9"/>
  <c r="C57" i="9"/>
  <c r="C64" i="9" s="1"/>
  <c r="D57" i="9"/>
  <c r="D64" i="9" s="1"/>
  <c r="E57" i="9"/>
  <c r="E64" i="9" s="1"/>
  <c r="H57" i="9"/>
  <c r="H64" i="9" s="1"/>
  <c r="I57" i="9"/>
  <c r="I64" i="9" s="1"/>
  <c r="C45" i="9"/>
  <c r="C52" i="9" s="1"/>
  <c r="D45" i="9"/>
  <c r="D52" i="9" s="1"/>
  <c r="E45" i="9"/>
  <c r="E52" i="9" s="1"/>
  <c r="H45" i="9"/>
  <c r="H52" i="9" s="1"/>
  <c r="I45" i="9"/>
  <c r="I52" i="9" s="1"/>
  <c r="C33" i="9"/>
  <c r="C40" i="9" s="1"/>
  <c r="D33" i="9"/>
  <c r="D40" i="9" s="1"/>
  <c r="E33" i="9"/>
  <c r="E40" i="9" s="1"/>
  <c r="G33" i="9"/>
  <c r="G40" i="9" s="1"/>
  <c r="H33" i="9"/>
  <c r="H40" i="9" s="1"/>
  <c r="E9" i="9"/>
  <c r="F9" i="9"/>
  <c r="H9" i="9"/>
  <c r="I9" i="9"/>
  <c r="C78" i="8"/>
  <c r="D78" i="8"/>
  <c r="E78" i="8"/>
  <c r="F78" i="8"/>
  <c r="I78" i="8"/>
  <c r="C61" i="8"/>
  <c r="D61" i="8"/>
  <c r="E61" i="8"/>
  <c r="F61" i="8"/>
  <c r="I61" i="8"/>
  <c r="C40" i="8"/>
  <c r="C47" i="8" s="1"/>
  <c r="D40" i="8"/>
  <c r="D47" i="8" s="1"/>
  <c r="E40" i="8"/>
  <c r="E47" i="8" s="1"/>
  <c r="H40" i="8"/>
  <c r="H47" i="8" s="1"/>
  <c r="I40" i="8"/>
  <c r="I47" i="8" s="1"/>
  <c r="C23" i="8"/>
  <c r="C16" i="8" s="1"/>
  <c r="D23" i="8"/>
  <c r="D16" i="8" s="1"/>
  <c r="E23" i="8"/>
  <c r="E16" i="8" s="1"/>
  <c r="H23" i="8"/>
  <c r="H16" i="8" s="1"/>
  <c r="I23" i="8"/>
  <c r="I16" i="8" s="1"/>
  <c r="C255" i="5"/>
  <c r="D255" i="5"/>
  <c r="E255" i="5"/>
  <c r="H255" i="5"/>
  <c r="I255" i="5"/>
  <c r="C212" i="5"/>
  <c r="D212" i="5"/>
  <c r="E212" i="5"/>
  <c r="H212" i="5"/>
  <c r="I212" i="5"/>
  <c r="C182" i="5"/>
  <c r="D182" i="5"/>
  <c r="E182" i="5"/>
  <c r="H182" i="5"/>
  <c r="I182" i="5"/>
  <c r="C153" i="5"/>
  <c r="D153" i="5"/>
  <c r="E153" i="5"/>
  <c r="F153" i="5"/>
  <c r="I153" i="5"/>
  <c r="C127" i="5"/>
  <c r="D127" i="5"/>
  <c r="E127" i="5"/>
  <c r="F127" i="5"/>
  <c r="I127" i="5"/>
  <c r="C102" i="5"/>
  <c r="D102" i="5"/>
  <c r="E102" i="5"/>
  <c r="F102" i="5"/>
  <c r="I102" i="5"/>
  <c r="C79" i="5"/>
  <c r="D79" i="5"/>
  <c r="E79" i="5"/>
  <c r="F79" i="5"/>
  <c r="I79" i="5"/>
  <c r="C180" i="6"/>
  <c r="C165" i="6" s="1"/>
  <c r="D180" i="6"/>
  <c r="D165" i="6" s="1"/>
  <c r="E180" i="6"/>
  <c r="E165" i="6" s="1"/>
  <c r="G180" i="6"/>
  <c r="G165" i="6" s="1"/>
  <c r="H180" i="6"/>
  <c r="H165" i="6" s="1"/>
  <c r="I180" i="6"/>
  <c r="I165" i="6" s="1"/>
  <c r="C173" i="6"/>
  <c r="C187" i="6" s="1"/>
  <c r="D173" i="6"/>
  <c r="D187" i="6" s="1"/>
  <c r="E173" i="6"/>
  <c r="E187" i="6" s="1"/>
  <c r="F173" i="6"/>
  <c r="F187" i="6" s="1"/>
  <c r="I173" i="6"/>
  <c r="I187" i="6" s="1"/>
  <c r="C158" i="6"/>
  <c r="D158" i="6"/>
  <c r="E158" i="6"/>
  <c r="F158" i="6"/>
  <c r="I158" i="6"/>
  <c r="C16" i="6"/>
  <c r="M2" i="6" s="1"/>
  <c r="D16" i="6"/>
  <c r="E16" i="6"/>
  <c r="H16" i="6"/>
  <c r="I16" i="6"/>
  <c r="C113" i="7"/>
  <c r="H113" i="7"/>
  <c r="I113" i="7"/>
  <c r="C100" i="7"/>
  <c r="D100" i="7"/>
  <c r="E100" i="7"/>
  <c r="H100" i="7"/>
  <c r="I100" i="7"/>
  <c r="C90" i="7"/>
  <c r="D90" i="7"/>
  <c r="E90" i="7"/>
  <c r="G90" i="7"/>
  <c r="H90" i="7"/>
  <c r="I90" i="7"/>
  <c r="C83" i="7"/>
  <c r="D83" i="7"/>
  <c r="E83" i="7"/>
  <c r="G83" i="7"/>
  <c r="H83" i="7"/>
  <c r="I83" i="7"/>
  <c r="C61" i="7"/>
  <c r="C68" i="7" s="1"/>
  <c r="D61" i="7"/>
  <c r="D68" i="7" s="1"/>
  <c r="E61" i="7"/>
  <c r="E68" i="7" s="1"/>
  <c r="F61" i="7"/>
  <c r="F68" i="7" s="1"/>
  <c r="I61" i="7"/>
  <c r="I68" i="7" s="1"/>
  <c r="C42" i="7"/>
  <c r="C49" i="7" s="1"/>
  <c r="D42" i="7"/>
  <c r="D49" i="7" s="1"/>
  <c r="E42" i="7"/>
  <c r="E49" i="7" s="1"/>
  <c r="F42" i="7"/>
  <c r="F49" i="7" s="1"/>
  <c r="I42" i="7"/>
  <c r="I49" i="7" s="1"/>
  <c r="C31" i="7"/>
  <c r="E17" i="7" s="1"/>
  <c r="D31" i="7"/>
  <c r="D38" i="7" s="1"/>
  <c r="E31" i="7"/>
  <c r="G17" i="7" s="1"/>
  <c r="H31" i="7"/>
  <c r="J17" i="7" s="1"/>
  <c r="I31" i="7"/>
  <c r="K21" i="7" s="1"/>
  <c r="AF2" i="15"/>
  <c r="AG2" i="15"/>
  <c r="AH2" i="15"/>
  <c r="AK2" i="15"/>
  <c r="AL2" i="15"/>
  <c r="V2" i="15"/>
  <c r="W2" i="15"/>
  <c r="X2" i="15"/>
  <c r="Z2" i="15"/>
  <c r="AA2" i="15"/>
  <c r="AB2" i="15"/>
  <c r="D38" i="2"/>
  <c r="E38" i="2"/>
  <c r="F38" i="2"/>
  <c r="H38" i="2"/>
  <c r="J38" i="2"/>
  <c r="D30" i="2"/>
  <c r="E30" i="2"/>
  <c r="F30" i="2"/>
  <c r="G30" i="2"/>
  <c r="H30" i="2"/>
  <c r="J30" i="2"/>
  <c r="D22" i="2"/>
  <c r="E22" i="2"/>
  <c r="F22" i="2"/>
  <c r="J22" i="2"/>
  <c r="D15" i="2"/>
  <c r="E15" i="2"/>
  <c r="F15" i="2"/>
  <c r="I15" i="2"/>
  <c r="J15" i="2"/>
  <c r="D3" i="2"/>
  <c r="E3" i="2"/>
  <c r="F3" i="2"/>
  <c r="I3" i="2"/>
  <c r="J3" i="2"/>
  <c r="D8" i="2"/>
  <c r="E8" i="2"/>
  <c r="F8" i="2"/>
  <c r="H8" i="2"/>
  <c r="I8" i="2"/>
  <c r="J8" i="2"/>
  <c r="D5" i="10"/>
  <c r="E5" i="10"/>
  <c r="F5" i="10"/>
  <c r="G5" i="10"/>
  <c r="J5" i="10"/>
  <c r="M20" i="10"/>
  <c r="N20" i="10"/>
  <c r="O20" i="10"/>
  <c r="P20" i="10"/>
  <c r="S20" i="10"/>
  <c r="M5" i="10"/>
  <c r="N5" i="10"/>
  <c r="O5" i="10"/>
  <c r="R5" i="10"/>
  <c r="S5" i="10"/>
  <c r="E14" i="1"/>
  <c r="E32" i="1" s="1"/>
  <c r="F14" i="1"/>
  <c r="F32" i="1" s="1"/>
  <c r="I14" i="1"/>
  <c r="I32" i="1" s="1"/>
  <c r="J14" i="1"/>
  <c r="J32" i="1" s="1"/>
  <c r="F41" i="5" l="1"/>
  <c r="G41" i="5"/>
  <c r="I41" i="5"/>
  <c r="I57" i="5" s="1"/>
  <c r="H41" i="5"/>
  <c r="D41" i="5"/>
  <c r="C41" i="5"/>
  <c r="C57" i="5" s="1"/>
  <c r="C75" i="5" s="1"/>
  <c r="E41" i="5"/>
  <c r="I75" i="5"/>
  <c r="I300" i="5" s="1"/>
  <c r="I22" i="17" s="1"/>
  <c r="C39" i="5"/>
  <c r="C55" i="5" s="1"/>
  <c r="F39" i="5"/>
  <c r="F55" i="5" s="1"/>
  <c r="I39" i="5"/>
  <c r="I55" i="5" s="1"/>
  <c r="G39" i="5"/>
  <c r="G55" i="5" s="1"/>
  <c r="D39" i="5"/>
  <c r="D55" i="5" s="1"/>
  <c r="E39" i="5"/>
  <c r="E55" i="5" s="1"/>
  <c r="H39" i="5"/>
  <c r="H55" i="5" s="1"/>
  <c r="F32" i="5"/>
  <c r="G32" i="5"/>
  <c r="H32" i="5"/>
  <c r="C32" i="5"/>
  <c r="D32" i="5"/>
  <c r="I32" i="5"/>
  <c r="E32" i="5"/>
  <c r="C33" i="5"/>
  <c r="D33" i="5"/>
  <c r="E33" i="5"/>
  <c r="F33" i="5"/>
  <c r="I33" i="5"/>
  <c r="G33" i="5"/>
  <c r="H33" i="5"/>
  <c r="B58" i="5"/>
  <c r="B76" i="5" s="1"/>
  <c r="B301" i="5" s="1"/>
  <c r="I40" i="5"/>
  <c r="C40" i="5"/>
  <c r="H40" i="5"/>
  <c r="D40" i="5"/>
  <c r="E40" i="5"/>
  <c r="F40" i="5"/>
  <c r="G40" i="5"/>
  <c r="D31" i="5"/>
  <c r="E31" i="5"/>
  <c r="F31" i="5"/>
  <c r="G31" i="5"/>
  <c r="H31" i="5"/>
  <c r="C31" i="5"/>
  <c r="I31" i="5"/>
  <c r="H35" i="5"/>
  <c r="D35" i="5"/>
  <c r="G35" i="5"/>
  <c r="E35" i="5"/>
  <c r="F35" i="5"/>
  <c r="C35" i="5"/>
  <c r="I35" i="5"/>
  <c r="I68" i="8"/>
  <c r="I74" i="8"/>
  <c r="F68" i="8"/>
  <c r="F74" i="8"/>
  <c r="E68" i="8"/>
  <c r="E74" i="8"/>
  <c r="D68" i="8"/>
  <c r="D74" i="8"/>
  <c r="C68" i="8"/>
  <c r="C74" i="8"/>
  <c r="C41" i="9"/>
  <c r="H14" i="14"/>
  <c r="G14" i="14"/>
  <c r="F14" i="14"/>
  <c r="C24" i="14"/>
  <c r="C36" i="14" s="1"/>
  <c r="C40" i="14" s="1"/>
  <c r="C49" i="14" s="1"/>
  <c r="E24" i="14"/>
  <c r="E36" i="14" s="1"/>
  <c r="E40" i="14" s="1"/>
  <c r="E49" i="14" s="1"/>
  <c r="D24" i="14"/>
  <c r="D36" i="14" s="1"/>
  <c r="D40" i="14" s="1"/>
  <c r="D49" i="14" s="1"/>
  <c r="I14" i="14"/>
  <c r="C38" i="7"/>
  <c r="E21" i="7"/>
  <c r="E10" i="7"/>
  <c r="C3" i="7" s="1"/>
  <c r="F17" i="7"/>
  <c r="C2" i="6"/>
  <c r="L26" i="13"/>
  <c r="K26" i="13"/>
  <c r="K10" i="7"/>
  <c r="I3" i="7" s="1"/>
  <c r="J10" i="7"/>
  <c r="H3" i="7" s="1"/>
  <c r="J21" i="7"/>
  <c r="G10" i="7"/>
  <c r="E3" i="7" s="1"/>
  <c r="G21" i="7"/>
  <c r="C2" i="8"/>
  <c r="F10" i="7"/>
  <c r="D3" i="7" s="1"/>
  <c r="F21" i="7"/>
  <c r="G2" i="8"/>
  <c r="I38" i="7"/>
  <c r="K2" i="8"/>
  <c r="H38" i="7"/>
  <c r="K17" i="7"/>
  <c r="H2" i="6"/>
  <c r="E38" i="7"/>
  <c r="G38" i="2"/>
  <c r="G8" i="2"/>
  <c r="F90" i="7"/>
  <c r="H14" i="1"/>
  <c r="H32" i="1" s="1"/>
  <c r="H15" i="2"/>
  <c r="H42" i="7"/>
  <c r="H49" i="7" s="1"/>
  <c r="G14" i="1"/>
  <c r="G32" i="1" s="1"/>
  <c r="Q20" i="10"/>
  <c r="G15" i="2"/>
  <c r="I30" i="2"/>
  <c r="G42" i="7"/>
  <c r="G49" i="7" s="1"/>
  <c r="F113" i="7"/>
  <c r="G158" i="6"/>
  <c r="G79" i="5"/>
  <c r="G102" i="5"/>
  <c r="G127" i="5"/>
  <c r="G153" i="5"/>
  <c r="G61" i="8"/>
  <c r="J9" i="9"/>
  <c r="F57" i="9"/>
  <c r="F64" i="9" s="1"/>
  <c r="C2" i="17"/>
  <c r="G85" i="8"/>
  <c r="G9" i="9"/>
  <c r="G100" i="7"/>
  <c r="T2" i="17"/>
  <c r="V44" i="17"/>
  <c r="G3" i="2"/>
  <c r="G31" i="7"/>
  <c r="F100" i="7"/>
  <c r="G182" i="5"/>
  <c r="G212" i="5"/>
  <c r="G255" i="5"/>
  <c r="G40" i="8"/>
  <c r="G47" i="8" s="1"/>
  <c r="F45" i="9"/>
  <c r="F52" i="9" s="1"/>
  <c r="H71" i="9"/>
  <c r="U44" i="17"/>
  <c r="F83" i="7"/>
  <c r="F180" i="6"/>
  <c r="F165" i="6" s="1"/>
  <c r="G16" i="6"/>
  <c r="I22" i="2"/>
  <c r="F16" i="6"/>
  <c r="P5" i="10"/>
  <c r="I5" i="10"/>
  <c r="H22" i="2"/>
  <c r="F31" i="7"/>
  <c r="H61" i="7"/>
  <c r="H68" i="7" s="1"/>
  <c r="H173" i="6"/>
  <c r="H187" i="6" s="1"/>
  <c r="F182" i="5"/>
  <c r="F212" i="5"/>
  <c r="F255" i="5"/>
  <c r="F40" i="8"/>
  <c r="F47" i="8" s="1"/>
  <c r="H78" i="8"/>
  <c r="D9" i="9"/>
  <c r="C2" i="9" s="1"/>
  <c r="G71" i="9"/>
  <c r="I2" i="17"/>
  <c r="T44" i="17"/>
  <c r="H3" i="2"/>
  <c r="Y2" i="15"/>
  <c r="G45" i="9"/>
  <c r="G52" i="9" s="1"/>
  <c r="Q5" i="10"/>
  <c r="H5" i="10"/>
  <c r="G22" i="2"/>
  <c r="I38" i="2"/>
  <c r="G61" i="7"/>
  <c r="G68" i="7" s="1"/>
  <c r="G173" i="6"/>
  <c r="G187" i="6" s="1"/>
  <c r="G78" i="8"/>
  <c r="I33" i="9"/>
  <c r="I40" i="9" s="1"/>
  <c r="F71" i="9"/>
  <c r="H2" i="17"/>
  <c r="F2" i="17"/>
  <c r="AJ2" i="15"/>
  <c r="G23" i="8"/>
  <c r="G16" i="8" s="1"/>
  <c r="F33" i="9"/>
  <c r="F40" i="9" s="1"/>
  <c r="U34" i="17"/>
  <c r="T62" i="17"/>
  <c r="R20" i="10"/>
  <c r="AI2" i="15"/>
  <c r="G113" i="7"/>
  <c r="H158" i="6"/>
  <c r="H79" i="5"/>
  <c r="H102" i="5"/>
  <c r="H127" i="5"/>
  <c r="H153" i="5"/>
  <c r="F23" i="8"/>
  <c r="F16" i="8" s="1"/>
  <c r="H61" i="8"/>
  <c r="J9" i="1"/>
  <c r="W67" i="17" s="1"/>
  <c r="E9" i="1"/>
  <c r="R67" i="17" s="1"/>
  <c r="I9" i="1"/>
  <c r="V67" i="17" s="1"/>
  <c r="V64" i="17"/>
  <c r="R64" i="17"/>
  <c r="C300" i="5" l="1"/>
  <c r="C22" i="17" s="1"/>
  <c r="Q22" i="17" s="1"/>
  <c r="C58" i="5"/>
  <c r="C76" i="5" s="1"/>
  <c r="C301" i="5" s="1"/>
  <c r="C23" i="17" s="1"/>
  <c r="Q23" i="17" s="1"/>
  <c r="G68" i="8"/>
  <c r="G74" i="8"/>
  <c r="H68" i="8"/>
  <c r="H74" i="8"/>
  <c r="H17" i="7"/>
  <c r="F38" i="7"/>
  <c r="H21" i="7"/>
  <c r="H10" i="7"/>
  <c r="F3" i="7" s="1"/>
  <c r="I17" i="7"/>
  <c r="G38" i="7"/>
  <c r="I21" i="7"/>
  <c r="I10" i="7"/>
  <c r="G3" i="7" s="1"/>
  <c r="F9" i="1"/>
  <c r="S67" i="17" s="1"/>
  <c r="Q39" i="17" l="1"/>
  <c r="Q55" i="17"/>
  <c r="G9" i="1"/>
  <c r="T67" i="17" s="1"/>
  <c r="H9" i="1" l="1"/>
  <c r="U67" i="17" s="1"/>
  <c r="C128" i="5" l="1"/>
  <c r="D10" i="9"/>
  <c r="X22" i="15" l="1"/>
  <c r="B98" i="7" l="1"/>
  <c r="B97" i="7"/>
  <c r="D234" i="5"/>
  <c r="E234" i="5"/>
  <c r="F234" i="5"/>
  <c r="C234" i="5"/>
  <c r="C233" i="5"/>
  <c r="C232" i="5"/>
  <c r="C213" i="5"/>
  <c r="AC2" i="13" l="1"/>
  <c r="AT15" i="13" s="1"/>
  <c r="M9" i="6" s="1"/>
  <c r="AB21" i="13"/>
  <c r="AC21" i="13" l="1"/>
  <c r="AC24" i="13" l="1"/>
  <c r="H8" i="6" s="1"/>
  <c r="H5" i="6"/>
  <c r="AC22" i="13"/>
  <c r="H6" i="6" s="1"/>
  <c r="AC23" i="13"/>
  <c r="H7" i="6" s="1"/>
  <c r="L34" i="1"/>
  <c r="L35" i="1"/>
  <c r="L36" i="1"/>
  <c r="L37" i="1"/>
  <c r="L38" i="1"/>
  <c r="L39" i="1"/>
  <c r="L40" i="1"/>
  <c r="L42" i="1"/>
  <c r="L43" i="1"/>
  <c r="L45" i="1"/>
  <c r="L46" i="1"/>
  <c r="L47" i="1"/>
  <c r="L48" i="1"/>
  <c r="L33" i="1"/>
  <c r="C69" i="7"/>
  <c r="L26" i="6" l="1"/>
  <c r="N26" i="6" s="1"/>
  <c r="D37" i="15" l="1"/>
  <c r="C43" i="15"/>
  <c r="D28" i="15"/>
  <c r="L5" i="14" l="1"/>
  <c r="L6" i="14"/>
  <c r="L7" i="14"/>
  <c r="L8" i="14"/>
  <c r="L9" i="14"/>
  <c r="L10" i="14"/>
  <c r="L11" i="14"/>
  <c r="L12" i="14"/>
  <c r="L13" i="14"/>
  <c r="L14" i="14"/>
  <c r="L15" i="14"/>
  <c r="L16" i="14"/>
  <c r="L17" i="14"/>
  <c r="L18" i="14"/>
  <c r="L19" i="14"/>
  <c r="L20" i="14"/>
  <c r="L21" i="14"/>
  <c r="L22" i="14"/>
  <c r="L23" i="14"/>
  <c r="L24" i="14"/>
  <c r="L25" i="14"/>
  <c r="L26" i="14"/>
  <c r="L27" i="14"/>
  <c r="L30" i="14"/>
  <c r="L31" i="14"/>
  <c r="L4" i="14"/>
  <c r="E37" i="15" l="1"/>
  <c r="F37" i="15"/>
  <c r="G37" i="15"/>
  <c r="H37" i="15"/>
  <c r="I37" i="15"/>
  <c r="J37" i="15"/>
  <c r="V22" i="15"/>
  <c r="W22" i="15"/>
  <c r="Y22" i="15"/>
  <c r="Z22" i="15"/>
  <c r="AA22" i="15"/>
  <c r="AB22" i="15"/>
  <c r="D11" i="9" l="1"/>
  <c r="D10" i="2" s="1"/>
  <c r="E11" i="9"/>
  <c r="E10" i="2" s="1"/>
  <c r="F11" i="9"/>
  <c r="F10" i="2" s="1"/>
  <c r="G11" i="9"/>
  <c r="G10" i="2" s="1"/>
  <c r="H11" i="9"/>
  <c r="H10" i="2" s="1"/>
  <c r="I10" i="2"/>
  <c r="J10" i="2"/>
  <c r="D12" i="9"/>
  <c r="D11" i="2" s="1"/>
  <c r="E12" i="9"/>
  <c r="E11" i="2" s="1"/>
  <c r="F12" i="9"/>
  <c r="F11" i="2" s="1"/>
  <c r="G12" i="9"/>
  <c r="G11" i="2" s="1"/>
  <c r="H12" i="9"/>
  <c r="H11" i="2" s="1"/>
  <c r="I11" i="2"/>
  <c r="J11" i="2"/>
  <c r="D13" i="9"/>
  <c r="D12" i="2" s="1"/>
  <c r="E13" i="9"/>
  <c r="E12" i="2" s="1"/>
  <c r="F13" i="9"/>
  <c r="F12" i="2" s="1"/>
  <c r="G13" i="9"/>
  <c r="G12" i="2" s="1"/>
  <c r="H13" i="9"/>
  <c r="H12" i="2" s="1"/>
  <c r="I12" i="2"/>
  <c r="J12" i="2"/>
  <c r="E10" i="9"/>
  <c r="E9" i="2" s="1"/>
  <c r="F10" i="9"/>
  <c r="F9" i="2" s="1"/>
  <c r="G10" i="9"/>
  <c r="G9" i="2" s="1"/>
  <c r="H10" i="9"/>
  <c r="H9" i="2" s="1"/>
  <c r="I10" i="9"/>
  <c r="I9" i="2" s="1"/>
  <c r="J9" i="2"/>
  <c r="D9" i="2"/>
  <c r="I31" i="18"/>
  <c r="H31" i="18"/>
  <c r="G31" i="18"/>
  <c r="F31" i="18"/>
  <c r="E31" i="18"/>
  <c r="D31" i="18"/>
  <c r="C31" i="18"/>
  <c r="C34" i="9"/>
  <c r="D72" i="9"/>
  <c r="E72" i="9"/>
  <c r="F72" i="9"/>
  <c r="G72" i="9"/>
  <c r="H72" i="9"/>
  <c r="I72" i="9"/>
  <c r="C72" i="9"/>
  <c r="C58" i="9"/>
  <c r="D58" i="9"/>
  <c r="E58" i="9"/>
  <c r="F58" i="9"/>
  <c r="G58" i="9"/>
  <c r="H58" i="9"/>
  <c r="I58" i="9"/>
  <c r="C46" i="9"/>
  <c r="D46" i="9"/>
  <c r="E46" i="9"/>
  <c r="F46" i="9"/>
  <c r="G46" i="9"/>
  <c r="H46" i="9"/>
  <c r="I46" i="9"/>
  <c r="D34" i="9"/>
  <c r="E34" i="9"/>
  <c r="E41" i="9" s="1"/>
  <c r="F34" i="9"/>
  <c r="G34" i="9"/>
  <c r="H34" i="9"/>
  <c r="I34" i="9"/>
  <c r="I41" i="9" s="1"/>
  <c r="I42" i="9" s="1"/>
  <c r="C79" i="8"/>
  <c r="C87" i="8" s="1"/>
  <c r="D79" i="8"/>
  <c r="D87" i="8" s="1"/>
  <c r="E79" i="8"/>
  <c r="F79" i="8"/>
  <c r="G79" i="8"/>
  <c r="H79" i="8"/>
  <c r="I79" i="8"/>
  <c r="C62" i="8"/>
  <c r="C174" i="6"/>
  <c r="D62" i="8"/>
  <c r="E62" i="8"/>
  <c r="F62" i="8"/>
  <c r="G62" i="8"/>
  <c r="H62" i="8"/>
  <c r="I62" i="8"/>
  <c r="C41" i="8"/>
  <c r="C48" i="8" s="1"/>
  <c r="C24" i="17" s="1"/>
  <c r="D41" i="8"/>
  <c r="E41" i="8"/>
  <c r="F41" i="8"/>
  <c r="G41" i="8"/>
  <c r="H41" i="8"/>
  <c r="I41" i="8"/>
  <c r="C17" i="8"/>
  <c r="C57" i="8" s="1"/>
  <c r="C17" i="6" s="1"/>
  <c r="F17" i="8"/>
  <c r="H17" i="8"/>
  <c r="I17" i="8"/>
  <c r="D17" i="8"/>
  <c r="C256" i="5"/>
  <c r="E17" i="8"/>
  <c r="G17" i="8"/>
  <c r="I256" i="5"/>
  <c r="C183" i="5"/>
  <c r="D183" i="5"/>
  <c r="E183" i="5"/>
  <c r="F183" i="5"/>
  <c r="G183" i="5"/>
  <c r="H183" i="5"/>
  <c r="I183" i="5"/>
  <c r="C154" i="5"/>
  <c r="D154" i="5"/>
  <c r="E154" i="5"/>
  <c r="F154" i="5"/>
  <c r="G154" i="5"/>
  <c r="H154" i="5"/>
  <c r="I154" i="5"/>
  <c r="D134" i="5"/>
  <c r="E134" i="5"/>
  <c r="F134" i="5"/>
  <c r="G134" i="5"/>
  <c r="H134" i="5"/>
  <c r="I134" i="5"/>
  <c r="C134" i="5"/>
  <c r="D128" i="5"/>
  <c r="E128" i="5"/>
  <c r="F128" i="5"/>
  <c r="G128" i="5"/>
  <c r="H128" i="5"/>
  <c r="I128" i="5"/>
  <c r="C103" i="5"/>
  <c r="D103" i="5"/>
  <c r="E103" i="5"/>
  <c r="F103" i="5"/>
  <c r="G103" i="5"/>
  <c r="H103" i="5"/>
  <c r="I103" i="5"/>
  <c r="C80" i="5"/>
  <c r="D80" i="5"/>
  <c r="E80" i="5"/>
  <c r="F80" i="5"/>
  <c r="G80" i="5"/>
  <c r="H80" i="5"/>
  <c r="I80" i="5"/>
  <c r="D174" i="6"/>
  <c r="E174" i="6"/>
  <c r="F174" i="6"/>
  <c r="G174" i="6"/>
  <c r="H174" i="6"/>
  <c r="I174" i="6"/>
  <c r="C159" i="6"/>
  <c r="D159" i="6"/>
  <c r="E159" i="6"/>
  <c r="F159" i="6"/>
  <c r="G159" i="6"/>
  <c r="H159" i="6"/>
  <c r="I159" i="6"/>
  <c r="D4" i="7"/>
  <c r="E17" i="10" s="1"/>
  <c r="E4" i="7"/>
  <c r="F17" i="10" s="1"/>
  <c r="F4" i="7"/>
  <c r="G17" i="10" s="1"/>
  <c r="G4" i="7"/>
  <c r="H17" i="10" s="1"/>
  <c r="H4" i="7"/>
  <c r="I17" i="10" s="1"/>
  <c r="I4" i="7"/>
  <c r="J17" i="10" s="1"/>
  <c r="C4" i="7"/>
  <c r="D32" i="7"/>
  <c r="E32" i="7"/>
  <c r="F32" i="7"/>
  <c r="G32" i="7"/>
  <c r="H32" i="7"/>
  <c r="I32" i="7"/>
  <c r="C33" i="7"/>
  <c r="D43" i="7"/>
  <c r="E43" i="7"/>
  <c r="F43" i="7"/>
  <c r="G43" i="7"/>
  <c r="H43" i="7"/>
  <c r="I43" i="7"/>
  <c r="C43" i="7"/>
  <c r="D62" i="7"/>
  <c r="E62" i="7"/>
  <c r="F62" i="7"/>
  <c r="G62" i="7"/>
  <c r="H62" i="7"/>
  <c r="I62" i="7"/>
  <c r="C62" i="7"/>
  <c r="C70" i="7" s="1"/>
  <c r="C71" i="7" s="1"/>
  <c r="C84" i="7"/>
  <c r="D84" i="7"/>
  <c r="E84" i="7"/>
  <c r="F84" i="7"/>
  <c r="G84" i="7"/>
  <c r="H84" i="7"/>
  <c r="I84" i="7"/>
  <c r="G36" i="8" l="1"/>
  <c r="G72" i="8" s="1"/>
  <c r="G42" i="5" s="1"/>
  <c r="G58" i="5" s="1"/>
  <c r="G76" i="5" s="1"/>
  <c r="G301" i="5" s="1"/>
  <c r="G23" i="17" s="1"/>
  <c r="U23" i="17" s="1"/>
  <c r="G57" i="5"/>
  <c r="G75" i="5" s="1"/>
  <c r="G300" i="5" s="1"/>
  <c r="G22" i="17" s="1"/>
  <c r="F36" i="8"/>
  <c r="F72" i="8" s="1"/>
  <c r="F42" i="5" s="1"/>
  <c r="F58" i="5" s="1"/>
  <c r="F76" i="5" s="1"/>
  <c r="F301" i="5" s="1"/>
  <c r="F23" i="17" s="1"/>
  <c r="T23" i="17" s="1"/>
  <c r="F57" i="5"/>
  <c r="F75" i="5" s="1"/>
  <c r="F300" i="5" s="1"/>
  <c r="F22" i="17" s="1"/>
  <c r="E36" i="8"/>
  <c r="E72" i="8" s="1"/>
  <c r="E42" i="5" s="1"/>
  <c r="E58" i="5" s="1"/>
  <c r="E76" i="5" s="1"/>
  <c r="E301" i="5" s="1"/>
  <c r="E23" i="17" s="1"/>
  <c r="S23" i="17" s="1"/>
  <c r="E57" i="5"/>
  <c r="E75" i="5" s="1"/>
  <c r="E300" i="5" s="1"/>
  <c r="E22" i="17" s="1"/>
  <c r="H36" i="8"/>
  <c r="H72" i="8" s="1"/>
  <c r="H42" i="5" s="1"/>
  <c r="H58" i="5" s="1"/>
  <c r="H76" i="5" s="1"/>
  <c r="H301" i="5" s="1"/>
  <c r="H23" i="17" s="1"/>
  <c r="V23" i="17" s="1"/>
  <c r="H57" i="5"/>
  <c r="H75" i="5" s="1"/>
  <c r="H300" i="5" s="1"/>
  <c r="H22" i="17" s="1"/>
  <c r="I36" i="8"/>
  <c r="I72" i="8" s="1"/>
  <c r="I42" i="5" s="1"/>
  <c r="I58" i="5" s="1"/>
  <c r="I76" i="5" s="1"/>
  <c r="I301" i="5" s="1"/>
  <c r="I23" i="17" s="1"/>
  <c r="W23" i="17" s="1"/>
  <c r="D24" i="8"/>
  <c r="D36" i="8"/>
  <c r="D72" i="8" s="1"/>
  <c r="D42" i="5" s="1"/>
  <c r="D58" i="5" s="1"/>
  <c r="D76" i="5" s="1"/>
  <c r="D301" i="5" s="1"/>
  <c r="D23" i="17" s="1"/>
  <c r="R23" i="17" s="1"/>
  <c r="D57" i="5"/>
  <c r="D75" i="5" s="1"/>
  <c r="D300" i="5" s="1"/>
  <c r="D22" i="17" s="1"/>
  <c r="G87" i="8"/>
  <c r="G86" i="8"/>
  <c r="G38" i="5" s="1"/>
  <c r="G54" i="5" s="1"/>
  <c r="I87" i="8"/>
  <c r="I86" i="8"/>
  <c r="I38" i="5" s="1"/>
  <c r="I54" i="5" s="1"/>
  <c r="H87" i="8"/>
  <c r="H86" i="8"/>
  <c r="H38" i="5" s="1"/>
  <c r="H54" i="5" s="1"/>
  <c r="E87" i="8"/>
  <c r="E86" i="8"/>
  <c r="E38" i="5" s="1"/>
  <c r="E54" i="5" s="1"/>
  <c r="F87" i="8"/>
  <c r="F86" i="8"/>
  <c r="F38" i="5" s="1"/>
  <c r="F54" i="5" s="1"/>
  <c r="D86" i="8"/>
  <c r="D38" i="5" s="1"/>
  <c r="D54" i="5" s="1"/>
  <c r="C54" i="9"/>
  <c r="C65" i="9" l="1"/>
  <c r="C28" i="17"/>
  <c r="Q28" i="17" s="1"/>
  <c r="C66" i="9" l="1"/>
  <c r="C68" i="9" s="1"/>
  <c r="C67" i="9"/>
  <c r="AF6" i="15"/>
  <c r="AF5" i="15"/>
  <c r="D6" i="10" l="1"/>
  <c r="D54" i="7" l="1"/>
  <c r="E54" i="7"/>
  <c r="F54" i="7"/>
  <c r="G54" i="7"/>
  <c r="H54" i="7"/>
  <c r="I54" i="7"/>
  <c r="C54" i="7"/>
  <c r="D58" i="7" l="1"/>
  <c r="E58" i="7"/>
  <c r="F58" i="7"/>
  <c r="G58" i="7"/>
  <c r="H58" i="7"/>
  <c r="I58" i="7"/>
  <c r="C34" i="7" l="1"/>
  <c r="C35" i="7"/>
  <c r="C36" i="7"/>
  <c r="C32" i="7" s="1"/>
  <c r="C39" i="7" l="1"/>
  <c r="C50" i="7" s="1"/>
  <c r="C58" i="7"/>
  <c r="C51" i="7" l="1"/>
  <c r="C58" i="8"/>
  <c r="C18" i="6" s="1"/>
  <c r="D5" i="2"/>
  <c r="D36" i="15" l="1"/>
  <c r="C26" i="6" l="1"/>
  <c r="C101" i="6" l="1"/>
  <c r="C123" i="6"/>
  <c r="I69" i="7"/>
  <c r="I70" i="7" s="1"/>
  <c r="I71" i="7" s="1"/>
  <c r="I58" i="8"/>
  <c r="I18" i="6" s="1"/>
  <c r="I57" i="8"/>
  <c r="I17" i="6" s="1"/>
  <c r="E69" i="7"/>
  <c r="E70" i="7" s="1"/>
  <c r="E71" i="7" s="1"/>
  <c r="E58" i="8"/>
  <c r="E18" i="6" s="1"/>
  <c r="E57" i="8"/>
  <c r="E17" i="6" s="1"/>
  <c r="H69" i="7"/>
  <c r="H70" i="7" s="1"/>
  <c r="H71" i="7" s="1"/>
  <c r="H57" i="8"/>
  <c r="H17" i="6" s="1"/>
  <c r="H58" i="8"/>
  <c r="H18" i="6" s="1"/>
  <c r="G69" i="7"/>
  <c r="G70" i="7" s="1"/>
  <c r="G71" i="7" s="1"/>
  <c r="G57" i="8"/>
  <c r="G17" i="6" s="1"/>
  <c r="G58" i="8"/>
  <c r="G18" i="6" s="1"/>
  <c r="D69" i="7"/>
  <c r="D58" i="8"/>
  <c r="D18" i="6" s="1"/>
  <c r="D57" i="8"/>
  <c r="D17" i="6" s="1"/>
  <c r="F69" i="7"/>
  <c r="F70" i="7" s="1"/>
  <c r="F71" i="7" s="1"/>
  <c r="F57" i="8"/>
  <c r="F17" i="6" s="1"/>
  <c r="F58" i="8"/>
  <c r="F18" i="6" s="1"/>
  <c r="D50" i="1"/>
  <c r="L50" i="1" s="1"/>
  <c r="C146" i="6" l="1"/>
  <c r="D70" i="7"/>
  <c r="D71" i="7" s="1"/>
  <c r="E26" i="6"/>
  <c r="F26" i="6"/>
  <c r="I26" i="6"/>
  <c r="D26" i="6"/>
  <c r="H26" i="6"/>
  <c r="G26" i="6"/>
  <c r="H123" i="6" l="1"/>
  <c r="H101" i="6"/>
  <c r="F101" i="6"/>
  <c r="F123" i="6"/>
  <c r="I123" i="6"/>
  <c r="I101" i="6"/>
  <c r="E101" i="6"/>
  <c r="E123" i="6"/>
  <c r="D101" i="6"/>
  <c r="D123" i="6"/>
  <c r="G101" i="6"/>
  <c r="G123" i="6"/>
  <c r="E36" i="15"/>
  <c r="F36" i="15"/>
  <c r="G36" i="15"/>
  <c r="H36" i="15"/>
  <c r="I36" i="15"/>
  <c r="J36" i="15"/>
  <c r="D146" i="6" l="1"/>
  <c r="E146" i="6"/>
  <c r="F146" i="6"/>
  <c r="H146" i="6"/>
  <c r="I146" i="6"/>
  <c r="G146" i="6"/>
  <c r="C28" i="8"/>
  <c r="C29" i="8"/>
  <c r="C27" i="8"/>
  <c r="L29" i="14"/>
  <c r="L28" i="14"/>
  <c r="L44" i="1"/>
  <c r="F131" i="10"/>
  <c r="G131" i="10"/>
  <c r="H131" i="10"/>
  <c r="I131" i="10"/>
  <c r="J131" i="10"/>
  <c r="F106" i="10"/>
  <c r="G106" i="10"/>
  <c r="H106" i="10"/>
  <c r="I106" i="10"/>
  <c r="J106" i="10"/>
  <c r="F81" i="10"/>
  <c r="G81" i="10"/>
  <c r="H81" i="10"/>
  <c r="I81" i="10"/>
  <c r="J81" i="10"/>
  <c r="E27" i="8" l="1"/>
  <c r="I27" i="8"/>
  <c r="H27" i="8"/>
  <c r="F27" i="8"/>
  <c r="D27" i="8"/>
  <c r="G27" i="8"/>
  <c r="F28" i="8"/>
  <c r="G28" i="8"/>
  <c r="I28" i="8"/>
  <c r="D28" i="8"/>
  <c r="H28" i="8"/>
  <c r="E28" i="8"/>
  <c r="D29" i="8"/>
  <c r="H29" i="8"/>
  <c r="E29" i="8"/>
  <c r="I29" i="8"/>
  <c r="G29" i="8"/>
  <c r="F29" i="8"/>
  <c r="C53" i="7" l="1"/>
  <c r="C55" i="7" s="1"/>
  <c r="C72" i="7"/>
  <c r="E72" i="7"/>
  <c r="I72" i="7"/>
  <c r="F72" i="7"/>
  <c r="D72" i="7"/>
  <c r="H72" i="7"/>
  <c r="G72" i="7"/>
  <c r="C53" i="9" l="1"/>
  <c r="C27" i="17" s="1"/>
  <c r="Q27" i="17" s="1"/>
  <c r="H41" i="9" l="1"/>
  <c r="H42" i="9" s="1"/>
  <c r="H54" i="9" s="1"/>
  <c r="H65" i="9" s="1"/>
  <c r="H66" i="9" s="1"/>
  <c r="H68" i="9" s="1"/>
  <c r="G41" i="9"/>
  <c r="G42" i="9" s="1"/>
  <c r="G54" i="9" s="1"/>
  <c r="G65" i="9" s="1"/>
  <c r="E42" i="9"/>
  <c r="E54" i="9" s="1"/>
  <c r="E65" i="9" s="1"/>
  <c r="I53" i="9"/>
  <c r="F41" i="9"/>
  <c r="F42" i="9" s="1"/>
  <c r="F54" i="9" s="1"/>
  <c r="F65" i="9" s="1"/>
  <c r="D41" i="9"/>
  <c r="D42" i="9" s="1"/>
  <c r="D54" i="9" s="1"/>
  <c r="D65" i="9" s="1"/>
  <c r="D11" i="15"/>
  <c r="D38" i="15" s="1"/>
  <c r="C26" i="5"/>
  <c r="C74" i="5" s="1"/>
  <c r="C25" i="5"/>
  <c r="C73" i="5" s="1"/>
  <c r="D22" i="1"/>
  <c r="D23" i="1" s="1"/>
  <c r="D25" i="1" s="1"/>
  <c r="I54" i="9" l="1"/>
  <c r="I28" i="17" s="1"/>
  <c r="W28" i="17" s="1"/>
  <c r="F66" i="9"/>
  <c r="F68" i="9" s="1"/>
  <c r="F67" i="9"/>
  <c r="G66" i="9"/>
  <c r="G68" i="9" s="1"/>
  <c r="G67" i="9"/>
  <c r="D66" i="9"/>
  <c r="D68" i="9" s="1"/>
  <c r="D67" i="9"/>
  <c r="E66" i="9"/>
  <c r="E68" i="9" s="1"/>
  <c r="E67" i="9"/>
  <c r="H67" i="9"/>
  <c r="C275" i="5"/>
  <c r="C97" i="7" s="1"/>
  <c r="C107" i="7" s="1"/>
  <c r="C202" i="5"/>
  <c r="C249" i="5" s="1"/>
  <c r="C276" i="5"/>
  <c r="C98" i="7" s="1"/>
  <c r="C108" i="7" s="1"/>
  <c r="C203" i="5"/>
  <c r="C250" i="5" s="1"/>
  <c r="D12" i="15"/>
  <c r="C29" i="17"/>
  <c r="Q29" i="17" s="1"/>
  <c r="E28" i="17"/>
  <c r="S28" i="17" s="1"/>
  <c r="D28" i="17"/>
  <c r="R28" i="17" s="1"/>
  <c r="G28" i="17"/>
  <c r="U28" i="17" s="1"/>
  <c r="F28" i="17"/>
  <c r="T28" i="17" s="1"/>
  <c r="H28" i="17"/>
  <c r="V28" i="17" s="1"/>
  <c r="C19" i="6"/>
  <c r="C27" i="6" s="1"/>
  <c r="C102" i="6" l="1"/>
  <c r="C124" i="6" s="1"/>
  <c r="I65" i="9"/>
  <c r="I66" i="9" s="1"/>
  <c r="I68" i="9" s="1"/>
  <c r="Q31" i="17"/>
  <c r="Q59" i="17" s="1"/>
  <c r="Q42" i="17"/>
  <c r="D53" i="9"/>
  <c r="D27" i="17" s="1"/>
  <c r="R27" i="17" s="1"/>
  <c r="I67" i="9" l="1"/>
  <c r="E53" i="9"/>
  <c r="E27" i="17" s="1"/>
  <c r="S27" i="17" s="1"/>
  <c r="F53" i="9" l="1"/>
  <c r="F27" i="17" s="1"/>
  <c r="T27" i="17" s="1"/>
  <c r="G53" i="9" l="1"/>
  <c r="G27" i="17" s="1"/>
  <c r="U27" i="17" s="1"/>
  <c r="H53" i="9" l="1"/>
  <c r="H27" i="17" s="1"/>
  <c r="V27" i="17" s="1"/>
  <c r="I27" i="17"/>
  <c r="W27" i="17" s="1"/>
  <c r="C69" i="8" l="1"/>
  <c r="C34" i="5" s="1"/>
  <c r="C50" i="5" s="1"/>
  <c r="C70" i="8"/>
  <c r="C36" i="5" s="1"/>
  <c r="C52" i="5" s="1"/>
  <c r="C71" i="8"/>
  <c r="C37" i="5" s="1"/>
  <c r="C53" i="5" s="1"/>
  <c r="C26" i="8"/>
  <c r="D26" i="8" s="1"/>
  <c r="C25" i="8"/>
  <c r="Q24" i="17"/>
  <c r="AC29" i="13"/>
  <c r="H13" i="6" s="1"/>
  <c r="AB27" i="13"/>
  <c r="AC27" i="13" s="1"/>
  <c r="AB28" i="13"/>
  <c r="AC28" i="13" s="1"/>
  <c r="H12" i="6" s="1"/>
  <c r="C14" i="5" l="1"/>
  <c r="AC30" i="13"/>
  <c r="C30" i="6"/>
  <c r="C73" i="6" s="1"/>
  <c r="K7" i="8"/>
  <c r="E32" i="8" s="1"/>
  <c r="E51" i="8" s="1"/>
  <c r="E35" i="6" s="1"/>
  <c r="H11" i="6"/>
  <c r="L27" i="6" s="1"/>
  <c r="D69" i="8"/>
  <c r="D34" i="5" s="1"/>
  <c r="D50" i="5" s="1"/>
  <c r="Q40" i="17"/>
  <c r="Q56" i="17"/>
  <c r="I70" i="8"/>
  <c r="I36" i="5" s="1"/>
  <c r="I52" i="5" s="1"/>
  <c r="H70" i="8"/>
  <c r="H36" i="5" s="1"/>
  <c r="H52" i="5" s="1"/>
  <c r="F70" i="8"/>
  <c r="F36" i="5" s="1"/>
  <c r="F52" i="5" s="1"/>
  <c r="G70" i="8"/>
  <c r="G36" i="5" s="1"/>
  <c r="G52" i="5" s="1"/>
  <c r="E70" i="8"/>
  <c r="E36" i="5" s="1"/>
  <c r="E52" i="5" s="1"/>
  <c r="D70" i="8"/>
  <c r="D36" i="5" s="1"/>
  <c r="D52" i="5" s="1"/>
  <c r="G71" i="8"/>
  <c r="G37" i="5" s="1"/>
  <c r="G53" i="5" s="1"/>
  <c r="F71" i="8"/>
  <c r="F37" i="5" s="1"/>
  <c r="F53" i="5" s="1"/>
  <c r="I71" i="8"/>
  <c r="I37" i="5" s="1"/>
  <c r="I53" i="5" s="1"/>
  <c r="D71" i="8"/>
  <c r="D37" i="5" s="1"/>
  <c r="D53" i="5" s="1"/>
  <c r="H71" i="8"/>
  <c r="H37" i="5" s="1"/>
  <c r="H53" i="5" s="1"/>
  <c r="E71" i="8"/>
  <c r="E37" i="5" s="1"/>
  <c r="E53" i="5" s="1"/>
  <c r="G26" i="8"/>
  <c r="G69" i="8" s="1"/>
  <c r="G34" i="5" s="1"/>
  <c r="G50" i="5" s="1"/>
  <c r="H26" i="8"/>
  <c r="H69" i="8" s="1"/>
  <c r="H34" i="5" s="1"/>
  <c r="H50" i="5" s="1"/>
  <c r="E26" i="8"/>
  <c r="E69" i="8" s="1"/>
  <c r="E34" i="5" s="1"/>
  <c r="E50" i="5" s="1"/>
  <c r="I26" i="8"/>
  <c r="I69" i="8" s="1"/>
  <c r="I34" i="5" s="1"/>
  <c r="I50" i="5" s="1"/>
  <c r="F26" i="8"/>
  <c r="F69" i="8" s="1"/>
  <c r="F34" i="5" s="1"/>
  <c r="F50" i="5" s="1"/>
  <c r="D48" i="8"/>
  <c r="F24" i="8"/>
  <c r="G24" i="8"/>
  <c r="E24" i="8"/>
  <c r="I24" i="8"/>
  <c r="H24" i="8"/>
  <c r="G25" i="8"/>
  <c r="D25" i="8"/>
  <c r="H25" i="8"/>
  <c r="I25" i="8"/>
  <c r="E25" i="8"/>
  <c r="F25" i="8"/>
  <c r="C105" i="6" l="1"/>
  <c r="C127" i="6"/>
  <c r="D24" i="17"/>
  <c r="R24" i="17" s="1"/>
  <c r="H48" i="8"/>
  <c r="I48" i="8"/>
  <c r="E48" i="8"/>
  <c r="G48" i="8"/>
  <c r="F48" i="8"/>
  <c r="H10" i="6"/>
  <c r="N27" i="6" s="1"/>
  <c r="C29" i="6"/>
  <c r="C72" i="6" s="1"/>
  <c r="I29" i="6"/>
  <c r="I72" i="6" s="1"/>
  <c r="F29" i="6"/>
  <c r="F72" i="6" s="1"/>
  <c r="F126" i="6" s="1"/>
  <c r="E29" i="6"/>
  <c r="E72" i="6" s="1"/>
  <c r="H29" i="6"/>
  <c r="H72" i="6" s="1"/>
  <c r="G29" i="6"/>
  <c r="G72" i="6" s="1"/>
  <c r="D29" i="6"/>
  <c r="D72" i="6" s="1"/>
  <c r="H32" i="8"/>
  <c r="H51" i="8" s="1"/>
  <c r="H35" i="6" s="1"/>
  <c r="C32" i="8"/>
  <c r="C51" i="8" s="1"/>
  <c r="C35" i="6" s="1"/>
  <c r="D32" i="8"/>
  <c r="D51" i="8" s="1"/>
  <c r="D35" i="6" s="1"/>
  <c r="F32" i="8"/>
  <c r="F51" i="8" s="1"/>
  <c r="F35" i="6" s="1"/>
  <c r="I32" i="8"/>
  <c r="I51" i="8" s="1"/>
  <c r="I35" i="6" s="1"/>
  <c r="G32" i="8"/>
  <c r="G51" i="8" s="1"/>
  <c r="G35" i="6" s="1"/>
  <c r="AF7" i="15"/>
  <c r="AF8" i="15"/>
  <c r="AF9" i="15"/>
  <c r="AF10" i="15"/>
  <c r="AF4" i="15"/>
  <c r="AF13" i="15"/>
  <c r="D21" i="15"/>
  <c r="D22" i="15" s="1"/>
  <c r="V18" i="15"/>
  <c r="V19" i="15"/>
  <c r="V10" i="15"/>
  <c r="V9" i="15"/>
  <c r="V8" i="15"/>
  <c r="V16" i="15"/>
  <c r="V15" i="15"/>
  <c r="V14" i="15"/>
  <c r="V13" i="15"/>
  <c r="I104" i="6" l="1"/>
  <c r="I126" i="6"/>
  <c r="E104" i="6"/>
  <c r="E126" i="6"/>
  <c r="G104" i="6"/>
  <c r="H104" i="6"/>
  <c r="H126" i="6" s="1"/>
  <c r="F104" i="6"/>
  <c r="C104" i="6"/>
  <c r="D104" i="6"/>
  <c r="R40" i="17"/>
  <c r="R56" i="17"/>
  <c r="F24" i="17"/>
  <c r="T24" i="17" s="1"/>
  <c r="T40" i="17" s="1"/>
  <c r="G24" i="17"/>
  <c r="U24" i="17" s="1"/>
  <c r="U40" i="17" s="1"/>
  <c r="E24" i="17"/>
  <c r="S24" i="17" s="1"/>
  <c r="I24" i="17"/>
  <c r="W24" i="17" s="1"/>
  <c r="H24" i="17"/>
  <c r="V24" i="17" s="1"/>
  <c r="AF14" i="15"/>
  <c r="AF17" i="15" s="1"/>
  <c r="C26" i="17" s="1"/>
  <c r="V7" i="15"/>
  <c r="V4" i="15"/>
  <c r="V17" i="15"/>
  <c r="V6" i="15"/>
  <c r="V5" i="15"/>
  <c r="D126" i="6" l="1"/>
  <c r="C126" i="6"/>
  <c r="G126" i="6"/>
  <c r="W56" i="17"/>
  <c r="W40" i="17"/>
  <c r="V56" i="17"/>
  <c r="V40" i="17"/>
  <c r="S40" i="17"/>
  <c r="S56" i="17"/>
  <c r="T56" i="17"/>
  <c r="U56" i="17"/>
  <c r="Q26" i="17"/>
  <c r="Q58" i="17" s="1"/>
  <c r="V23" i="15"/>
  <c r="V24" i="15" s="1"/>
  <c r="C25" i="17" s="1"/>
  <c r="Q25" i="17" s="1"/>
  <c r="AS17" i="13"/>
  <c r="Q41" i="17" l="1"/>
  <c r="Q57" i="17"/>
  <c r="AB47" i="13"/>
  <c r="AB13" i="13" l="1"/>
  <c r="AC13" i="13" l="1"/>
  <c r="C7" i="6" s="1"/>
  <c r="AC34" i="13"/>
  <c r="AC43" i="13" s="1"/>
  <c r="AT16" i="13"/>
  <c r="M10" i="6" s="1"/>
  <c r="AT12" i="13"/>
  <c r="AC46" i="13"/>
  <c r="AC47" i="13" s="1"/>
  <c r="AC49" i="13" s="1"/>
  <c r="K10" i="8" s="1"/>
  <c r="C35" i="8" s="1"/>
  <c r="C54" i="8" s="1"/>
  <c r="AC12" i="13"/>
  <c r="C6" i="6" s="1"/>
  <c r="AC11" i="13"/>
  <c r="C5" i="6" s="1"/>
  <c r="K6" i="8"/>
  <c r="AC33" i="13"/>
  <c r="AT11" i="13" l="1"/>
  <c r="M5" i="6" s="1"/>
  <c r="M6" i="6"/>
  <c r="AC18" i="13"/>
  <c r="C31" i="8"/>
  <c r="C50" i="8" s="1"/>
  <c r="C34" i="6" s="1"/>
  <c r="E31" i="8"/>
  <c r="E50" i="8" s="1"/>
  <c r="E34" i="6" s="1"/>
  <c r="D31" i="8"/>
  <c r="D50" i="8" s="1"/>
  <c r="D34" i="6" s="1"/>
  <c r="G31" i="8"/>
  <c r="G50" i="8" s="1"/>
  <c r="G34" i="6" s="1"/>
  <c r="F31" i="8"/>
  <c r="F50" i="8" s="1"/>
  <c r="F34" i="6" s="1"/>
  <c r="H31" i="8"/>
  <c r="H50" i="8" s="1"/>
  <c r="H34" i="6" s="1"/>
  <c r="I31" i="8"/>
  <c r="I50" i="8" s="1"/>
  <c r="I34" i="6" s="1"/>
  <c r="AT19" i="13"/>
  <c r="M13" i="6" s="1"/>
  <c r="AT18" i="13"/>
  <c r="M12" i="6" s="1"/>
  <c r="AC44" i="13"/>
  <c r="AC42" i="13"/>
  <c r="K9" i="8" s="1"/>
  <c r="C34" i="8" s="1"/>
  <c r="C53" i="8" s="1"/>
  <c r="AT17" i="13"/>
  <c r="M11" i="6" s="1"/>
  <c r="AC50" i="13"/>
  <c r="AC51" i="13"/>
  <c r="AC37" i="13"/>
  <c r="AC39" i="13"/>
  <c r="AC38" i="13"/>
  <c r="AC16" i="13"/>
  <c r="C9" i="6" s="1"/>
  <c r="AC17" i="13"/>
  <c r="C10" i="6" s="1"/>
  <c r="C13" i="6" s="1"/>
  <c r="AC15" i="13"/>
  <c r="Q9" i="17" l="1"/>
  <c r="K8" i="8"/>
  <c r="C33" i="8" s="1"/>
  <c r="C12" i="6"/>
  <c r="M18" i="6" s="1"/>
  <c r="C24" i="6"/>
  <c r="K5" i="8"/>
  <c r="G30" i="8" s="1"/>
  <c r="C8" i="6"/>
  <c r="M19" i="6"/>
  <c r="C166" i="6"/>
  <c r="D166" i="6"/>
  <c r="D167" i="6" s="1"/>
  <c r="F166" i="6"/>
  <c r="F167" i="6" s="1"/>
  <c r="G166" i="6"/>
  <c r="G167" i="6" s="1"/>
  <c r="H166" i="6"/>
  <c r="H167" i="6" s="1"/>
  <c r="I166" i="6"/>
  <c r="I167" i="6" s="1"/>
  <c r="E166" i="6"/>
  <c r="E167" i="6" s="1"/>
  <c r="Q10" i="17"/>
  <c r="E35" i="8"/>
  <c r="E54" i="8" s="1"/>
  <c r="I35" i="8"/>
  <c r="I54" i="8" s="1"/>
  <c r="G35" i="8"/>
  <c r="G54" i="8" s="1"/>
  <c r="D35" i="8"/>
  <c r="D54" i="8" s="1"/>
  <c r="F35" i="8"/>
  <c r="F54" i="8" s="1"/>
  <c r="H35" i="8"/>
  <c r="H54" i="8" s="1"/>
  <c r="G34" i="8"/>
  <c r="G53" i="8" s="1"/>
  <c r="E34" i="8"/>
  <c r="E53" i="8" s="1"/>
  <c r="D34" i="8"/>
  <c r="D53" i="8" s="1"/>
  <c r="H34" i="8"/>
  <c r="H53" i="8" s="1"/>
  <c r="I34" i="8"/>
  <c r="I53" i="8" s="1"/>
  <c r="F34" i="8"/>
  <c r="F53" i="8" s="1"/>
  <c r="J139" i="10"/>
  <c r="J140" i="10" s="1"/>
  <c r="J120" i="10" s="1"/>
  <c r="I139" i="10"/>
  <c r="I140" i="10" s="1"/>
  <c r="I120" i="10" s="1"/>
  <c r="H139" i="10"/>
  <c r="H140" i="10" s="1"/>
  <c r="H120" i="10" s="1"/>
  <c r="G139" i="10"/>
  <c r="G140" i="10" s="1"/>
  <c r="G120" i="10" s="1"/>
  <c r="F139" i="10"/>
  <c r="F140" i="10" s="1"/>
  <c r="F120" i="10" s="1"/>
  <c r="E139" i="10"/>
  <c r="E140" i="10" s="1"/>
  <c r="E120" i="10" s="1"/>
  <c r="D138" i="10"/>
  <c r="D139" i="10" s="1"/>
  <c r="D140" i="10" s="1"/>
  <c r="C138" i="10"/>
  <c r="C139" i="10" s="1"/>
  <c r="C140" i="10" s="1"/>
  <c r="E131" i="10"/>
  <c r="E122" i="10"/>
  <c r="J114" i="10"/>
  <c r="J115" i="10" s="1"/>
  <c r="J95" i="10" s="1"/>
  <c r="I114" i="10"/>
  <c r="I115" i="10" s="1"/>
  <c r="I95" i="10" s="1"/>
  <c r="H114" i="10"/>
  <c r="H115" i="10" s="1"/>
  <c r="H95" i="10" s="1"/>
  <c r="G114" i="10"/>
  <c r="G115" i="10" s="1"/>
  <c r="G95" i="10" s="1"/>
  <c r="F114" i="10"/>
  <c r="F115" i="10" s="1"/>
  <c r="F95" i="10" s="1"/>
  <c r="E114" i="10"/>
  <c r="E115" i="10" s="1"/>
  <c r="E95" i="10" s="1"/>
  <c r="D113" i="10"/>
  <c r="D114" i="10" s="1"/>
  <c r="D115" i="10" s="1"/>
  <c r="C113" i="10"/>
  <c r="C114" i="10" s="1"/>
  <c r="C115" i="10" s="1"/>
  <c r="E106" i="10"/>
  <c r="E97" i="10"/>
  <c r="J89" i="10"/>
  <c r="J90" i="10" s="1"/>
  <c r="J70" i="10" s="1"/>
  <c r="I89" i="10"/>
  <c r="I90" i="10" s="1"/>
  <c r="I70" i="10" s="1"/>
  <c r="H89" i="10"/>
  <c r="H90" i="10" s="1"/>
  <c r="H70" i="10" s="1"/>
  <c r="G89" i="10"/>
  <c r="G90" i="10" s="1"/>
  <c r="G70" i="10" s="1"/>
  <c r="F89" i="10"/>
  <c r="F90" i="10" s="1"/>
  <c r="F70" i="10" s="1"/>
  <c r="E89" i="10"/>
  <c r="E90" i="10" s="1"/>
  <c r="E70" i="10" s="1"/>
  <c r="D88" i="10"/>
  <c r="D89" i="10" s="1"/>
  <c r="D90" i="10" s="1"/>
  <c r="C88" i="10"/>
  <c r="C89" i="10" s="1"/>
  <c r="C90" i="10" s="1"/>
  <c r="E81" i="10"/>
  <c r="E72" i="10"/>
  <c r="Q14" i="10"/>
  <c r="P14" i="10"/>
  <c r="O14" i="10"/>
  <c r="N14" i="10"/>
  <c r="M14" i="10"/>
  <c r="C6" i="10"/>
  <c r="C67" i="6" l="1"/>
  <c r="C121" i="6" s="1"/>
  <c r="C74" i="7" s="1"/>
  <c r="C167" i="6"/>
  <c r="C181" i="6" s="1"/>
  <c r="G49" i="8"/>
  <c r="G33" i="6" s="1"/>
  <c r="C52" i="8"/>
  <c r="Q8" i="17" s="1"/>
  <c r="G33" i="8"/>
  <c r="G52" i="8" s="1"/>
  <c r="U8" i="17" s="1"/>
  <c r="H33" i="8"/>
  <c r="H52" i="8" s="1"/>
  <c r="V8" i="17" s="1"/>
  <c r="F33" i="8"/>
  <c r="F52" i="8" s="1"/>
  <c r="T8" i="17" s="1"/>
  <c r="D33" i="8"/>
  <c r="D52" i="8" s="1"/>
  <c r="R8" i="17" s="1"/>
  <c r="I33" i="8"/>
  <c r="I52" i="8" s="1"/>
  <c r="W8" i="17" s="1"/>
  <c r="E33" i="8"/>
  <c r="E52" i="8" s="1"/>
  <c r="S8" i="17" s="1"/>
  <c r="R10" i="17"/>
  <c r="V10" i="17"/>
  <c r="T9" i="17"/>
  <c r="W9" i="17"/>
  <c r="U10" i="17"/>
  <c r="V9" i="17"/>
  <c r="W10" i="17"/>
  <c r="T10" i="17"/>
  <c r="U9" i="17"/>
  <c r="R9" i="17"/>
  <c r="S10" i="17"/>
  <c r="S9" i="17"/>
  <c r="E30" i="8"/>
  <c r="H30" i="8"/>
  <c r="D30" i="8"/>
  <c r="C11" i="6"/>
  <c r="M17" i="6" s="1"/>
  <c r="M16" i="6" s="1"/>
  <c r="D23" i="6"/>
  <c r="G23" i="6"/>
  <c r="H23" i="6"/>
  <c r="C23" i="6"/>
  <c r="E23" i="6"/>
  <c r="I23" i="6"/>
  <c r="F23" i="6"/>
  <c r="I30" i="8"/>
  <c r="F30" i="8"/>
  <c r="C30" i="8"/>
  <c r="G96" i="10"/>
  <c r="F96" i="10"/>
  <c r="F71" i="10"/>
  <c r="H71" i="10"/>
  <c r="E71" i="10"/>
  <c r="I71" i="10"/>
  <c r="H96" i="10"/>
  <c r="H121" i="10"/>
  <c r="H130" i="10" s="1"/>
  <c r="J71" i="10"/>
  <c r="E96" i="10"/>
  <c r="I96" i="10"/>
  <c r="D7" i="10"/>
  <c r="J96" i="10"/>
  <c r="E121" i="10"/>
  <c r="E129" i="10" s="1"/>
  <c r="I121" i="10"/>
  <c r="I129" i="10" s="1"/>
  <c r="F121" i="10"/>
  <c r="F129" i="10" s="1"/>
  <c r="J121" i="10"/>
  <c r="J130" i="10" s="1"/>
  <c r="C7" i="10"/>
  <c r="G71" i="10"/>
  <c r="G121" i="10"/>
  <c r="G129" i="10" s="1"/>
  <c r="C27" i="10"/>
  <c r="C26" i="10"/>
  <c r="I66" i="6" l="1"/>
  <c r="I120" i="6" s="1"/>
  <c r="I73" i="7" s="1"/>
  <c r="C66" i="6"/>
  <c r="C120" i="6" s="1"/>
  <c r="C73" i="7" s="1"/>
  <c r="C76" i="7" s="1"/>
  <c r="G66" i="6"/>
  <c r="G120" i="6" s="1"/>
  <c r="G73" i="7" s="1"/>
  <c r="G77" i="7" s="1"/>
  <c r="G78" i="7" s="1"/>
  <c r="E66" i="6"/>
  <c r="E120" i="6" s="1"/>
  <c r="E73" i="7" s="1"/>
  <c r="E77" i="7" s="1"/>
  <c r="E78" i="7" s="1"/>
  <c r="H66" i="6"/>
  <c r="H120" i="6" s="1"/>
  <c r="H73" i="7" s="1"/>
  <c r="D66" i="6"/>
  <c r="D120" i="6" s="1"/>
  <c r="D73" i="7" s="1"/>
  <c r="F66" i="6"/>
  <c r="F120" i="6" s="1"/>
  <c r="F73" i="7" s="1"/>
  <c r="F77" i="7" s="1"/>
  <c r="F78" i="7" s="1"/>
  <c r="C195" i="6"/>
  <c r="C182" i="6"/>
  <c r="C183" i="6" s="1"/>
  <c r="F49" i="8"/>
  <c r="F33" i="6" s="1"/>
  <c r="E49" i="8"/>
  <c r="E33" i="6" s="1"/>
  <c r="I49" i="8"/>
  <c r="I33" i="6" s="1"/>
  <c r="D49" i="8"/>
  <c r="D33" i="6" s="1"/>
  <c r="C49" i="8"/>
  <c r="C33" i="6" s="1"/>
  <c r="H49" i="8"/>
  <c r="H33" i="6" s="1"/>
  <c r="Z9" i="17"/>
  <c r="I105" i="10"/>
  <c r="H105" i="10"/>
  <c r="E105" i="10"/>
  <c r="F105" i="10"/>
  <c r="J105" i="10"/>
  <c r="G105" i="10"/>
  <c r="H79" i="10"/>
  <c r="G79" i="10"/>
  <c r="F79" i="10"/>
  <c r="I79" i="10"/>
  <c r="J80" i="10"/>
  <c r="E79" i="10"/>
  <c r="G104" i="10"/>
  <c r="F80" i="10"/>
  <c r="J104" i="10"/>
  <c r="E104" i="10"/>
  <c r="J79" i="10"/>
  <c r="I130" i="10"/>
  <c r="E130" i="10"/>
  <c r="J129" i="10"/>
  <c r="H104" i="10"/>
  <c r="I80" i="10"/>
  <c r="H129" i="10"/>
  <c r="G130" i="10"/>
  <c r="H80" i="10"/>
  <c r="I104" i="10"/>
  <c r="G80" i="10"/>
  <c r="F104" i="10"/>
  <c r="E80" i="10"/>
  <c r="F130" i="10"/>
  <c r="L49" i="1"/>
  <c r="C151" i="6" l="1"/>
  <c r="E12" i="7" s="1"/>
  <c r="C75" i="7"/>
  <c r="C77" i="7"/>
  <c r="C78" i="7" s="1"/>
  <c r="C79" i="7" s="1"/>
  <c r="C196" i="6"/>
  <c r="C197" i="6" s="1"/>
  <c r="C204" i="6" s="1"/>
  <c r="O25" i="6"/>
  <c r="N25" i="6"/>
  <c r="O26" i="6"/>
  <c r="O27" i="6"/>
  <c r="H77" i="7"/>
  <c r="H78" i="7" s="1"/>
  <c r="D260" i="5"/>
  <c r="D256" i="5" s="1"/>
  <c r="E260" i="5"/>
  <c r="F260" i="5"/>
  <c r="G260" i="5"/>
  <c r="H260" i="5"/>
  <c r="D164" i="5"/>
  <c r="D220" i="5" s="1"/>
  <c r="E164" i="5"/>
  <c r="E220" i="5" s="1"/>
  <c r="F164" i="5"/>
  <c r="F220" i="5" s="1"/>
  <c r="G164" i="5"/>
  <c r="G220" i="5" s="1"/>
  <c r="H164" i="5"/>
  <c r="H220" i="5" s="1"/>
  <c r="I164" i="5"/>
  <c r="I220" i="5" s="1"/>
  <c r="C164" i="5"/>
  <c r="D148" i="5"/>
  <c r="E148" i="5"/>
  <c r="F148" i="5"/>
  <c r="G148" i="5"/>
  <c r="H148" i="5"/>
  <c r="I148" i="5"/>
  <c r="D149" i="5"/>
  <c r="E149" i="5"/>
  <c r="F149" i="5"/>
  <c r="G149" i="5"/>
  <c r="H149" i="5"/>
  <c r="I149" i="5"/>
  <c r="C148" i="5"/>
  <c r="C149" i="5"/>
  <c r="C150" i="6" l="1"/>
  <c r="E11" i="7" s="1"/>
  <c r="C203" i="6"/>
  <c r="C4" i="17"/>
  <c r="Q4" i="17" s="1"/>
  <c r="C5" i="17"/>
  <c r="Q5" i="17" s="1"/>
  <c r="L41" i="1"/>
  <c r="P33" i="1"/>
  <c r="P27" i="6"/>
  <c r="P26" i="6"/>
  <c r="I215" i="5"/>
  <c r="C47" i="14"/>
  <c r="C46" i="14"/>
  <c r="I223" i="5"/>
  <c r="H150" i="5"/>
  <c r="C150" i="5"/>
  <c r="I150" i="5"/>
  <c r="E150" i="5"/>
  <c r="G150" i="5"/>
  <c r="F150" i="5"/>
  <c r="D150" i="5"/>
  <c r="Q46" i="17" l="1"/>
  <c r="I232" i="5"/>
  <c r="I221" i="5"/>
  <c r="I213" i="5"/>
  <c r="F215" i="5"/>
  <c r="F221" i="5" s="1"/>
  <c r="H215" i="5"/>
  <c r="H221" i="5" s="1"/>
  <c r="D215" i="5"/>
  <c r="D221" i="5" s="1"/>
  <c r="E215" i="5"/>
  <c r="E221" i="5" s="1"/>
  <c r="G215" i="5"/>
  <c r="G221" i="5" s="1"/>
  <c r="D4" i="2" l="1"/>
  <c r="D16" i="2" l="1"/>
  <c r="D17" i="2"/>
  <c r="D24" i="2" s="1"/>
  <c r="D18" i="2"/>
  <c r="D19" i="2"/>
  <c r="D34" i="2" s="1"/>
  <c r="D42" i="2" l="1"/>
  <c r="D26" i="2"/>
  <c r="D41" i="2"/>
  <c r="D25" i="2"/>
  <c r="D39" i="2"/>
  <c r="D23" i="2"/>
  <c r="C168" i="6"/>
  <c r="D40" i="2"/>
  <c r="C169" i="6"/>
  <c r="D32" i="2"/>
  <c r="D33" i="2"/>
  <c r="D31" i="2"/>
  <c r="D43" i="2" l="1"/>
  <c r="D27" i="2"/>
  <c r="C20" i="6" s="1"/>
  <c r="C170" i="6"/>
  <c r="D35" i="2"/>
  <c r="C70" i="5" l="1"/>
  <c r="C96" i="5" s="1"/>
  <c r="C48" i="5"/>
  <c r="C64" i="5" s="1"/>
  <c r="C90" i="5" s="1"/>
  <c r="C116" i="5" s="1"/>
  <c r="C171" i="5" s="1"/>
  <c r="C193" i="5" s="1"/>
  <c r="C240" i="5" s="1"/>
  <c r="C266" i="5" s="1"/>
  <c r="C71" i="5"/>
  <c r="C97" i="5" s="1"/>
  <c r="C49" i="5"/>
  <c r="C65" i="5" s="1"/>
  <c r="C91" i="5" s="1"/>
  <c r="C56" i="5"/>
  <c r="C72" i="5" s="1"/>
  <c r="C98" i="5" s="1"/>
  <c r="C51" i="5"/>
  <c r="C67" i="5" s="1"/>
  <c r="C93" i="5" s="1"/>
  <c r="C119" i="5" s="1"/>
  <c r="C174" i="5" s="1"/>
  <c r="C196" i="5" s="1"/>
  <c r="C243" i="5" s="1"/>
  <c r="C269" i="5" s="1"/>
  <c r="C95" i="7" s="1"/>
  <c r="C105" i="7" s="1"/>
  <c r="C47" i="5"/>
  <c r="C63" i="5" s="1"/>
  <c r="C89" i="5" s="1"/>
  <c r="C115" i="5" s="1"/>
  <c r="C170" i="5" s="1"/>
  <c r="C192" i="5" s="1"/>
  <c r="C239" i="5" s="1"/>
  <c r="C265" i="5" s="1"/>
  <c r="C68" i="5"/>
  <c r="C94" i="5" s="1"/>
  <c r="C69" i="5"/>
  <c r="C95" i="5" s="1"/>
  <c r="C66" i="5"/>
  <c r="C92" i="5" s="1"/>
  <c r="C3" i="17"/>
  <c r="Q3" i="17" s="1"/>
  <c r="D24" i="1"/>
  <c r="D26" i="1" s="1"/>
  <c r="C31" i="6"/>
  <c r="C25" i="6"/>
  <c r="C28" i="6"/>
  <c r="J4" i="2"/>
  <c r="C138" i="6" l="1"/>
  <c r="C142" i="6" s="1"/>
  <c r="C103" i="6"/>
  <c r="C106" i="6"/>
  <c r="C74" i="6"/>
  <c r="C139" i="6"/>
  <c r="C143" i="6" s="1"/>
  <c r="Q45" i="17"/>
  <c r="Q35" i="17"/>
  <c r="C91" i="7"/>
  <c r="C124" i="5"/>
  <c r="C179" i="5"/>
  <c r="C201" i="5" s="1"/>
  <c r="C248" i="5" s="1"/>
  <c r="C274" i="5" s="1"/>
  <c r="C172" i="5"/>
  <c r="C117" i="5"/>
  <c r="C109" i="5"/>
  <c r="C118" i="5" s="1"/>
  <c r="C173" i="5" s="1"/>
  <c r="C123" i="5"/>
  <c r="C178" i="5"/>
  <c r="C200" i="5" s="1"/>
  <c r="C247" i="5" s="1"/>
  <c r="C273" i="5" s="1"/>
  <c r="C92" i="7"/>
  <c r="C110" i="5"/>
  <c r="C111" i="5" s="1"/>
  <c r="C177" i="5"/>
  <c r="C199" i="5" s="1"/>
  <c r="C246" i="5" s="1"/>
  <c r="C272" i="5" s="1"/>
  <c r="C122" i="5"/>
  <c r="J19" i="2"/>
  <c r="J42" i="2" s="1"/>
  <c r="J16" i="2"/>
  <c r="J18" i="2"/>
  <c r="J25" i="2" s="1"/>
  <c r="J17" i="2"/>
  <c r="J24" i="2" s="1"/>
  <c r="C137" i="6" l="1"/>
  <c r="C141" i="6" s="1"/>
  <c r="C125" i="6"/>
  <c r="C68" i="6"/>
  <c r="C128" i="6"/>
  <c r="C145" i="6" s="1"/>
  <c r="C147" i="6" s="1"/>
  <c r="C284" i="5"/>
  <c r="C117" i="7"/>
  <c r="C17" i="17" s="1"/>
  <c r="Q17" i="17" s="1"/>
  <c r="C195" i="5"/>
  <c r="C242" i="5"/>
  <c r="C268" i="5" s="1"/>
  <c r="C121" i="5"/>
  <c r="C176" i="5" s="1"/>
  <c r="C198" i="5" s="1"/>
  <c r="C245" i="5" s="1"/>
  <c r="C271" i="5" s="1"/>
  <c r="C277" i="5" s="1"/>
  <c r="C120" i="5"/>
  <c r="C175" i="5" s="1"/>
  <c r="C197" i="5" s="1"/>
  <c r="C244" i="5" s="1"/>
  <c r="C270" i="5" s="1"/>
  <c r="C96" i="7" s="1"/>
  <c r="C106" i="7" s="1"/>
  <c r="C194" i="5"/>
  <c r="C241" i="5"/>
  <c r="C267" i="5" s="1"/>
  <c r="C119" i="7"/>
  <c r="C19" i="17" s="1"/>
  <c r="Q19" i="17" s="1"/>
  <c r="Q53" i="17" s="1"/>
  <c r="C286" i="5"/>
  <c r="C102" i="7"/>
  <c r="C101" i="7"/>
  <c r="C285" i="5"/>
  <c r="C118" i="7"/>
  <c r="C18" i="17" s="1"/>
  <c r="Q18" i="17" s="1"/>
  <c r="J23" i="2"/>
  <c r="J26" i="2"/>
  <c r="J39" i="2"/>
  <c r="J40" i="2"/>
  <c r="J41" i="2"/>
  <c r="C148" i="6" l="1"/>
  <c r="C122" i="6"/>
  <c r="C152" i="6" s="1"/>
  <c r="C154" i="6"/>
  <c r="C6" i="17" s="1"/>
  <c r="Q6" i="17" s="1"/>
  <c r="Q47" i="17" s="1"/>
  <c r="F71" i="5"/>
  <c r="F97" i="5" s="1"/>
  <c r="F123" i="5" s="1"/>
  <c r="F70" i="5"/>
  <c r="F96" i="5" s="1"/>
  <c r="F122" i="5" s="1"/>
  <c r="F68" i="5"/>
  <c r="F66" i="5"/>
  <c r="F92" i="5" s="1"/>
  <c r="F69" i="5"/>
  <c r="F95" i="5" s="1"/>
  <c r="H71" i="5"/>
  <c r="H97" i="5" s="1"/>
  <c r="H123" i="5" s="1"/>
  <c r="H70" i="5"/>
  <c r="H96" i="5" s="1"/>
  <c r="H122" i="5" s="1"/>
  <c r="H69" i="5"/>
  <c r="H95" i="5" s="1"/>
  <c r="H68" i="5"/>
  <c r="H94" i="5" s="1"/>
  <c r="H66" i="5"/>
  <c r="H92" i="5" s="1"/>
  <c r="E14" i="7"/>
  <c r="C287" i="5"/>
  <c r="C94" i="7"/>
  <c r="C283" i="5"/>
  <c r="C93" i="7"/>
  <c r="C282" i="5"/>
  <c r="Q38" i="17"/>
  <c r="Q52" i="17"/>
  <c r="J27" i="2"/>
  <c r="I20" i="6" s="1"/>
  <c r="I31" i="6" s="1"/>
  <c r="J43" i="2"/>
  <c r="J4" i="15" s="1"/>
  <c r="J14" i="15" s="1"/>
  <c r="F94" i="5"/>
  <c r="J7" i="15"/>
  <c r="J17" i="15" s="1"/>
  <c r="AB16" i="15" s="1"/>
  <c r="J5" i="15"/>
  <c r="J15" i="15" s="1"/>
  <c r="AB14" i="15" s="1"/>
  <c r="J6" i="15"/>
  <c r="J16" i="15" s="1"/>
  <c r="AL6" i="15" s="1"/>
  <c r="J8" i="15"/>
  <c r="J18" i="15" s="1"/>
  <c r="AB17" i="15" s="1"/>
  <c r="J9" i="15"/>
  <c r="J19" i="15" s="1"/>
  <c r="AB18" i="15" s="1"/>
  <c r="J10" i="15"/>
  <c r="J20" i="15" s="1"/>
  <c r="AB10" i="15" s="1"/>
  <c r="C153" i="6" l="1"/>
  <c r="E13" i="7"/>
  <c r="I139" i="6"/>
  <c r="I143" i="6" s="1"/>
  <c r="I106" i="6"/>
  <c r="I74" i="6"/>
  <c r="I128" i="6" s="1"/>
  <c r="C155" i="6"/>
  <c r="C7" i="17" s="1"/>
  <c r="Q7" i="17" s="1"/>
  <c r="Q48" i="17" s="1"/>
  <c r="I25" i="6"/>
  <c r="I28" i="6"/>
  <c r="C103" i="7"/>
  <c r="C115" i="7" s="1"/>
  <c r="C15" i="17" s="1"/>
  <c r="Q15" i="17" s="1"/>
  <c r="Q50" i="17" s="1"/>
  <c r="G71" i="5"/>
  <c r="G97" i="5" s="1"/>
  <c r="G123" i="5" s="1"/>
  <c r="G70" i="5"/>
  <c r="G96" i="5" s="1"/>
  <c r="G122" i="5" s="1"/>
  <c r="G68" i="5"/>
  <c r="G94" i="5" s="1"/>
  <c r="G66" i="5"/>
  <c r="G92" i="5" s="1"/>
  <c r="G69" i="5"/>
  <c r="G95" i="5" s="1"/>
  <c r="I71" i="5"/>
  <c r="I97" i="5" s="1"/>
  <c r="I123" i="5" s="1"/>
  <c r="I70" i="5"/>
  <c r="I96" i="5" s="1"/>
  <c r="I122" i="5" s="1"/>
  <c r="I69" i="5"/>
  <c r="I95" i="5" s="1"/>
  <c r="I68" i="5"/>
  <c r="I94" i="5" s="1"/>
  <c r="I66" i="5"/>
  <c r="I92" i="5" s="1"/>
  <c r="D71" i="5"/>
  <c r="D97" i="5" s="1"/>
  <c r="D123" i="5" s="1"/>
  <c r="D70" i="5"/>
  <c r="D96" i="5" s="1"/>
  <c r="D122" i="5" s="1"/>
  <c r="D68" i="5"/>
  <c r="D94" i="5" s="1"/>
  <c r="D69" i="5"/>
  <c r="D95" i="5" s="1"/>
  <c r="D66" i="5"/>
  <c r="D92" i="5" s="1"/>
  <c r="E71" i="5"/>
  <c r="E97" i="5" s="1"/>
  <c r="E123" i="5" s="1"/>
  <c r="E70" i="5"/>
  <c r="E96" i="5" s="1"/>
  <c r="E122" i="5" s="1"/>
  <c r="E68" i="5"/>
  <c r="E94" i="5" s="1"/>
  <c r="E66" i="5"/>
  <c r="E92" i="5" s="1"/>
  <c r="E69" i="5"/>
  <c r="E95" i="5" s="1"/>
  <c r="C104" i="7"/>
  <c r="C116" i="7" s="1"/>
  <c r="C16" i="17" s="1"/>
  <c r="Q16" i="17" s="1"/>
  <c r="Q51" i="17" s="1"/>
  <c r="H110" i="5"/>
  <c r="F110" i="5"/>
  <c r="F178" i="5"/>
  <c r="F200" i="5" s="1"/>
  <c r="F247" i="5" s="1"/>
  <c r="AL7" i="15"/>
  <c r="F177" i="5"/>
  <c r="F199" i="5" s="1"/>
  <c r="F246" i="5" s="1"/>
  <c r="AB7" i="15"/>
  <c r="AL8" i="15"/>
  <c r="AB8" i="15"/>
  <c r="AB6" i="15"/>
  <c r="AB15" i="15"/>
  <c r="AB9" i="15"/>
  <c r="AB19" i="15"/>
  <c r="AL10" i="15"/>
  <c r="AL9" i="15"/>
  <c r="H177" i="5"/>
  <c r="H199" i="5" s="1"/>
  <c r="H246" i="5" s="1"/>
  <c r="AB5" i="15"/>
  <c r="AL5" i="15"/>
  <c r="J11" i="15"/>
  <c r="J38" i="15" s="1"/>
  <c r="J21" i="15"/>
  <c r="J22" i="15" s="1"/>
  <c r="J24" i="15" s="1"/>
  <c r="AB13" i="15"/>
  <c r="AL4" i="15"/>
  <c r="AB4" i="15"/>
  <c r="H178" i="5"/>
  <c r="H200" i="5" s="1"/>
  <c r="H247" i="5" s="1"/>
  <c r="H258" i="5"/>
  <c r="H256" i="5" s="1"/>
  <c r="D258" i="5"/>
  <c r="G258" i="5"/>
  <c r="G256" i="5" s="1"/>
  <c r="F258" i="5"/>
  <c r="F256" i="5" s="1"/>
  <c r="E258" i="5"/>
  <c r="E256" i="5" s="1"/>
  <c r="I103" i="6" l="1"/>
  <c r="I125" i="6" s="1"/>
  <c r="I138" i="6"/>
  <c r="I142" i="6" s="1"/>
  <c r="C109" i="7"/>
  <c r="C120" i="7" s="1"/>
  <c r="C20" i="17" s="1"/>
  <c r="Q20" i="17" s="1"/>
  <c r="C110" i="7"/>
  <c r="C121" i="7" s="1"/>
  <c r="C21" i="17" s="1"/>
  <c r="Q21" i="17" s="1"/>
  <c r="E15" i="7"/>
  <c r="E18" i="7" s="1"/>
  <c r="D19" i="10" s="1"/>
  <c r="F273" i="5"/>
  <c r="F285" i="5" s="1"/>
  <c r="F272" i="5"/>
  <c r="F284" i="5" s="1"/>
  <c r="H272" i="5"/>
  <c r="H284" i="5" s="1"/>
  <c r="H273" i="5"/>
  <c r="H285" i="5" s="1"/>
  <c r="E110" i="5"/>
  <c r="G110" i="5"/>
  <c r="D110" i="5"/>
  <c r="I110" i="5"/>
  <c r="G177" i="5"/>
  <c r="G199" i="5" s="1"/>
  <c r="G246" i="5" s="1"/>
  <c r="G272" i="5" s="1"/>
  <c r="G284" i="5" s="1"/>
  <c r="G178" i="5"/>
  <c r="G200" i="5" s="1"/>
  <c r="G247" i="5" s="1"/>
  <c r="G273" i="5" s="1"/>
  <c r="AB23" i="15"/>
  <c r="AB24" i="15" s="1"/>
  <c r="J12" i="15"/>
  <c r="E177" i="5"/>
  <c r="E199" i="5" s="1"/>
  <c r="E246" i="5" s="1"/>
  <c r="E272" i="5" s="1"/>
  <c r="E178" i="5"/>
  <c r="E200" i="5" s="1"/>
  <c r="E247" i="5" s="1"/>
  <c r="E273" i="5" s="1"/>
  <c r="D177" i="5"/>
  <c r="D199" i="5" s="1"/>
  <c r="D246" i="5" s="1"/>
  <c r="D272" i="5" s="1"/>
  <c r="D178" i="5"/>
  <c r="D200" i="5" s="1"/>
  <c r="D247" i="5" s="1"/>
  <c r="D273" i="5" s="1"/>
  <c r="I178" i="5"/>
  <c r="I200" i="5" s="1"/>
  <c r="I247" i="5" s="1"/>
  <c r="I273" i="5" s="1"/>
  <c r="I177" i="5"/>
  <c r="I199" i="5" s="1"/>
  <c r="I246" i="5" s="1"/>
  <c r="I272" i="5" s="1"/>
  <c r="F259" i="5"/>
  <c r="H259" i="5"/>
  <c r="D259" i="5"/>
  <c r="E259" i="5"/>
  <c r="G259" i="5"/>
  <c r="I137" i="6" l="1"/>
  <c r="I141" i="6" s="1"/>
  <c r="I68" i="6"/>
  <c r="I122" i="6" s="1"/>
  <c r="Q54" i="17"/>
  <c r="M21" i="10"/>
  <c r="F118" i="7"/>
  <c r="F18" i="17" s="1"/>
  <c r="T18" i="17" s="1"/>
  <c r="I25" i="17"/>
  <c r="W25" i="17" s="1"/>
  <c r="W57" i="17" s="1"/>
  <c r="I29" i="17"/>
  <c r="W29" i="17" s="1"/>
  <c r="W42" i="17" s="1"/>
  <c r="H118" i="7"/>
  <c r="H117" i="7"/>
  <c r="F117" i="7"/>
  <c r="G117" i="7"/>
  <c r="I284" i="5"/>
  <c r="I117" i="7"/>
  <c r="E285" i="5"/>
  <c r="E118" i="7"/>
  <c r="G285" i="5"/>
  <c r="G118" i="7"/>
  <c r="D285" i="5"/>
  <c r="D118" i="7"/>
  <c r="I285" i="5"/>
  <c r="I118" i="7"/>
  <c r="E284" i="5"/>
  <c r="E117" i="7"/>
  <c r="D284" i="5"/>
  <c r="D117" i="7"/>
  <c r="I152" i="6" l="1"/>
  <c r="D27" i="10"/>
  <c r="D26" i="10"/>
  <c r="E23" i="7"/>
  <c r="C12" i="17" s="1"/>
  <c r="Q12" i="17" s="1"/>
  <c r="E22" i="7"/>
  <c r="C11" i="17" s="1"/>
  <c r="Q11" i="17" s="1"/>
  <c r="E24" i="7"/>
  <c r="C13" i="17" s="1"/>
  <c r="Q13" i="17" s="1"/>
  <c r="E25" i="7"/>
  <c r="C14" i="17" s="1"/>
  <c r="Q14" i="17" s="1"/>
  <c r="Q37" i="17" s="1"/>
  <c r="H17" i="17"/>
  <c r="V17" i="17" s="1"/>
  <c r="G17" i="17"/>
  <c r="U17" i="17" s="1"/>
  <c r="G18" i="17"/>
  <c r="U18" i="17" s="1"/>
  <c r="H18" i="17"/>
  <c r="V18" i="17" s="1"/>
  <c r="E17" i="17"/>
  <c r="S17" i="17" s="1"/>
  <c r="I18" i="17"/>
  <c r="W18" i="17" s="1"/>
  <c r="E18" i="17"/>
  <c r="S18" i="17" s="1"/>
  <c r="D17" i="17"/>
  <c r="R17" i="17" s="1"/>
  <c r="F17" i="17"/>
  <c r="T17" i="17" s="1"/>
  <c r="T38" i="17" s="1"/>
  <c r="I17" i="17"/>
  <c r="W17" i="17" s="1"/>
  <c r="D18" i="17"/>
  <c r="R18" i="17" s="1"/>
  <c r="W31" i="17"/>
  <c r="W59" i="17" s="1"/>
  <c r="K13" i="7" l="1"/>
  <c r="Q49" i="17"/>
  <c r="Q30" i="17"/>
  <c r="Q32" i="17" s="1"/>
  <c r="Q36" i="17"/>
  <c r="T52" i="17"/>
  <c r="U52" i="17"/>
  <c r="V38" i="17"/>
  <c r="V52" i="17"/>
  <c r="U38" i="17"/>
  <c r="R52" i="17"/>
  <c r="F213" i="5"/>
  <c r="R38" i="17"/>
  <c r="S38" i="17"/>
  <c r="S52" i="17"/>
  <c r="W52" i="17"/>
  <c r="W38" i="17"/>
  <c r="G213" i="5" l="1"/>
  <c r="H213" i="5"/>
  <c r="E213" i="5"/>
  <c r="D213" i="5" l="1"/>
  <c r="D77" i="7" l="1"/>
  <c r="D78" i="7" s="1"/>
  <c r="F21" i="1" l="1"/>
  <c r="F22" i="1" s="1"/>
  <c r="F23" i="1" s="1"/>
  <c r="H21" i="1"/>
  <c r="H22" i="1" s="1"/>
  <c r="H23" i="1" s="1"/>
  <c r="G21" i="1"/>
  <c r="G22" i="1" s="1"/>
  <c r="G23" i="1" s="1"/>
  <c r="I21" i="1"/>
  <c r="I22" i="1" s="1"/>
  <c r="I23" i="1" s="1"/>
  <c r="E21" i="1"/>
  <c r="E22" i="1" s="1"/>
  <c r="E23" i="1" s="1"/>
  <c r="J21" i="1"/>
  <c r="J22" i="1" s="1"/>
  <c r="J23" i="1" s="1"/>
  <c r="J25" i="1" l="1"/>
  <c r="I19" i="6" s="1"/>
  <c r="H25" i="1"/>
  <c r="E25" i="1"/>
  <c r="D181" i="6"/>
  <c r="G25" i="1"/>
  <c r="F181" i="6"/>
  <c r="I181" i="6"/>
  <c r="I25" i="1"/>
  <c r="H181" i="6"/>
  <c r="E181" i="6"/>
  <c r="F25" i="1"/>
  <c r="G181" i="6"/>
  <c r="F182" i="6" l="1"/>
  <c r="F183" i="6" s="1"/>
  <c r="I182" i="6"/>
  <c r="I183" i="6" s="1"/>
  <c r="E195" i="6"/>
  <c r="E182" i="6"/>
  <c r="E183" i="6" s="1"/>
  <c r="G195" i="6"/>
  <c r="G196" i="6" s="1"/>
  <c r="G197" i="6" s="1"/>
  <c r="G204" i="6" s="1"/>
  <c r="G182" i="6"/>
  <c r="G183" i="6" s="1"/>
  <c r="D195" i="6"/>
  <c r="D196" i="6" s="1"/>
  <c r="D197" i="6" s="1"/>
  <c r="D204" i="6" s="1"/>
  <c r="D182" i="6"/>
  <c r="D183" i="6" s="1"/>
  <c r="H195" i="6"/>
  <c r="H196" i="6" s="1"/>
  <c r="H197" i="6" s="1"/>
  <c r="H204" i="6" s="1"/>
  <c r="H182" i="6"/>
  <c r="H183" i="6" s="1"/>
  <c r="F195" i="6"/>
  <c r="E196" i="6"/>
  <c r="E197" i="6" s="1"/>
  <c r="E204" i="6" s="1"/>
  <c r="I195" i="6"/>
  <c r="U22" i="17"/>
  <c r="T22" i="17"/>
  <c r="G19" i="6"/>
  <c r="G27" i="6" s="1"/>
  <c r="S22" i="17"/>
  <c r="W22" i="17"/>
  <c r="V22" i="17"/>
  <c r="F19" i="6"/>
  <c r="F27" i="6" s="1"/>
  <c r="R22" i="17"/>
  <c r="D19" i="6"/>
  <c r="D24" i="6" s="1"/>
  <c r="E19" i="6"/>
  <c r="H19" i="6"/>
  <c r="I30" i="6"/>
  <c r="I73" i="6" s="1"/>
  <c r="I27" i="6"/>
  <c r="I24" i="6"/>
  <c r="G102" i="6" l="1"/>
  <c r="G124" i="6"/>
  <c r="I67" i="6"/>
  <c r="I102" i="6"/>
  <c r="D67" i="6"/>
  <c r="F102" i="6"/>
  <c r="F124" i="6" s="1"/>
  <c r="I105" i="6"/>
  <c r="H203" i="6"/>
  <c r="H4" i="17" s="1"/>
  <c r="V4" i="17" s="1"/>
  <c r="G203" i="6"/>
  <c r="E203" i="6"/>
  <c r="E4" i="17" s="1"/>
  <c r="S4" i="17" s="1"/>
  <c r="D203" i="6"/>
  <c r="D4" i="17" s="1"/>
  <c r="R4" i="17" s="1"/>
  <c r="H5" i="17"/>
  <c r="V5" i="17" s="1"/>
  <c r="D5" i="17"/>
  <c r="R5" i="17" s="1"/>
  <c r="G5" i="17"/>
  <c r="U5" i="17" s="1"/>
  <c r="G4" i="17"/>
  <c r="U4" i="17" s="1"/>
  <c r="E5" i="17"/>
  <c r="S5" i="17" s="1"/>
  <c r="U39" i="17"/>
  <c r="U55" i="17"/>
  <c r="S39" i="17"/>
  <c r="S55" i="17"/>
  <c r="V39" i="17"/>
  <c r="V55" i="17"/>
  <c r="T39" i="17"/>
  <c r="T55" i="17"/>
  <c r="R39" i="17"/>
  <c r="R55" i="17"/>
  <c r="W39" i="17"/>
  <c r="W55" i="17"/>
  <c r="I196" i="6"/>
  <c r="I197" i="6" s="1"/>
  <c r="F196" i="6"/>
  <c r="F197" i="6" s="1"/>
  <c r="F30" i="6"/>
  <c r="F73" i="6" s="1"/>
  <c r="F24" i="6"/>
  <c r="G24" i="6"/>
  <c r="G30" i="6"/>
  <c r="G73" i="6" s="1"/>
  <c r="D30" i="6"/>
  <c r="D73" i="6" s="1"/>
  <c r="D27" i="6"/>
  <c r="E30" i="6"/>
  <c r="E73" i="6" s="1"/>
  <c r="E27" i="6"/>
  <c r="E24" i="6"/>
  <c r="H27" i="6"/>
  <c r="H24" i="6"/>
  <c r="H30" i="6"/>
  <c r="H73" i="6" s="1"/>
  <c r="I124" i="6" l="1"/>
  <c r="I127" i="6"/>
  <c r="I145" i="6" s="1"/>
  <c r="I147" i="6" s="1"/>
  <c r="H105" i="6"/>
  <c r="H127" i="6"/>
  <c r="H67" i="6"/>
  <c r="I121" i="6"/>
  <c r="I74" i="7" s="1"/>
  <c r="I75" i="7" s="1"/>
  <c r="F67" i="6"/>
  <c r="D102" i="6"/>
  <c r="D124" i="6"/>
  <c r="D105" i="6"/>
  <c r="H102" i="6"/>
  <c r="H124" i="6" s="1"/>
  <c r="E67" i="6"/>
  <c r="E102" i="6"/>
  <c r="E124" i="6" s="1"/>
  <c r="G105" i="6"/>
  <c r="G127" i="6" s="1"/>
  <c r="G67" i="6"/>
  <c r="F105" i="6"/>
  <c r="E105" i="6"/>
  <c r="S46" i="17"/>
  <c r="U46" i="17"/>
  <c r="R46" i="17"/>
  <c r="V46" i="17"/>
  <c r="F204" i="6"/>
  <c r="F5" i="17" s="1"/>
  <c r="T5" i="17" s="1"/>
  <c r="F203" i="6"/>
  <c r="F4" i="17" s="1"/>
  <c r="T4" i="17" s="1"/>
  <c r="I204" i="6"/>
  <c r="I5" i="17" s="1"/>
  <c r="W5" i="17" s="1"/>
  <c r="I203" i="6"/>
  <c r="I4" i="17" s="1"/>
  <c r="W4" i="17" s="1"/>
  <c r="I76" i="7" l="1"/>
  <c r="I151" i="6" s="1"/>
  <c r="K12" i="7" s="1"/>
  <c r="I77" i="7"/>
  <c r="I78" i="7" s="1"/>
  <c r="I150" i="6"/>
  <c r="K11" i="7" s="1"/>
  <c r="H121" i="6"/>
  <c r="H74" i="7" s="1"/>
  <c r="H76" i="7" s="1"/>
  <c r="E127" i="6"/>
  <c r="F127" i="6"/>
  <c r="F121" i="6" s="1"/>
  <c r="F74" i="7" s="1"/>
  <c r="F76" i="7" s="1"/>
  <c r="F151" i="6" s="1"/>
  <c r="H12" i="7" s="1"/>
  <c r="G121" i="6"/>
  <c r="G74" i="7" s="1"/>
  <c r="G76" i="7" s="1"/>
  <c r="G151" i="6" s="1"/>
  <c r="I12" i="7" s="1"/>
  <c r="D127" i="6"/>
  <c r="D121" i="6" s="1"/>
  <c r="D74" i="7" s="1"/>
  <c r="D75" i="7" s="1"/>
  <c r="I148" i="6"/>
  <c r="I154" i="6" s="1"/>
  <c r="I6" i="17" s="1"/>
  <c r="W6" i="17" s="1"/>
  <c r="W47" i="17" s="1"/>
  <c r="T46" i="17"/>
  <c r="W46" i="17"/>
  <c r="D232" i="5"/>
  <c r="H232" i="5"/>
  <c r="H234" i="5"/>
  <c r="G232" i="5"/>
  <c r="G234" i="5"/>
  <c r="E232" i="5"/>
  <c r="I234" i="5"/>
  <c r="F232" i="5"/>
  <c r="D39" i="7"/>
  <c r="D50" i="7" s="1"/>
  <c r="D52" i="7" s="1"/>
  <c r="E29" i="1"/>
  <c r="E4" i="2"/>
  <c r="E19" i="2"/>
  <c r="E42" i="2" s="1"/>
  <c r="E5" i="2"/>
  <c r="E28" i="1"/>
  <c r="D47" i="14" s="1"/>
  <c r="D46" i="14"/>
  <c r="F75" i="7" l="1"/>
  <c r="G75" i="7"/>
  <c r="G150" i="6" s="1"/>
  <c r="I11" i="7" s="1"/>
  <c r="H75" i="7"/>
  <c r="H150" i="6" s="1"/>
  <c r="J11" i="7" s="1"/>
  <c r="D76" i="7"/>
  <c r="F150" i="6"/>
  <c r="H11" i="7" s="1"/>
  <c r="D151" i="6"/>
  <c r="F12" i="7" s="1"/>
  <c r="H151" i="6"/>
  <c r="J12" i="7" s="1"/>
  <c r="D150" i="6"/>
  <c r="F11" i="7" s="1"/>
  <c r="I155" i="6"/>
  <c r="I7" i="17" s="1"/>
  <c r="W7" i="17" s="1"/>
  <c r="W48" i="17" s="1"/>
  <c r="E121" i="6"/>
  <c r="E74" i="7" s="1"/>
  <c r="D51" i="7"/>
  <c r="E34" i="2"/>
  <c r="E26" i="2"/>
  <c r="E16" i="2"/>
  <c r="E18" i="2"/>
  <c r="E17" i="2"/>
  <c r="D53" i="7"/>
  <c r="D57" i="7"/>
  <c r="E75" i="7" l="1"/>
  <c r="E150" i="6" s="1"/>
  <c r="G11" i="7" s="1"/>
  <c r="E76" i="7"/>
  <c r="E151" i="6" s="1"/>
  <c r="G12" i="7" s="1"/>
  <c r="D79" i="7"/>
  <c r="E12" i="10" s="1"/>
  <c r="E76" i="10"/>
  <c r="E77" i="10" s="1"/>
  <c r="E126" i="10"/>
  <c r="E127" i="10" s="1"/>
  <c r="E101" i="10"/>
  <c r="E102" i="10" s="1"/>
  <c r="D55" i="7"/>
  <c r="D56" i="7" s="1"/>
  <c r="E32" i="2"/>
  <c r="E24" i="2"/>
  <c r="E40" i="2"/>
  <c r="E41" i="2"/>
  <c r="D169" i="6"/>
  <c r="E33" i="2"/>
  <c r="E25" i="2"/>
  <c r="E39" i="2"/>
  <c r="E31" i="2"/>
  <c r="E23" i="2"/>
  <c r="D168" i="6"/>
  <c r="D170" i="6" l="1"/>
  <c r="D3" i="17" s="1"/>
  <c r="R3" i="17" s="1"/>
  <c r="R35" i="17" s="1"/>
  <c r="E27" i="2"/>
  <c r="D20" i="6" s="1"/>
  <c r="D31" i="6" s="1"/>
  <c r="E35" i="2"/>
  <c r="E24" i="1" s="1"/>
  <c r="E26" i="1" s="1"/>
  <c r="E43" i="2"/>
  <c r="E4" i="15" s="1"/>
  <c r="E14" i="15" s="1"/>
  <c r="D56" i="5"/>
  <c r="D72" i="5" s="1"/>
  <c r="D98" i="5" s="1"/>
  <c r="E10" i="15"/>
  <c r="E20" i="15" s="1"/>
  <c r="E7" i="15"/>
  <c r="E17" i="15" s="1"/>
  <c r="E9" i="15"/>
  <c r="E19" i="15" s="1"/>
  <c r="E6" i="15"/>
  <c r="E16" i="15" s="1"/>
  <c r="E5" i="15"/>
  <c r="E8" i="15"/>
  <c r="E18" i="15" s="1"/>
  <c r="D106" i="6" l="1"/>
  <c r="D74" i="6"/>
  <c r="D128" i="6" s="1"/>
  <c r="D139" i="6"/>
  <c r="D143" i="6" s="1"/>
  <c r="D28" i="6"/>
  <c r="D25" i="6"/>
  <c r="D49" i="5"/>
  <c r="D65" i="5" s="1"/>
  <c r="D91" i="5" s="1"/>
  <c r="R45" i="17"/>
  <c r="D48" i="5"/>
  <c r="D64" i="5" s="1"/>
  <c r="D90" i="5" s="1"/>
  <c r="D116" i="5" s="1"/>
  <c r="D171" i="5" s="1"/>
  <c r="D193" i="5" s="1"/>
  <c r="D240" i="5" s="1"/>
  <c r="D266" i="5" s="1"/>
  <c r="D92" i="7" s="1"/>
  <c r="D51" i="5"/>
  <c r="D67" i="5" s="1"/>
  <c r="D93" i="5" s="1"/>
  <c r="D119" i="5" s="1"/>
  <c r="D174" i="5" s="1"/>
  <c r="D196" i="5" s="1"/>
  <c r="D243" i="5" s="1"/>
  <c r="D269" i="5" s="1"/>
  <c r="D95" i="7" s="1"/>
  <c r="D105" i="7" s="1"/>
  <c r="D47" i="5"/>
  <c r="D63" i="5" s="1"/>
  <c r="D89" i="5" s="1"/>
  <c r="D115" i="5" s="1"/>
  <c r="D170" i="5" s="1"/>
  <c r="D192" i="5" s="1"/>
  <c r="D239" i="5" s="1"/>
  <c r="D265" i="5" s="1"/>
  <c r="W8" i="15"/>
  <c r="W17" i="15"/>
  <c r="AG8" i="15"/>
  <c r="E15" i="15"/>
  <c r="E21" i="15" s="1"/>
  <c r="E22" i="15" s="1"/>
  <c r="E11" i="15"/>
  <c r="W6" i="15"/>
  <c r="W15" i="15"/>
  <c r="AG6" i="15"/>
  <c r="W18" i="15"/>
  <c r="W9" i="15"/>
  <c r="AG9" i="15"/>
  <c r="W7" i="15"/>
  <c r="W16" i="15"/>
  <c r="AG7" i="15"/>
  <c r="W10" i="15"/>
  <c r="AG10" i="15"/>
  <c r="W19" i="15"/>
  <c r="AG4" i="15"/>
  <c r="W13" i="15"/>
  <c r="W4" i="15"/>
  <c r="D172" i="5"/>
  <c r="D117" i="5"/>
  <c r="D109" i="5"/>
  <c r="D118" i="5" s="1"/>
  <c r="D179" i="5"/>
  <c r="D201" i="5" s="1"/>
  <c r="D248" i="5" s="1"/>
  <c r="D274" i="5" s="1"/>
  <c r="D124" i="5"/>
  <c r="D138" i="6" l="1"/>
  <c r="D142" i="6" s="1"/>
  <c r="D68" i="6"/>
  <c r="D145" i="6"/>
  <c r="D147" i="6" s="1"/>
  <c r="D103" i="6"/>
  <c r="D102" i="7"/>
  <c r="D91" i="7"/>
  <c r="D119" i="7"/>
  <c r="D19" i="17" s="1"/>
  <c r="R19" i="17" s="1"/>
  <c r="R53" i="17" s="1"/>
  <c r="D286" i="5"/>
  <c r="D121" i="5"/>
  <c r="D176" i="5" s="1"/>
  <c r="D198" i="5" s="1"/>
  <c r="D245" i="5" s="1"/>
  <c r="D271" i="5" s="1"/>
  <c r="D173" i="5"/>
  <c r="D207" i="5" s="1"/>
  <c r="I216" i="5" s="1"/>
  <c r="D120" i="5"/>
  <c r="D175" i="5" s="1"/>
  <c r="D197" i="5" s="1"/>
  <c r="D244" i="5" s="1"/>
  <c r="D270" i="5" s="1"/>
  <c r="D96" i="7" s="1"/>
  <c r="D106" i="7" s="1"/>
  <c r="D194" i="5"/>
  <c r="E25" i="15"/>
  <c r="E32" i="15"/>
  <c r="E31" i="15"/>
  <c r="E26" i="15"/>
  <c r="E24" i="15"/>
  <c r="E27" i="15"/>
  <c r="E38" i="15"/>
  <c r="D29" i="17" s="1"/>
  <c r="R29" i="17" s="1"/>
  <c r="E12" i="15"/>
  <c r="W5" i="15"/>
  <c r="W14" i="15"/>
  <c r="AG5" i="15"/>
  <c r="D125" i="6" l="1"/>
  <c r="D137" i="6"/>
  <c r="D141" i="6" s="1"/>
  <c r="D122" i="6"/>
  <c r="D148" i="6"/>
  <c r="W23" i="15"/>
  <c r="W24" i="15" s="1"/>
  <c r="D25" i="17" s="1"/>
  <c r="R25" i="17" s="1"/>
  <c r="R31" i="17"/>
  <c r="R59" i="17" s="1"/>
  <c r="R42" i="17"/>
  <c r="D25" i="5"/>
  <c r="D73" i="5" s="1"/>
  <c r="D26" i="5"/>
  <c r="D74" i="5" s="1"/>
  <c r="D224" i="5"/>
  <c r="H224" i="5"/>
  <c r="H216" i="5"/>
  <c r="G224" i="5"/>
  <c r="G216" i="5"/>
  <c r="E224" i="5"/>
  <c r="F217" i="5"/>
  <c r="E216" i="5"/>
  <c r="F216" i="5"/>
  <c r="D216" i="5"/>
  <c r="I224" i="5"/>
  <c r="H225" i="5"/>
  <c r="F225" i="5"/>
  <c r="E225" i="5"/>
  <c r="D225" i="5"/>
  <c r="I226" i="5"/>
  <c r="I227" i="5"/>
  <c r="G225" i="5"/>
  <c r="I225" i="5"/>
  <c r="I222" i="5"/>
  <c r="F224" i="5"/>
  <c r="D242" i="5"/>
  <c r="D268" i="5" s="1"/>
  <c r="D195" i="5"/>
  <c r="D208" i="5"/>
  <c r="D209" i="5"/>
  <c r="D101" i="7"/>
  <c r="H233" i="5" l="1"/>
  <c r="D152" i="6"/>
  <c r="D155" i="6"/>
  <c r="D7" i="17" s="1"/>
  <c r="R7" i="17" s="1"/>
  <c r="R48" i="17" s="1"/>
  <c r="D154" i="6"/>
  <c r="D6" i="17" s="1"/>
  <c r="R6" i="17" s="1"/>
  <c r="E233" i="5"/>
  <c r="I233" i="5"/>
  <c r="G233" i="5"/>
  <c r="F233" i="5"/>
  <c r="D233" i="5"/>
  <c r="D241" i="5" s="1"/>
  <c r="D267" i="5" s="1"/>
  <c r="D94" i="7"/>
  <c r="D222" i="5"/>
  <c r="D226" i="5"/>
  <c r="F226" i="5"/>
  <c r="F222" i="5"/>
  <c r="E222" i="5"/>
  <c r="E226" i="5"/>
  <c r="E217" i="5"/>
  <c r="F227" i="5"/>
  <c r="I231" i="5"/>
  <c r="F223" i="5"/>
  <c r="G217" i="5"/>
  <c r="G222" i="5"/>
  <c r="G226" i="5"/>
  <c r="H217" i="5"/>
  <c r="H226" i="5"/>
  <c r="H222" i="5"/>
  <c r="D203" i="5"/>
  <c r="D250" i="5" s="1"/>
  <c r="D276" i="5"/>
  <c r="D98" i="7" s="1"/>
  <c r="D108" i="7" s="1"/>
  <c r="D275" i="5"/>
  <c r="D202" i="5"/>
  <c r="R57" i="17"/>
  <c r="D153" i="6" l="1"/>
  <c r="F13" i="7"/>
  <c r="D204" i="5"/>
  <c r="D249" i="5"/>
  <c r="D251" i="5"/>
  <c r="D277" i="5" s="1"/>
  <c r="D97" i="7"/>
  <c r="D107" i="7" s="1"/>
  <c r="D283" i="5"/>
  <c r="D93" i="7"/>
  <c r="D282" i="5"/>
  <c r="H223" i="5"/>
  <c r="H231" i="5"/>
  <c r="H227" i="5"/>
  <c r="G223" i="5"/>
  <c r="G231" i="5"/>
  <c r="G227" i="5"/>
  <c r="D217" i="5"/>
  <c r="E227" i="5"/>
  <c r="E223" i="5"/>
  <c r="D104" i="7"/>
  <c r="R47" i="17"/>
  <c r="D116" i="7" l="1"/>
  <c r="D16" i="17" s="1"/>
  <c r="R16" i="17" s="1"/>
  <c r="R51" i="17" s="1"/>
  <c r="D110" i="7"/>
  <c r="D121" i="7" s="1"/>
  <c r="D21" i="17" s="1"/>
  <c r="R21" i="17" s="1"/>
  <c r="D223" i="5"/>
  <c r="D227" i="5"/>
  <c r="D103" i="7"/>
  <c r="D115" i="7" s="1"/>
  <c r="D15" i="17" s="1"/>
  <c r="R15" i="17" s="1"/>
  <c r="R50" i="17" s="1"/>
  <c r="D287" i="5"/>
  <c r="F14" i="7"/>
  <c r="D109" i="7" l="1"/>
  <c r="D120" i="7" s="1"/>
  <c r="D20" i="17" s="1"/>
  <c r="R20" i="17" s="1"/>
  <c r="R54" i="17" s="1"/>
  <c r="F15" i="7"/>
  <c r="F18" i="7" s="1"/>
  <c r="E19" i="10" s="1"/>
  <c r="E27" i="10" l="1"/>
  <c r="E6" i="10" s="1"/>
  <c r="E25" i="10"/>
  <c r="E7" i="10" l="1"/>
  <c r="E13" i="10" s="1"/>
  <c r="E16" i="10" l="1"/>
  <c r="E15" i="10"/>
  <c r="E98" i="10"/>
  <c r="E75" i="10"/>
  <c r="E73" i="10"/>
  <c r="E123" i="10"/>
  <c r="E100" i="10"/>
  <c r="E125" i="10"/>
  <c r="E9" i="10"/>
  <c r="E11" i="10" l="1"/>
  <c r="N21" i="10" s="1"/>
  <c r="F22" i="7" l="1"/>
  <c r="D11" i="17" s="1"/>
  <c r="R11" i="17" s="1"/>
  <c r="F23" i="7"/>
  <c r="D12" i="17" s="1"/>
  <c r="R12" i="17" s="1"/>
  <c r="F24" i="7"/>
  <c r="D13" i="17" s="1"/>
  <c r="R13" i="17" s="1"/>
  <c r="F25" i="7"/>
  <c r="D14" i="17" s="1"/>
  <c r="R14" i="17" s="1"/>
  <c r="R37" i="17" s="1"/>
  <c r="R49" i="17" l="1"/>
  <c r="R36" i="17"/>
  <c r="E28" i="15"/>
  <c r="AG13" i="15" s="1"/>
  <c r="E39" i="7"/>
  <c r="E51" i="7" s="1"/>
  <c r="F5" i="2"/>
  <c r="F29" i="1"/>
  <c r="F4" i="2"/>
  <c r="F19" i="2"/>
  <c r="F42" i="2" s="1"/>
  <c r="F28" i="1"/>
  <c r="E47" i="14" s="1"/>
  <c r="E46" i="14"/>
  <c r="E50" i="7" l="1"/>
  <c r="E52" i="7" s="1"/>
  <c r="AG14" i="15"/>
  <c r="AG17" i="15" s="1"/>
  <c r="D26" i="17" s="1"/>
  <c r="R26" i="17" s="1"/>
  <c r="F34" i="2"/>
  <c r="F26" i="2"/>
  <c r="F18" i="2"/>
  <c r="F16" i="2"/>
  <c r="F17" i="2"/>
  <c r="E53" i="7" l="1"/>
  <c r="E55" i="7" s="1"/>
  <c r="E56" i="7" s="1"/>
  <c r="E57" i="7"/>
  <c r="R58" i="17"/>
  <c r="R30" i="17"/>
  <c r="R32" i="17" s="1"/>
  <c r="R41" i="17"/>
  <c r="F32" i="2"/>
  <c r="F40" i="2"/>
  <c r="F24" i="2"/>
  <c r="F31" i="2"/>
  <c r="E168" i="6"/>
  <c r="F39" i="2"/>
  <c r="F23" i="2"/>
  <c r="F41" i="2"/>
  <c r="E169" i="6"/>
  <c r="F33" i="2"/>
  <c r="F25" i="2"/>
  <c r="E79" i="7" l="1"/>
  <c r="F12" i="10" s="1"/>
  <c r="F76" i="10"/>
  <c r="F77" i="10" s="1"/>
  <c r="F126" i="10"/>
  <c r="F127" i="10" s="1"/>
  <c r="F101" i="10"/>
  <c r="F102" i="10" s="1"/>
  <c r="F6" i="15"/>
  <c r="F16" i="15" s="1"/>
  <c r="F7" i="15"/>
  <c r="F17" i="15" s="1"/>
  <c r="F5" i="15"/>
  <c r="F15" i="15" s="1"/>
  <c r="F8" i="15"/>
  <c r="F18" i="15" s="1"/>
  <c r="F10" i="15"/>
  <c r="F20" i="15" s="1"/>
  <c r="F9" i="15"/>
  <c r="F19" i="15" s="1"/>
  <c r="F27" i="2"/>
  <c r="E20" i="6" s="1"/>
  <c r="F43" i="2"/>
  <c r="F4" i="15" s="1"/>
  <c r="E170" i="6"/>
  <c r="E3" i="17" s="1"/>
  <c r="S3" i="17" s="1"/>
  <c r="F35" i="2"/>
  <c r="F24" i="1" l="1"/>
  <c r="F26" i="1" s="1"/>
  <c r="E47" i="5"/>
  <c r="E63" i="5" s="1"/>
  <c r="E89" i="5" s="1"/>
  <c r="E115" i="5" s="1"/>
  <c r="E170" i="5" s="1"/>
  <c r="E48" i="5"/>
  <c r="E64" i="5" s="1"/>
  <c r="E90" i="5" s="1"/>
  <c r="E116" i="5" s="1"/>
  <c r="E171" i="5" s="1"/>
  <c r="E193" i="5" s="1"/>
  <c r="E240" i="5" s="1"/>
  <c r="E266" i="5" s="1"/>
  <c r="E51" i="5"/>
  <c r="E67" i="5" s="1"/>
  <c r="E93" i="5" s="1"/>
  <c r="E119" i="5" s="1"/>
  <c r="E174" i="5" s="1"/>
  <c r="E196" i="5" s="1"/>
  <c r="E243" i="5" s="1"/>
  <c r="E269" i="5" s="1"/>
  <c r="E95" i="7" s="1"/>
  <c r="E105" i="7" s="1"/>
  <c r="E56" i="5"/>
  <c r="E72" i="5" s="1"/>
  <c r="E98" i="5" s="1"/>
  <c r="E49" i="5"/>
  <c r="E65" i="5" s="1"/>
  <c r="E91" i="5" s="1"/>
  <c r="S35" i="17"/>
  <c r="S45" i="17"/>
  <c r="F11" i="15"/>
  <c r="F14" i="15"/>
  <c r="E25" i="6"/>
  <c r="E31" i="6"/>
  <c r="E28" i="6"/>
  <c r="X9" i="15"/>
  <c r="X18" i="15"/>
  <c r="AH9" i="15"/>
  <c r="AH10" i="15"/>
  <c r="X10" i="15"/>
  <c r="X19" i="15"/>
  <c r="X8" i="15"/>
  <c r="X17" i="15"/>
  <c r="AH8" i="15"/>
  <c r="X5" i="15"/>
  <c r="X14" i="15"/>
  <c r="AH5" i="15"/>
  <c r="X7" i="15"/>
  <c r="AH7" i="15"/>
  <c r="X16" i="15"/>
  <c r="X15" i="15"/>
  <c r="X6" i="15"/>
  <c r="AH6" i="15"/>
  <c r="E74" i="6" l="1"/>
  <c r="E139" i="6"/>
  <c r="E143" i="6" s="1"/>
  <c r="E106" i="6"/>
  <c r="E138" i="6"/>
  <c r="E142" i="6" s="1"/>
  <c r="E103" i="6"/>
  <c r="E125" i="6" s="1"/>
  <c r="AH4" i="15"/>
  <c r="X13" i="15"/>
  <c r="X4" i="15"/>
  <c r="F21" i="15"/>
  <c r="F22" i="15" s="1"/>
  <c r="F38" i="15"/>
  <c r="E29" i="17" s="1"/>
  <c r="S29" i="17" s="1"/>
  <c r="F12" i="15"/>
  <c r="E117" i="5"/>
  <c r="E172" i="5"/>
  <c r="E109" i="5"/>
  <c r="E118" i="5" s="1"/>
  <c r="E124" i="5"/>
  <c r="E179" i="5"/>
  <c r="E201" i="5" s="1"/>
  <c r="E248" i="5" s="1"/>
  <c r="E274" i="5" s="1"/>
  <c r="E92" i="7"/>
  <c r="E192" i="5"/>
  <c r="E137" i="6" l="1"/>
  <c r="E141" i="6" s="1"/>
  <c r="E68" i="6"/>
  <c r="E128" i="6"/>
  <c r="E145" i="6" s="1"/>
  <c r="E147" i="6" s="1"/>
  <c r="E239" i="5"/>
  <c r="E265" i="5" s="1"/>
  <c r="E102" i="7"/>
  <c r="E286" i="5"/>
  <c r="E119" i="7"/>
  <c r="E19" i="17" s="1"/>
  <c r="S19" i="17" s="1"/>
  <c r="S53" i="17" s="1"/>
  <c r="E121" i="5"/>
  <c r="E176" i="5" s="1"/>
  <c r="E198" i="5" s="1"/>
  <c r="E245" i="5" s="1"/>
  <c r="E271" i="5" s="1"/>
  <c r="E173" i="5"/>
  <c r="E120" i="5"/>
  <c r="E175" i="5" s="1"/>
  <c r="E197" i="5" s="1"/>
  <c r="E244" i="5" s="1"/>
  <c r="E270" i="5" s="1"/>
  <c r="E96" i="7" s="1"/>
  <c r="E106" i="7" s="1"/>
  <c r="E194" i="5"/>
  <c r="E241" i="5"/>
  <c r="S31" i="17"/>
  <c r="S59" i="17" s="1"/>
  <c r="S42" i="17"/>
  <c r="F25" i="15"/>
  <c r="F31" i="15"/>
  <c r="F32" i="15"/>
  <c r="F26" i="15"/>
  <c r="F27" i="15"/>
  <c r="F24" i="15"/>
  <c r="X23" i="15"/>
  <c r="X24" i="15" s="1"/>
  <c r="E25" i="17" s="1"/>
  <c r="S25" i="17" s="1"/>
  <c r="E148" i="6" l="1"/>
  <c r="E154" i="6" s="1"/>
  <c r="E6" i="17" s="1"/>
  <c r="E122" i="6"/>
  <c r="E152" i="6" s="1"/>
  <c r="S57" i="17"/>
  <c r="E26" i="5"/>
  <c r="E74" i="5" s="1"/>
  <c r="E25" i="5"/>
  <c r="E73" i="5" s="1"/>
  <c r="E267" i="5"/>
  <c r="E93" i="7" s="1"/>
  <c r="E103" i="7" s="1"/>
  <c r="E242" i="5"/>
  <c r="E195" i="5"/>
  <c r="E91" i="7"/>
  <c r="E153" i="6" l="1"/>
  <c r="G13" i="7"/>
  <c r="E155" i="6"/>
  <c r="E7" i="17" s="1"/>
  <c r="E101" i="7"/>
  <c r="E268" i="5"/>
  <c r="E275" i="5"/>
  <c r="E97" i="7" s="1"/>
  <c r="E107" i="7" s="1"/>
  <c r="E202" i="5"/>
  <c r="E276" i="5"/>
  <c r="E203" i="5"/>
  <c r="E250" i="5" s="1"/>
  <c r="E204" i="5"/>
  <c r="S6" i="17"/>
  <c r="S7" i="17"/>
  <c r="S48" i="17" s="1"/>
  <c r="S47" i="17" l="1"/>
  <c r="E98" i="7"/>
  <c r="E282" i="5"/>
  <c r="E249" i="5"/>
  <c r="E251" i="5" s="1"/>
  <c r="E277" i="5" s="1"/>
  <c r="E94" i="7"/>
  <c r="E283" i="5"/>
  <c r="E104" i="7" l="1"/>
  <c r="E116" i="7" s="1"/>
  <c r="E16" i="17" s="1"/>
  <c r="S16" i="17" s="1"/>
  <c r="S51" i="17" s="1"/>
  <c r="E287" i="5"/>
  <c r="G14" i="7"/>
  <c r="E108" i="7"/>
  <c r="E115" i="7" s="1"/>
  <c r="E15" i="17" s="1"/>
  <c r="S15" i="17" s="1"/>
  <c r="S50" i="17" s="1"/>
  <c r="E110" i="7" l="1"/>
  <c r="E121" i="7" s="1"/>
  <c r="E21" i="17" s="1"/>
  <c r="S21" i="17" s="1"/>
  <c r="E109" i="7"/>
  <c r="E120" i="7" s="1"/>
  <c r="E20" i="17" s="1"/>
  <c r="S20" i="17" s="1"/>
  <c r="G15" i="7"/>
  <c r="G18" i="7" s="1"/>
  <c r="F19" i="10" s="1"/>
  <c r="S54" i="17" l="1"/>
  <c r="F27" i="10"/>
  <c r="F6" i="10" s="1"/>
  <c r="F25" i="10"/>
  <c r="F7" i="10" l="1"/>
  <c r="F13" i="10" s="1"/>
  <c r="F16" i="10" l="1"/>
  <c r="F15" i="10"/>
  <c r="F9" i="10"/>
  <c r="F11" i="10" s="1"/>
  <c r="F73" i="10"/>
  <c r="F123" i="10"/>
  <c r="F125" i="10"/>
  <c r="F98" i="10"/>
  <c r="F75" i="10"/>
  <c r="F100" i="10"/>
  <c r="O21" i="10" l="1"/>
  <c r="G22" i="7" l="1"/>
  <c r="E11" i="17" s="1"/>
  <c r="S11" i="17" s="1"/>
  <c r="G23" i="7"/>
  <c r="E12" i="17" s="1"/>
  <c r="S12" i="17" s="1"/>
  <c r="G24" i="7"/>
  <c r="E13" i="17" s="1"/>
  <c r="S13" i="17" s="1"/>
  <c r="G25" i="7"/>
  <c r="E14" i="17" s="1"/>
  <c r="S14" i="17" s="1"/>
  <c r="S37" i="17" s="1"/>
  <c r="S49" i="17" l="1"/>
  <c r="S36" i="17"/>
  <c r="F28" i="15"/>
  <c r="AH13" i="15" s="1"/>
  <c r="G5" i="2"/>
  <c r="F39" i="7"/>
  <c r="F51" i="7" s="1"/>
  <c r="G29" i="1"/>
  <c r="G4" i="2"/>
  <c r="G19" i="2"/>
  <c r="G26" i="2" s="1"/>
  <c r="G28" i="1"/>
  <c r="F47" i="14" s="1"/>
  <c r="F46" i="14"/>
  <c r="F50" i="7" l="1"/>
  <c r="F52" i="7" s="1"/>
  <c r="AH14" i="15"/>
  <c r="AH17" i="15" s="1"/>
  <c r="E26" i="17" s="1"/>
  <c r="S26" i="17" s="1"/>
  <c r="G34" i="2"/>
  <c r="G42" i="2"/>
  <c r="G16" i="2"/>
  <c r="G18" i="2"/>
  <c r="G17" i="2"/>
  <c r="F53" i="7" l="1"/>
  <c r="F55" i="7" s="1"/>
  <c r="F56" i="7" s="1"/>
  <c r="F57" i="7"/>
  <c r="S58" i="17"/>
  <c r="S41" i="17"/>
  <c r="S30" i="17"/>
  <c r="S32" i="17" s="1"/>
  <c r="G40" i="2"/>
  <c r="G32" i="2"/>
  <c r="G24" i="2"/>
  <c r="G41" i="2"/>
  <c r="F169" i="6"/>
  <c r="G33" i="2"/>
  <c r="G25" i="2"/>
  <c r="G31" i="2"/>
  <c r="G39" i="2"/>
  <c r="G23" i="2"/>
  <c r="F168" i="6"/>
  <c r="F170" i="6" s="1"/>
  <c r="F3" i="17" s="1"/>
  <c r="T3" i="17" s="1"/>
  <c r="G27" i="2" l="1"/>
  <c r="F20" i="6" s="1"/>
  <c r="G35" i="2"/>
  <c r="F48" i="5" s="1"/>
  <c r="F64" i="5" s="1"/>
  <c r="F90" i="5" s="1"/>
  <c r="F116" i="5" s="1"/>
  <c r="F171" i="5" s="1"/>
  <c r="F193" i="5" s="1"/>
  <c r="F240" i="5" s="1"/>
  <c r="F266" i="5" s="1"/>
  <c r="G43" i="2"/>
  <c r="G4" i="15" s="1"/>
  <c r="G14" i="15" s="1"/>
  <c r="F79" i="7"/>
  <c r="G12" i="10" s="1"/>
  <c r="G76" i="10"/>
  <c r="G77" i="10" s="1"/>
  <c r="G126" i="10"/>
  <c r="G127" i="10" s="1"/>
  <c r="G101" i="10"/>
  <c r="G102" i="10" s="1"/>
  <c r="T35" i="17"/>
  <c r="T45" i="17"/>
  <c r="F25" i="6"/>
  <c r="F28" i="6"/>
  <c r="F31" i="6"/>
  <c r="G8" i="15"/>
  <c r="G18" i="15" s="1"/>
  <c r="G10" i="15"/>
  <c r="G20" i="15" s="1"/>
  <c r="G9" i="15"/>
  <c r="G19" i="15" s="1"/>
  <c r="G6" i="15"/>
  <c r="G16" i="15" s="1"/>
  <c r="G5" i="15"/>
  <c r="G7" i="15"/>
  <c r="G17" i="15" s="1"/>
  <c r="F74" i="6" l="1"/>
  <c r="F139" i="6"/>
  <c r="F143" i="6" s="1"/>
  <c r="F106" i="6"/>
  <c r="F138" i="6"/>
  <c r="F142" i="6" s="1"/>
  <c r="F103" i="6"/>
  <c r="F125" i="6" s="1"/>
  <c r="F56" i="5"/>
  <c r="F72" i="5" s="1"/>
  <c r="F98" i="5" s="1"/>
  <c r="F179" i="5" s="1"/>
  <c r="F201" i="5" s="1"/>
  <c r="F248" i="5" s="1"/>
  <c r="F274" i="5" s="1"/>
  <c r="F51" i="5"/>
  <c r="F67" i="5" s="1"/>
  <c r="F93" i="5" s="1"/>
  <c r="F119" i="5" s="1"/>
  <c r="F174" i="5" s="1"/>
  <c r="F196" i="5" s="1"/>
  <c r="F243" i="5" s="1"/>
  <c r="F269" i="5" s="1"/>
  <c r="F95" i="7" s="1"/>
  <c r="F105" i="7" s="1"/>
  <c r="G24" i="1"/>
  <c r="G26" i="1" s="1"/>
  <c r="F49" i="5"/>
  <c r="F65" i="5" s="1"/>
  <c r="F91" i="5" s="1"/>
  <c r="F109" i="5" s="1"/>
  <c r="F118" i="5" s="1"/>
  <c r="F47" i="5"/>
  <c r="F63" i="5" s="1"/>
  <c r="F89" i="5" s="1"/>
  <c r="F115" i="5" s="1"/>
  <c r="F170" i="5" s="1"/>
  <c r="F192" i="5" s="1"/>
  <c r="Y7" i="15"/>
  <c r="Y16" i="15"/>
  <c r="AI7" i="15"/>
  <c r="G15" i="15"/>
  <c r="G21" i="15" s="1"/>
  <c r="G22" i="15" s="1"/>
  <c r="G11" i="15"/>
  <c r="Y6" i="15"/>
  <c r="Y15" i="15"/>
  <c r="AI6" i="15"/>
  <c r="AI9" i="15"/>
  <c r="Y18" i="15"/>
  <c r="Y9" i="15"/>
  <c r="Y10" i="15"/>
  <c r="Y19" i="15"/>
  <c r="AI10" i="15"/>
  <c r="Y8" i="15"/>
  <c r="Y17" i="15"/>
  <c r="AI8" i="15"/>
  <c r="F92" i="7"/>
  <c r="Y4" i="15"/>
  <c r="Y13" i="15"/>
  <c r="AI4" i="15"/>
  <c r="F124" i="5" l="1"/>
  <c r="F137" i="6"/>
  <c r="F141" i="6" s="1"/>
  <c r="F68" i="6"/>
  <c r="F128" i="6"/>
  <c r="F145" i="6" s="1"/>
  <c r="F147" i="6" s="1"/>
  <c r="F172" i="5"/>
  <c r="F117" i="5"/>
  <c r="G25" i="15"/>
  <c r="G31" i="15"/>
  <c r="G32" i="15"/>
  <c r="G26" i="15"/>
  <c r="G27" i="15"/>
  <c r="G24" i="15"/>
  <c r="F102" i="7"/>
  <c r="F239" i="5"/>
  <c r="F265" i="5" s="1"/>
  <c r="F286" i="5"/>
  <c r="F119" i="7"/>
  <c r="F19" i="17" s="1"/>
  <c r="T19" i="17" s="1"/>
  <c r="T53" i="17" s="1"/>
  <c r="F121" i="5"/>
  <c r="F176" i="5" s="1"/>
  <c r="F198" i="5" s="1"/>
  <c r="F245" i="5" s="1"/>
  <c r="F271" i="5" s="1"/>
  <c r="F173" i="5"/>
  <c r="F120" i="5"/>
  <c r="F175" i="5" s="1"/>
  <c r="F197" i="5" s="1"/>
  <c r="F244" i="5" s="1"/>
  <c r="F270" i="5" s="1"/>
  <c r="F96" i="7" s="1"/>
  <c r="F106" i="7" s="1"/>
  <c r="F241" i="5"/>
  <c r="F267" i="5" s="1"/>
  <c r="F93" i="7" s="1"/>
  <c r="F103" i="7" s="1"/>
  <c r="F194" i="5"/>
  <c r="G38" i="15"/>
  <c r="F29" i="17" s="1"/>
  <c r="T29" i="17" s="1"/>
  <c r="G12" i="15"/>
  <c r="AI5" i="15"/>
  <c r="Y5" i="15"/>
  <c r="Y14" i="15"/>
  <c r="F122" i="6" l="1"/>
  <c r="F152" i="6" s="1"/>
  <c r="F148" i="6"/>
  <c r="F154" i="6" s="1"/>
  <c r="F6" i="17" s="1"/>
  <c r="Y23" i="15"/>
  <c r="Y24" i="15" s="1"/>
  <c r="F25" i="17" s="1"/>
  <c r="T25" i="17" s="1"/>
  <c r="T31" i="17"/>
  <c r="T59" i="17" s="1"/>
  <c r="T42" i="17"/>
  <c r="F195" i="5"/>
  <c r="F242" i="5"/>
  <c r="F91" i="7"/>
  <c r="F26" i="5"/>
  <c r="F74" i="5" s="1"/>
  <c r="F25" i="5"/>
  <c r="F73" i="5" s="1"/>
  <c r="F153" i="6" l="1"/>
  <c r="H13" i="7"/>
  <c r="F155" i="6"/>
  <c r="F7" i="17" s="1"/>
  <c r="T7" i="17" s="1"/>
  <c r="T48" i="17" s="1"/>
  <c r="T6" i="17"/>
  <c r="F275" i="5"/>
  <c r="F97" i="7" s="1"/>
  <c r="F107" i="7" s="1"/>
  <c r="F202" i="5"/>
  <c r="F249" i="5" s="1"/>
  <c r="F276" i="5"/>
  <c r="F203" i="5"/>
  <c r="F250" i="5" s="1"/>
  <c r="F101" i="7"/>
  <c r="F268" i="5"/>
  <c r="T57" i="17"/>
  <c r="F251" i="5" l="1"/>
  <c r="F277" i="5" s="1"/>
  <c r="H14" i="7" s="1"/>
  <c r="F204" i="5"/>
  <c r="F94" i="7"/>
  <c r="F283" i="5"/>
  <c r="F98" i="7"/>
  <c r="F282" i="5"/>
  <c r="T47" i="17"/>
  <c r="F287" i="5" l="1"/>
  <c r="F108" i="7"/>
  <c r="F115" i="7" s="1"/>
  <c r="F15" i="17" s="1"/>
  <c r="T15" i="17" s="1"/>
  <c r="T50" i="17" s="1"/>
  <c r="F104" i="7"/>
  <c r="F116" i="7" s="1"/>
  <c r="F16" i="17" s="1"/>
  <c r="T16" i="17" s="1"/>
  <c r="T51" i="17" s="1"/>
  <c r="H15" i="7"/>
  <c r="H18" i="7" s="1"/>
  <c r="G19" i="10" s="1"/>
  <c r="F109" i="7" l="1"/>
  <c r="F120" i="7" s="1"/>
  <c r="F20" i="17" s="1"/>
  <c r="T20" i="17" s="1"/>
  <c r="F110" i="7"/>
  <c r="F121" i="7" s="1"/>
  <c r="F21" i="17" s="1"/>
  <c r="T21" i="17" s="1"/>
  <c r="G27" i="10"/>
  <c r="G6" i="10" s="1"/>
  <c r="G25" i="10"/>
  <c r="T54" i="17" l="1"/>
  <c r="G7" i="10"/>
  <c r="G13" i="10" s="1"/>
  <c r="G15" i="10" l="1"/>
  <c r="G16" i="10"/>
  <c r="G9" i="10"/>
  <c r="G11" i="10" s="1"/>
  <c r="G75" i="10"/>
  <c r="G73" i="10"/>
  <c r="G125" i="10"/>
  <c r="G123" i="10"/>
  <c r="G98" i="10"/>
  <c r="G100" i="10"/>
  <c r="P21" i="10" l="1"/>
  <c r="H22" i="7" l="1"/>
  <c r="F11" i="17" s="1"/>
  <c r="T11" i="17" s="1"/>
  <c r="H23" i="7"/>
  <c r="F12" i="17" s="1"/>
  <c r="T12" i="17" s="1"/>
  <c r="H24" i="7"/>
  <c r="F13" i="17" s="1"/>
  <c r="T13" i="17" s="1"/>
  <c r="H25" i="7"/>
  <c r="F14" i="17" s="1"/>
  <c r="T14" i="17" s="1"/>
  <c r="T37" i="17" s="1"/>
  <c r="T49" i="17" l="1"/>
  <c r="T36" i="17"/>
  <c r="G28" i="15"/>
  <c r="AI14" i="15" s="1"/>
  <c r="AI13" i="15" l="1"/>
  <c r="AI17" i="15" s="1"/>
  <c r="F26" i="17" s="1"/>
  <c r="T26" i="17" s="1"/>
  <c r="T58" i="17" l="1"/>
  <c r="T41" i="17"/>
  <c r="T30" i="17"/>
  <c r="T32" i="17" s="1"/>
  <c r="I5" i="2" l="1"/>
  <c r="H5" i="2"/>
  <c r="G39" i="7"/>
  <c r="G50" i="7" s="1"/>
  <c r="G52" i="7" s="1"/>
  <c r="I39" i="7"/>
  <c r="I51" i="7" s="1"/>
  <c r="J5" i="2"/>
  <c r="H28" i="1"/>
  <c r="H29" i="1"/>
  <c r="H4" i="2" s="1"/>
  <c r="I29" i="1"/>
  <c r="I4" i="2"/>
  <c r="I16" i="2" s="1"/>
  <c r="J28" i="1"/>
  <c r="J34" i="2" s="1"/>
  <c r="I28" i="1"/>
  <c r="H39" i="7"/>
  <c r="H51" i="7" s="1"/>
  <c r="H19" i="2" l="1"/>
  <c r="H16" i="2"/>
  <c r="H17" i="2"/>
  <c r="H18" i="2"/>
  <c r="I31" i="2"/>
  <c r="I23" i="2"/>
  <c r="I39" i="2"/>
  <c r="J31" i="2"/>
  <c r="I46" i="14"/>
  <c r="I19" i="2"/>
  <c r="I50" i="7"/>
  <c r="I52" i="7" s="1"/>
  <c r="H47" i="14"/>
  <c r="H46" i="14"/>
  <c r="I47" i="14"/>
  <c r="J33" i="2"/>
  <c r="I169" i="6"/>
  <c r="J32" i="2"/>
  <c r="G46" i="14"/>
  <c r="G47" i="14"/>
  <c r="G53" i="7"/>
  <c r="G57" i="7"/>
  <c r="I17" i="2"/>
  <c r="I18" i="2"/>
  <c r="H50" i="7"/>
  <c r="H52" i="7" s="1"/>
  <c r="I168" i="6"/>
  <c r="G51" i="7"/>
  <c r="I170" i="6" l="1"/>
  <c r="I3" i="17" s="1"/>
  <c r="W3" i="17" s="1"/>
  <c r="W35" i="17" s="1"/>
  <c r="I32" i="2"/>
  <c r="I24" i="2"/>
  <c r="I40" i="2"/>
  <c r="G79" i="7"/>
  <c r="H12" i="10" s="1"/>
  <c r="H126" i="10"/>
  <c r="H127" i="10" s="1"/>
  <c r="H101" i="10"/>
  <c r="H102" i="10" s="1"/>
  <c r="H76" i="10"/>
  <c r="H77" i="10" s="1"/>
  <c r="H168" i="6"/>
  <c r="G55" i="7"/>
  <c r="G56" i="7" s="1"/>
  <c r="I57" i="7"/>
  <c r="I53" i="7"/>
  <c r="H33" i="2"/>
  <c r="G169" i="6"/>
  <c r="H25" i="2"/>
  <c r="H41" i="2"/>
  <c r="H169" i="6"/>
  <c r="I41" i="2"/>
  <c r="I33" i="2"/>
  <c r="I25" i="2"/>
  <c r="I34" i="2"/>
  <c r="I26" i="2"/>
  <c r="I42" i="2"/>
  <c r="H24" i="2"/>
  <c r="H40" i="2"/>
  <c r="H32" i="2"/>
  <c r="G168" i="6"/>
  <c r="H31" i="2"/>
  <c r="H39" i="2"/>
  <c r="H23" i="2"/>
  <c r="H53" i="7"/>
  <c r="H57" i="7"/>
  <c r="J35" i="2"/>
  <c r="H42" i="2"/>
  <c r="H26" i="2"/>
  <c r="H34" i="2"/>
  <c r="G170" i="6" l="1"/>
  <c r="G3" i="17" s="1"/>
  <c r="U3" i="17" s="1"/>
  <c r="W45" i="17"/>
  <c r="Z7" i="17"/>
  <c r="I27" i="2"/>
  <c r="H20" i="6" s="1"/>
  <c r="H28" i="6" s="1"/>
  <c r="I35" i="2"/>
  <c r="H47" i="5" s="1"/>
  <c r="H63" i="5" s="1"/>
  <c r="H89" i="5" s="1"/>
  <c r="H115" i="5" s="1"/>
  <c r="H170" i="5" s="1"/>
  <c r="I43" i="2"/>
  <c r="I4" i="15" s="1"/>
  <c r="I14" i="15" s="1"/>
  <c r="I24" i="1"/>
  <c r="I26" i="1" s="1"/>
  <c r="H56" i="5"/>
  <c r="H72" i="5" s="1"/>
  <c r="H98" i="5" s="1"/>
  <c r="I47" i="5"/>
  <c r="I63" i="5" s="1"/>
  <c r="I89" i="5" s="1"/>
  <c r="I115" i="5" s="1"/>
  <c r="I170" i="5" s="1"/>
  <c r="I56" i="5"/>
  <c r="I72" i="5" s="1"/>
  <c r="I98" i="5" s="1"/>
  <c r="I48" i="5"/>
  <c r="I64" i="5" s="1"/>
  <c r="I90" i="5" s="1"/>
  <c r="I116" i="5" s="1"/>
  <c r="I171" i="5" s="1"/>
  <c r="I193" i="5" s="1"/>
  <c r="I240" i="5" s="1"/>
  <c r="I266" i="5" s="1"/>
  <c r="I51" i="5"/>
  <c r="I67" i="5" s="1"/>
  <c r="I93" i="5" s="1"/>
  <c r="I119" i="5" s="1"/>
  <c r="I174" i="5" s="1"/>
  <c r="I196" i="5" s="1"/>
  <c r="I243" i="5" s="1"/>
  <c r="I269" i="5" s="1"/>
  <c r="I95" i="7" s="1"/>
  <c r="I105" i="7" s="1"/>
  <c r="I49" i="5"/>
  <c r="I65" i="5" s="1"/>
  <c r="I91" i="5" s="1"/>
  <c r="J24" i="1"/>
  <c r="J26" i="1" s="1"/>
  <c r="I55" i="7"/>
  <c r="I153" i="6" s="1"/>
  <c r="H55" i="7"/>
  <c r="H56" i="7" s="1"/>
  <c r="I79" i="7"/>
  <c r="J12" i="10" s="1"/>
  <c r="J101" i="10"/>
  <c r="J102" i="10" s="1"/>
  <c r="J126" i="10"/>
  <c r="J127" i="10" s="1"/>
  <c r="J76" i="10"/>
  <c r="J77" i="10" s="1"/>
  <c r="U45" i="17"/>
  <c r="U35" i="17"/>
  <c r="I8" i="15"/>
  <c r="I18" i="15" s="1"/>
  <c r="I6" i="15"/>
  <c r="I16" i="15" s="1"/>
  <c r="I9" i="15"/>
  <c r="I19" i="15" s="1"/>
  <c r="I5" i="15"/>
  <c r="I15" i="15" s="1"/>
  <c r="I10" i="15"/>
  <c r="I20" i="15" s="1"/>
  <c r="I7" i="15"/>
  <c r="I17" i="15" s="1"/>
  <c r="I101" i="10"/>
  <c r="I102" i="10" s="1"/>
  <c r="I76" i="10"/>
  <c r="I77" i="10" s="1"/>
  <c r="I126" i="10"/>
  <c r="I127" i="10" s="1"/>
  <c r="H79" i="7"/>
  <c r="I12" i="10" s="1"/>
  <c r="H27" i="2"/>
  <c r="G20" i="6" s="1"/>
  <c r="H43" i="2"/>
  <c r="H4" i="15" s="1"/>
  <c r="H35" i="2"/>
  <c r="H10" i="15"/>
  <c r="H20" i="15" s="1"/>
  <c r="H6" i="15"/>
  <c r="H16" i="15" s="1"/>
  <c r="H8" i="15"/>
  <c r="H18" i="15" s="1"/>
  <c r="H9" i="15"/>
  <c r="H19" i="15" s="1"/>
  <c r="H5" i="15"/>
  <c r="H15" i="15" s="1"/>
  <c r="H7" i="15"/>
  <c r="H17" i="15" s="1"/>
  <c r="H170" i="6"/>
  <c r="H3" i="17" s="1"/>
  <c r="V3" i="17" s="1"/>
  <c r="H138" i="6" l="1"/>
  <c r="H142" i="6" s="1"/>
  <c r="H103" i="6"/>
  <c r="H125" i="6"/>
  <c r="H31" i="6"/>
  <c r="H48" i="5"/>
  <c r="H64" i="5" s="1"/>
  <c r="H90" i="5" s="1"/>
  <c r="H116" i="5" s="1"/>
  <c r="H171" i="5" s="1"/>
  <c r="H193" i="5" s="1"/>
  <c r="H240" i="5" s="1"/>
  <c r="H266" i="5" s="1"/>
  <c r="H92" i="7" s="1"/>
  <c r="H51" i="5"/>
  <c r="H67" i="5" s="1"/>
  <c r="H93" i="5" s="1"/>
  <c r="H119" i="5" s="1"/>
  <c r="H174" i="5" s="1"/>
  <c r="H196" i="5" s="1"/>
  <c r="H243" i="5" s="1"/>
  <c r="H269" i="5" s="1"/>
  <c r="H95" i="7" s="1"/>
  <c r="H105" i="7" s="1"/>
  <c r="H49" i="5"/>
  <c r="H65" i="5" s="1"/>
  <c r="H91" i="5" s="1"/>
  <c r="H109" i="5" s="1"/>
  <c r="H118" i="5" s="1"/>
  <c r="H25" i="6"/>
  <c r="Z6" i="15"/>
  <c r="AJ6" i="15"/>
  <c r="Z15" i="15"/>
  <c r="AK9" i="15"/>
  <c r="AA18" i="15"/>
  <c r="AA9" i="15"/>
  <c r="I172" i="5"/>
  <c r="I117" i="5"/>
  <c r="I109" i="5"/>
  <c r="I118" i="5" s="1"/>
  <c r="AJ10" i="15"/>
  <c r="Z10" i="15"/>
  <c r="Z19" i="15"/>
  <c r="AA15" i="15"/>
  <c r="AK6" i="15"/>
  <c r="AA6" i="15"/>
  <c r="I92" i="7"/>
  <c r="I124" i="5"/>
  <c r="I179" i="5"/>
  <c r="I201" i="5" s="1"/>
  <c r="I248" i="5" s="1"/>
  <c r="I274" i="5" s="1"/>
  <c r="H24" i="1"/>
  <c r="H26" i="1" s="1"/>
  <c r="G47" i="5"/>
  <c r="G63" i="5" s="1"/>
  <c r="G89" i="5" s="1"/>
  <c r="G115" i="5" s="1"/>
  <c r="G170" i="5" s="1"/>
  <c r="G56" i="5"/>
  <c r="G72" i="5" s="1"/>
  <c r="G98" i="5" s="1"/>
  <c r="G51" i="5"/>
  <c r="G67" i="5" s="1"/>
  <c r="G93" i="5" s="1"/>
  <c r="G119" i="5" s="1"/>
  <c r="G174" i="5" s="1"/>
  <c r="G196" i="5" s="1"/>
  <c r="G243" i="5" s="1"/>
  <c r="G269" i="5" s="1"/>
  <c r="G95" i="7" s="1"/>
  <c r="G105" i="7" s="1"/>
  <c r="G48" i="5"/>
  <c r="G64" i="5" s="1"/>
  <c r="G90" i="5" s="1"/>
  <c r="G116" i="5" s="1"/>
  <c r="G171" i="5" s="1"/>
  <c r="G193" i="5" s="1"/>
  <c r="G240" i="5" s="1"/>
  <c r="G266" i="5" s="1"/>
  <c r="G49" i="5"/>
  <c r="G65" i="5" s="1"/>
  <c r="G91" i="5" s="1"/>
  <c r="G25" i="6"/>
  <c r="G28" i="6"/>
  <c r="G31" i="6"/>
  <c r="I192" i="5"/>
  <c r="I239" i="5" s="1"/>
  <c r="I265" i="5" s="1"/>
  <c r="H172" i="5"/>
  <c r="H117" i="5"/>
  <c r="AA17" i="15"/>
  <c r="AK8" i="15"/>
  <c r="AA8" i="15"/>
  <c r="Z14" i="15"/>
  <c r="Z5" i="15"/>
  <c r="AJ5" i="15"/>
  <c r="AA16" i="15"/>
  <c r="AA7" i="15"/>
  <c r="AK7" i="15"/>
  <c r="I56" i="7"/>
  <c r="I21" i="15"/>
  <c r="I22" i="15" s="1"/>
  <c r="I24" i="15" s="1"/>
  <c r="AK4" i="15"/>
  <c r="AA13" i="15"/>
  <c r="AA4" i="15"/>
  <c r="H192" i="5"/>
  <c r="H239" i="5" s="1"/>
  <c r="H265" i="5" s="1"/>
  <c r="V45" i="17"/>
  <c r="V35" i="17"/>
  <c r="Z16" i="15"/>
  <c r="Z7" i="15"/>
  <c r="AJ7" i="15"/>
  <c r="Z18" i="15"/>
  <c r="Z9" i="15"/>
  <c r="AJ9" i="15"/>
  <c r="AA19" i="15"/>
  <c r="AA10" i="15"/>
  <c r="AK10" i="15"/>
  <c r="I11" i="15"/>
  <c r="H124" i="5"/>
  <c r="H179" i="5"/>
  <c r="H201" i="5" s="1"/>
  <c r="H248" i="5" s="1"/>
  <c r="H274" i="5" s="1"/>
  <c r="H11" i="15"/>
  <c r="H14" i="15"/>
  <c r="Z17" i="15"/>
  <c r="AJ8" i="15"/>
  <c r="Z8" i="15"/>
  <c r="AA14" i="15"/>
  <c r="AA5" i="15"/>
  <c r="AK5" i="15"/>
  <c r="G139" i="6" l="1"/>
  <c r="G143" i="6" s="1"/>
  <c r="G106" i="6"/>
  <c r="G74" i="6"/>
  <c r="G138" i="6"/>
  <c r="G142" i="6" s="1"/>
  <c r="G103" i="6"/>
  <c r="G125" i="6" s="1"/>
  <c r="H139" i="6"/>
  <c r="H143" i="6" s="1"/>
  <c r="H106" i="6"/>
  <c r="H74" i="6"/>
  <c r="H119" i="7"/>
  <c r="H19" i="17" s="1"/>
  <c r="V19" i="17" s="1"/>
  <c r="V53" i="17" s="1"/>
  <c r="H286" i="5"/>
  <c r="AA23" i="15"/>
  <c r="AA24" i="15" s="1"/>
  <c r="H25" i="17" s="1"/>
  <c r="V25" i="17" s="1"/>
  <c r="H241" i="5"/>
  <c r="H267" i="5" s="1"/>
  <c r="H93" i="7" s="1"/>
  <c r="H103" i="7" s="1"/>
  <c r="H194" i="5"/>
  <c r="G109" i="5"/>
  <c r="G118" i="5" s="1"/>
  <c r="G172" i="5"/>
  <c r="G117" i="5"/>
  <c r="I241" i="5"/>
  <c r="I267" i="5" s="1"/>
  <c r="I93" i="7" s="1"/>
  <c r="I103" i="7" s="1"/>
  <c r="I194" i="5"/>
  <c r="I12" i="15"/>
  <c r="I38" i="15"/>
  <c r="H29" i="17" s="1"/>
  <c r="V29" i="17" s="1"/>
  <c r="G92" i="7"/>
  <c r="H102" i="7"/>
  <c r="I91" i="7"/>
  <c r="I102" i="7"/>
  <c r="G124" i="5"/>
  <c r="G179" i="5"/>
  <c r="G201" i="5" s="1"/>
  <c r="G248" i="5" s="1"/>
  <c r="G274" i="5" s="1"/>
  <c r="G192" i="5"/>
  <c r="G239" i="5" s="1"/>
  <c r="G265" i="5" s="1"/>
  <c r="Z4" i="15"/>
  <c r="AJ4" i="15"/>
  <c r="H21" i="15"/>
  <c r="H22" i="15" s="1"/>
  <c r="Z13" i="15"/>
  <c r="H12" i="15"/>
  <c r="H38" i="15"/>
  <c r="G29" i="17" s="1"/>
  <c r="U29" i="17" s="1"/>
  <c r="H91" i="7"/>
  <c r="H120" i="5"/>
  <c r="H175" i="5" s="1"/>
  <c r="H197" i="5" s="1"/>
  <c r="H244" i="5" s="1"/>
  <c r="H270" i="5" s="1"/>
  <c r="H96" i="7" s="1"/>
  <c r="H106" i="7" s="1"/>
  <c r="H173" i="5"/>
  <c r="H121" i="5"/>
  <c r="H176" i="5" s="1"/>
  <c r="H198" i="5" s="1"/>
  <c r="H245" i="5" s="1"/>
  <c r="H271" i="5" s="1"/>
  <c r="I286" i="5"/>
  <c r="I119" i="7"/>
  <c r="I19" i="17" s="1"/>
  <c r="W19" i="17" s="1"/>
  <c r="W53" i="17" s="1"/>
  <c r="I120" i="5"/>
  <c r="I175" i="5" s="1"/>
  <c r="I197" i="5" s="1"/>
  <c r="I244" i="5" s="1"/>
  <c r="I270" i="5" s="1"/>
  <c r="I96" i="7" s="1"/>
  <c r="I106" i="7" s="1"/>
  <c r="I121" i="5"/>
  <c r="I176" i="5" s="1"/>
  <c r="I198" i="5" s="1"/>
  <c r="I245" i="5" s="1"/>
  <c r="I271" i="5" s="1"/>
  <c r="I173" i="5"/>
  <c r="G137" i="6" l="1"/>
  <c r="G141" i="6" s="1"/>
  <c r="G128" i="6"/>
  <c r="G145" i="6" s="1"/>
  <c r="G147" i="6" s="1"/>
  <c r="G148" i="6" s="1"/>
  <c r="G154" i="6" s="1"/>
  <c r="G6" i="17" s="1"/>
  <c r="U6" i="17" s="1"/>
  <c r="H128" i="6"/>
  <c r="H137" i="6"/>
  <c r="H141" i="6" s="1"/>
  <c r="H145" i="6"/>
  <c r="H147" i="6" s="1"/>
  <c r="H148" i="6" s="1"/>
  <c r="H154" i="6" s="1"/>
  <c r="H6" i="17" s="1"/>
  <c r="V6" i="17" s="1"/>
  <c r="V47" i="17" s="1"/>
  <c r="G68" i="6"/>
  <c r="G122" i="6" s="1"/>
  <c r="G152" i="6" s="1"/>
  <c r="H68" i="6"/>
  <c r="H122" i="6" s="1"/>
  <c r="H152" i="6" s="1"/>
  <c r="V57" i="17"/>
  <c r="I195" i="5"/>
  <c r="I242" i="5"/>
  <c r="I268" i="5" s="1"/>
  <c r="G286" i="5"/>
  <c r="G119" i="7"/>
  <c r="G19" i="17" s="1"/>
  <c r="U19" i="17" s="1"/>
  <c r="U53" i="17" s="1"/>
  <c r="H101" i="7"/>
  <c r="G102" i="7"/>
  <c r="G241" i="5"/>
  <c r="G267" i="5" s="1"/>
  <c r="G93" i="7" s="1"/>
  <c r="G103" i="7" s="1"/>
  <c r="G194" i="5"/>
  <c r="U31" i="17"/>
  <c r="U59" i="17" s="1"/>
  <c r="U42" i="17"/>
  <c r="H24" i="15"/>
  <c r="H27" i="15"/>
  <c r="I27" i="15" s="1"/>
  <c r="J27" i="15" s="1"/>
  <c r="H32" i="15"/>
  <c r="H25" i="15"/>
  <c r="I25" i="15" s="1"/>
  <c r="H26" i="15"/>
  <c r="I26" i="15" s="1"/>
  <c r="J26" i="15" s="1"/>
  <c r="H31" i="15"/>
  <c r="G121" i="5"/>
  <c r="G176" i="5" s="1"/>
  <c r="G198" i="5" s="1"/>
  <c r="G245" i="5" s="1"/>
  <c r="G271" i="5" s="1"/>
  <c r="G120" i="5"/>
  <c r="G175" i="5" s="1"/>
  <c r="G197" i="5" s="1"/>
  <c r="G244" i="5" s="1"/>
  <c r="G270" i="5" s="1"/>
  <c r="G96" i="7" s="1"/>
  <c r="G106" i="7" s="1"/>
  <c r="G173" i="5"/>
  <c r="V42" i="17"/>
  <c r="V31" i="17"/>
  <c r="V59" i="17" s="1"/>
  <c r="Z23" i="15"/>
  <c r="Z24" i="15" s="1"/>
  <c r="G25" i="17" s="1"/>
  <c r="U25" i="17" s="1"/>
  <c r="H195" i="5"/>
  <c r="H242" i="5"/>
  <c r="H268" i="5" s="1"/>
  <c r="G91" i="7"/>
  <c r="I101" i="7"/>
  <c r="H153" i="6" l="1"/>
  <c r="J13" i="7"/>
  <c r="G153" i="6"/>
  <c r="I13" i="7"/>
  <c r="G155" i="6"/>
  <c r="G7" i="17" s="1"/>
  <c r="U7" i="17" s="1"/>
  <c r="U48" i="17" s="1"/>
  <c r="H155" i="6"/>
  <c r="H7" i="17" s="1"/>
  <c r="V7" i="17" s="1"/>
  <c r="V48" i="17" s="1"/>
  <c r="U57" i="17"/>
  <c r="G25" i="5"/>
  <c r="G73" i="5" s="1"/>
  <c r="I31" i="15"/>
  <c r="G101" i="7"/>
  <c r="J25" i="15"/>
  <c r="J28" i="15" s="1"/>
  <c r="I28" i="15"/>
  <c r="I94" i="7"/>
  <c r="U47" i="17"/>
  <c r="H94" i="7"/>
  <c r="I32" i="15"/>
  <c r="G26" i="5"/>
  <c r="G74" i="5" s="1"/>
  <c r="G242" i="5"/>
  <c r="G195" i="5"/>
  <c r="H28" i="15"/>
  <c r="J31" i="15" l="1"/>
  <c r="I25" i="5" s="1"/>
  <c r="I73" i="5" s="1"/>
  <c r="H25" i="5"/>
  <c r="H73" i="5" s="1"/>
  <c r="I104" i="7"/>
  <c r="G275" i="5"/>
  <c r="G97" i="7" s="1"/>
  <c r="G107" i="7" s="1"/>
  <c r="G202" i="5"/>
  <c r="G249" i="5" s="1"/>
  <c r="AK14" i="15"/>
  <c r="AK13" i="15"/>
  <c r="G268" i="5"/>
  <c r="AL13" i="15"/>
  <c r="AL14" i="15"/>
  <c r="H26" i="5"/>
  <c r="H74" i="5" s="1"/>
  <c r="J32" i="15"/>
  <c r="I26" i="5" s="1"/>
  <c r="I74" i="5" s="1"/>
  <c r="H104" i="7"/>
  <c r="G203" i="5"/>
  <c r="G250" i="5" s="1"/>
  <c r="G276" i="5"/>
  <c r="G204" i="5"/>
  <c r="AJ13" i="15"/>
  <c r="AJ14" i="15"/>
  <c r="AJ17" i="15" l="1"/>
  <c r="G26" i="17" s="1"/>
  <c r="U26" i="17" s="1"/>
  <c r="U41" i="17" s="1"/>
  <c r="AL17" i="15"/>
  <c r="I26" i="17" s="1"/>
  <c r="W26" i="17" s="1"/>
  <c r="Y27" i="17" s="1"/>
  <c r="AK17" i="15"/>
  <c r="H26" i="17" s="1"/>
  <c r="V26" i="17" s="1"/>
  <c r="H203" i="5"/>
  <c r="H250" i="5" s="1"/>
  <c r="H276" i="5"/>
  <c r="H204" i="5"/>
  <c r="I203" i="5"/>
  <c r="I250" i="5" s="1"/>
  <c r="I276" i="5"/>
  <c r="G98" i="7"/>
  <c r="G282" i="5"/>
  <c r="G251" i="5"/>
  <c r="G277" i="5" s="1"/>
  <c r="H202" i="5"/>
  <c r="H275" i="5"/>
  <c r="G94" i="7"/>
  <c r="G283" i="5"/>
  <c r="I275" i="5"/>
  <c r="I202" i="5"/>
  <c r="U58" i="17" l="1"/>
  <c r="W58" i="17"/>
  <c r="W41" i="17"/>
  <c r="Y24" i="17"/>
  <c r="I204" i="5"/>
  <c r="I249" i="5"/>
  <c r="I251" i="5"/>
  <c r="I277" i="5" s="1"/>
  <c r="I98" i="7"/>
  <c r="I282" i="5"/>
  <c r="I97" i="7"/>
  <c r="I283" i="5"/>
  <c r="G104" i="7"/>
  <c r="G116" i="7" s="1"/>
  <c r="G16" i="17" s="1"/>
  <c r="U16" i="17" s="1"/>
  <c r="U51" i="17" s="1"/>
  <c r="G287" i="5"/>
  <c r="I14" i="7"/>
  <c r="H98" i="7"/>
  <c r="H282" i="5"/>
  <c r="G108" i="7"/>
  <c r="G115" i="7" s="1"/>
  <c r="G15" i="17" s="1"/>
  <c r="U15" i="17" s="1"/>
  <c r="U50" i="17" s="1"/>
  <c r="H97" i="7"/>
  <c r="H283" i="5"/>
  <c r="H249" i="5"/>
  <c r="H251" i="5" s="1"/>
  <c r="H277" i="5" s="1"/>
  <c r="V58" i="17"/>
  <c r="V41" i="17"/>
  <c r="G109" i="7" l="1"/>
  <c r="G120" i="7" s="1"/>
  <c r="G20" i="17" s="1"/>
  <c r="U20" i="17" s="1"/>
  <c r="H108" i="7"/>
  <c r="H115" i="7" s="1"/>
  <c r="H15" i="17" s="1"/>
  <c r="V15" i="17" s="1"/>
  <c r="V50" i="17" s="1"/>
  <c r="H109" i="7"/>
  <c r="H120" i="7" s="1"/>
  <c r="H20" i="17" s="1"/>
  <c r="V20" i="17" s="1"/>
  <c r="I108" i="7"/>
  <c r="I115" i="7" s="1"/>
  <c r="I15" i="17" s="1"/>
  <c r="W15" i="17" s="1"/>
  <c r="W50" i="17" s="1"/>
  <c r="K14" i="7"/>
  <c r="I287" i="5"/>
  <c r="I107" i="7"/>
  <c r="I116" i="7" s="1"/>
  <c r="I16" i="17" s="1"/>
  <c r="W16" i="17" s="1"/>
  <c r="W51" i="17" s="1"/>
  <c r="J14" i="7"/>
  <c r="H287" i="5"/>
  <c r="I15" i="7"/>
  <c r="I18" i="7" s="1"/>
  <c r="H19" i="10" s="1"/>
  <c r="H107" i="7"/>
  <c r="H116" i="7" s="1"/>
  <c r="H16" i="17" s="1"/>
  <c r="V16" i="17" s="1"/>
  <c r="V51" i="17" s="1"/>
  <c r="G110" i="7"/>
  <c r="G121" i="7" s="1"/>
  <c r="G21" i="17" s="1"/>
  <c r="U21" i="17" s="1"/>
  <c r="U54" i="17" l="1"/>
  <c r="H110" i="7"/>
  <c r="H121" i="7" s="1"/>
  <c r="H21" i="17" s="1"/>
  <c r="V21" i="17" s="1"/>
  <c r="V54" i="17" s="1"/>
  <c r="I109" i="7"/>
  <c r="I120" i="7" s="1"/>
  <c r="I20" i="17" s="1"/>
  <c r="W20" i="17" s="1"/>
  <c r="K15" i="7"/>
  <c r="K18" i="7" s="1"/>
  <c r="J19" i="10" s="1"/>
  <c r="H25" i="10"/>
  <c r="H27" i="10"/>
  <c r="H6" i="10" s="1"/>
  <c r="J15" i="7"/>
  <c r="J18" i="7" s="1"/>
  <c r="I19" i="10" s="1"/>
  <c r="I110" i="7"/>
  <c r="I121" i="7" s="1"/>
  <c r="I21" i="17" s="1"/>
  <c r="W21" i="17" s="1"/>
  <c r="W54" i="17" l="1"/>
  <c r="J25" i="10"/>
  <c r="J27" i="10"/>
  <c r="J6" i="10" s="1"/>
  <c r="H7" i="10"/>
  <c r="H13" i="10" s="1"/>
  <c r="I27" i="10"/>
  <c r="I6" i="10" s="1"/>
  <c r="I25" i="10"/>
  <c r="H98" i="10" l="1"/>
  <c r="H9" i="10"/>
  <c r="H11" i="10" s="1"/>
  <c r="H73" i="10"/>
  <c r="H75" i="10"/>
  <c r="H123" i="10"/>
  <c r="H100" i="10"/>
  <c r="H125" i="10"/>
  <c r="I7" i="10"/>
  <c r="I13" i="10" s="1"/>
  <c r="H16" i="10"/>
  <c r="H15" i="10"/>
  <c r="J7" i="10"/>
  <c r="J13" i="10" s="1"/>
  <c r="J15" i="10" l="1"/>
  <c r="J16" i="10"/>
  <c r="J98" i="10"/>
  <c r="J123" i="10"/>
  <c r="J100" i="10"/>
  <c r="J75" i="10"/>
  <c r="J9" i="10"/>
  <c r="J125" i="10"/>
  <c r="J73" i="10"/>
  <c r="Q21" i="10"/>
  <c r="I100" i="10"/>
  <c r="I9" i="10"/>
  <c r="I11" i="10" s="1"/>
  <c r="I123" i="10"/>
  <c r="I125" i="10"/>
  <c r="I98" i="10"/>
  <c r="I75" i="10"/>
  <c r="I73" i="10"/>
  <c r="I16" i="10"/>
  <c r="I15" i="10"/>
  <c r="R21" i="10" l="1"/>
  <c r="J23" i="7" s="1"/>
  <c r="H12" i="17" s="1"/>
  <c r="V12" i="17" s="1"/>
  <c r="J11" i="10"/>
  <c r="S21" i="10" s="1"/>
  <c r="I23" i="7"/>
  <c r="G12" i="17" s="1"/>
  <c r="U12" i="17" s="1"/>
  <c r="I22" i="7"/>
  <c r="G11" i="17" s="1"/>
  <c r="U11" i="17" s="1"/>
  <c r="I24" i="7"/>
  <c r="G13" i="17" s="1"/>
  <c r="U13" i="17" s="1"/>
  <c r="I25" i="7"/>
  <c r="G14" i="17" s="1"/>
  <c r="U14" i="17" s="1"/>
  <c r="U37" i="17" s="1"/>
  <c r="J25" i="7" l="1"/>
  <c r="H14" i="17" s="1"/>
  <c r="V14" i="17" s="1"/>
  <c r="V37" i="17" s="1"/>
  <c r="J24" i="7"/>
  <c r="H13" i="17" s="1"/>
  <c r="V13" i="17" s="1"/>
  <c r="J22" i="7"/>
  <c r="H11" i="17" s="1"/>
  <c r="V11" i="17" s="1"/>
  <c r="U49" i="17"/>
  <c r="U36" i="17"/>
  <c r="U30" i="17"/>
  <c r="U32" i="17" s="1"/>
  <c r="K23" i="7"/>
  <c r="I12" i="17" s="1"/>
  <c r="W12" i="17" s="1"/>
  <c r="K22" i="7"/>
  <c r="I11" i="17" s="1"/>
  <c r="W11" i="17" s="1"/>
  <c r="K24" i="7"/>
  <c r="I13" i="17" s="1"/>
  <c r="W13" i="17" s="1"/>
  <c r="K25" i="7"/>
  <c r="I14" i="17" s="1"/>
  <c r="W14" i="17" s="1"/>
  <c r="V49" i="17" l="1"/>
  <c r="V30" i="17"/>
  <c r="V32" i="17" s="1"/>
  <c r="V36" i="17"/>
  <c r="W49" i="17"/>
  <c r="Z12" i="17"/>
  <c r="W36" i="17"/>
  <c r="W30" i="17"/>
  <c r="W32" i="17" s="1"/>
  <c r="Z18" i="17"/>
  <c r="W37" i="17"/>
  <c r="X37" i="17" l="1"/>
  <c r="X36" i="17"/>
  <c r="X39" i="17"/>
  <c r="X38" i="17"/>
  <c r="X40" i="17"/>
  <c r="X35" i="17"/>
  <c r="X41" i="17"/>
  <c r="AA24" i="17"/>
  <c r="X49" i="17"/>
  <c r="X52" i="17"/>
  <c r="X56" i="17"/>
  <c r="X55" i="17"/>
  <c r="X47" i="17"/>
  <c r="X45" i="17"/>
  <c r="X48" i="17"/>
  <c r="X46" i="17"/>
  <c r="X57" i="17"/>
  <c r="X53" i="17"/>
  <c r="X58" i="17"/>
  <c r="X51" i="17"/>
  <c r="X50" i="17"/>
  <c r="X54"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tc={C5F48987-A786-496A-B205-0AA0744FFB32}</author>
  </authors>
  <commentList>
    <comment ref="B32" authorId="0" shapeId="0" xr:uid="{C5F48987-A786-496A-B205-0AA0744FFB32}">
      <text>
        <t>[Threaded comment]
Your version of Excel allows you to read this threaded comment; however, any edits to it will get removed if the file is opened in a newer version of Excel. Learn more: https://go.microsoft.com/fwlink/?linkid=870924
Comment:
    Alpha</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tc={93BAF3C9-DFA8-412E-BB4D-A50481455FA1}</author>
  </authors>
  <commentList>
    <comment ref="C38" authorId="0" shapeId="0" xr:uid="{93BAF3C9-DFA8-412E-BB4D-A50481455FA1}">
      <text>
        <t>[Threaded comment]
Your version of Excel allows you to read this threaded comment; however, any edits to it will get removed if the file is opened in a newer version of Excel. Learn more: https://go.microsoft.com/fwlink/?linkid=870924
Comment:
    Includes positive emissions resulting from harvesting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tc={2AA378B8-89B9-4094-913E-B87DC7D6CC1A}</author>
    <author>tc={C08DF878-34E0-444B-AE91-08C294D662E3}</author>
  </authors>
  <commentList>
    <comment ref="E47" authorId="0" shapeId="0" xr:uid="{2AA378B8-89B9-4094-913E-B87DC7D6CC1A}">
      <text>
        <t>[Threaded comment]
Your version of Excel allows you to read this threaded comment; however, any edits to it will get removed if the file is opened in a newer version of Excel. Learn more: https://go.microsoft.com/fwlink/?linkid=870924
Comment:
    e.g. 100%</t>
      </text>
    </comment>
    <comment ref="B102" authorId="1" shapeId="0" xr:uid="{C08DF878-34E0-444B-AE91-08C294D662E3}">
      <text>
        <t>[Threaded comment]
Your version of Excel allows you to read this threaded comment; however, any edits to it will get removed if the file is opened in a newer version of Excel. Learn more: https://go.microsoft.com/fwlink/?linkid=870924
Comment:
    Thanks to Rick Zwann from DCC for this update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tc={176BFC9D-77B2-4E96-AC3E-C5A72762BE2B}</author>
    <author>tc={F8BDDCA0-F56B-4AF8-875F-7FA78F5E6F51}</author>
    <author>tc={07ED7205-C9B7-4856-BC23-C2B92DAECE05}</author>
  </authors>
  <commentList>
    <comment ref="I66" authorId="0" shapeId="0" xr:uid="{176BFC9D-77B2-4E96-AC3E-C5A72762BE2B}">
      <text>
        <t>[Threaded comment]
Your version of Excel allows you to read this threaded comment; however, any edits to it will get removed if the file is opened in a newer version of Excel. Learn more: https://go.microsoft.com/fwlink/?linkid=870924
Comment:
    Assumed that any excess is exported outside city and that the freight emissions are (more than) offset by heating emission reductions. In any case, these are out of scope once exported.</t>
      </text>
    </comment>
    <comment ref="O67" authorId="1" shapeId="0" xr:uid="{F8BDDCA0-F56B-4AF8-875F-7FA78F5E6F51}">
      <text>
        <t>[Threaded comment]
Your version of Excel allows you to read this threaded comment; however, any edits to it will get removed if the file is opened in a newer version of Excel. Learn more: https://go.microsoft.com/fwlink/?linkid=870924
Comment:
    per: https://www.researchgate.net/publication/323265153_Throughput_Rate_and_Energy_Consumption_During_Wood_Chip_Production_in_Relation_to_Raw_Material_Chipper_Type_and_Machine_Setting</t>
      </text>
    </comment>
    <comment ref="B73" authorId="2" shapeId="0" xr:uid="{07ED7205-C9B7-4856-BC23-C2B92DAECE05}">
      <text>
        <t>[Threaded comment]
Your version of Excel allows you to read this threaded comment; however, any edits to it will get removed if the file is opened in a newer version of Excel. Learn more: https://go.microsoft.com/fwlink/?linkid=870924
Comment:
    Alpha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tc={DA175E4E-488F-4F3B-87B3-1357FEC085A9}</author>
    <author>tc={8D25D758-F530-465B-8340-4E1B2916256E}</author>
    <author>tc={069B844C-D48C-4E5B-BBCE-D3DA29AADD93}</author>
  </authors>
  <commentList>
    <comment ref="B18" authorId="0" shapeId="0" xr:uid="{DA175E4E-488F-4F3B-87B3-1357FEC085A9}">
      <text>
        <t>[Threaded comment]
Your version of Excel allows you to read this threaded comment; however, any edits to it will get removed if the file is opened in a newer version of Excel. Learn more: https://go.microsoft.com/fwlink/?linkid=870924
Comment:
    Alpha</t>
      </text>
    </comment>
    <comment ref="B63" authorId="1" shapeId="0" xr:uid="{8D25D758-F530-465B-8340-4E1B2916256E}">
      <text>
        <t>[Threaded comment]
Your version of Excel allows you to read this threaded comment; however, any edits to it will get removed if the file is opened in a newer version of Excel. Learn more: https://go.microsoft.com/fwlink/?linkid=870924
Comment:
    Alpha</t>
      </text>
    </comment>
    <comment ref="B80" authorId="2" shapeId="0" xr:uid="{069B844C-D48C-4E5B-BBCE-D3DA29AADD93}">
      <text>
        <t>[Threaded comment]
Your version of Excel allows you to read this threaded comment; however, any edits to it will get removed if the file is opened in a newer version of Excel. Learn more: https://go.microsoft.com/fwlink/?linkid=870924
Comment:
    Alpha</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tc={C546AB66-8AE5-40A0-A28E-E84F0FDCF925}</author>
    <author>tc={24A5F81B-4E58-40DB-B689-0DA210B5C2DF}</author>
  </authors>
  <commentList>
    <comment ref="B104" authorId="0" shapeId="0" xr:uid="{C546AB66-8AE5-40A0-A28E-E84F0FDCF925}">
      <text>
        <t>[Threaded comment]
Your version of Excel allows you to read this threaded comment; however, any edits to it will get removed if the file is opened in a newer version of Excel. Learn more: https://go.microsoft.com/fwlink/?linkid=870924
Comment:
    Alpha</t>
      </text>
    </comment>
    <comment ref="B214" authorId="1" shapeId="0" xr:uid="{24A5F81B-4E58-40DB-B689-0DA210B5C2DF}">
      <text>
        <t>[Threaded comment]
Your version of Excel allows you to read this threaded comment; however, any edits to it will get removed if the file is opened in a newer version of Excel. Learn more: https://go.microsoft.com/fwlink/?linkid=870924
Comment:
    Alpha</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tc={9352A151-7FD2-47DC-A693-47858FA0B1A0}</author>
    <author>tc={FD244107-ED54-4527-8766-6E6987371068}</author>
  </authors>
  <commentList>
    <comment ref="B41" authorId="0" shapeId="0" xr:uid="{9352A151-7FD2-47DC-A693-47858FA0B1A0}">
      <text>
        <t>[Threaded comment]
Your version of Excel allows you to read this threaded comment; however, any edits to it will get removed if the file is opened in a newer version of Excel. Learn more: https://go.microsoft.com/fwlink/?linkid=870924
Comment:
    Alpha</t>
      </text>
    </comment>
    <comment ref="I59" authorId="1" shapeId="0" xr:uid="{FD244107-ED54-4527-8766-6E6987371068}">
      <text>
        <t>[Threaded comment]
Your version of Excel allows you to read this threaded comment; however, any edits to it will get removed if the file is opened in a newer version of Excel. Learn more: https://go.microsoft.com/fwlink/?linkid=870924
Comment:
    100%</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tc={2FB09C4D-E7C3-4C99-B7B2-60BAF1CC1C17}</author>
  </authors>
  <commentList>
    <comment ref="B44" authorId="0" shapeId="0" xr:uid="{2FB09C4D-E7C3-4C99-B7B2-60BAF1CC1C17}">
      <text>
        <t>[Threaded comment]
Your version of Excel allows you to read this threaded comment; however, any edits to it will get removed if the file is opened in a newer version of Excel. Learn more: https://go.microsoft.com/fwlink/?linkid=870924
Comment:
    Alpha</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tc={DA2C9EAF-DD5D-423B-B867-A896684FCD4B}</author>
  </authors>
  <commentList>
    <comment ref="O8" authorId="0" shapeId="0" xr:uid="{DA2C9EAF-DD5D-423B-B867-A896684FCD4B}">
      <text>
        <t>[Threaded comment]
Your version of Excel allows you to read this threaded comment; however, any edits to it will get removed if the file is opened in a newer version of Excel. Learn more: https://go.microsoft.com/fwlink/?linkid=870924
Comment:
    From Common Reporting Format Tables and Emissions Factors</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Phaveethra Manohar</author>
  </authors>
  <commentList>
    <comment ref="E83" authorId="0" shapeId="0" xr:uid="{8BC97709-48F1-41C3-9945-E01D42758D9B}">
      <text>
        <r>
          <rPr>
            <b/>
            <sz val="9"/>
            <color indexed="81"/>
            <rFont val="Tahoma"/>
            <family val="2"/>
          </rPr>
          <t>Phaveethra Manohar:</t>
        </r>
        <r>
          <rPr>
            <sz val="9"/>
            <color indexed="81"/>
            <rFont val="Tahoma"/>
            <family val="2"/>
          </rPr>
          <t xml:space="preserve">
Placeholder Value</t>
        </r>
      </text>
    </comment>
    <comment ref="E108" authorId="0" shapeId="0" xr:uid="{FD5CCB6F-32F6-45EE-874E-ACB7DF58B11C}">
      <text>
        <r>
          <rPr>
            <b/>
            <sz val="9"/>
            <color indexed="81"/>
            <rFont val="Tahoma"/>
            <family val="2"/>
          </rPr>
          <t>Phaveethra Manohar:</t>
        </r>
        <r>
          <rPr>
            <sz val="9"/>
            <color indexed="81"/>
            <rFont val="Tahoma"/>
            <family val="2"/>
          </rPr>
          <t xml:space="preserve">
Placeholder Value</t>
        </r>
      </text>
    </comment>
    <comment ref="E133" authorId="0" shapeId="0" xr:uid="{AA93B445-0534-4609-830F-A799C4EF19CD}">
      <text>
        <r>
          <rPr>
            <b/>
            <sz val="9"/>
            <color indexed="81"/>
            <rFont val="Tahoma"/>
            <family val="2"/>
          </rPr>
          <t>Phaveethra Manohar:</t>
        </r>
        <r>
          <rPr>
            <sz val="9"/>
            <color indexed="81"/>
            <rFont val="Tahoma"/>
            <family val="2"/>
          </rPr>
          <t xml:space="preserve">
Placeholder Value</t>
        </r>
      </text>
    </comment>
  </commentList>
</comments>
</file>

<file path=xl/sharedStrings.xml><?xml version="1.0" encoding="utf-8"?>
<sst xmlns="http://schemas.openxmlformats.org/spreadsheetml/2006/main" count="2519" uniqueCount="960">
  <si>
    <t>Welcome to the City Carbon Model</t>
  </si>
  <si>
    <t>This model takes a citywide carbon inventory as inputs, and projects how emissions will change over the years</t>
  </si>
  <si>
    <t>Users can adjust different interrelated policy levers/secular trends and see how this affects emissions over time.</t>
  </si>
  <si>
    <t>The goals of this model are:</t>
  </si>
  <si>
    <t>1. Help users understand the city's emissions in context</t>
  </si>
  <si>
    <t>2. See the relative impact of different technologies/scenarios, and how these interrelate (e.g. Solar PV won't fix everything)</t>
  </si>
  <si>
    <t>3. Gather the views of the public on which scenarios they support or consider most likely</t>
  </si>
  <si>
    <t>4. Use this data to inform the subsequent development of a 'low carbon roadmap' for the city</t>
  </si>
  <si>
    <t>Please direct any questions or comments to Adam.Jarvis@pncc.govt.nz</t>
  </si>
  <si>
    <t>How to update the model using data specific to your area</t>
  </si>
  <si>
    <t>Navigate to the Baseline Statistics &amp; Baseline Usage tabs</t>
  </si>
  <si>
    <t>Input cells are highlighted in peach</t>
  </si>
  <si>
    <t>Finally, update the peach cells in the Landuse a. Agriculture tab</t>
  </si>
  <si>
    <t>How to use the spreadsheet model</t>
  </si>
  <si>
    <t>Click across to the '4. Buildings' Sheet.</t>
  </si>
  <si>
    <t>You'll see a range of baseline data at the top, followed by a section that looks like this:</t>
  </si>
  <si>
    <t>Lighting and appliances</t>
  </si>
  <si>
    <t>Scenario</t>
  </si>
  <si>
    <t>LIVE</t>
  </si>
  <si>
    <t>No change</t>
  </si>
  <si>
    <t>All lighting upgraded to LED</t>
  </si>
  <si>
    <t>As B, but also with significant improvements to appliance efficiency</t>
  </si>
  <si>
    <t>All appliances achieve similar efficiency gains to lighting</t>
  </si>
  <si>
    <t>Source (scenario 1)</t>
  </si>
  <si>
    <t>Industry Electrical</t>
  </si>
  <si>
    <t>kwh</t>
  </si>
  <si>
    <t>Commercial Electrical</t>
  </si>
  <si>
    <t>Residential Electricity</t>
  </si>
  <si>
    <t>The section in green is the 'policy' that the user is asked to select a scenario for</t>
  </si>
  <si>
    <t>The section immediately below is the emission source data that the policy affects</t>
  </si>
  <si>
    <t>N.B. The above is only an example, and isn't intended to adjust live</t>
  </si>
  <si>
    <t>If you want to model a different scenario, just adjust the number highlighted in orange to match the scenario you're interested in</t>
  </si>
  <si>
    <t>Note that selections made in one policy will tend to affect how impactful another is</t>
  </si>
  <si>
    <t>e.g. More Active Transport will reduce the impact of electric vehicles, while more renewable electricity generation will increase their impact</t>
  </si>
  <si>
    <t>N.B. Due to the complex nature of the Heavy Vehicle Electrification Modelling, this policy is not currently able to be adjusted in the same matter as the rest.</t>
  </si>
  <si>
    <t>Finally, click the 'Results' tab to see a summary</t>
  </si>
  <si>
    <t>Tabs highlighted in peach are input data tabs</t>
  </si>
  <si>
    <t>Tabs highlighted in blue are 'under the hood' calculation tabs</t>
  </si>
  <si>
    <t>v0.71</t>
  </si>
  <si>
    <t>Patch notes created</t>
  </si>
  <si>
    <t>v0.8</t>
  </si>
  <si>
    <t>Updated:</t>
  </si>
  <si>
    <t>Buildings:</t>
  </si>
  <si>
    <t xml:space="preserve"> Space Heating, Heating electrification, Recycling.</t>
  </si>
  <si>
    <t>Energy a. Electricity Supply:</t>
  </si>
  <si>
    <t>Scenarios 2-4</t>
  </si>
  <si>
    <t>Transport:</t>
  </si>
  <si>
    <t>Light vehicle electrification: Diesel formula</t>
  </si>
  <si>
    <t>Landuse b. Housing Growth</t>
  </si>
  <si>
    <t>Deleted 'wastewater emissions' section (now covered in Buildings)</t>
  </si>
  <si>
    <t>Emissions Factors</t>
  </si>
  <si>
    <t>Jetfuel, Av Gas emissions factors now account for radiative forcing</t>
  </si>
  <si>
    <t>Landuse a. Agriculture</t>
  </si>
  <si>
    <t>Fixed fertilizer use formula errors</t>
  </si>
  <si>
    <t>Created to do list</t>
  </si>
  <si>
    <t>v0.81</t>
  </si>
  <si>
    <t>Created 'Results' sheet for emissions summary (in progress)</t>
  </si>
  <si>
    <t xml:space="preserve">v0.82 </t>
  </si>
  <si>
    <t>Landuse:</t>
  </si>
  <si>
    <t>Experimental Land Management Policy</t>
  </si>
  <si>
    <t>Fixed methane sum calculation error</t>
  </si>
  <si>
    <t>v0.83</t>
  </si>
  <si>
    <t>9/12/19 Nodero Meeting</t>
  </si>
  <si>
    <t>Updated</t>
  </si>
  <si>
    <t>Fixed AT/PT Scenario 1 formula</t>
  </si>
  <si>
    <t>Clarified Heavy Vehicle Fuel Proportion Input</t>
  </si>
  <si>
    <t>Added Heavy EV Additional Electricity Demand Formula</t>
  </si>
  <si>
    <t>Energy:</t>
  </si>
  <si>
    <t>Updated Additional Generation Transport (new) to account for above</t>
  </si>
  <si>
    <t>Updated Vehicle Fuel Efficiencies to include Electric Rail</t>
  </si>
  <si>
    <t>Fixed Heavy Vehicle Electrification 'Bus A' formula</t>
  </si>
  <si>
    <t>Updated Freight Mode Shift formulae &amp; scenario D</t>
  </si>
  <si>
    <t>v0.84</t>
  </si>
  <si>
    <t>Fixed Forestry Extent formula, policy levels</t>
  </si>
  <si>
    <t>Fixed LPG travel demand formula</t>
  </si>
  <si>
    <t>v0.85</t>
  </si>
  <si>
    <t>Fixed 2023-2043 policy levels</t>
  </si>
  <si>
    <t>Changed 'energy growth' output forumla to 'Energy Growth Factor' to allow direct input into chapter 4. Buildings</t>
  </si>
  <si>
    <t>v0.9</t>
  </si>
  <si>
    <t>Updated local/national electricity demand conversion formula</t>
  </si>
  <si>
    <t>Overhauled all building formulas to account for demand growth as a result of other policy chapters</t>
  </si>
  <si>
    <t xml:space="preserve"> -&gt; and improved modelling of process heat</t>
  </si>
  <si>
    <t>Industrial:</t>
  </si>
  <si>
    <t>Seperated out process/non-process growth factor to support above</t>
  </si>
  <si>
    <t>Added solar rootops &amp; PV/Hotwater policies and formula</t>
  </si>
  <si>
    <t>v0.91</t>
  </si>
  <si>
    <t>Baseline Statistics:</t>
  </si>
  <si>
    <t>Removed household size formula. Values are now 'hardcoded'.</t>
  </si>
  <si>
    <t>Renamed "2018 Household Number" to "Number of households"</t>
  </si>
  <si>
    <t>v0.92</t>
  </si>
  <si>
    <t>Fixed heating electrification formula to only affect gas/coal heating proportion of energy use</t>
  </si>
  <si>
    <t>Developed formula to account for Solar Hotwater offset (from 5. Energy), and updated Energy Demand formula to include this</t>
  </si>
  <si>
    <t>v0.93</t>
  </si>
  <si>
    <t>Completed Solar PV/Hotwater policies</t>
  </si>
  <si>
    <t>Updated solar generation formula, referencing 5. Energy 'Implied National Generation' figures</t>
  </si>
  <si>
    <t>All.</t>
  </si>
  <si>
    <t>All policy placeholder values are now highlighted yellow</t>
  </si>
  <si>
    <t>v0.94</t>
  </si>
  <si>
    <t>Fixed space heating demand formulas</t>
  </si>
  <si>
    <t>Cleaned up some testing artifacts that weren't contributing to anything</t>
  </si>
  <si>
    <t>Completed 'Large Scale PV' policy</t>
  </si>
  <si>
    <t>Split commercial/industrial from residential electricity in final sum 'Energy Demand'</t>
  </si>
  <si>
    <t>Added 'final' demand figures, including offset from solar PV</t>
  </si>
  <si>
    <t>Further tweaked solar generation formula to include large scale PV generation</t>
  </si>
  <si>
    <t>N.B. Only Scenario 1 is 'fully operational'</t>
  </si>
  <si>
    <t>Renamed "Industrial Process Emissions" to "Industrial Process Energy" and added units</t>
  </si>
  <si>
    <t>Added comments to all policy placeholder values with final value</t>
  </si>
  <si>
    <t>v0.95</t>
  </si>
  <si>
    <t>Removed 'wood' electricity generation entirely (only used for offsetting heat demand in NZ, not electricity generation)</t>
  </si>
  <si>
    <t>Tweaked Transmision Loss/% Losses formulae for better clarity</t>
  </si>
  <si>
    <t>v0.96</t>
  </si>
  <si>
    <t>Added biomass policy formula</t>
  </si>
  <si>
    <t>Adjusted Post-landuse &amp; industry Projections (Scenario 1) Heavy Vehicle Diesel formula to account for diesel used transporting wood chips</t>
  </si>
  <si>
    <t>Added Biomass Heating Offset summary, and adjusted final energy demand figures to account for biomass offset</t>
  </si>
  <si>
    <t>v0.97</t>
  </si>
  <si>
    <t>Added biofuel policy</t>
  </si>
  <si>
    <t>Reordered policies to group forestry related policies sequentially</t>
  </si>
  <si>
    <t>v0.98</t>
  </si>
  <si>
    <t>Welcome:</t>
  </si>
  <si>
    <t>Added welcome sheet to introduce testers to model</t>
  </si>
  <si>
    <t>Added explanatory notes to all policy levels</t>
  </si>
  <si>
    <t>v0.99</t>
  </si>
  <si>
    <t>Results:</t>
  </si>
  <si>
    <t>Collated final emission source results</t>
  </si>
  <si>
    <t>Adjusted Post-landuse &amp; industry Projections (Scenario 1) Diesel and Jet Kerosene formulae to account for Industrial  Policies</t>
  </si>
  <si>
    <t>Fixed exotic extent formula</t>
  </si>
  <si>
    <t>v1.00</t>
  </si>
  <si>
    <t>Added sliders to allow users to easily switch between policies</t>
  </si>
  <si>
    <t>-&gt; To allow sliders to work properly, all policy level are now 1-4. Added comment 'Alpha' for those still intended to be A-D in the final</t>
  </si>
  <si>
    <t>Removed all policy placeholder test values</t>
  </si>
  <si>
    <t>Overhauled Landuse b. &amp; Energy a. to use 'LIVE' figures rather than map each scenario seperately</t>
  </si>
  <si>
    <t>Added graph 'Emissions by Sector'</t>
  </si>
  <si>
    <t>Fixed electricity demand formulae to correctly link through to actual demand</t>
  </si>
  <si>
    <t>Split commercial &amp; industrial from commercial/industrial electricity in final sum 'Energy Demand' (Buildings), Energy, and Results</t>
  </si>
  <si>
    <t>v1.01</t>
  </si>
  <si>
    <t>Removed '(Scenario 1)' text from result tables, and renamed a number of tables</t>
  </si>
  <si>
    <t>Adjusted housing type policy percentages</t>
  </si>
  <si>
    <t>Adjusted innoculation formulae to allow users to select scenario 4</t>
  </si>
  <si>
    <t>Adjusted sequestration formulae to allow users to select scenario 4</t>
  </si>
  <si>
    <t>Added note that Heavy Vehicle Electrification cannot currently be adjusted (also noted on welcome page)</t>
  </si>
  <si>
    <t>v1.03</t>
  </si>
  <si>
    <t>Section now only details live scenario (set by user in 1. Landuse). Updated references through workbook accordingly.</t>
  </si>
  <si>
    <t>Fixed lighting and appliance formula</t>
  </si>
  <si>
    <t>Included Stationary Liquid Fuels (Petrol, Diesel, LPG). Previously only accounted for in 2. Industry.</t>
  </si>
  <si>
    <t>Adjusted light EV, heavy EV, and vehicle fuel efficiency formulae to include off-road petrol and diesel</t>
  </si>
  <si>
    <t>Overhauled Heavy Vehicle Electrification to allow users to select scenarios</t>
  </si>
  <si>
    <t>Fixed Forestry Growth scenario 3 policy levels</t>
  </si>
  <si>
    <t>Adjusted biofuel formulae to include off-road diesel/petrol</t>
  </si>
  <si>
    <t>v1.04</t>
  </si>
  <si>
    <t>Freight mode shift formula updated to no longer affects Jet Kerosene</t>
  </si>
  <si>
    <t>Fixed AT/Public Transport formula to properly account for changes to earlier Freight Mode shift policy</t>
  </si>
  <si>
    <t>Updated lighting and appliance formula to additionally affect residential refridgeration</t>
  </si>
  <si>
    <t>Updated space heating demand formula to properly account for changing space heating demand proportion (because as lighting+appliances proportion falls, space heating rises)</t>
  </si>
  <si>
    <t>Fixed space heating demand formula to properly link through post-lighting and appliance values</t>
  </si>
  <si>
    <t>v1.05</t>
  </si>
  <si>
    <t>Fixed stationary diesel/petrol cell references</t>
  </si>
  <si>
    <t>Industry/Buildings:</t>
  </si>
  <si>
    <t>Overhauled treatment of Stationary Liquid Fuels, such that only the fraction used for industrial processes is affected by that policy, and only the fraction used for heating is affected by the relevant building policies</t>
  </si>
  <si>
    <t>Removed placeholder policies</t>
  </si>
  <si>
    <t>Fixed formula in cell X22</t>
  </si>
  <si>
    <t>Industry:</t>
  </si>
  <si>
    <t>Adjusted Industrial Growth policy levels. All policies in model now follow consistent format of (broadly speaking) 'similar to today -&gt; less similar'</t>
  </si>
  <si>
    <t>Tidied up a few typos and ephemera</t>
  </si>
  <si>
    <t>v1.06</t>
  </si>
  <si>
    <t>Fixed formula in cell I196</t>
  </si>
  <si>
    <t>Fixed policy level in cell I188</t>
  </si>
  <si>
    <t>Fixed additional electricity demand formula (heavy vehicles row 225) to reference fuel cells ('Baseline Statistics'!$D34) for heavy freight diesel conversion</t>
  </si>
  <si>
    <t>v1.07</t>
  </si>
  <si>
    <t>Updated formulae in cells G191 &amp; H191 to be clearer</t>
  </si>
  <si>
    <t>Results 2:</t>
  </si>
  <si>
    <t>Derived floor, default, and maximum carbon values for each chapter. Sum of these values significantly greater than maximum citywide carbon.</t>
  </si>
  <si>
    <t>Updated cells L10:12 to allocate all non-transport electricity emissions to the energy chapter</t>
  </si>
  <si>
    <t>Fixed typo in cells L22:23</t>
  </si>
  <si>
    <t>v1.08</t>
  </si>
  <si>
    <t>Minmax Values:</t>
  </si>
  <si>
    <t>Calculated chapter/city view maximum</t>
  </si>
  <si>
    <t>Adjusted forestry growth scenario 2 &amp; 3 values (Cells D36-I37)</t>
  </si>
  <si>
    <t>v1.10</t>
  </si>
  <si>
    <t>Slightly reduced scenario 4 values to max out at a more plausible 600% growth (Cells C38:I38)</t>
  </si>
  <si>
    <t>Adjusted active transport to also account for assumed increased distance/trip as mode share grows. (Cells C121:I122)</t>
  </si>
  <si>
    <t>v1.11</t>
  </si>
  <si>
    <t>Year references</t>
  </si>
  <si>
    <t>linked all references to years across all sheets to table on 'Baseline Statistics' (cells Q3:W3)</t>
  </si>
  <si>
    <t>Targets</t>
  </si>
  <si>
    <t xml:space="preserve">Added a targets section to 'Baseline Statistics' sheet and linked to results page. Includes ability to set gross, net and split gas targets. Driven by % reductions from baseyear. </t>
  </si>
  <si>
    <t>Results</t>
  </si>
  <si>
    <t>Added target series and overall results sum of net/gross results to results graph</t>
  </si>
  <si>
    <t>v2</t>
  </si>
  <si>
    <t>All years cells are now linked through to the user-input years in the 'Baseline Statistics' tab, which has been shifted slightly to align with the rest of the data</t>
  </si>
  <si>
    <t>Input Consolidation</t>
  </si>
  <si>
    <t>Consolidated the positions of most major inputs into Baseline Statistics/Usage tabs, to allow easier customisation</t>
  </si>
  <si>
    <t>Naming</t>
  </si>
  <si>
    <t>Removed references to 'Palmy', 'Palmerston North', 'PNCC', etc. Tidied up variable names to be more consistent.</t>
  </si>
  <si>
    <t>Protection</t>
  </si>
  <si>
    <t>Protected model structure pending licence agreement</t>
  </si>
  <si>
    <t>Electrical Supply</t>
  </si>
  <si>
    <t>Prevented some generation figures from returning (small) negative numbers under extreme scenarios</t>
  </si>
  <si>
    <t>Transport</t>
  </si>
  <si>
    <t>Overhauled transport model to allow for vehicle efficiencies to change over time</t>
  </si>
  <si>
    <t>Beware of the interactions of the above, and the 'Vehicle Fuel Efficiencies' scenario. You should use one or the other.</t>
  </si>
  <si>
    <t>Source</t>
  </si>
  <si>
    <t>Emission Source Type</t>
  </si>
  <si>
    <t>Unit</t>
  </si>
  <si>
    <t>Chapter Category</t>
  </si>
  <si>
    <t>Sector Category</t>
  </si>
  <si>
    <t>Source Category</t>
  </si>
  <si>
    <t>Emissions</t>
  </si>
  <si>
    <t>WW Total</t>
  </si>
  <si>
    <t>Direct</t>
  </si>
  <si>
    <t>tCO2e</t>
  </si>
  <si>
    <t>Buildings</t>
  </si>
  <si>
    <t>Waste</t>
  </si>
  <si>
    <t>Wastewater</t>
  </si>
  <si>
    <t>Residual MSW</t>
  </si>
  <si>
    <t>Solid Waste</t>
  </si>
  <si>
    <t>tMSW</t>
  </si>
  <si>
    <t>Composting</t>
  </si>
  <si>
    <t>t</t>
  </si>
  <si>
    <t>Gas</t>
  </si>
  <si>
    <t>Natural Gas Total</t>
  </si>
  <si>
    <t>GJ</t>
  </si>
  <si>
    <t>Energy</t>
  </si>
  <si>
    <t>Natural Gas</t>
  </si>
  <si>
    <t>Coal</t>
  </si>
  <si>
    <t>buildings</t>
  </si>
  <si>
    <t>Stationary Diesel</t>
  </si>
  <si>
    <t>Diesel</t>
  </si>
  <si>
    <t>L</t>
  </si>
  <si>
    <t>Industry</t>
  </si>
  <si>
    <t>Stationary Petrol</t>
  </si>
  <si>
    <t>Petrol</t>
  </si>
  <si>
    <t>industry</t>
  </si>
  <si>
    <t>Stationary LPG</t>
  </si>
  <si>
    <t>LPG</t>
  </si>
  <si>
    <t>Industrial Electricity</t>
  </si>
  <si>
    <t>Electricity</t>
  </si>
  <si>
    <t>Commercial Electricity</t>
  </si>
  <si>
    <t>energy</t>
  </si>
  <si>
    <t>Transport Electricity</t>
  </si>
  <si>
    <t>Jet Kerosene</t>
  </si>
  <si>
    <t>Air Travel</t>
  </si>
  <si>
    <t>Jet Fuel</t>
  </si>
  <si>
    <t>Av Gas</t>
  </si>
  <si>
    <t>Aviation Gas</t>
  </si>
  <si>
    <t>transport</t>
  </si>
  <si>
    <t>Bioethanol</t>
  </si>
  <si>
    <t>Biofuels</t>
  </si>
  <si>
    <t>Biodiesel</t>
  </si>
  <si>
    <t>Light Fuel Oil (Marine)</t>
  </si>
  <si>
    <t>Marine</t>
  </si>
  <si>
    <t>Fuel Oil</t>
  </si>
  <si>
    <t>Light Marine</t>
  </si>
  <si>
    <t>Heavy Fuel Oil (Marine)</t>
  </si>
  <si>
    <t>Heavy Marine</t>
  </si>
  <si>
    <t>Industrial Processes</t>
  </si>
  <si>
    <t>Enteric Fermentation</t>
  </si>
  <si>
    <t>Methane</t>
  </si>
  <si>
    <t>tCH4</t>
  </si>
  <si>
    <t>Landuse</t>
  </si>
  <si>
    <t>Nitrous Oxide</t>
  </si>
  <si>
    <t>tN2O</t>
  </si>
  <si>
    <t>Nitrous Oxide Emissions</t>
  </si>
  <si>
    <t>Native Extent</t>
  </si>
  <si>
    <t>Native Regen</t>
  </si>
  <si>
    <t>ha</t>
  </si>
  <si>
    <t>Sequestration</t>
  </si>
  <si>
    <t>Exotic Extent</t>
  </si>
  <si>
    <t>Exotic Commercial</t>
  </si>
  <si>
    <t>Soil Sequestration</t>
  </si>
  <si>
    <t>Gross Emissions</t>
  </si>
  <si>
    <t>Net Emissions</t>
  </si>
  <si>
    <t>Emissions by Sector</t>
  </si>
  <si>
    <t>2050 % Gross</t>
  </si>
  <si>
    <t>N/A</t>
  </si>
  <si>
    <t>Emissions by Source</t>
  </si>
  <si>
    <t>Type</t>
  </si>
  <si>
    <t>High</t>
  </si>
  <si>
    <t>Medium</t>
  </si>
  <si>
    <t>Housing Growth</t>
  </si>
  <si>
    <t>Low</t>
  </si>
  <si>
    <t>Housing Type</t>
  </si>
  <si>
    <t>Greenfield Detached</t>
  </si>
  <si>
    <t>Infill Detached</t>
  </si>
  <si>
    <t>Rural Lifestyle</t>
  </si>
  <si>
    <t>Medium/High Density</t>
  </si>
  <si>
    <t>Status quo</t>
  </si>
  <si>
    <t>Declining greenfield capacity results in increased medium density</t>
  </si>
  <si>
    <t>Declining infill capacity, less greenfield and lifestyle with majority of urban growth medium/high density</t>
  </si>
  <si>
    <t>See Landuse b. Housing Growth for results</t>
  </si>
  <si>
    <t>Forestry Extent</t>
  </si>
  <si>
    <t>Forestry Growth</t>
  </si>
  <si>
    <t>Modest growth</t>
  </si>
  <si>
    <t>Significant expansion of forestry</t>
  </si>
  <si>
    <t>Extreme scenario: Hill country almost entirely forestry</t>
  </si>
  <si>
    <t>Forestry</t>
  </si>
  <si>
    <t>Total Forestry</t>
  </si>
  <si>
    <t>Change in total extent</t>
  </si>
  <si>
    <t>Native/Exotic Foresty (New Forests)</t>
  </si>
  <si>
    <t>100% Exotic</t>
  </si>
  <si>
    <t>80/20 Exotic/Native (Some biodiversity plantings, but majority commercial forestry)</t>
  </si>
  <si>
    <t>50/50</t>
  </si>
  <si>
    <t>100% Native</t>
  </si>
  <si>
    <t>Biomass (heating)</t>
  </si>
  <si>
    <t>Using commercial forestry byproducts (wood chips) for heating</t>
  </si>
  <si>
    <t>Assuming wood chip boilers unlikely to replace electrified heat pumps etc., or small scale gas heaters</t>
  </si>
  <si>
    <t>Residual wood left on-site to rot</t>
  </si>
  <si>
    <t>Easily accessable good quality</t>
  </si>
  <si>
    <t>Half</t>
  </si>
  <si>
    <t>All available residuals used for heating, exporting excess</t>
  </si>
  <si>
    <t>Biomass Offset</t>
  </si>
  <si>
    <t>Biomass</t>
  </si>
  <si>
    <t>Heat Generation</t>
  </si>
  <si>
    <t>Where does this go?</t>
  </si>
  <si>
    <t>Additional Diesel (trucking)</t>
  </si>
  <si>
    <t>Chipping Energy Use Factor</t>
  </si>
  <si>
    <t>%</t>
  </si>
  <si>
    <t>Chipper Electricity</t>
  </si>
  <si>
    <t>kWh</t>
  </si>
  <si>
    <t>Conversion Factor</t>
  </si>
  <si>
    <t>kWh/GJ</t>
  </si>
  <si>
    <t>Experimental Land Management Practices</t>
  </si>
  <si>
    <t>None</t>
  </si>
  <si>
    <t>Methane Innoculation</t>
  </si>
  <si>
    <t>both</t>
  </si>
  <si>
    <t>Both B &amp; C</t>
  </si>
  <si>
    <t>See Landuse a. Agriculture for results</t>
  </si>
  <si>
    <t>Source (solvents etc.)</t>
  </si>
  <si>
    <t>Source (transport)</t>
  </si>
  <si>
    <t>Source (stationary energy)</t>
  </si>
  <si>
    <t>Refrigerants</t>
  </si>
  <si>
    <r>
      <t>t CO</t>
    </r>
    <r>
      <rPr>
        <vertAlign val="subscript"/>
        <sz val="10"/>
        <color theme="1"/>
        <rFont val="Arial"/>
        <family val="2"/>
      </rPr>
      <t>2</t>
    </r>
    <r>
      <rPr>
        <sz val="10"/>
        <color theme="1"/>
        <rFont val="Arial"/>
        <family val="2"/>
      </rPr>
      <t>e</t>
    </r>
  </si>
  <si>
    <t>Heavy Petrol</t>
  </si>
  <si>
    <t>Process Electricity</t>
  </si>
  <si>
    <t>Foam Blowing</t>
  </si>
  <si>
    <t>Heavy Diesel</t>
  </si>
  <si>
    <t>Process Gas</t>
  </si>
  <si>
    <t>Fire extinguishers</t>
  </si>
  <si>
    <t>Rail Diesel</t>
  </si>
  <si>
    <t>Process Coal</t>
  </si>
  <si>
    <t>Aerosols &amp; MDI*</t>
  </si>
  <si>
    <t>Rail Electricity</t>
  </si>
  <si>
    <r>
      <t>SF</t>
    </r>
    <r>
      <rPr>
        <vertAlign val="subscript"/>
        <sz val="10"/>
        <rFont val="Arial"/>
        <family val="2"/>
      </rPr>
      <t>6</t>
    </r>
  </si>
  <si>
    <t>Total</t>
  </si>
  <si>
    <r>
      <t>t CO</t>
    </r>
    <r>
      <rPr>
        <b/>
        <vertAlign val="subscript"/>
        <sz val="10"/>
        <color theme="1"/>
        <rFont val="Arial"/>
        <family val="2"/>
      </rPr>
      <t>2</t>
    </r>
    <r>
      <rPr>
        <b/>
        <sz val="10"/>
        <color theme="1"/>
        <rFont val="Arial"/>
        <family val="2"/>
      </rPr>
      <t>e</t>
    </r>
  </si>
  <si>
    <t>Local/Transit Freight Proportion</t>
  </si>
  <si>
    <t>t/t</t>
  </si>
  <si>
    <t>Industry Growth</t>
  </si>
  <si>
    <t>Not including forestry, primary agriculture</t>
  </si>
  <si>
    <t>Per capita decline, economic shift away from industry towards commercial, knowledge, etc.</t>
  </si>
  <si>
    <t>Current growth rate (+1.5%pa)</t>
  </si>
  <si>
    <t>In line with current national GDP growth (+3%pa)</t>
  </si>
  <si>
    <t>High growth scenario, (+4%pa)</t>
  </si>
  <si>
    <t>Emission Source</t>
  </si>
  <si>
    <t>Solvents etc.</t>
  </si>
  <si>
    <t>i.e. energy required to produce goods</t>
  </si>
  <si>
    <t>Industrial Process Efficiency Improvements</t>
  </si>
  <si>
    <t>Minor efficiency improvements</t>
  </si>
  <si>
    <t>+ Significant programme including reduce refrigerant leaks and minimise aerosol usage</t>
  </si>
  <si>
    <t>+ Major efficiency improvements. Goods significantly less energy intensive to produce</t>
  </si>
  <si>
    <t>Industrial Growth Factor</t>
  </si>
  <si>
    <t>Non-Process</t>
  </si>
  <si>
    <t>Process</t>
  </si>
  <si>
    <t>Logistics Growth</t>
  </si>
  <si>
    <t>Slight Decline</t>
  </si>
  <si>
    <t>Modest increase</t>
  </si>
  <si>
    <t>Doubling of freight volume</t>
  </si>
  <si>
    <t>Palmy becomes primary freight hub of Lower North Island</t>
  </si>
  <si>
    <t>Population Growth</t>
  </si>
  <si>
    <t>Proportion of baseline</t>
  </si>
  <si>
    <t>Current levels (per capita decline)</t>
  </si>
  <si>
    <t xml:space="preserve"> </t>
  </si>
  <si>
    <t>Tourism Growth</t>
  </si>
  <si>
    <t>Modest Growth</t>
  </si>
  <si>
    <t>In line with national tourism growth</t>
  </si>
  <si>
    <t>Major tourism hotspot</t>
  </si>
  <si>
    <t>Tourist Growth</t>
  </si>
  <si>
    <t>Fuel Type (Baseline)</t>
  </si>
  <si>
    <t>Light vehicle petrol</t>
  </si>
  <si>
    <t>Light vehicle diesel</t>
  </si>
  <si>
    <t>Heavy vehicle petrol</t>
  </si>
  <si>
    <t>Heavy vehicle diesel</t>
  </si>
  <si>
    <t>Bus diesel</t>
  </si>
  <si>
    <t>Off-road diesel</t>
  </si>
  <si>
    <t>Off-road petrol</t>
  </si>
  <si>
    <t>Road Vehicle Distance Traveled</t>
  </si>
  <si>
    <t>vkt</t>
  </si>
  <si>
    <t>Agriculture Projections</t>
  </si>
  <si>
    <t>Industry Projections</t>
  </si>
  <si>
    <t>Population Projections</t>
  </si>
  <si>
    <t>Sum Projections</t>
  </si>
  <si>
    <t>Travel Demand</t>
  </si>
  <si>
    <t>Affects people transport, but not freight</t>
  </si>
  <si>
    <t>Current trend</t>
  </si>
  <si>
    <t>Modest decline e.g. more carpooling</t>
  </si>
  <si>
    <t xml:space="preserve">Significant decline e.g. carpooling, remote working normalised, </t>
  </si>
  <si>
    <t>Land Freight Mode Shift (relative to 2018)</t>
  </si>
  <si>
    <t>Proportions unchanged</t>
  </si>
  <si>
    <t>Almost all long distance goods by rail</t>
  </si>
  <si>
    <t>As with C, but with completely electrified rail</t>
  </si>
  <si>
    <t>Short/Long Road Proportion</t>
  </si>
  <si>
    <t>Diesel/Electric Rail Proportion</t>
  </si>
  <si>
    <t>% 'goods transported' by rail fuel type</t>
  </si>
  <si>
    <t>D/E Rail Proportion Scenario D</t>
  </si>
  <si>
    <t>As above, but with progressive electrification completed 2033</t>
  </si>
  <si>
    <t>Cycling Trip Share</t>
  </si>
  <si>
    <t>Including mention of e-bikes, scooters</t>
  </si>
  <si>
    <t>Doubling</t>
  </si>
  <si>
    <t>Historic norms</t>
  </si>
  <si>
    <t>Culture of biking</t>
  </si>
  <si>
    <t>Walking Trip Share</t>
  </si>
  <si>
    <t>Walking more popular, higher quality footpaths/road crossings</t>
  </si>
  <si>
    <t>Doubling; more destinations are within walking distance etc.</t>
  </si>
  <si>
    <t>Highly active city</t>
  </si>
  <si>
    <t>Active Distance Share</t>
  </si>
  <si>
    <t>Average distance/trip (all modes)</t>
  </si>
  <si>
    <t>Household travel survey data, retrieved May 2023</t>
  </si>
  <si>
    <t>Average distance/trip (cycling)</t>
  </si>
  <si>
    <t>Average distance/trip (ped)</t>
  </si>
  <si>
    <t>Cycling distance/trip ratio</t>
  </si>
  <si>
    <t>Walking distance/trip ratio</t>
  </si>
  <si>
    <t>Cycling</t>
  </si>
  <si>
    <t>Walking</t>
  </si>
  <si>
    <t>AT Total</t>
  </si>
  <si>
    <t>Public Transport Share</t>
  </si>
  <si>
    <t>Likely to require significant investment and system changes (e.g. self-driving door to door)</t>
  </si>
  <si>
    <t>Metro city</t>
  </si>
  <si>
    <t>Public Distance Share</t>
  </si>
  <si>
    <t>Average distance/trip (PT)</t>
  </si>
  <si>
    <t>PT distance/trip ratio</t>
  </si>
  <si>
    <t>PT Total</t>
  </si>
  <si>
    <t>Electrification of Light Vehicles</t>
  </si>
  <si>
    <t>Niche</t>
  </si>
  <si>
    <t>Some, but not most</t>
  </si>
  <si>
    <t>Petrol vehicles (not diesel)</t>
  </si>
  <si>
    <t>All light vehicles</t>
  </si>
  <si>
    <t>Additional Electricity Demand (kWh)</t>
  </si>
  <si>
    <t>Heavy Vehicle Fuel Proportions</t>
  </si>
  <si>
    <t>Light</t>
  </si>
  <si>
    <t>Feeds into J183</t>
  </si>
  <si>
    <t>Heavy</t>
  </si>
  <si>
    <t>Bus</t>
  </si>
  <si>
    <t>Heavy Vehicle (inc busses) Electrification</t>
  </si>
  <si>
    <t>(PT) Scenario 1</t>
  </si>
  <si>
    <t>Live</t>
  </si>
  <si>
    <t>Heavy electrics remain uneconomic outside of highly specialised applications</t>
  </si>
  <si>
    <t>All busses, garbage trucks, and other niche applications</t>
  </si>
  <si>
    <t>Estimated limit of electrification using current battery technology (short ranged freight)</t>
  </si>
  <si>
    <t>Requiring Hydrogen Fuel cells or significant advances in battery technology</t>
  </si>
  <si>
    <t>% of mode/fuel type electrified relative to 2018</t>
  </si>
  <si>
    <t>Bus Live</t>
  </si>
  <si>
    <t>Heavy Petrol Live</t>
  </si>
  <si>
    <t>Heavy Diesel Live</t>
  </si>
  <si>
    <t>Bus Diesel</t>
  </si>
  <si>
    <t>Vehicle Fuel Efficiencies</t>
  </si>
  <si>
    <t>Modest improvements</t>
  </si>
  <si>
    <t>Extreme scenario</t>
  </si>
  <si>
    <t>Summary Results</t>
  </si>
  <si>
    <t>Electricity (new)</t>
  </si>
  <si>
    <t>Marine Efficiencies</t>
  </si>
  <si>
    <t>Category</t>
  </si>
  <si>
    <t>Electricity Demand</t>
  </si>
  <si>
    <t>Non-rail</t>
  </si>
  <si>
    <t>Natural Gas Consumption</t>
  </si>
  <si>
    <t>Solid Waste Production</t>
  </si>
  <si>
    <t>pp</t>
  </si>
  <si>
    <t>kgMSW/p/yr</t>
  </si>
  <si>
    <t>Rail</t>
  </si>
  <si>
    <t>total</t>
  </si>
  <si>
    <t>kgMSW</t>
  </si>
  <si>
    <t>Commercial</t>
  </si>
  <si>
    <t>Residential</t>
  </si>
  <si>
    <t>Urban</t>
  </si>
  <si>
    <t>Coal Consumption</t>
  </si>
  <si>
    <t>Rural</t>
  </si>
  <si>
    <t>Urban pp</t>
  </si>
  <si>
    <t>Rural pp</t>
  </si>
  <si>
    <t>Total Building Energy Demand</t>
  </si>
  <si>
    <t>Baseline Growth Factor</t>
  </si>
  <si>
    <t>Industry Non-Process</t>
  </si>
  <si>
    <t>Initial Electricity Demand</t>
  </si>
  <si>
    <t>Heating Energy Use</t>
  </si>
  <si>
    <t>Use</t>
  </si>
  <si>
    <t>% of source</t>
  </si>
  <si>
    <t>% of heating</t>
  </si>
  <si>
    <t>% Nat gas/coal</t>
  </si>
  <si>
    <t>Electrical</t>
  </si>
  <si>
    <t>Nat Gas</t>
  </si>
  <si>
    <t>Industrial Process Energy</t>
  </si>
  <si>
    <t>Emissions Source</t>
  </si>
  <si>
    <t>Space Heating Proportion</t>
  </si>
  <si>
    <t>Stationary Liquid Fuels</t>
  </si>
  <si>
    <t>Space Heating Demand</t>
  </si>
  <si>
    <t>i.e. better insulation, more efficient heaters, sustainable wood burners</t>
  </si>
  <si>
    <t>Space Heating</t>
  </si>
  <si>
    <t>Water Heating</t>
  </si>
  <si>
    <t>Heating Sum</t>
  </si>
  <si>
    <t>Lifting current housing stock to minimum standards</t>
  </si>
  <si>
    <t>Else</t>
  </si>
  <si>
    <t>Widespread adoption of higher insulation standards/design</t>
  </si>
  <si>
    <t>Estimated maximum</t>
  </si>
  <si>
    <t>Residential Electrical</t>
  </si>
  <si>
    <t>Industry Gas</t>
  </si>
  <si>
    <t>Commercial Gas</t>
  </si>
  <si>
    <t>Residential Gas</t>
  </si>
  <si>
    <t>Industry Coal</t>
  </si>
  <si>
    <t>Commercial Coal</t>
  </si>
  <si>
    <t>Residential Coal</t>
  </si>
  <si>
    <t>Heating electrification</t>
  </si>
  <si>
    <t>Extrapolation of current trend towards heat pumps</t>
  </si>
  <si>
    <t>Majority of heating electrified</t>
  </si>
  <si>
    <t>All heating electrified</t>
  </si>
  <si>
    <t>Heatpump Efficiency Factor</t>
  </si>
  <si>
    <t>Flued Gas Efficiency Factor</t>
  </si>
  <si>
    <t>Coal Fireplace Efficiency Factor</t>
  </si>
  <si>
    <t>Electric vs Coal/Gas/Liquid Fuels Process Heat Efficiency Factor</t>
  </si>
  <si>
    <t>Residential Hot Water Initial</t>
  </si>
  <si>
    <t>Electrified Residential Hot Water</t>
  </si>
  <si>
    <t>Solar Hotwater Offset</t>
  </si>
  <si>
    <t>Biomass Heating Offset</t>
  </si>
  <si>
    <t>Offset</t>
  </si>
  <si>
    <t>Gas Offset</t>
  </si>
  <si>
    <t>Assumes wood chip offsets coal first</t>
  </si>
  <si>
    <t>Energy Demand</t>
  </si>
  <si>
    <t>Offset Industrial Electricity</t>
  </si>
  <si>
    <t>Offset Commercial Electricity</t>
  </si>
  <si>
    <t>Offset Residential</t>
  </si>
  <si>
    <t>Waste Production</t>
  </si>
  <si>
    <t>Per capita waste volumes rise slightly as internet shopping proliferates (typically more packaging than store bought)</t>
  </si>
  <si>
    <t>Modest reduction</t>
  </si>
  <si>
    <t>Major changes to supply chains, packaging norms, consumption rates etc.</t>
  </si>
  <si>
    <t>Municipal Solid Waste pp</t>
  </si>
  <si>
    <t>kgMSW/p</t>
  </si>
  <si>
    <t>MSW total</t>
  </si>
  <si>
    <t>Wastewater Urban New</t>
  </si>
  <si>
    <t>Wastewater Rural New</t>
  </si>
  <si>
    <t>Recycling</t>
  </si>
  <si>
    <t>Recycling markets in China etc. closing</t>
  </si>
  <si>
    <t>As is.</t>
  </si>
  <si>
    <t>Half.</t>
  </si>
  <si>
    <t>All currently divertable waste, plus some upstream shift towards recyclable packaging etc.</t>
  </si>
  <si>
    <t>Inorganic</t>
  </si>
  <si>
    <t>tInorganic</t>
  </si>
  <si>
    <t>Diverted</t>
  </si>
  <si>
    <t>tRecycling</t>
  </si>
  <si>
    <t>Greenwaste Diversion</t>
  </si>
  <si>
    <t>% of current total greenwaste to landfill now diverted</t>
  </si>
  <si>
    <t>Organic</t>
  </si>
  <si>
    <t>Compost</t>
  </si>
  <si>
    <t>National Grid Renewable %</t>
  </si>
  <si>
    <t>Modest rise as older non-renewable generation plants are replaced with wind/geothermal</t>
  </si>
  <si>
    <t>Current max, retaining some on-demand non-renewable generation to provide electricity during periods of peak demand, drought etc.</t>
  </si>
  <si>
    <t>All electricity generation renewable. Significant infrastructure changes and technological advancement required.</t>
  </si>
  <si>
    <t>GWh</t>
  </si>
  <si>
    <t>Transport (new)</t>
  </si>
  <si>
    <t>Implied National Electricity Demand</t>
  </si>
  <si>
    <t>Assumes that whatever changes happen locally are also reflected nationally</t>
  </si>
  <si>
    <t>Final Electricity Emissions</t>
  </si>
  <si>
    <t>Solar Rooftops</t>
  </si>
  <si>
    <t>Percent of homes</t>
  </si>
  <si>
    <t>Solar remains relatively niche</t>
  </si>
  <si>
    <t>Solar installations much more common as cost of solar PV continues to fall</t>
  </si>
  <si>
    <t>Solar cost falls to a point where solar rooftop is highly cost-effective for most households</t>
  </si>
  <si>
    <t>All available north-facing roof area devoted</t>
  </si>
  <si>
    <t>Additional Generation</t>
  </si>
  <si>
    <t>Residential Installations</t>
  </si>
  <si>
    <t>Solar PV vs Solar Hotwater</t>
  </si>
  <si>
    <t>% of new installations</t>
  </si>
  <si>
    <t>All new instalations PV</t>
  </si>
  <si>
    <t>3 to 1</t>
  </si>
  <si>
    <t>All new installations hot water</t>
  </si>
  <si>
    <t>Generation</t>
  </si>
  <si>
    <t># new PV installations</t>
  </si>
  <si>
    <t># new Hotwater</t>
  </si>
  <si>
    <t>New PV Capacity</t>
  </si>
  <si>
    <t>kW</t>
  </si>
  <si>
    <t>KWh</t>
  </si>
  <si>
    <t>Light EVs</t>
  </si>
  <si>
    <t>To grid</t>
  </si>
  <si>
    <t>Implied National</t>
  </si>
  <si>
    <t>Hotwater Offset Proportion</t>
  </si>
  <si>
    <t>New Large Scale PV</t>
  </si>
  <si>
    <t>Commercial/Industrial % available roof area</t>
  </si>
  <si>
    <t>10 new PNCC 100kW arrays</t>
  </si>
  <si>
    <t>200 new</t>
  </si>
  <si>
    <t>400 new</t>
  </si>
  <si>
    <t>4000 new</t>
  </si>
  <si>
    <t>Available roof area</t>
  </si>
  <si>
    <t>m2</t>
  </si>
  <si>
    <t>New Area used</t>
  </si>
  <si>
    <t>New PV capacity</t>
  </si>
  <si>
    <t>Industrial Demand</t>
  </si>
  <si>
    <t>Commercial Demand</t>
  </si>
  <si>
    <t>Offset Industrial Demand</t>
  </si>
  <si>
    <t>Offset Commercial Demand</t>
  </si>
  <si>
    <t>To grid local</t>
  </si>
  <si>
    <t>Implied National (Large Scale)</t>
  </si>
  <si>
    <t>Total National Solar</t>
  </si>
  <si>
    <t>All fuel sales at 5%</t>
  </si>
  <si>
    <t>Current practical limit (currently uneconomic)</t>
  </si>
  <si>
    <t>All liquid fuels use</t>
  </si>
  <si>
    <t>Pre-biofuel</t>
  </si>
  <si>
    <t>Post-biofuel</t>
  </si>
  <si>
    <t>Off-road Diesel</t>
  </si>
  <si>
    <t>Off-road Petrol</t>
  </si>
  <si>
    <t>This drives the years across all sheets and targets presented on the summary page</t>
  </si>
  <si>
    <t>Baseline year</t>
  </si>
  <si>
    <t>Increment Year 1</t>
  </si>
  <si>
    <t>Increment Year 2</t>
  </si>
  <si>
    <t>Increment Year 3</t>
  </si>
  <si>
    <t>Increment Year 4</t>
  </si>
  <si>
    <t>Increment Year 5</t>
  </si>
  <si>
    <t>Final Year</t>
  </si>
  <si>
    <t>Baseline years and targets</t>
  </si>
  <si>
    <t>Emission reduction target (net carbon) (% below baseline)</t>
  </si>
  <si>
    <t>Emission reduction target (net carbon) (net t CO2e)</t>
  </si>
  <si>
    <t>Emission reduction target (gross carbon) (% below baseline)</t>
  </si>
  <si>
    <t>Emission reduction target (gross carbon) (gross t CO2e)</t>
  </si>
  <si>
    <t>Offsett required (t CO2e)</t>
  </si>
  <si>
    <t>Emissoin reduction target (methane - gross % reduction)</t>
  </si>
  <si>
    <t>Emission reduction target (methane t CO2e)</t>
  </si>
  <si>
    <t>Land Use data</t>
  </si>
  <si>
    <t>Landuse Demand Factors</t>
  </si>
  <si>
    <t>Prior Year Data (for establishing trends if required)</t>
  </si>
  <si>
    <t>1. Baseline Data/Indicators</t>
  </si>
  <si>
    <t>Population numbers</t>
  </si>
  <si>
    <t>2022 Infometrics hybrid projection (Stacey Bell) to 2034 then projected</t>
  </si>
  <si>
    <t>calculated at 4.8%</t>
  </si>
  <si>
    <t>Palmy Tourists</t>
  </si>
  <si>
    <t>Visitor-days</t>
  </si>
  <si>
    <t>Visitor-years</t>
  </si>
  <si>
    <t>Change in Tourist Numbers</t>
  </si>
  <si>
    <t>Effective Population</t>
  </si>
  <si>
    <t>Transport weighted Population</t>
  </si>
  <si>
    <t>Population Growth % (Scenario 1)</t>
  </si>
  <si>
    <t>Transport weighted 'Population'</t>
  </si>
  <si>
    <t>Number of households</t>
  </si>
  <si>
    <t>Average household size</t>
  </si>
  <si>
    <t>New Households</t>
  </si>
  <si>
    <t>Vehicles</t>
  </si>
  <si>
    <t>Light ICE petrol</t>
  </si>
  <si>
    <t>L/100km</t>
  </si>
  <si>
    <t>Light ICE diesel</t>
  </si>
  <si>
    <t>Heavy ICE petrol</t>
  </si>
  <si>
    <t>Heavy ICE diesel</t>
  </si>
  <si>
    <t>Bus ICE diesel</t>
  </si>
  <si>
    <t>Light EV</t>
  </si>
  <si>
    <t>kWh/100km</t>
  </si>
  <si>
    <t>'Medium' EV</t>
  </si>
  <si>
    <t>Heavy (Freight) EV</t>
  </si>
  <si>
    <t>Heavy Hydrogen Cell V</t>
  </si>
  <si>
    <t>Bus EV</t>
  </si>
  <si>
    <t>% Light Fleet km Petrol</t>
  </si>
  <si>
    <t>km/km</t>
  </si>
  <si>
    <t>% Light Fleet km Diesel</t>
  </si>
  <si>
    <t>Rail Diesel efficiency</t>
  </si>
  <si>
    <t>MJ/MJ</t>
  </si>
  <si>
    <t>Rail Electric</t>
  </si>
  <si>
    <t>Diesel Energy Content</t>
  </si>
  <si>
    <t>MJ/L</t>
  </si>
  <si>
    <t>MJ/kwh</t>
  </si>
  <si>
    <t>MJ/kWh</t>
  </si>
  <si>
    <t>Rail Electric/Diesel Ratio</t>
  </si>
  <si>
    <t>kWh/L</t>
  </si>
  <si>
    <t>Diesel Rail/Road Efficiency Ratio</t>
  </si>
  <si>
    <t>L/L</t>
  </si>
  <si>
    <t>Land Use</t>
  </si>
  <si>
    <t>Area (m2)</t>
  </si>
  <si>
    <t>% total</t>
  </si>
  <si>
    <t>PNCC Boundary</t>
  </si>
  <si>
    <t xml:space="preserve">   Palmerston North (Conurbation)</t>
  </si>
  <si>
    <t xml:space="preserve">   Ashhurst</t>
  </si>
  <si>
    <t xml:space="preserve">   Bunnythorpe</t>
  </si>
  <si>
    <t xml:space="preserve">   Longburn</t>
  </si>
  <si>
    <t xml:space="preserve">   Linton</t>
  </si>
  <si>
    <t>Urban Area</t>
  </si>
  <si>
    <t>Woodchips</t>
  </si>
  <si>
    <t>Net Energy Value</t>
  </si>
  <si>
    <t>GJ/t residue</t>
  </si>
  <si>
    <t>Residual wood available</t>
  </si>
  <si>
    <t>Forest Density</t>
  </si>
  <si>
    <t>stems/ha</t>
  </si>
  <si>
    <t>Wood volume</t>
  </si>
  <si>
    <t>m3/stem</t>
  </si>
  <si>
    <t>Wood mass</t>
  </si>
  <si>
    <t>t/m3</t>
  </si>
  <si>
    <t>Transport Truck Size</t>
  </si>
  <si>
    <t>t/truck</t>
  </si>
  <si>
    <t>Truck Fuel Efficiency</t>
  </si>
  <si>
    <t>L/km/truck</t>
  </si>
  <si>
    <t>Average distance from source</t>
  </si>
  <si>
    <t>km</t>
  </si>
  <si>
    <t>Baseline:Prior Year Population</t>
  </si>
  <si>
    <t>Other (non agriculture)</t>
  </si>
  <si>
    <t>Prior Year</t>
  </si>
  <si>
    <t>Reporting year</t>
  </si>
  <si>
    <t>Electricity Use by sector</t>
  </si>
  <si>
    <t>Industrial (incl. agri.)</t>
  </si>
  <si>
    <t>% Organics</t>
  </si>
  <si>
    <t>https://environment.govt.nz/facts-and-science/waste/estimates-of-waste-generated/</t>
  </si>
  <si>
    <t>Natural Gas by Sector</t>
  </si>
  <si>
    <t>Woodchip utilisation assumptions</t>
  </si>
  <si>
    <t>Local/Transiting Freight %</t>
  </si>
  <si>
    <t>Net energy value (GJ/t residue)</t>
  </si>
  <si>
    <t>EV (new)</t>
  </si>
  <si>
    <t>% of wood available for this purpose</t>
  </si>
  <si>
    <t>Average stems/ha</t>
  </si>
  <si>
    <t>Industrial Stationary Liquid Fuels by End Use</t>
  </si>
  <si>
    <t>Housing Growth Factors</t>
  </si>
  <si>
    <t>Light Fuel Oil</t>
  </si>
  <si>
    <t>Energy Effiency Factor</t>
  </si>
  <si>
    <t>Distance (km)</t>
  </si>
  <si>
    <t>Section Size (ha)</t>
  </si>
  <si>
    <t>Rural?</t>
  </si>
  <si>
    <t>Non-commuter factor</t>
  </si>
  <si>
    <t>Wastewater factor</t>
  </si>
  <si>
    <t>Transport of woodchips to city</t>
  </si>
  <si>
    <t>Heavy Fuel Oil</t>
  </si>
  <si>
    <t>Stationary Liquids by Sector</t>
  </si>
  <si>
    <t>t/logging truck</t>
  </si>
  <si>
    <t>Processing</t>
  </si>
  <si>
    <t>Check Sum</t>
  </si>
  <si>
    <t>Average km from forest to end use</t>
  </si>
  <si>
    <t>Industrial</t>
  </si>
  <si>
    <t>LPG by Sector</t>
  </si>
  <si>
    <t>Household Energy Use %</t>
  </si>
  <si>
    <t>End Use</t>
  </si>
  <si>
    <t>Refrigeration</t>
  </si>
  <si>
    <t>Electronics</t>
  </si>
  <si>
    <t>Lighting</t>
  </si>
  <si>
    <t>Cooking</t>
  </si>
  <si>
    <t>Clothes Drying</t>
  </si>
  <si>
    <t>Heating Total</t>
  </si>
  <si>
    <t>Commercial Energy Use %</t>
  </si>
  <si>
    <t>Nationwide Electricity</t>
  </si>
  <si>
    <t>Total Demand</t>
  </si>
  <si>
    <t>Electronics and Other Electrical Uses</t>
  </si>
  <si>
    <t>Total Solar Supply</t>
  </si>
  <si>
    <t>Intermediate Heat (100-300 C), Cooking</t>
  </si>
  <si>
    <t>Intermediate Heat (100-300 C), Process req</t>
  </si>
  <si>
    <t>Low Temperature Heat (&lt;100 C), Space Heating</t>
  </si>
  <si>
    <t>Solar Hotwater and Solar PV Baseline Statistics</t>
  </si>
  <si>
    <t>Low Temperature Heat (&lt;100 C), Water Heating</t>
  </si>
  <si>
    <t>Average Solar Generation Factor (kWh/kW/yr)</t>
  </si>
  <si>
    <t>Baseline Year Solar Installations</t>
  </si>
  <si>
    <t>Space Cooling</t>
  </si>
  <si>
    <t>Baseline Year Solar Capacity (kW)</t>
  </si>
  <si>
    <t>Motive Power, Stationary</t>
  </si>
  <si>
    <t>% households</t>
  </si>
  <si>
    <t>Pumping</t>
  </si>
  <si>
    <t>Average new PV power (kW)</t>
  </si>
  <si>
    <t>Solar Hotwater vs Solar PV Baseline Statistics</t>
  </si>
  <si>
    <t>Baseline Year PV Installations</t>
  </si>
  <si>
    <t>Baseline Power Rating/Installation (kW)</t>
  </si>
  <si>
    <t>Industrial Energy Use %</t>
  </si>
  <si>
    <t>Solar Hotwater Efficiency Factor</t>
  </si>
  <si>
    <t>'To grid' efficiency factor</t>
  </si>
  <si>
    <t>Residential Supply/Demand alignment factor</t>
  </si>
  <si>
    <t>Residential with EV Supply/Demand alignment factor</t>
  </si>
  <si>
    <t>Low Temperature Heat (&lt;100 C), Process req</t>
  </si>
  <si>
    <t>Large Scale Solar PV</t>
  </si>
  <si>
    <t>High Temeperature Heat (&gt;300 C), Process req</t>
  </si>
  <si>
    <t>W/panel</t>
  </si>
  <si>
    <t>m2/panel average (including maintenance tracks etc.)</t>
  </si>
  <si>
    <t>m2 estimated  commercial/industrial roof area available (not including area required for other uses)</t>
  </si>
  <si>
    <t>Commercial/Industrial Supply/Demand alignment factor</t>
  </si>
  <si>
    <t>Non-Process Total</t>
  </si>
  <si>
    <t>Process Total</t>
  </si>
  <si>
    <t>Greenhouse Gas Generation Rates</t>
  </si>
  <si>
    <t>Value</t>
  </si>
  <si>
    <t>CH4 Emissions</t>
  </si>
  <si>
    <t>N2O Emissions</t>
  </si>
  <si>
    <t>Notes</t>
  </si>
  <si>
    <t>Waste Management</t>
  </si>
  <si>
    <t>Land Area (ha)</t>
  </si>
  <si>
    <t>Dairy Cattle</t>
  </si>
  <si>
    <t>Sum housing - lifestyle</t>
  </si>
  <si>
    <t>kg CH4/head/yr</t>
  </si>
  <si>
    <t>kg CH4/yr</t>
  </si>
  <si>
    <t>kg N2O/yr</t>
  </si>
  <si>
    <t>Non-dairy Cattle</t>
  </si>
  <si>
    <t>Lifestyle/Forestry</t>
  </si>
  <si>
    <t>Sheep</t>
  </si>
  <si>
    <t>Horses</t>
  </si>
  <si>
    <t>Up with 1/5 lifestyle</t>
  </si>
  <si>
    <t>Deer</t>
  </si>
  <si>
    <t>Llamas/Alpacas</t>
  </si>
  <si>
    <t>Goats</t>
  </si>
  <si>
    <t>Up with 1/10 lifestyle</t>
  </si>
  <si>
    <t>% of Baseline</t>
  </si>
  <si>
    <t>EF (Manure)</t>
  </si>
  <si>
    <t>Soil</t>
  </si>
  <si>
    <t>Fert Direct</t>
  </si>
  <si>
    <t>Stock Numbers</t>
  </si>
  <si>
    <t># Animals</t>
  </si>
  <si>
    <t>Volatilisation</t>
  </si>
  <si>
    <t>Total N2O</t>
  </si>
  <si>
    <t>Nitrogen Excretion</t>
  </si>
  <si>
    <t>Total CH4</t>
  </si>
  <si>
    <t>kg N/head/yr</t>
  </si>
  <si>
    <t>Innoculation Factor</t>
  </si>
  <si>
    <t>kg CH4/kg CH4</t>
  </si>
  <si>
    <t>% N</t>
  </si>
  <si>
    <t>Reduction</t>
  </si>
  <si>
    <t>Fertiliser Use</t>
  </si>
  <si>
    <t>Urea</t>
  </si>
  <si>
    <t>Diammonium Phosphate</t>
  </si>
  <si>
    <t>Ammonium Sulphate</t>
  </si>
  <si>
    <t>Other N ferts</t>
  </si>
  <si>
    <t>Total N</t>
  </si>
  <si>
    <t>Livestock Waste Management System</t>
  </si>
  <si>
    <t>Farm Equipment (baseline)</t>
  </si>
  <si>
    <t>Anaerobic Lagoon</t>
  </si>
  <si>
    <t>Pasture &amp; Paddock</t>
  </si>
  <si>
    <t>Other</t>
  </si>
  <si>
    <t>Soil Sequestration (Scenario C,D)</t>
  </si>
  <si>
    <t>Baseline</t>
  </si>
  <si>
    <t>tC/ha</t>
  </si>
  <si>
    <t>CO2/C Conversion</t>
  </si>
  <si>
    <t>tCO2/tC</t>
  </si>
  <si>
    <t>Sequestration Factor</t>
  </si>
  <si>
    <t>/yr</t>
  </si>
  <si>
    <t>tCO2/yr</t>
  </si>
  <si>
    <t>N volatilisation %</t>
  </si>
  <si>
    <t>kg/kg</t>
  </si>
  <si>
    <t>Emission Factor</t>
  </si>
  <si>
    <t>kgN20/kgN</t>
  </si>
  <si>
    <t>Synthetic Fertilizers</t>
  </si>
  <si>
    <t>N20 Direct</t>
  </si>
  <si>
    <t>N20 volatilisation %</t>
  </si>
  <si>
    <t>kg NH3-N + NOx-N/kg N</t>
  </si>
  <si>
    <t>Total Houses</t>
  </si>
  <si>
    <t>Percentage of new dwellings</t>
  </si>
  <si>
    <t>Declining infil capacity, causing more greenfield growth</t>
  </si>
  <si>
    <t>Number of new dwellings</t>
  </si>
  <si>
    <t>Energy growth factor</t>
  </si>
  <si>
    <t>Weighted new houses</t>
  </si>
  <si>
    <t>Scenario Sum</t>
  </si>
  <si>
    <t>Household Energy Growth Factor</t>
  </si>
  <si>
    <t>Weighted Transport Demand Growth (weighted persons)</t>
  </si>
  <si>
    <t>Sum</t>
  </si>
  <si>
    <t>Rural Land Required (ha)</t>
  </si>
  <si>
    <t>Net Generation (GWh) (Supply)</t>
  </si>
  <si>
    <t>Renewable Portion</t>
  </si>
  <si>
    <t>Hydro</t>
  </si>
  <si>
    <t>Geothermal</t>
  </si>
  <si>
    <t>Biogas</t>
  </si>
  <si>
    <t>Wind</t>
  </si>
  <si>
    <t>Solar</t>
  </si>
  <si>
    <t>Hard coal</t>
  </si>
  <si>
    <t>Brown coal</t>
  </si>
  <si>
    <t>Fuel oil</t>
  </si>
  <si>
    <t>Other oil</t>
  </si>
  <si>
    <t>Renewable 'Remainder'</t>
  </si>
  <si>
    <t>CO2 (g/GJ)</t>
  </si>
  <si>
    <t>Oil</t>
  </si>
  <si>
    <t>CO2 (t/GWh)</t>
  </si>
  <si>
    <t>GJ/KWH conversion factor</t>
  </si>
  <si>
    <t>Renewable Share (%)</t>
  </si>
  <si>
    <t>Implied Demand (GWh)</t>
  </si>
  <si>
    <t>Demand Specific Emission Factors</t>
  </si>
  <si>
    <t>Agriculture/ Forestry</t>
  </si>
  <si>
    <t>-</t>
  </si>
  <si>
    <t>tCO2/GWh</t>
  </si>
  <si>
    <t>Transmission Losses</t>
  </si>
  <si>
    <t>% Losses</t>
  </si>
  <si>
    <t>Total 'Demand'</t>
  </si>
  <si>
    <r>
      <t>Net Generation (GWh)</t>
    </r>
    <r>
      <rPr>
        <vertAlign val="superscript"/>
        <sz val="11"/>
        <rFont val="Calibri"/>
        <family val="2"/>
        <scheme val="minor"/>
      </rPr>
      <t>1,2</t>
    </r>
    <r>
      <rPr>
        <sz val="11"/>
        <rFont val="Calibri"/>
        <family val="2"/>
        <scheme val="minor"/>
      </rPr>
      <t xml:space="preserve"> - (Supply)</t>
    </r>
  </si>
  <si>
    <r>
      <t>Solar</t>
    </r>
    <r>
      <rPr>
        <vertAlign val="superscript"/>
        <sz val="11"/>
        <color rgb="FFFF0000"/>
        <rFont val="Calibri"/>
        <family val="2"/>
        <scheme val="minor"/>
      </rPr>
      <t>3</t>
    </r>
  </si>
  <si>
    <t>Renewable Remainder</t>
  </si>
  <si>
    <r>
      <t>Consumption (GWh)</t>
    </r>
    <r>
      <rPr>
        <vertAlign val="superscript"/>
        <sz val="11"/>
        <color theme="1"/>
        <rFont val="Calibri"/>
        <family val="2"/>
        <scheme val="minor"/>
      </rPr>
      <t xml:space="preserve">5  </t>
    </r>
    <r>
      <rPr>
        <sz val="11"/>
        <color theme="1"/>
        <rFont val="Arial"/>
        <family val="2"/>
      </rPr>
      <t>̶</t>
    </r>
    <r>
      <rPr>
        <sz val="11"/>
        <color theme="1"/>
        <rFont val="Calibri"/>
        <family val="2"/>
        <scheme val="minor"/>
      </rPr>
      <t xml:space="preserve">  Sector Wise (Demand)</t>
    </r>
  </si>
  <si>
    <t>Agriculture/ Forestry/ Fishing</t>
  </si>
  <si>
    <t>Commercial (incl. Transport)</t>
  </si>
  <si>
    <t>Losses</t>
  </si>
  <si>
    <r>
      <t>Consumption (GWh)</t>
    </r>
    <r>
      <rPr>
        <vertAlign val="superscript"/>
        <sz val="11"/>
        <color theme="1"/>
        <rFont val="Calibri"/>
        <family val="2"/>
        <scheme val="minor"/>
      </rPr>
      <t xml:space="preserve">5  </t>
    </r>
    <r>
      <rPr>
        <sz val="11"/>
        <color theme="1"/>
        <rFont val="Arial"/>
        <family val="2"/>
      </rPr>
      <t>̶</t>
    </r>
    <r>
      <rPr>
        <sz val="11"/>
        <color theme="1"/>
        <rFont val="Calibri"/>
        <family val="2"/>
        <scheme val="minor"/>
      </rPr>
      <t xml:space="preserve">   Sector Wise (Demand)</t>
    </r>
  </si>
  <si>
    <t>Electricity Supply</t>
  </si>
  <si>
    <t>tCO2e per</t>
  </si>
  <si>
    <t>Wood</t>
  </si>
  <si>
    <t>Stationary Combustion</t>
  </si>
  <si>
    <t>Coal (by weight)</t>
  </si>
  <si>
    <t>kg</t>
  </si>
  <si>
    <t>Natural Gas Direct</t>
  </si>
  <si>
    <t>Natural Gas Transmission Loss</t>
  </si>
  <si>
    <t>Transport Fuels</t>
  </si>
  <si>
    <t>(Liquid Biofuels)</t>
  </si>
  <si>
    <t>ha/yr</t>
  </si>
  <si>
    <t>Without Landfill Gas Recovery</t>
  </si>
  <si>
    <t>Wastewater Lifestyle</t>
  </si>
  <si>
    <t>person</t>
  </si>
  <si>
    <t>Wastewater Town System</t>
  </si>
  <si>
    <t>household</t>
  </si>
  <si>
    <t>Other Gasses</t>
  </si>
  <si>
    <t>manawatu region tourism sector profile 2022 
divided on a per capita basis</t>
  </si>
  <si>
    <t>AR4 tCO2e</t>
  </si>
  <si>
    <t>LPV</t>
  </si>
  <si>
    <t>LCV</t>
  </si>
  <si>
    <t>Truck</t>
  </si>
  <si>
    <t>M/C</t>
  </si>
  <si>
    <t>billion vkt</t>
  </si>
  <si>
    <t>LPV (petrol)</t>
  </si>
  <si>
    <t>LPV (diesel)</t>
  </si>
  <si>
    <t>LCV (petrol)</t>
  </si>
  <si>
    <t>LCV (diesel)</t>
  </si>
  <si>
    <t>Light (electric)</t>
  </si>
  <si>
    <t>Motorcycle</t>
  </si>
  <si>
    <t>Truck (petrol)</t>
  </si>
  <si>
    <t>Truck (diesel)</t>
  </si>
  <si>
    <t>Bus (petrol)</t>
  </si>
  <si>
    <t>Bus (diesel)</t>
  </si>
  <si>
    <t>Electric (bus)</t>
  </si>
  <si>
    <t>million vkt</t>
  </si>
  <si>
    <t>Manawatu/Whanganui</t>
  </si>
  <si>
    <t xml:space="preserve">national </t>
  </si>
  <si>
    <t>M-W</t>
  </si>
  <si>
    <t>TOTAL</t>
  </si>
  <si>
    <t>Consumption</t>
  </si>
  <si>
    <t>Agriculture, Forestry and Fishing</t>
  </si>
  <si>
    <t>Regular Petrol</t>
  </si>
  <si>
    <t>Premium Petrol</t>
  </si>
  <si>
    <t xml:space="preserve"> -   </t>
  </si>
  <si>
    <t>Commercial and Public Services</t>
  </si>
  <si>
    <t>Domestic Transport</t>
  </si>
  <si>
    <t>Land Transport</t>
  </si>
  <si>
    <t>Domestic Navigation</t>
  </si>
  <si>
    <t>Domestic Aviation</t>
  </si>
  <si>
    <t>Aviation Fuels</t>
  </si>
  <si>
    <t>Jet A1</t>
  </si>
  <si>
    <t>Avgas</t>
  </si>
  <si>
    <t>Lighting Kerosene</t>
  </si>
  <si>
    <t>By Fuel</t>
  </si>
  <si>
    <t>National Fuel Consumption (kT)</t>
  </si>
  <si>
    <t>MBIE Oil data tables</t>
  </si>
  <si>
    <t>PJ</t>
  </si>
  <si>
    <t>Electricity Generation</t>
  </si>
  <si>
    <t>Transport' MBIE</t>
  </si>
  <si>
    <t>kt</t>
  </si>
  <si>
    <t>MBIE Agricultural production statistics (2021)</t>
  </si>
  <si>
    <t>Cumulative New Houses</t>
  </si>
  <si>
    <t>Some shift towards rail</t>
  </si>
  <si>
    <t>GD</t>
  </si>
  <si>
    <t>MD</t>
  </si>
  <si>
    <t># Dwellings</t>
  </si>
  <si>
    <t>Proportion</t>
  </si>
  <si>
    <t>Space Heating proportion</t>
  </si>
  <si>
    <t>Total Heating proportion</t>
  </si>
  <si>
    <t>Non Heating Use</t>
  </si>
  <si>
    <t>Future expectations</t>
  </si>
  <si>
    <t>This work is licensed under a Creative Commons Attribution 4.0 International License.</t>
  </si>
  <si>
    <t>v3</t>
  </si>
  <si>
    <t>Open Source Licence</t>
  </si>
  <si>
    <t>Now available under a standard Creative Commons Attribution 4.0 International Licence</t>
  </si>
  <si>
    <t>You are free to:</t>
  </si>
  <si>
    <r>
      <t>Share</t>
    </r>
    <r>
      <rPr>
        <sz val="11"/>
        <color theme="1"/>
        <rFont val="Calibri"/>
        <family val="2"/>
        <scheme val="minor"/>
      </rPr>
      <t xml:space="preserve"> — copy and redistribute the material in any medium or format</t>
    </r>
  </si>
  <si>
    <r>
      <t>Adapt</t>
    </r>
    <r>
      <rPr>
        <sz val="11"/>
        <color theme="1"/>
        <rFont val="Calibri"/>
        <family val="2"/>
        <scheme val="minor"/>
      </rPr>
      <t xml:space="preserve"> — remix, transform, and build upon the material</t>
    </r>
  </si>
  <si>
    <t>for any purpose, even commercially.</t>
  </si>
  <si>
    <t>Adam Jarvis, Principal Climate Change Advisor, Palmerston North City Council</t>
  </si>
  <si>
    <t>This model was designed by:</t>
  </si>
  <si>
    <t>Under the following terms:</t>
  </si>
  <si>
    <r>
      <t>Attribution</t>
    </r>
    <r>
      <rPr>
        <sz val="11"/>
        <color theme="1"/>
        <rFont val="Calibri"/>
        <family val="2"/>
        <scheme val="minor"/>
      </rPr>
      <t xml:space="preserve"> — You must give appropriate credit, provide a link to the license, and indicate if changes were made. You may do so in any reasonable manner, but not in any way that suggests the licensor endorses you or your use. </t>
    </r>
  </si>
  <si>
    <r>
      <rPr>
        <b/>
        <sz val="11"/>
        <color theme="1"/>
        <rFont val="Calibri"/>
        <family val="2"/>
        <scheme val="minor"/>
      </rPr>
      <t>No additional restrictions</t>
    </r>
    <r>
      <rPr>
        <sz val="11"/>
        <color theme="1"/>
        <rFont val="Calibri"/>
        <family val="2"/>
        <scheme val="minor"/>
      </rPr>
      <t xml:space="preserve"> — You may not apply legal terms or technological measures that legally restrict others from doing anything the license permits.</t>
    </r>
  </si>
  <si>
    <t>See here for further information: https://creativecommons.org/licenses/by/4.0/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</si>
</sst>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8" formatCode="&quot;$&quot;#,##0.00;[Red]\-&quot;$&quot;#,##0.00"/>
    <numFmt numFmtId="41" formatCode="_-* #,##0_-;\-* #,##0_-;_-* &quot;-&quot;_-;_-@_-"/>
    <numFmt numFmtId="43" formatCode="_-* #,##0.00_-;\-* #,##0.00_-;_-* &quot;-&quot;??_-;_-@_-"/>
    <numFmt numFmtId="164" formatCode="_-* #,##0.0000000_-;\-* #,##0.0000000_-;_-* &quot;-&quot;???????_-;_-@_-"/>
    <numFmt numFmtId="165" formatCode="#,##0.0_ ;\-#,##0.0\ "/>
    <numFmt numFmtId="166" formatCode="_-* #,##0_-;\-* #,##0_-;_-* &quot;-&quot;??_-;_-@_-"/>
    <numFmt numFmtId="167" formatCode="0.0"/>
    <numFmt numFmtId="168" formatCode="#,##0.00000"/>
    <numFmt numFmtId="169" formatCode="0.0%"/>
    <numFmt numFmtId="170" formatCode="0.000000000000000%"/>
    <numFmt numFmtId="171" formatCode="#,##0_ ;\-#,##0\ "/>
    <numFmt numFmtId="172" formatCode="0.000"/>
    <numFmt numFmtId="173" formatCode="0.000%"/>
    <numFmt numFmtId="174" formatCode="0.0000%"/>
    <numFmt numFmtId="175" formatCode="0.0000000000"/>
    <numFmt numFmtId="176" formatCode="#,##0.000000000"/>
    <numFmt numFmtId="177" formatCode="_-* #,##0.00000000000000_-;\-* #,##0.00000000000000_-;_-* &quot;-&quot;??_-;_-@_-"/>
  </numFmts>
  <fonts count="37">
    <font>
      <sz val="11"/>
      <color theme="1"/>
      <name val="Calibri"/>
      <family val="2"/>
      <scheme val="minor"/>
    </font>
    <font>
      <sz val="11"/>
      <color theme="1"/>
      <name val="Calibri"/>
      <family val="2"/>
      <scheme val="minor"/>
    </font>
    <font>
      <sz val="11"/>
      <color theme="1"/>
      <name val="Arial"/>
      <family val="2"/>
    </font>
    <font>
      <sz val="11"/>
      <name val="Calibri"/>
      <family val="2"/>
      <scheme val="minor"/>
    </font>
    <font>
      <sz val="11"/>
      <color rgb="FF006100"/>
      <name val="Calibri"/>
      <family val="2"/>
      <scheme val="minor"/>
    </font>
    <font>
      <sz val="11"/>
      <color rgb="FF3F3F76"/>
      <name val="Calibri"/>
      <family val="2"/>
      <scheme val="minor"/>
    </font>
    <font>
      <sz val="11"/>
      <color rgb="FFFF0000"/>
      <name val="Calibri"/>
      <family val="2"/>
      <scheme val="minor"/>
    </font>
    <font>
      <sz val="8"/>
      <name val="Helvetica"/>
      <family val="2"/>
    </font>
    <font>
      <b/>
      <sz val="10"/>
      <name val="Arial"/>
      <family val="2"/>
    </font>
    <font>
      <sz val="10"/>
      <name val="Arial"/>
      <family val="2"/>
    </font>
    <font>
      <sz val="10"/>
      <color theme="1"/>
      <name val="Arial"/>
      <family val="2"/>
    </font>
    <font>
      <sz val="9"/>
      <color indexed="81"/>
      <name val="Tahoma"/>
      <family val="2"/>
    </font>
    <font>
      <sz val="11"/>
      <color theme="9" tint="-0.499984740745262"/>
      <name val="Calibri"/>
      <family val="2"/>
      <scheme val="minor"/>
    </font>
    <font>
      <sz val="11"/>
      <color rgb="FF9C5700"/>
      <name val="Calibri"/>
      <family val="2"/>
      <scheme val="minor"/>
    </font>
    <font>
      <b/>
      <sz val="11"/>
      <color theme="1"/>
      <name val="Calibri"/>
      <family val="2"/>
      <scheme val="minor"/>
    </font>
    <font>
      <vertAlign val="superscript"/>
      <sz val="11"/>
      <name val="Calibri"/>
      <family val="2"/>
      <scheme val="minor"/>
    </font>
    <font>
      <vertAlign val="superscript"/>
      <sz val="11"/>
      <color rgb="FFFF0000"/>
      <name val="Calibri"/>
      <family val="2"/>
      <scheme val="minor"/>
    </font>
    <font>
      <vertAlign val="superscript"/>
      <sz val="11"/>
      <color theme="1"/>
      <name val="Calibri"/>
      <family val="2"/>
      <scheme val="minor"/>
    </font>
    <font>
      <b/>
      <sz val="9"/>
      <color indexed="81"/>
      <name val="Tahoma"/>
      <family val="2"/>
    </font>
    <font>
      <vertAlign val="subscript"/>
      <sz val="10"/>
      <color theme="1"/>
      <name val="Arial"/>
      <family val="2"/>
    </font>
    <font>
      <vertAlign val="subscript"/>
      <sz val="10"/>
      <name val="Arial"/>
      <family val="2"/>
    </font>
    <font>
      <b/>
      <sz val="10"/>
      <color theme="1"/>
      <name val="Arial"/>
      <family val="2"/>
    </font>
    <font>
      <b/>
      <vertAlign val="subscript"/>
      <sz val="10"/>
      <color theme="1"/>
      <name val="Arial"/>
      <family val="2"/>
    </font>
    <font>
      <sz val="16"/>
      <color rgb="FF006100"/>
      <name val="Calibri"/>
      <family val="2"/>
      <scheme val="minor"/>
    </font>
    <font>
      <sz val="16"/>
      <color rgb="FF9C5700"/>
      <name val="Calibri"/>
      <family val="2"/>
      <scheme val="minor"/>
    </font>
    <font>
      <b/>
      <sz val="11"/>
      <color rgb="FFFF0000"/>
      <name val="Calibri"/>
      <family val="2"/>
      <scheme val="minor"/>
    </font>
    <font>
      <b/>
      <sz val="11"/>
      <name val="Calibri"/>
      <family val="2"/>
      <scheme val="minor"/>
    </font>
    <font>
      <b/>
      <sz val="16"/>
      <color theme="1"/>
      <name val="Calibri"/>
      <family val="2"/>
      <scheme val="minor"/>
    </font>
    <font>
      <sz val="8"/>
      <name val="Calibri"/>
      <family val="2"/>
      <scheme val="minor"/>
    </font>
    <font>
      <sz val="11"/>
      <color rgb="FF000000"/>
      <name val="Calibri"/>
      <family val="2"/>
    </font>
    <font>
      <b/>
      <i/>
      <sz val="11"/>
      <name val="Calibri"/>
      <family val="2"/>
      <scheme val="minor"/>
    </font>
    <font>
      <sz val="11"/>
      <name val="Arial"/>
      <family val="2"/>
    </font>
    <font>
      <i/>
      <sz val="11"/>
      <name val="Calibri"/>
      <family val="2"/>
      <scheme val="minor"/>
    </font>
    <font>
      <sz val="11"/>
      <color rgb="FF444444"/>
      <name val="Calibri"/>
      <family val="2"/>
      <scheme val="minor"/>
    </font>
    <font>
      <sz val="10"/>
      <color theme="1"/>
      <name val="Arial Unicode MS"/>
    </font>
    <font>
      <u/>
      <sz val="11"/>
      <color theme="10"/>
      <name val="Calibri"/>
      <family val="2"/>
      <scheme val="minor"/>
    </font>
    <font>
      <b/>
      <sz val="13.5"/>
      <color theme="1"/>
      <name val="Calibri"/>
      <family val="2"/>
      <scheme val="minor"/>
    </font>
  </fonts>
  <fills count="43">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C99"/>
      </patternFill>
    </fill>
    <fill>
      <patternFill patternType="solid">
        <fgColor theme="9" tint="0.79998168889431442"/>
        <bgColor indexed="64"/>
      </patternFill>
    </fill>
    <fill>
      <patternFill patternType="solid">
        <fgColor indexed="22"/>
        <bgColor indexed="31"/>
      </patternFill>
    </fill>
    <fill>
      <patternFill patternType="solid">
        <fgColor theme="8" tint="0.79998168889431442"/>
        <bgColor indexed="47"/>
      </patternFill>
    </fill>
    <fill>
      <patternFill patternType="solid">
        <fgColor theme="9" tint="0.79998168889431442"/>
        <bgColor indexed="27"/>
      </patternFill>
    </fill>
    <fill>
      <patternFill patternType="solid">
        <fgColor indexed="9"/>
        <bgColor indexed="47"/>
      </patternFill>
    </fill>
    <fill>
      <patternFill patternType="solid">
        <fgColor theme="9" tint="0.79998168889431442"/>
        <bgColor indexed="47"/>
      </patternFill>
    </fill>
    <fill>
      <patternFill patternType="solid">
        <fgColor theme="0"/>
        <bgColor indexed="47"/>
      </patternFill>
    </fill>
    <fill>
      <patternFill patternType="solid">
        <fgColor theme="0"/>
        <bgColor indexed="27"/>
      </patternFill>
    </fill>
    <fill>
      <patternFill patternType="solid">
        <fgColor rgb="FFFFC000"/>
        <bgColor indexed="47"/>
      </patternFill>
    </fill>
    <fill>
      <patternFill patternType="solid">
        <fgColor rgb="FFFFC000"/>
        <bgColor indexed="27"/>
      </patternFill>
    </fill>
    <fill>
      <patternFill patternType="solid">
        <fgColor theme="0" tint="-0.14999847407452621"/>
        <bgColor indexed="64"/>
      </patternFill>
    </fill>
    <fill>
      <patternFill patternType="solid">
        <fgColor rgb="FFFFEB9C"/>
      </patternFill>
    </fill>
    <fill>
      <patternFill patternType="solid">
        <fgColor theme="4" tint="0.39997558519241921"/>
        <bgColor indexed="64"/>
      </patternFill>
    </fill>
    <fill>
      <patternFill patternType="solid">
        <fgColor theme="0" tint="-0.249977111117893"/>
        <bgColor indexed="31"/>
      </patternFill>
    </fill>
    <fill>
      <patternFill patternType="solid">
        <fgColor theme="0" tint="-0.249977111117893"/>
        <bgColor indexed="64"/>
      </patternFill>
    </fill>
    <fill>
      <patternFill patternType="solid">
        <fgColor theme="2" tint="-9.9978637043366805E-2"/>
        <bgColor indexed="64"/>
      </patternFill>
    </fill>
    <fill>
      <patternFill patternType="solid">
        <fgColor theme="7" tint="0.39997558519241921"/>
        <bgColor indexed="64"/>
      </patternFill>
    </fill>
    <fill>
      <patternFill patternType="solid">
        <fgColor rgb="FFFFC000"/>
        <bgColor indexed="64"/>
      </patternFill>
    </fill>
    <fill>
      <patternFill patternType="solid">
        <fgColor theme="5" tint="0.59999389629810485"/>
        <bgColor indexed="64"/>
      </patternFill>
    </fill>
    <fill>
      <patternFill patternType="solid">
        <fgColor theme="5" tint="0.59999389629810485"/>
        <bgColor indexed="31"/>
      </patternFill>
    </fill>
    <fill>
      <patternFill patternType="solid">
        <fgColor rgb="FF00B0F0"/>
        <bgColor indexed="64"/>
      </patternFill>
    </fill>
    <fill>
      <patternFill patternType="solid">
        <fgColor theme="5" tint="0.39997558519241921"/>
        <bgColor indexed="64"/>
      </patternFill>
    </fill>
    <fill>
      <patternFill patternType="solid">
        <fgColor theme="5" tint="0.59999389629810485"/>
        <bgColor indexed="27"/>
      </patternFill>
    </fill>
    <fill>
      <patternFill patternType="solid">
        <fgColor theme="5" tint="0.59999389629810485"/>
        <bgColor indexed="47"/>
      </patternFill>
    </fill>
    <fill>
      <patternFill patternType="solid">
        <fgColor rgb="FF7030A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0" tint="-4.9989318521683403E-2"/>
        <bgColor indexed="47"/>
      </patternFill>
    </fill>
    <fill>
      <patternFill patternType="solid">
        <fgColor theme="6" tint="0.39997558519241921"/>
        <bgColor indexed="64"/>
      </patternFill>
    </fill>
    <fill>
      <patternFill patternType="solid">
        <fgColor theme="8" tint="0.39997558519241921"/>
        <bgColor indexed="64"/>
      </patternFill>
    </fill>
    <fill>
      <patternFill patternType="solid">
        <fgColor theme="4" tint="0.79998168889431442"/>
        <bgColor indexed="47"/>
      </patternFill>
    </fill>
    <fill>
      <patternFill patternType="solid">
        <fgColor theme="5" tint="0.79998168889431442"/>
        <bgColor indexed="64"/>
      </patternFill>
    </fill>
    <fill>
      <patternFill patternType="solid">
        <fgColor theme="5" tint="0.79998168889431442"/>
        <bgColor indexed="47"/>
      </patternFill>
    </fill>
    <fill>
      <patternFill patternType="solid">
        <fgColor rgb="FF92D050"/>
        <bgColor indexed="64"/>
      </patternFill>
    </fill>
    <fill>
      <patternFill patternType="solid">
        <fgColor rgb="FFFFCCFF"/>
        <bgColor rgb="FF000000"/>
      </patternFill>
    </fill>
    <fill>
      <patternFill patternType="solid">
        <fgColor rgb="FFFFCCFF"/>
        <bgColor indexed="64"/>
      </patternFill>
    </fill>
    <fill>
      <patternFill patternType="solid">
        <fgColor rgb="FFFFCCFF"/>
        <bgColor indexed="31"/>
      </patternFill>
    </fill>
  </fills>
  <borders count="9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style="thin">
        <color indexed="64"/>
      </left>
      <right style="thin">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style="medium">
        <color indexed="64"/>
      </left>
      <right/>
      <top/>
      <bottom/>
      <diagonal/>
    </border>
    <border>
      <left/>
      <right/>
      <top/>
      <bottom style="thin">
        <color indexed="64"/>
      </bottom>
      <diagonal/>
    </border>
    <border>
      <left/>
      <right/>
      <top style="thin">
        <color indexed="64"/>
      </top>
      <bottom/>
      <diagonal/>
    </border>
    <border>
      <left style="thin">
        <color indexed="64"/>
      </left>
      <right style="thin">
        <color indexed="8"/>
      </right>
      <top style="thin">
        <color indexed="8"/>
      </top>
      <bottom/>
      <diagonal/>
    </border>
    <border>
      <left style="thin">
        <color indexed="64"/>
      </left>
      <right style="thin">
        <color indexed="8"/>
      </right>
      <top/>
      <bottom/>
      <diagonal/>
    </border>
    <border>
      <left style="thin">
        <color indexed="8"/>
      </left>
      <right style="thin">
        <color indexed="8"/>
      </right>
      <top/>
      <bottom/>
      <diagonal/>
    </border>
    <border>
      <left/>
      <right style="thin">
        <color indexed="8"/>
      </right>
      <top style="thin">
        <color indexed="8"/>
      </top>
      <bottom/>
      <diagonal/>
    </border>
    <border>
      <left/>
      <right style="thin">
        <color indexed="8"/>
      </right>
      <top/>
      <bottom/>
      <diagonal/>
    </border>
    <border>
      <left style="thin">
        <color indexed="8"/>
      </left>
      <right style="thin">
        <color indexed="8"/>
      </right>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thin">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diagonal/>
    </border>
    <border>
      <left style="thin">
        <color indexed="8"/>
      </left>
      <right style="medium">
        <color indexed="64"/>
      </right>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rgb="FF7F7F7F"/>
      </right>
      <top style="medium">
        <color indexed="64"/>
      </top>
      <bottom style="thin">
        <color rgb="FF7F7F7F"/>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8"/>
      </right>
      <top/>
      <bottom style="thin">
        <color indexed="8"/>
      </bottom>
      <diagonal/>
    </border>
    <border>
      <left style="medium">
        <color indexed="64"/>
      </left>
      <right style="thin">
        <color indexed="64"/>
      </right>
      <top style="thin">
        <color indexed="64"/>
      </top>
      <bottom/>
      <diagonal/>
    </border>
    <border>
      <left/>
      <right style="thin">
        <color indexed="8"/>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thin">
        <color rgb="FF7F7F7F"/>
      </left>
      <right style="thin">
        <color rgb="FF7F7F7F"/>
      </right>
      <top style="thin">
        <color rgb="FF7F7F7F"/>
      </top>
      <bottom style="medium">
        <color indexed="64"/>
      </bottom>
      <diagonal/>
    </border>
    <border>
      <left style="thin">
        <color rgb="FF7F7F7F"/>
      </left>
      <right style="medium">
        <color indexed="64"/>
      </right>
      <top style="thin">
        <color rgb="FF7F7F7F"/>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thin">
        <color indexed="64"/>
      </left>
      <right style="thin">
        <color indexed="8"/>
      </right>
      <top/>
      <bottom style="thin">
        <color indexed="64"/>
      </bottom>
      <diagonal/>
    </border>
    <border>
      <left style="thin">
        <color indexed="64"/>
      </left>
      <right/>
      <top/>
      <bottom style="medium">
        <color indexed="64"/>
      </bottom>
      <diagonal/>
    </border>
    <border>
      <left/>
      <right style="medium">
        <color indexed="64"/>
      </right>
      <top style="thin">
        <color rgb="FF7F7F7F"/>
      </top>
      <bottom/>
      <diagonal/>
    </border>
    <border>
      <left/>
      <right/>
      <top style="thin">
        <color rgb="FF7F7F7F"/>
      </top>
      <bottom/>
      <diagonal/>
    </border>
    <border>
      <left style="medium">
        <color indexed="64"/>
      </left>
      <right/>
      <top style="thin">
        <color rgb="FF7F7F7F"/>
      </top>
      <bottom/>
      <diagonal/>
    </border>
    <border>
      <left style="thin">
        <color indexed="64"/>
      </left>
      <right style="medium">
        <color indexed="64"/>
      </right>
      <top/>
      <bottom style="medium">
        <color indexed="64"/>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s>
  <cellStyleXfs count="16">
    <xf numFmtId="0" fontId="0" fillId="0" borderId="0"/>
    <xf numFmtId="0" fontId="2" fillId="0" borderId="0"/>
    <xf numFmtId="0" fontId="2" fillId="0" borderId="0"/>
    <xf numFmtId="0" fontId="4" fillId="4" borderId="0" applyNumberFormat="0" applyBorder="0" applyAlignment="0" applyProtection="0"/>
    <xf numFmtId="0" fontId="5" fillId="5" borderId="33" applyNumberFormat="0" applyAlignment="0" applyProtection="0"/>
    <xf numFmtId="43" fontId="1" fillId="0" borderId="0" applyFont="0" applyFill="0" applyBorder="0" applyAlignment="0" applyProtection="0"/>
    <xf numFmtId="0" fontId="7" fillId="0" borderId="0"/>
    <xf numFmtId="0" fontId="9" fillId="0" borderId="0"/>
    <xf numFmtId="9" fontId="1" fillId="0" borderId="0" applyFont="0" applyFill="0" applyBorder="0" applyAlignment="0" applyProtection="0"/>
    <xf numFmtId="0" fontId="13" fillId="17" borderId="0" applyNumberFormat="0" applyBorder="0" applyAlignment="0" applyProtection="0"/>
    <xf numFmtId="0" fontId="2" fillId="0" borderId="0"/>
    <xf numFmtId="0" fontId="9" fillId="0" borderId="0"/>
    <xf numFmtId="43" fontId="9" fillId="0" borderId="0" applyFont="0" applyFill="0" applyBorder="0" applyAlignment="0" applyProtection="0"/>
    <xf numFmtId="9" fontId="9" fillId="0" borderId="0" applyFont="0" applyFill="0" applyBorder="0" applyAlignment="0" applyProtection="0"/>
    <xf numFmtId="41" fontId="1" fillId="0" borderId="0" applyFont="0" applyFill="0" applyBorder="0" applyAlignment="0" applyProtection="0"/>
    <xf numFmtId="0" fontId="35" fillId="0" borderId="0" applyNumberFormat="0" applyFill="0" applyBorder="0" applyAlignment="0" applyProtection="0"/>
  </cellStyleXfs>
  <cellXfs count="727">
    <xf numFmtId="0" fontId="0" fillId="0" borderId="0" xfId="0"/>
    <xf numFmtId="0" fontId="0" fillId="2" borderId="1" xfId="1" applyFont="1" applyFill="1" applyBorder="1"/>
    <xf numFmtId="0" fontId="0" fillId="2" borderId="1" xfId="0" applyFill="1" applyBorder="1" applyAlignment="1">
      <alignment horizontal="center"/>
    </xf>
    <xf numFmtId="0" fontId="0" fillId="0" borderId="1" xfId="0" applyBorder="1" applyAlignment="1">
      <alignment horizontal="center"/>
    </xf>
    <xf numFmtId="0" fontId="0" fillId="0" borderId="5" xfId="0" applyBorder="1" applyAlignment="1">
      <alignment horizontal="center"/>
    </xf>
    <xf numFmtId="41" fontId="1" fillId="0" borderId="1" xfId="2" applyNumberFormat="1" applyFont="1" applyBorder="1" applyAlignment="1">
      <alignment horizontal="center"/>
    </xf>
    <xf numFmtId="0" fontId="0" fillId="2" borderId="1" xfId="1" applyFont="1" applyFill="1" applyBorder="1" applyAlignment="1">
      <alignment horizontal="center"/>
    </xf>
    <xf numFmtId="41" fontId="1" fillId="0" borderId="5" xfId="2" applyNumberFormat="1" applyFont="1" applyBorder="1" applyAlignment="1">
      <alignment horizontal="center"/>
    </xf>
    <xf numFmtId="0" fontId="0" fillId="3" borderId="14" xfId="1" applyFont="1" applyFill="1" applyBorder="1" applyAlignment="1">
      <alignment horizontal="left" indent="1"/>
    </xf>
    <xf numFmtId="41" fontId="1" fillId="0" borderId="14" xfId="2" applyNumberFormat="1" applyFont="1" applyBorder="1"/>
    <xf numFmtId="0" fontId="0" fillId="0" borderId="14" xfId="0" applyBorder="1"/>
    <xf numFmtId="0" fontId="0" fillId="0" borderId="15" xfId="0" applyBorder="1" applyAlignment="1">
      <alignment horizontal="center"/>
    </xf>
    <xf numFmtId="0" fontId="0" fillId="0" borderId="8" xfId="1" applyFont="1" applyBorder="1" applyAlignment="1">
      <alignment horizontal="left" indent="1"/>
    </xf>
    <xf numFmtId="0" fontId="0" fillId="0" borderId="22" xfId="1" applyFont="1" applyBorder="1" applyAlignment="1">
      <alignment horizontal="left" indent="1"/>
    </xf>
    <xf numFmtId="0" fontId="0" fillId="0" borderId="9" xfId="1" applyFont="1" applyBorder="1" applyAlignment="1">
      <alignment horizontal="left" indent="1"/>
    </xf>
    <xf numFmtId="41" fontId="1" fillId="3" borderId="10" xfId="2" applyNumberFormat="1" applyFont="1" applyFill="1" applyBorder="1" applyAlignment="1">
      <alignment horizontal="center"/>
    </xf>
    <xf numFmtId="0" fontId="0" fillId="0" borderId="23" xfId="1" applyFont="1" applyBorder="1" applyAlignment="1">
      <alignment horizontal="left" indent="1"/>
    </xf>
    <xf numFmtId="0" fontId="0" fillId="0" borderId="24" xfId="1" applyFont="1" applyBorder="1" applyAlignment="1">
      <alignment horizontal="left" indent="1"/>
    </xf>
    <xf numFmtId="0" fontId="0" fillId="3" borderId="26" xfId="0" applyFill="1" applyBorder="1"/>
    <xf numFmtId="0" fontId="0" fillId="3" borderId="27" xfId="0" applyFill="1" applyBorder="1"/>
    <xf numFmtId="0" fontId="0" fillId="0" borderId="25" xfId="1" applyFont="1" applyBorder="1" applyAlignment="1">
      <alignment horizontal="left" indent="1"/>
    </xf>
    <xf numFmtId="0" fontId="0" fillId="0" borderId="8" xfId="1" applyFont="1" applyBorder="1" applyAlignment="1">
      <alignment horizontal="center"/>
    </xf>
    <xf numFmtId="41" fontId="1" fillId="0" borderId="7" xfId="2" applyNumberFormat="1" applyFont="1" applyBorder="1" applyAlignment="1">
      <alignment horizontal="center"/>
    </xf>
    <xf numFmtId="4" fontId="0" fillId="3" borderId="26" xfId="0" applyNumberFormat="1" applyFill="1" applyBorder="1" applyAlignment="1">
      <alignment horizontal="center"/>
    </xf>
    <xf numFmtId="4" fontId="0" fillId="3" borderId="27" xfId="0" applyNumberFormat="1" applyFill="1" applyBorder="1" applyAlignment="1">
      <alignment horizontal="center"/>
    </xf>
    <xf numFmtId="164" fontId="0" fillId="0" borderId="8" xfId="1" applyNumberFormat="1" applyFont="1" applyBorder="1" applyAlignment="1">
      <alignment horizontal="left" vertical="center"/>
    </xf>
    <xf numFmtId="0" fontId="0" fillId="0" borderId="20" xfId="1" applyFont="1" applyBorder="1"/>
    <xf numFmtId="0" fontId="0" fillId="0" borderId="8" xfId="1" applyFont="1" applyBorder="1"/>
    <xf numFmtId="0" fontId="0" fillId="0" borderId="17" xfId="1" applyFont="1" applyBorder="1"/>
    <xf numFmtId="0" fontId="0" fillId="0" borderId="18" xfId="1" applyFont="1" applyBorder="1"/>
    <xf numFmtId="0" fontId="0" fillId="0" borderId="19" xfId="1" applyFont="1" applyBorder="1"/>
    <xf numFmtId="4" fontId="0" fillId="3" borderId="28" xfId="0" applyNumberFormat="1" applyFill="1" applyBorder="1" applyAlignment="1">
      <alignment horizontal="center"/>
    </xf>
    <xf numFmtId="0" fontId="0" fillId="3" borderId="28" xfId="0" applyFill="1" applyBorder="1"/>
    <xf numFmtId="41" fontId="1" fillId="0" borderId="13" xfId="2" applyNumberFormat="1" applyFont="1" applyBorder="1" applyAlignment="1">
      <alignment horizontal="center"/>
    </xf>
    <xf numFmtId="0" fontId="0" fillId="0" borderId="29" xfId="0" applyBorder="1" applyAlignment="1">
      <alignment horizontal="center"/>
    </xf>
    <xf numFmtId="0" fontId="0" fillId="0" borderId="1" xfId="0" applyBorder="1"/>
    <xf numFmtId="0" fontId="0" fillId="0" borderId="7" xfId="0" applyBorder="1"/>
    <xf numFmtId="0" fontId="0" fillId="0" borderId="5" xfId="0" applyBorder="1"/>
    <xf numFmtId="0" fontId="0" fillId="0" borderId="2" xfId="0" applyBorder="1"/>
    <xf numFmtId="0" fontId="3" fillId="0" borderId="7" xfId="0" applyFont="1" applyBorder="1"/>
    <xf numFmtId="0" fontId="3" fillId="0" borderId="0" xfId="0" applyFont="1"/>
    <xf numFmtId="0" fontId="0" fillId="0" borderId="2" xfId="0" applyBorder="1" applyAlignment="1">
      <alignment horizontal="left"/>
    </xf>
    <xf numFmtId="0" fontId="0" fillId="0" borderId="3" xfId="0" applyBorder="1"/>
    <xf numFmtId="0" fontId="0" fillId="0" borderId="0" xfId="0" applyAlignment="1">
      <alignment horizontal="center"/>
    </xf>
    <xf numFmtId="1" fontId="0" fillId="0" borderId="14" xfId="0" applyNumberFormat="1" applyBorder="1"/>
    <xf numFmtId="41" fontId="0" fillId="0" borderId="1" xfId="0" applyNumberFormat="1" applyBorder="1"/>
    <xf numFmtId="0" fontId="3" fillId="0" borderId="1" xfId="0" applyFont="1" applyBorder="1"/>
    <xf numFmtId="1" fontId="5" fillId="5" borderId="33" xfId="4" applyNumberFormat="1"/>
    <xf numFmtId="0" fontId="0" fillId="3" borderId="24" xfId="0" applyFill="1" applyBorder="1"/>
    <xf numFmtId="4" fontId="0" fillId="3" borderId="34" xfId="0" applyNumberFormat="1" applyFill="1" applyBorder="1" applyAlignment="1">
      <alignment horizontal="center"/>
    </xf>
    <xf numFmtId="0" fontId="0" fillId="6" borderId="1" xfId="0" applyFill="1" applyBorder="1"/>
    <xf numFmtId="0" fontId="5" fillId="5" borderId="33" xfId="4"/>
    <xf numFmtId="0" fontId="0" fillId="6" borderId="0" xfId="0" applyFill="1"/>
    <xf numFmtId="0" fontId="0" fillId="6" borderId="1" xfId="0" applyFill="1" applyBorder="1" applyAlignment="1">
      <alignment horizontal="center"/>
    </xf>
    <xf numFmtId="0" fontId="4" fillId="4" borderId="7" xfId="3" applyBorder="1"/>
    <xf numFmtId="0" fontId="4" fillId="4" borderId="1" xfId="3" applyBorder="1"/>
    <xf numFmtId="0" fontId="4" fillId="4" borderId="14" xfId="3" applyBorder="1"/>
    <xf numFmtId="0" fontId="4" fillId="4" borderId="16" xfId="3" applyBorder="1"/>
    <xf numFmtId="0" fontId="4" fillId="4" borderId="5" xfId="3" applyBorder="1" applyAlignment="1">
      <alignment horizontal="center"/>
    </xf>
    <xf numFmtId="0" fontId="4" fillId="4" borderId="13" xfId="3" applyBorder="1"/>
    <xf numFmtId="0" fontId="4" fillId="4" borderId="5" xfId="3" applyBorder="1"/>
    <xf numFmtId="1" fontId="0" fillId="0" borderId="36" xfId="0" applyNumberFormat="1" applyBorder="1"/>
    <xf numFmtId="0" fontId="4" fillId="4" borderId="3" xfId="3" applyBorder="1"/>
    <xf numFmtId="0" fontId="4" fillId="4" borderId="36" xfId="3" applyBorder="1"/>
    <xf numFmtId="0" fontId="4" fillId="4" borderId="30" xfId="3" applyBorder="1"/>
    <xf numFmtId="0" fontId="10" fillId="8" borderId="1" xfId="6" applyFont="1" applyFill="1" applyBorder="1" applyAlignment="1" applyProtection="1">
      <alignment vertical="center"/>
      <protection locked="0"/>
    </xf>
    <xf numFmtId="0" fontId="10" fillId="0" borderId="1" xfId="6" applyFont="1" applyBorder="1" applyAlignment="1" applyProtection="1">
      <alignment vertical="center"/>
      <protection locked="0"/>
    </xf>
    <xf numFmtId="0" fontId="10" fillId="10" borderId="1" xfId="6" applyFont="1" applyFill="1" applyBorder="1" applyAlignment="1" applyProtection="1">
      <alignment vertical="center"/>
      <protection locked="0"/>
    </xf>
    <xf numFmtId="3" fontId="10" fillId="3" borderId="1" xfId="6" applyNumberFormat="1" applyFont="1" applyFill="1" applyBorder="1" applyAlignment="1" applyProtection="1">
      <alignment horizontal="center" vertical="center"/>
      <protection locked="0"/>
    </xf>
    <xf numFmtId="0" fontId="9" fillId="7" borderId="14" xfId="6" applyFont="1" applyFill="1" applyBorder="1" applyAlignment="1" applyProtection="1">
      <alignment horizontal="center" vertical="center" wrapText="1"/>
      <protection locked="0"/>
    </xf>
    <xf numFmtId="0" fontId="10" fillId="3" borderId="0" xfId="0" applyFont="1" applyFill="1" applyAlignment="1" applyProtection="1">
      <alignment vertical="center"/>
      <protection locked="0"/>
    </xf>
    <xf numFmtId="0" fontId="10" fillId="3" borderId="0" xfId="0" applyFont="1" applyFill="1" applyAlignment="1" applyProtection="1">
      <alignment horizontal="center" vertical="center"/>
      <protection locked="0"/>
    </xf>
    <xf numFmtId="3" fontId="10" fillId="9" borderId="1" xfId="6" applyNumberFormat="1" applyFont="1" applyFill="1" applyBorder="1" applyAlignment="1" applyProtection="1">
      <alignment horizontal="right" vertical="center"/>
      <protection locked="0"/>
    </xf>
    <xf numFmtId="3" fontId="10" fillId="0" borderId="1" xfId="6" applyNumberFormat="1" applyFont="1" applyBorder="1" applyAlignment="1" applyProtection="1">
      <alignment horizontal="right" vertical="center"/>
      <protection locked="0"/>
    </xf>
    <xf numFmtId="166" fontId="10" fillId="0" borderId="1" xfId="5" applyNumberFormat="1" applyFont="1" applyFill="1" applyBorder="1" applyAlignment="1" applyProtection="1">
      <alignment horizontal="right" vertical="center"/>
      <protection locked="0"/>
    </xf>
    <xf numFmtId="166" fontId="10" fillId="11" borderId="1" xfId="5" applyNumberFormat="1" applyFont="1" applyFill="1" applyBorder="1" applyAlignment="1" applyProtection="1">
      <alignment horizontal="right" vertical="center"/>
      <protection locked="0"/>
    </xf>
    <xf numFmtId="166" fontId="9" fillId="12" borderId="1" xfId="5" applyNumberFormat="1" applyFont="1" applyFill="1" applyBorder="1" applyAlignment="1" applyProtection="1">
      <alignment horizontal="right" vertical="center"/>
      <protection locked="0"/>
    </xf>
    <xf numFmtId="0" fontId="10" fillId="7" borderId="39" xfId="0" applyFont="1" applyFill="1" applyBorder="1" applyAlignment="1" applyProtection="1">
      <alignment horizontal="center" vertical="center" wrapText="1"/>
      <protection locked="0"/>
    </xf>
    <xf numFmtId="0" fontId="10" fillId="7" borderId="42" xfId="0" applyFont="1" applyFill="1" applyBorder="1" applyAlignment="1" applyProtection="1">
      <alignment horizontal="center" vertical="center" wrapText="1"/>
      <protection locked="0"/>
    </xf>
    <xf numFmtId="0" fontId="10" fillId="7" borderId="39" xfId="0" applyFont="1" applyFill="1" applyBorder="1" applyAlignment="1" applyProtection="1">
      <alignment vertical="center" wrapText="1"/>
      <protection locked="0"/>
    </xf>
    <xf numFmtId="3" fontId="0" fillId="0" borderId="0" xfId="0" applyNumberFormat="1"/>
    <xf numFmtId="9" fontId="4" fillId="4" borderId="1" xfId="3" applyNumberFormat="1" applyBorder="1"/>
    <xf numFmtId="9" fontId="4" fillId="4" borderId="16" xfId="3" applyNumberFormat="1" applyBorder="1"/>
    <xf numFmtId="9" fontId="4" fillId="4" borderId="7" xfId="3" applyNumberFormat="1" applyBorder="1"/>
    <xf numFmtId="9" fontId="4" fillId="4" borderId="46" xfId="3" applyNumberFormat="1" applyBorder="1"/>
    <xf numFmtId="0" fontId="9" fillId="7" borderId="14" xfId="6" applyFont="1" applyFill="1" applyBorder="1" applyAlignment="1" applyProtection="1">
      <alignment vertical="center" wrapText="1"/>
      <protection locked="0"/>
    </xf>
    <xf numFmtId="0" fontId="9" fillId="7" borderId="5" xfId="6" applyFont="1" applyFill="1" applyBorder="1" applyAlignment="1" applyProtection="1">
      <alignment vertical="center" wrapText="1"/>
      <protection locked="0"/>
    </xf>
    <xf numFmtId="0" fontId="10" fillId="8" borderId="2" xfId="6" applyFont="1" applyFill="1" applyBorder="1" applyAlignment="1" applyProtection="1">
      <alignment vertical="center"/>
      <protection locked="0"/>
    </xf>
    <xf numFmtId="166" fontId="10" fillId="11" borderId="2" xfId="5" applyNumberFormat="1" applyFont="1" applyFill="1" applyBorder="1" applyAlignment="1" applyProtection="1">
      <alignment horizontal="right" vertical="center"/>
      <protection locked="0"/>
    </xf>
    <xf numFmtId="3" fontId="10" fillId="9" borderId="2" xfId="6" applyNumberFormat="1" applyFont="1" applyFill="1" applyBorder="1" applyAlignment="1" applyProtection="1">
      <alignment horizontal="right" vertical="center"/>
      <protection locked="0"/>
    </xf>
    <xf numFmtId="3" fontId="10" fillId="13" borderId="1" xfId="6" applyNumberFormat="1" applyFont="1" applyFill="1" applyBorder="1" applyAlignment="1" applyProtection="1">
      <alignment horizontal="right" vertical="center"/>
      <protection locked="0"/>
    </xf>
    <xf numFmtId="0" fontId="10" fillId="12" borderId="0" xfId="6" applyFont="1" applyFill="1" applyAlignment="1" applyProtection="1">
      <alignment vertical="center"/>
      <protection locked="0"/>
    </xf>
    <xf numFmtId="166" fontId="10" fillId="12" borderId="0" xfId="5" applyNumberFormat="1" applyFont="1" applyFill="1" applyBorder="1" applyAlignment="1" applyProtection="1">
      <alignment horizontal="right" vertical="center"/>
      <protection locked="0"/>
    </xf>
    <xf numFmtId="3" fontId="10" fillId="13" borderId="0" xfId="6" applyNumberFormat="1" applyFont="1" applyFill="1" applyAlignment="1" applyProtection="1">
      <alignment horizontal="right" vertical="center"/>
      <protection locked="0"/>
    </xf>
    <xf numFmtId="3" fontId="10" fillId="13" borderId="0" xfId="6" applyNumberFormat="1" applyFont="1" applyFill="1" applyAlignment="1" applyProtection="1">
      <alignment horizontal="center" vertical="center"/>
      <protection locked="0"/>
    </xf>
    <xf numFmtId="168" fontId="10" fillId="13" borderId="0" xfId="6" applyNumberFormat="1" applyFont="1" applyFill="1" applyAlignment="1" applyProtection="1">
      <alignment horizontal="center" vertical="center"/>
      <protection locked="0"/>
    </xf>
    <xf numFmtId="0" fontId="10" fillId="3" borderId="0" xfId="0" quotePrefix="1" applyFont="1" applyFill="1" applyAlignment="1" applyProtection="1">
      <alignment horizontal="left" vertical="center" wrapText="1"/>
      <protection locked="0"/>
    </xf>
    <xf numFmtId="0" fontId="4" fillId="4" borderId="0" xfId="3" applyBorder="1" applyAlignment="1">
      <alignment horizontal="center"/>
    </xf>
    <xf numFmtId="0" fontId="10" fillId="12" borderId="36" xfId="6" applyFont="1" applyFill="1" applyBorder="1" applyAlignment="1" applyProtection="1">
      <alignment vertical="center"/>
      <protection locked="0"/>
    </xf>
    <xf numFmtId="166" fontId="10" fillId="12" borderId="36" xfId="5" applyNumberFormat="1" applyFont="1" applyFill="1" applyBorder="1" applyAlignment="1" applyProtection="1">
      <alignment horizontal="right" vertical="center"/>
      <protection locked="0"/>
    </xf>
    <xf numFmtId="3" fontId="10" fillId="13" borderId="36" xfId="6" applyNumberFormat="1" applyFont="1" applyFill="1" applyBorder="1" applyAlignment="1" applyProtection="1">
      <alignment horizontal="right" vertical="center"/>
      <protection locked="0"/>
    </xf>
    <xf numFmtId="3" fontId="10" fillId="13" borderId="36" xfId="6" applyNumberFormat="1" applyFont="1" applyFill="1" applyBorder="1" applyAlignment="1" applyProtection="1">
      <alignment horizontal="center" vertical="center"/>
      <protection locked="0"/>
    </xf>
    <xf numFmtId="168" fontId="10" fillId="13" borderId="36" xfId="6" applyNumberFormat="1" applyFont="1" applyFill="1" applyBorder="1" applyAlignment="1" applyProtection="1">
      <alignment horizontal="center" vertical="center"/>
      <protection locked="0"/>
    </xf>
    <xf numFmtId="0" fontId="10" fillId="3" borderId="34" xfId="0" applyFont="1" applyFill="1" applyBorder="1" applyAlignment="1" applyProtection="1">
      <alignment vertical="center"/>
      <protection locked="0"/>
    </xf>
    <xf numFmtId="0" fontId="4" fillId="4" borderId="15" xfId="3" applyBorder="1" applyAlignment="1">
      <alignment horizontal="center"/>
    </xf>
    <xf numFmtId="9" fontId="4" fillId="4" borderId="15" xfId="3" applyNumberFormat="1" applyBorder="1"/>
    <xf numFmtId="9" fontId="4" fillId="4" borderId="49" xfId="3" applyNumberFormat="1" applyBorder="1"/>
    <xf numFmtId="9" fontId="4" fillId="4" borderId="50" xfId="3" applyNumberFormat="1" applyBorder="1"/>
    <xf numFmtId="3" fontId="10" fillId="13" borderId="51" xfId="6" applyNumberFormat="1" applyFont="1" applyFill="1" applyBorder="1" applyAlignment="1" applyProtection="1">
      <alignment horizontal="center" vertical="center"/>
      <protection locked="0"/>
    </xf>
    <xf numFmtId="0" fontId="10" fillId="7" borderId="52" xfId="0" applyFont="1" applyFill="1" applyBorder="1" applyAlignment="1" applyProtection="1">
      <alignment horizontal="center" vertical="center" wrapText="1"/>
      <protection locked="0"/>
    </xf>
    <xf numFmtId="3" fontId="10" fillId="9" borderId="15" xfId="6" applyNumberFormat="1" applyFont="1" applyFill="1" applyBorder="1" applyAlignment="1" applyProtection="1">
      <alignment horizontal="right" vertical="center"/>
      <protection locked="0"/>
    </xf>
    <xf numFmtId="0" fontId="10" fillId="3" borderId="22" xfId="0" applyFont="1" applyFill="1" applyBorder="1" applyAlignment="1" applyProtection="1">
      <alignment vertical="center"/>
      <protection locked="0"/>
    </xf>
    <xf numFmtId="0" fontId="10" fillId="8" borderId="16" xfId="6" applyFont="1" applyFill="1" applyBorder="1" applyAlignment="1" applyProtection="1">
      <alignment vertical="center"/>
      <protection locked="0"/>
    </xf>
    <xf numFmtId="3" fontId="10" fillId="9" borderId="16" xfId="6" applyNumberFormat="1" applyFont="1" applyFill="1" applyBorder="1" applyAlignment="1" applyProtection="1">
      <alignment horizontal="right" vertical="center"/>
      <protection locked="0"/>
    </xf>
    <xf numFmtId="3" fontId="10" fillId="9" borderId="50" xfId="6" applyNumberFormat="1" applyFont="1" applyFill="1" applyBorder="1" applyAlignment="1" applyProtection="1">
      <alignment horizontal="right" vertical="center"/>
      <protection locked="0"/>
    </xf>
    <xf numFmtId="0" fontId="4" fillId="4" borderId="53" xfId="3" applyBorder="1"/>
    <xf numFmtId="0" fontId="0" fillId="0" borderId="44" xfId="0" applyBorder="1"/>
    <xf numFmtId="3" fontId="10" fillId="13" borderId="44" xfId="6" applyNumberFormat="1" applyFont="1" applyFill="1" applyBorder="1" applyAlignment="1" applyProtection="1">
      <alignment horizontal="center" vertical="center"/>
      <protection locked="0"/>
    </xf>
    <xf numFmtId="169" fontId="4" fillId="4" borderId="7" xfId="3" applyNumberFormat="1" applyBorder="1"/>
    <xf numFmtId="169" fontId="4" fillId="4" borderId="49" xfId="3" applyNumberFormat="1" applyBorder="1"/>
    <xf numFmtId="169" fontId="4" fillId="4" borderId="1" xfId="3" applyNumberFormat="1" applyBorder="1"/>
    <xf numFmtId="169" fontId="4" fillId="4" borderId="15" xfId="3" applyNumberFormat="1" applyBorder="1"/>
    <xf numFmtId="169" fontId="4" fillId="4" borderId="16" xfId="3" applyNumberFormat="1" applyBorder="1"/>
    <xf numFmtId="169" fontId="4" fillId="4" borderId="0" xfId="3" applyNumberFormat="1" applyBorder="1"/>
    <xf numFmtId="169" fontId="4" fillId="4" borderId="44" xfId="3" applyNumberFormat="1" applyBorder="1"/>
    <xf numFmtId="0" fontId="4" fillId="4" borderId="58" xfId="3" applyBorder="1"/>
    <xf numFmtId="0" fontId="4" fillId="4" borderId="59" xfId="3" applyBorder="1" applyAlignment="1">
      <alignment horizontal="center"/>
    </xf>
    <xf numFmtId="0" fontId="4" fillId="4" borderId="60" xfId="3" applyBorder="1" applyAlignment="1">
      <alignment horizontal="center"/>
    </xf>
    <xf numFmtId="0" fontId="4" fillId="4" borderId="61" xfId="3" applyBorder="1" applyAlignment="1">
      <alignment horizontal="center"/>
    </xf>
    <xf numFmtId="170" fontId="0" fillId="0" borderId="0" xfId="0" applyNumberFormat="1"/>
    <xf numFmtId="0" fontId="4" fillId="3" borderId="0" xfId="3" applyFill="1" applyBorder="1" applyAlignment="1">
      <alignment horizontal="center"/>
    </xf>
    <xf numFmtId="169" fontId="4" fillId="3" borderId="0" xfId="3" applyNumberFormat="1" applyFill="1" applyBorder="1"/>
    <xf numFmtId="169" fontId="4" fillId="3" borderId="44" xfId="3" applyNumberFormat="1" applyFill="1" applyBorder="1"/>
    <xf numFmtId="169" fontId="4" fillId="4" borderId="32" xfId="3" applyNumberFormat="1" applyBorder="1"/>
    <xf numFmtId="169" fontId="4" fillId="4" borderId="30" xfId="3" applyNumberFormat="1" applyBorder="1"/>
    <xf numFmtId="4" fontId="10" fillId="9" borderId="1" xfId="6" applyNumberFormat="1" applyFont="1" applyFill="1" applyBorder="1" applyAlignment="1" applyProtection="1">
      <alignment horizontal="right" vertical="center"/>
      <protection locked="0"/>
    </xf>
    <xf numFmtId="10" fontId="10" fillId="9" borderId="1" xfId="6" applyNumberFormat="1" applyFont="1" applyFill="1" applyBorder="1" applyAlignment="1" applyProtection="1">
      <alignment horizontal="right" vertical="center"/>
      <protection locked="0"/>
    </xf>
    <xf numFmtId="10" fontId="10" fillId="9" borderId="15" xfId="6" applyNumberFormat="1" applyFont="1" applyFill="1" applyBorder="1" applyAlignment="1" applyProtection="1">
      <alignment horizontal="right" vertical="center"/>
      <protection locked="0"/>
    </xf>
    <xf numFmtId="0" fontId="4" fillId="4" borderId="2" xfId="3" applyBorder="1" applyAlignment="1">
      <alignment horizontal="left"/>
    </xf>
    <xf numFmtId="0" fontId="4" fillId="3" borderId="2" xfId="3" applyFill="1" applyBorder="1" applyAlignment="1">
      <alignment horizontal="left"/>
    </xf>
    <xf numFmtId="0" fontId="4" fillId="3" borderId="14" xfId="3" applyFill="1" applyBorder="1"/>
    <xf numFmtId="0" fontId="4" fillId="3" borderId="5" xfId="3" applyFill="1" applyBorder="1"/>
    <xf numFmtId="1" fontId="0" fillId="0" borderId="20" xfId="0" applyNumberFormat="1" applyBorder="1"/>
    <xf numFmtId="1" fontId="0" fillId="0" borderId="43" xfId="0" applyNumberFormat="1" applyBorder="1"/>
    <xf numFmtId="0" fontId="10" fillId="14" borderId="1" xfId="6" applyFont="1" applyFill="1" applyBorder="1" applyAlignment="1" applyProtection="1">
      <alignment vertical="center"/>
      <protection locked="0"/>
    </xf>
    <xf numFmtId="164" fontId="0" fillId="0" borderId="8" xfId="1" applyNumberFormat="1" applyFont="1" applyBorder="1" applyAlignment="1">
      <alignment horizontal="center" vertical="center"/>
    </xf>
    <xf numFmtId="3" fontId="10" fillId="15" borderId="1" xfId="6" applyNumberFormat="1" applyFont="1" applyFill="1" applyBorder="1" applyAlignment="1" applyProtection="1">
      <alignment horizontal="right" vertical="center"/>
      <protection locked="0"/>
    </xf>
    <xf numFmtId="9" fontId="1" fillId="3" borderId="10" xfId="2" applyNumberFormat="1" applyFont="1" applyFill="1" applyBorder="1" applyAlignment="1">
      <alignment horizontal="center"/>
    </xf>
    <xf numFmtId="169" fontId="6" fillId="4" borderId="16" xfId="3" applyNumberFormat="1" applyFont="1" applyBorder="1"/>
    <xf numFmtId="169" fontId="6" fillId="4" borderId="50" xfId="3" applyNumberFormat="1" applyFont="1" applyBorder="1"/>
    <xf numFmtId="10" fontId="10" fillId="9" borderId="30" xfId="6" applyNumberFormat="1" applyFont="1" applyFill="1" applyBorder="1" applyAlignment="1" applyProtection="1">
      <alignment horizontal="right" vertical="center"/>
      <protection locked="0"/>
    </xf>
    <xf numFmtId="0" fontId="4" fillId="4" borderId="2" xfId="3" applyBorder="1" applyAlignment="1">
      <alignment horizontal="center"/>
    </xf>
    <xf numFmtId="0" fontId="10" fillId="12" borderId="6" xfId="6" applyFont="1" applyFill="1" applyBorder="1" applyAlignment="1" applyProtection="1">
      <alignment vertical="center"/>
      <protection locked="0"/>
    </xf>
    <xf numFmtId="166" fontId="10" fillId="12" borderId="6" xfId="5" applyNumberFormat="1" applyFont="1" applyFill="1" applyBorder="1" applyAlignment="1" applyProtection="1">
      <alignment horizontal="right" vertical="center"/>
      <protection locked="0"/>
    </xf>
    <xf numFmtId="3" fontId="10" fillId="13" borderId="6" xfId="6" applyNumberFormat="1" applyFont="1" applyFill="1" applyBorder="1" applyAlignment="1" applyProtection="1">
      <alignment horizontal="right" vertical="center"/>
      <protection locked="0"/>
    </xf>
    <xf numFmtId="3" fontId="10" fillId="13" borderId="6" xfId="6" applyNumberFormat="1" applyFont="1" applyFill="1" applyBorder="1" applyAlignment="1" applyProtection="1">
      <alignment horizontal="center" vertical="center"/>
      <protection locked="0"/>
    </xf>
    <xf numFmtId="168" fontId="10" fillId="13" borderId="6" xfId="6" applyNumberFormat="1" applyFont="1" applyFill="1" applyBorder="1" applyAlignment="1" applyProtection="1">
      <alignment horizontal="center" vertical="center"/>
      <protection locked="0"/>
    </xf>
    <xf numFmtId="3" fontId="10" fillId="13" borderId="49" xfId="6" applyNumberFormat="1" applyFont="1" applyFill="1" applyBorder="1" applyAlignment="1" applyProtection="1">
      <alignment horizontal="center" vertical="center"/>
      <protection locked="0"/>
    </xf>
    <xf numFmtId="0" fontId="0" fillId="0" borderId="47" xfId="0" applyBorder="1"/>
    <xf numFmtId="0" fontId="0" fillId="0" borderId="45" xfId="0" applyBorder="1"/>
    <xf numFmtId="169" fontId="3" fillId="4" borderId="1" xfId="3" applyNumberFormat="1" applyFont="1" applyBorder="1"/>
    <xf numFmtId="169" fontId="6" fillId="4" borderId="15" xfId="3" applyNumberFormat="1" applyFont="1" applyBorder="1"/>
    <xf numFmtId="169" fontId="6" fillId="4" borderId="2" xfId="3" applyNumberFormat="1" applyFont="1" applyBorder="1"/>
    <xf numFmtId="169" fontId="4" fillId="4" borderId="2" xfId="3" applyNumberFormat="1" applyBorder="1"/>
    <xf numFmtId="169" fontId="4" fillId="4" borderId="63" xfId="3" applyNumberFormat="1" applyBorder="1"/>
    <xf numFmtId="1" fontId="1" fillId="3" borderId="10" xfId="2" applyNumberFormat="1" applyFont="1" applyFill="1" applyBorder="1" applyAlignment="1">
      <alignment horizontal="center"/>
    </xf>
    <xf numFmtId="0" fontId="0" fillId="2" borderId="64" xfId="0" applyFill="1" applyBorder="1" applyAlignment="1">
      <alignment horizontal="center"/>
    </xf>
    <xf numFmtId="0" fontId="4" fillId="16" borderId="36" xfId="3" applyFill="1" applyBorder="1" applyAlignment="1">
      <alignment horizontal="center"/>
    </xf>
    <xf numFmtId="169" fontId="4" fillId="16" borderId="6" xfId="3" applyNumberFormat="1" applyFill="1" applyBorder="1"/>
    <xf numFmtId="169" fontId="4" fillId="16" borderId="36" xfId="3" applyNumberFormat="1" applyFill="1" applyBorder="1"/>
    <xf numFmtId="169" fontId="4" fillId="16" borderId="51" xfId="3" applyNumberFormat="1" applyFill="1" applyBorder="1"/>
    <xf numFmtId="169" fontId="4" fillId="16" borderId="49" xfId="3" applyNumberFormat="1" applyFill="1" applyBorder="1"/>
    <xf numFmtId="169" fontId="12" fillId="16" borderId="36" xfId="3" applyNumberFormat="1" applyFont="1" applyFill="1" applyBorder="1"/>
    <xf numFmtId="169" fontId="3" fillId="16" borderId="36" xfId="3" applyNumberFormat="1" applyFont="1" applyFill="1" applyBorder="1"/>
    <xf numFmtId="169" fontId="3" fillId="16" borderId="51" xfId="3" applyNumberFormat="1" applyFont="1" applyFill="1" applyBorder="1"/>
    <xf numFmtId="169" fontId="3" fillId="16" borderId="6" xfId="3" applyNumberFormat="1" applyFont="1" applyFill="1" applyBorder="1"/>
    <xf numFmtId="169" fontId="3" fillId="16" borderId="49" xfId="3" applyNumberFormat="1" applyFont="1" applyFill="1" applyBorder="1"/>
    <xf numFmtId="0" fontId="14" fillId="0" borderId="0" xfId="0" applyFont="1"/>
    <xf numFmtId="0" fontId="0" fillId="2" borderId="1" xfId="0" applyFill="1" applyBorder="1"/>
    <xf numFmtId="0" fontId="14" fillId="2" borderId="1" xfId="0" applyFont="1" applyFill="1" applyBorder="1" applyAlignment="1">
      <alignment horizontal="center"/>
    </xf>
    <xf numFmtId="0" fontId="3" fillId="2" borderId="1" xfId="10" applyFont="1" applyFill="1" applyBorder="1" applyAlignment="1">
      <alignment horizontal="left" vertical="center" wrapText="1"/>
    </xf>
    <xf numFmtId="3" fontId="0" fillId="0" borderId="1" xfId="0" applyNumberFormat="1" applyBorder="1"/>
    <xf numFmtId="0" fontId="3" fillId="0" borderId="1" xfId="10" applyFont="1" applyBorder="1" applyAlignment="1">
      <alignment horizontal="left" indent="1"/>
    </xf>
    <xf numFmtId="1" fontId="0" fillId="0" borderId="1" xfId="0" applyNumberFormat="1" applyBorder="1"/>
    <xf numFmtId="1" fontId="0" fillId="3" borderId="1" xfId="0" applyNumberFormat="1" applyFill="1" applyBorder="1"/>
    <xf numFmtId="9" fontId="0" fillId="0" borderId="0" xfId="0" applyNumberFormat="1"/>
    <xf numFmtId="0" fontId="0" fillId="0" borderId="6" xfId="0" applyBorder="1"/>
    <xf numFmtId="0" fontId="6" fillId="0" borderId="1" xfId="10" applyFont="1" applyBorder="1" applyAlignment="1">
      <alignment horizontal="left" indent="1"/>
    </xf>
    <xf numFmtId="3" fontId="0" fillId="0" borderId="12" xfId="0" applyNumberFormat="1" applyBorder="1"/>
    <xf numFmtId="0" fontId="0" fillId="0" borderId="1" xfId="10" applyFont="1" applyBorder="1" applyAlignment="1">
      <alignment horizontal="left" indent="1"/>
    </xf>
    <xf numFmtId="0" fontId="0" fillId="0" borderId="12" xfId="0" applyBorder="1"/>
    <xf numFmtId="0" fontId="1" fillId="0" borderId="1" xfId="10" applyFont="1" applyBorder="1" applyAlignment="1">
      <alignment horizontal="left" indent="1"/>
    </xf>
    <xf numFmtId="0" fontId="0" fillId="0" borderId="35" xfId="0" applyBorder="1"/>
    <xf numFmtId="0" fontId="0" fillId="0" borderId="13" xfId="0" applyBorder="1"/>
    <xf numFmtId="0" fontId="1" fillId="18" borderId="1" xfId="10" applyFont="1" applyFill="1" applyBorder="1" applyAlignment="1">
      <alignment horizontal="left"/>
    </xf>
    <xf numFmtId="0" fontId="0" fillId="18" borderId="1" xfId="0" applyFill="1" applyBorder="1"/>
    <xf numFmtId="10" fontId="0" fillId="18" borderId="1" xfId="0" applyNumberFormat="1" applyFill="1" applyBorder="1"/>
    <xf numFmtId="9" fontId="0" fillId="18" borderId="1" xfId="0" applyNumberFormat="1" applyFill="1" applyBorder="1"/>
    <xf numFmtId="41" fontId="1" fillId="2" borderId="1" xfId="2" applyNumberFormat="1" applyFont="1" applyFill="1" applyBorder="1"/>
    <xf numFmtId="0" fontId="1" fillId="0" borderId="1" xfId="1" applyFont="1" applyBorder="1" applyAlignment="1">
      <alignment horizontal="left" indent="1"/>
    </xf>
    <xf numFmtId="41" fontId="1" fillId="0" borderId="1" xfId="2" applyNumberFormat="1" applyFont="1" applyBorder="1"/>
    <xf numFmtId="0" fontId="0" fillId="0" borderId="1" xfId="1" applyFont="1" applyBorder="1" applyAlignment="1">
      <alignment horizontal="left" indent="1"/>
    </xf>
    <xf numFmtId="0" fontId="0" fillId="3" borderId="1" xfId="0" applyFill="1" applyBorder="1"/>
    <xf numFmtId="0" fontId="1" fillId="18" borderId="1" xfId="1" applyFont="1" applyFill="1" applyBorder="1" applyAlignment="1">
      <alignment horizontal="left" indent="1"/>
    </xf>
    <xf numFmtId="41" fontId="0" fillId="18" borderId="1" xfId="0" applyNumberFormat="1" applyFill="1" applyBorder="1"/>
    <xf numFmtId="0" fontId="0" fillId="3" borderId="0" xfId="0" applyFill="1"/>
    <xf numFmtId="3" fontId="0" fillId="3" borderId="1" xfId="0" applyNumberFormat="1" applyFill="1" applyBorder="1"/>
    <xf numFmtId="0" fontId="1" fillId="18" borderId="0" xfId="10" applyFont="1" applyFill="1" applyAlignment="1">
      <alignment horizontal="left"/>
    </xf>
    <xf numFmtId="41" fontId="1" fillId="0" borderId="0" xfId="2" applyNumberFormat="1" applyFont="1"/>
    <xf numFmtId="41" fontId="1" fillId="3" borderId="1" xfId="2" applyNumberFormat="1" applyFont="1" applyFill="1" applyBorder="1"/>
    <xf numFmtId="41" fontId="0" fillId="3" borderId="1" xfId="0" applyNumberFormat="1" applyFill="1" applyBorder="1"/>
    <xf numFmtId="0" fontId="1" fillId="0" borderId="0" xfId="1" applyFont="1" applyAlignment="1">
      <alignment horizontal="left" indent="1"/>
    </xf>
    <xf numFmtId="0" fontId="4" fillId="4" borderId="0" xfId="3"/>
    <xf numFmtId="0" fontId="4" fillId="4" borderId="1" xfId="3" applyBorder="1" applyAlignment="1">
      <alignment horizontal="center"/>
    </xf>
    <xf numFmtId="0" fontId="0" fillId="2" borderId="1" xfId="1" quotePrefix="1" applyFont="1" applyFill="1" applyBorder="1"/>
    <xf numFmtId="0" fontId="9" fillId="19" borderId="1" xfId="6" applyFont="1" applyFill="1" applyBorder="1" applyAlignment="1" applyProtection="1">
      <alignment horizontal="center" vertical="center" wrapText="1"/>
      <protection locked="0"/>
    </xf>
    <xf numFmtId="0" fontId="10" fillId="19" borderId="1" xfId="6" applyFont="1" applyFill="1" applyBorder="1" applyAlignment="1" applyProtection="1">
      <alignment horizontal="center" vertical="center" wrapText="1"/>
      <protection locked="0"/>
    </xf>
    <xf numFmtId="0" fontId="9" fillId="3" borderId="1" xfId="11" applyFill="1" applyBorder="1" applyAlignment="1" applyProtection="1">
      <alignment horizontal="center" vertical="center" wrapText="1"/>
      <protection locked="0"/>
    </xf>
    <xf numFmtId="0" fontId="21" fillId="3" borderId="1" xfId="0" applyFont="1" applyFill="1" applyBorder="1" applyAlignment="1" applyProtection="1">
      <alignment horizontal="center"/>
      <protection locked="0"/>
    </xf>
    <xf numFmtId="3" fontId="10" fillId="13" borderId="1" xfId="6" applyNumberFormat="1" applyFont="1" applyFill="1" applyBorder="1" applyAlignment="1" applyProtection="1">
      <alignment horizontal="center" vertical="center"/>
      <protection locked="0"/>
    </xf>
    <xf numFmtId="3" fontId="21" fillId="13" borderId="1" xfId="6" applyNumberFormat="1" applyFont="1" applyFill="1" applyBorder="1" applyAlignment="1" applyProtection="1">
      <alignment horizontal="center" vertical="center"/>
      <protection locked="0"/>
    </xf>
    <xf numFmtId="164" fontId="0" fillId="0" borderId="10" xfId="1" applyNumberFormat="1" applyFont="1" applyBorder="1" applyAlignment="1">
      <alignment horizontal="left" vertical="center"/>
    </xf>
    <xf numFmtId="0" fontId="0" fillId="2" borderId="5" xfId="1" applyFont="1" applyFill="1" applyBorder="1" applyAlignment="1">
      <alignment horizontal="center"/>
    </xf>
    <xf numFmtId="164" fontId="0" fillId="0" borderId="10" xfId="1" applyNumberFormat="1" applyFont="1" applyBorder="1" applyAlignment="1">
      <alignment horizontal="center" vertical="center"/>
    </xf>
    <xf numFmtId="164" fontId="0" fillId="0" borderId="9" xfId="1" applyNumberFormat="1" applyFont="1" applyBorder="1" applyAlignment="1">
      <alignment horizontal="center" vertical="center"/>
    </xf>
    <xf numFmtId="4" fontId="0" fillId="3" borderId="35" xfId="0" applyNumberFormat="1" applyFill="1" applyBorder="1" applyAlignment="1">
      <alignment horizontal="center"/>
    </xf>
    <xf numFmtId="4" fontId="0" fillId="3" borderId="6" xfId="0" applyNumberFormat="1" applyFill="1" applyBorder="1" applyAlignment="1">
      <alignment horizontal="center"/>
    </xf>
    <xf numFmtId="4" fontId="0" fillId="3" borderId="36" xfId="0" applyNumberFormat="1" applyFill="1" applyBorder="1" applyAlignment="1">
      <alignment horizontal="center"/>
    </xf>
    <xf numFmtId="4" fontId="0" fillId="3" borderId="0" xfId="0" applyNumberFormat="1" applyFill="1" applyAlignment="1">
      <alignment horizontal="center"/>
    </xf>
    <xf numFmtId="0" fontId="9" fillId="7" borderId="7" xfId="6" applyFont="1" applyFill="1" applyBorder="1" applyAlignment="1" applyProtection="1">
      <alignment horizontal="center" vertical="center" wrapText="1"/>
      <protection locked="0"/>
    </xf>
    <xf numFmtId="0" fontId="10" fillId="7" borderId="7" xfId="6" applyFont="1" applyFill="1" applyBorder="1" applyAlignment="1" applyProtection="1">
      <alignment horizontal="center" vertical="center" wrapText="1"/>
      <protection locked="0"/>
    </xf>
    <xf numFmtId="1" fontId="0" fillId="0" borderId="0" xfId="0" applyNumberFormat="1"/>
    <xf numFmtId="41" fontId="0" fillId="0" borderId="0" xfId="0" applyNumberFormat="1"/>
    <xf numFmtId="43" fontId="0" fillId="0" borderId="0" xfId="0" applyNumberFormat="1"/>
    <xf numFmtId="0" fontId="10" fillId="0" borderId="1" xfId="0" applyFont="1" applyBorder="1" applyAlignment="1" applyProtection="1">
      <alignment horizontal="left" vertical="center"/>
      <protection locked="0"/>
    </xf>
    <xf numFmtId="0" fontId="10" fillId="0" borderId="1" xfId="0" applyFont="1" applyBorder="1" applyAlignment="1" applyProtection="1">
      <alignment vertical="center"/>
      <protection locked="0"/>
    </xf>
    <xf numFmtId="9" fontId="10" fillId="3" borderId="0" xfId="8" applyFont="1" applyFill="1" applyAlignment="1" applyProtection="1">
      <alignment vertical="center"/>
      <protection locked="0"/>
    </xf>
    <xf numFmtId="0" fontId="3" fillId="0" borderId="0" xfId="10" applyFont="1" applyAlignment="1">
      <alignment horizontal="left" indent="1"/>
    </xf>
    <xf numFmtId="0" fontId="3" fillId="0" borderId="14" xfId="10" applyFont="1" applyBorder="1" applyAlignment="1">
      <alignment horizontal="left" indent="1"/>
    </xf>
    <xf numFmtId="0" fontId="14" fillId="21" borderId="0" xfId="0" applyFont="1" applyFill="1"/>
    <xf numFmtId="0" fontId="25" fillId="21" borderId="0" xfId="0" applyFont="1" applyFill="1"/>
    <xf numFmtId="0" fontId="0" fillId="21" borderId="0" xfId="0" applyFill="1"/>
    <xf numFmtId="0" fontId="8" fillId="19" borderId="30" xfId="6" applyFont="1" applyFill="1" applyBorder="1" applyAlignment="1" applyProtection="1">
      <alignment horizontal="center" vertical="center" wrapText="1"/>
      <protection locked="0"/>
    </xf>
    <xf numFmtId="0" fontId="9" fillId="19" borderId="30" xfId="6" applyFont="1" applyFill="1" applyBorder="1" applyAlignment="1" applyProtection="1">
      <alignment horizontal="center" vertical="center" wrapText="1"/>
      <protection locked="0"/>
    </xf>
    <xf numFmtId="0" fontId="25" fillId="20" borderId="0" xfId="0" applyFont="1" applyFill="1"/>
    <xf numFmtId="169" fontId="0" fillId="0" borderId="0" xfId="0" applyNumberFormat="1"/>
    <xf numFmtId="0" fontId="4" fillId="4" borderId="59" xfId="3" applyBorder="1"/>
    <xf numFmtId="0" fontId="8" fillId="19" borderId="2" xfId="6" applyFont="1" applyFill="1" applyBorder="1" applyAlignment="1" applyProtection="1">
      <alignment vertical="center" wrapText="1"/>
      <protection locked="0"/>
    </xf>
    <xf numFmtId="0" fontId="0" fillId="0" borderId="34" xfId="0" applyBorder="1"/>
    <xf numFmtId="0" fontId="8" fillId="19" borderId="66" xfId="6" applyFont="1" applyFill="1" applyBorder="1" applyAlignment="1" applyProtection="1">
      <alignment horizontal="center" vertical="center" wrapText="1"/>
      <protection locked="0"/>
    </xf>
    <xf numFmtId="0" fontId="8" fillId="19" borderId="63" xfId="6" applyFont="1" applyFill="1" applyBorder="1" applyAlignment="1" applyProtection="1">
      <alignment vertical="center" wrapText="1"/>
      <protection locked="0"/>
    </xf>
    <xf numFmtId="1" fontId="0" fillId="0" borderId="44" xfId="0" applyNumberFormat="1" applyBorder="1"/>
    <xf numFmtId="0" fontId="0" fillId="0" borderId="22" xfId="0" applyBorder="1"/>
    <xf numFmtId="1" fontId="0" fillId="0" borderId="47" xfId="0" applyNumberFormat="1" applyBorder="1"/>
    <xf numFmtId="1" fontId="0" fillId="0" borderId="45" xfId="0" applyNumberFormat="1" applyBorder="1"/>
    <xf numFmtId="4" fontId="0" fillId="0" borderId="0" xfId="0" applyNumberFormat="1"/>
    <xf numFmtId="0" fontId="10" fillId="8" borderId="60" xfId="6" applyFont="1" applyFill="1" applyBorder="1" applyAlignment="1" applyProtection="1">
      <alignment vertical="center"/>
      <protection locked="0"/>
    </xf>
    <xf numFmtId="3" fontId="10" fillId="9" borderId="15" xfId="6" applyNumberFormat="1" applyFont="1" applyFill="1" applyBorder="1" applyAlignment="1" applyProtection="1">
      <alignment horizontal="center" vertical="center"/>
      <protection locked="0"/>
    </xf>
    <xf numFmtId="0" fontId="10" fillId="0" borderId="60" xfId="6" applyFont="1" applyBorder="1" applyAlignment="1" applyProtection="1">
      <alignment vertical="center"/>
      <protection locked="0"/>
    </xf>
    <xf numFmtId="3" fontId="10" fillId="0" borderId="15" xfId="6" applyNumberFormat="1" applyFont="1" applyBorder="1" applyAlignment="1" applyProtection="1">
      <alignment horizontal="center" vertical="center"/>
      <protection locked="0"/>
    </xf>
    <xf numFmtId="0" fontId="10" fillId="10" borderId="60" xfId="6" applyFont="1" applyFill="1" applyBorder="1" applyAlignment="1" applyProtection="1">
      <alignment vertical="center"/>
      <protection locked="0"/>
    </xf>
    <xf numFmtId="3" fontId="10" fillId="3" borderId="15" xfId="6" applyNumberFormat="1" applyFont="1" applyFill="1" applyBorder="1" applyAlignment="1" applyProtection="1">
      <alignment horizontal="center" vertical="center"/>
      <protection locked="0"/>
    </xf>
    <xf numFmtId="0" fontId="10" fillId="8" borderId="66" xfId="6" applyFont="1" applyFill="1" applyBorder="1" applyAlignment="1" applyProtection="1">
      <alignment vertical="center"/>
      <protection locked="0"/>
    </xf>
    <xf numFmtId="0" fontId="14" fillId="3" borderId="0" xfId="0" applyFont="1" applyFill="1"/>
    <xf numFmtId="1" fontId="0" fillId="3" borderId="0" xfId="0" applyNumberFormat="1" applyFill="1"/>
    <xf numFmtId="46" fontId="0" fillId="0" borderId="0" xfId="0" applyNumberFormat="1"/>
    <xf numFmtId="0" fontId="0" fillId="0" borderId="34" xfId="0" applyBorder="1" applyAlignment="1">
      <alignment wrapText="1"/>
    </xf>
    <xf numFmtId="0" fontId="0" fillId="0" borderId="22" xfId="0" applyBorder="1" applyAlignment="1">
      <alignment wrapText="1"/>
    </xf>
    <xf numFmtId="172" fontId="0" fillId="0" borderId="0" xfId="0" applyNumberFormat="1"/>
    <xf numFmtId="0" fontId="8" fillId="7" borderId="34" xfId="6" applyFont="1" applyFill="1" applyBorder="1" applyAlignment="1" applyProtection="1">
      <alignment horizontal="center" vertical="center" wrapText="1"/>
      <protection locked="0"/>
    </xf>
    <xf numFmtId="0" fontId="8" fillId="7" borderId="22" xfId="6" applyFont="1" applyFill="1" applyBorder="1" applyAlignment="1" applyProtection="1">
      <alignment horizontal="center" vertical="center" wrapText="1"/>
      <protection locked="0"/>
    </xf>
    <xf numFmtId="0" fontId="0" fillId="0" borderId="48" xfId="0" applyBorder="1"/>
    <xf numFmtId="0" fontId="0" fillId="0" borderId="20" xfId="0" applyBorder="1"/>
    <xf numFmtId="0" fontId="0" fillId="0" borderId="43" xfId="0" applyBorder="1"/>
    <xf numFmtId="0" fontId="0" fillId="2" borderId="15" xfId="0" applyFill="1" applyBorder="1"/>
    <xf numFmtId="1" fontId="3" fillId="0" borderId="0" xfId="0" applyNumberFormat="1" applyFont="1"/>
    <xf numFmtId="0" fontId="0" fillId="0" borderId="0" xfId="0" applyAlignment="1">
      <alignment horizontal="right"/>
    </xf>
    <xf numFmtId="0" fontId="10" fillId="3" borderId="73" xfId="0" applyFont="1" applyFill="1" applyBorder="1" applyAlignment="1" applyProtection="1">
      <alignment vertical="center"/>
      <protection locked="0"/>
    </xf>
    <xf numFmtId="0" fontId="8" fillId="19" borderId="63" xfId="6" applyFont="1" applyFill="1" applyBorder="1" applyAlignment="1" applyProtection="1">
      <alignment horizontal="center" vertical="center" wrapText="1"/>
      <protection locked="0"/>
    </xf>
    <xf numFmtId="0" fontId="0" fillId="0" borderId="9" xfId="1" quotePrefix="1" applyFont="1" applyBorder="1" applyAlignment="1">
      <alignment horizontal="left" indent="1"/>
    </xf>
    <xf numFmtId="2" fontId="0" fillId="0" borderId="0" xfId="0" applyNumberFormat="1"/>
    <xf numFmtId="2" fontId="0" fillId="0" borderId="44" xfId="0" applyNumberFormat="1" applyBorder="1"/>
    <xf numFmtId="0" fontId="10" fillId="12" borderId="1" xfId="6" applyFont="1" applyFill="1" applyBorder="1" applyAlignment="1" applyProtection="1">
      <alignment vertical="center"/>
      <protection locked="0"/>
    </xf>
    <xf numFmtId="0" fontId="10" fillId="8" borderId="46" xfId="6" applyFont="1" applyFill="1" applyBorder="1" applyAlignment="1" applyProtection="1">
      <alignment vertical="center"/>
      <protection locked="0"/>
    </xf>
    <xf numFmtId="0" fontId="3" fillId="20" borderId="1" xfId="3" applyFont="1" applyFill="1" applyBorder="1" applyAlignment="1">
      <alignment horizontal="center"/>
    </xf>
    <xf numFmtId="0" fontId="3" fillId="20" borderId="15" xfId="3" applyFont="1" applyFill="1" applyBorder="1" applyAlignment="1">
      <alignment horizontal="center"/>
    </xf>
    <xf numFmtId="0" fontId="21" fillId="0" borderId="0" xfId="0" applyFont="1" applyAlignment="1" applyProtection="1">
      <alignment horizontal="center" vertical="center" wrapText="1"/>
      <protection locked="0"/>
    </xf>
    <xf numFmtId="41" fontId="0" fillId="0" borderId="3" xfId="0" applyNumberFormat="1" applyBorder="1"/>
    <xf numFmtId="2" fontId="0" fillId="3" borderId="0" xfId="0" applyNumberFormat="1" applyFill="1"/>
    <xf numFmtId="0" fontId="0" fillId="0" borderId="1" xfId="0" quotePrefix="1" applyBorder="1"/>
    <xf numFmtId="1" fontId="0" fillId="18" borderId="1" xfId="0" applyNumberFormat="1" applyFill="1" applyBorder="1"/>
    <xf numFmtId="0" fontId="0" fillId="0" borderId="0" xfId="0" applyAlignment="1">
      <alignment wrapText="1"/>
    </xf>
    <xf numFmtId="0" fontId="0" fillId="20" borderId="0" xfId="0" applyFill="1"/>
    <xf numFmtId="169" fontId="4" fillId="4" borderId="50" xfId="3" applyNumberFormat="1" applyBorder="1"/>
    <xf numFmtId="169" fontId="0" fillId="0" borderId="44" xfId="0" applyNumberFormat="1" applyBorder="1"/>
    <xf numFmtId="0" fontId="0" fillId="0" borderId="0" xfId="0" quotePrefix="1"/>
    <xf numFmtId="0" fontId="8" fillId="19" borderId="74" xfId="6" applyFont="1" applyFill="1" applyBorder="1" applyAlignment="1" applyProtection="1">
      <alignment horizontal="center" vertical="center" wrapText="1"/>
      <protection locked="0"/>
    </xf>
    <xf numFmtId="0" fontId="8" fillId="19" borderId="75" xfId="6" applyFont="1" applyFill="1" applyBorder="1" applyAlignment="1" applyProtection="1">
      <alignment vertical="center" wrapText="1"/>
      <protection locked="0"/>
    </xf>
    <xf numFmtId="0" fontId="8" fillId="19" borderId="68" xfId="6" applyFont="1" applyFill="1" applyBorder="1" applyAlignment="1" applyProtection="1">
      <alignment vertical="center" wrapText="1"/>
      <protection locked="0"/>
    </xf>
    <xf numFmtId="9" fontId="0" fillId="0" borderId="44" xfId="0" applyNumberFormat="1" applyBorder="1"/>
    <xf numFmtId="0" fontId="0" fillId="3" borderId="34" xfId="0" applyFill="1" applyBorder="1"/>
    <xf numFmtId="0" fontId="0" fillId="3" borderId="44" xfId="0" applyFill="1" applyBorder="1"/>
    <xf numFmtId="169" fontId="0" fillId="3" borderId="0" xfId="0" applyNumberFormat="1" applyFill="1"/>
    <xf numFmtId="169" fontId="0" fillId="3" borderId="44" xfId="0" applyNumberFormat="1" applyFill="1" applyBorder="1"/>
    <xf numFmtId="1" fontId="0" fillId="3" borderId="44" xfId="0" applyNumberFormat="1" applyFill="1" applyBorder="1"/>
    <xf numFmtId="0" fontId="26" fillId="20" borderId="34" xfId="3" applyFont="1" applyFill="1" applyBorder="1" applyAlignment="1">
      <alignment horizontal="center"/>
    </xf>
    <xf numFmtId="10" fontId="4" fillId="4" borderId="1" xfId="3" applyNumberFormat="1" applyBorder="1"/>
    <xf numFmtId="10" fontId="4" fillId="4" borderId="15" xfId="3" applyNumberFormat="1" applyBorder="1"/>
    <xf numFmtId="171" fontId="0" fillId="0" borderId="1" xfId="0" applyNumberFormat="1" applyBorder="1"/>
    <xf numFmtId="9" fontId="0" fillId="3" borderId="1" xfId="0" applyNumberFormat="1" applyFill="1" applyBorder="1"/>
    <xf numFmtId="173" fontId="0" fillId="3" borderId="1" xfId="0" applyNumberFormat="1" applyFill="1" applyBorder="1"/>
    <xf numFmtId="0" fontId="26" fillId="20" borderId="34" xfId="3" applyFont="1" applyFill="1" applyBorder="1" applyAlignment="1">
      <alignment horizontal="center" wrapText="1"/>
    </xf>
    <xf numFmtId="3" fontId="0" fillId="0" borderId="44" xfId="0" applyNumberFormat="1" applyBorder="1"/>
    <xf numFmtId="3" fontId="0" fillId="0" borderId="47" xfId="0" applyNumberFormat="1" applyBorder="1"/>
    <xf numFmtId="3" fontId="0" fillId="0" borderId="45" xfId="0" applyNumberFormat="1" applyBorder="1"/>
    <xf numFmtId="174" fontId="0" fillId="0" borderId="0" xfId="0" applyNumberFormat="1"/>
    <xf numFmtId="20" fontId="0" fillId="0" borderId="0" xfId="0" applyNumberFormat="1"/>
    <xf numFmtId="0" fontId="27" fillId="0" borderId="0" xfId="0" applyFont="1"/>
    <xf numFmtId="0" fontId="4" fillId="4" borderId="0" xfId="3" applyBorder="1" applyAlignment="1"/>
    <xf numFmtId="0" fontId="4" fillId="4" borderId="0" xfId="3" applyAlignment="1"/>
    <xf numFmtId="0" fontId="6" fillId="0" borderId="0" xfId="0" applyFont="1"/>
    <xf numFmtId="10" fontId="4" fillId="4" borderId="7" xfId="3" applyNumberFormat="1" applyBorder="1"/>
    <xf numFmtId="0" fontId="4" fillId="4" borderId="48" xfId="3" applyBorder="1"/>
    <xf numFmtId="0" fontId="4" fillId="4" borderId="20" xfId="3" applyBorder="1"/>
    <xf numFmtId="0" fontId="4" fillId="4" borderId="15" xfId="3" applyBorder="1"/>
    <xf numFmtId="0" fontId="4" fillId="4" borderId="50" xfId="3" applyBorder="1"/>
    <xf numFmtId="0" fontId="4" fillId="4" borderId="29" xfId="3" applyBorder="1"/>
    <xf numFmtId="0" fontId="4" fillId="4" borderId="2" xfId="3" applyBorder="1" applyAlignment="1">
      <alignment horizontal="right"/>
    </xf>
    <xf numFmtId="0" fontId="4" fillId="4" borderId="63" xfId="3" applyBorder="1" applyAlignment="1">
      <alignment horizontal="right"/>
    </xf>
    <xf numFmtId="0" fontId="4" fillId="4" borderId="16" xfId="3" applyBorder="1" applyAlignment="1">
      <alignment horizontal="right"/>
    </xf>
    <xf numFmtId="0" fontId="4" fillId="4" borderId="50" xfId="3" applyBorder="1" applyAlignment="1">
      <alignment horizontal="right"/>
    </xf>
    <xf numFmtId="0" fontId="4" fillId="4" borderId="21" xfId="3" applyBorder="1"/>
    <xf numFmtId="0" fontId="4" fillId="4" borderId="14" xfId="3" applyBorder="1" applyAlignment="1">
      <alignment horizontal="left"/>
    </xf>
    <xf numFmtId="0" fontId="4" fillId="4" borderId="75" xfId="3" applyBorder="1" applyAlignment="1">
      <alignment horizontal="left"/>
    </xf>
    <xf numFmtId="1" fontId="4" fillId="4" borderId="0" xfId="3" applyNumberFormat="1"/>
    <xf numFmtId="0" fontId="8" fillId="19" borderId="60" xfId="6" applyFont="1" applyFill="1" applyBorder="1" applyAlignment="1" applyProtection="1">
      <alignment horizontal="center" vertical="center" wrapText="1"/>
      <protection locked="0"/>
    </xf>
    <xf numFmtId="0" fontId="8" fillId="19" borderId="1" xfId="6" applyFont="1" applyFill="1" applyBorder="1" applyAlignment="1" applyProtection="1">
      <alignment vertical="center" wrapText="1"/>
      <protection locked="0"/>
    </xf>
    <xf numFmtId="0" fontId="8" fillId="19" borderId="15" xfId="6" applyFont="1" applyFill="1" applyBorder="1" applyAlignment="1" applyProtection="1">
      <alignment vertical="center" wrapText="1"/>
      <protection locked="0"/>
    </xf>
    <xf numFmtId="0" fontId="13" fillId="22" borderId="0" xfId="9" applyFill="1" applyAlignment="1"/>
    <xf numFmtId="0" fontId="0" fillId="23" borderId="0" xfId="0" applyFill="1" applyAlignment="1">
      <alignment horizontal="center"/>
    </xf>
    <xf numFmtId="0" fontId="3" fillId="24" borderId="0" xfId="0" applyFont="1" applyFill="1"/>
    <xf numFmtId="0" fontId="26" fillId="21" borderId="0" xfId="0" applyFont="1" applyFill="1"/>
    <xf numFmtId="0" fontId="8" fillId="7" borderId="1" xfId="6" applyFont="1" applyFill="1" applyBorder="1" applyAlignment="1" applyProtection="1">
      <alignment horizontal="center" vertical="center" wrapText="1"/>
      <protection locked="0"/>
    </xf>
    <xf numFmtId="0" fontId="8" fillId="7" borderId="0" xfId="6" applyFont="1" applyFill="1" applyAlignment="1" applyProtection="1">
      <alignment horizontal="center" vertical="center" wrapText="1"/>
      <protection locked="0"/>
    </xf>
    <xf numFmtId="0" fontId="4" fillId="4" borderId="4" xfId="3" applyBorder="1" applyAlignment="1">
      <alignment horizontal="center"/>
    </xf>
    <xf numFmtId="0" fontId="0" fillId="0" borderId="0" xfId="1" applyFont="1" applyAlignment="1">
      <alignment horizontal="center"/>
    </xf>
    <xf numFmtId="0" fontId="14" fillId="21" borderId="0" xfId="0" applyFont="1" applyFill="1" applyAlignment="1">
      <alignment horizontal="center" vertical="center"/>
    </xf>
    <xf numFmtId="1" fontId="0" fillId="0" borderId="30" xfId="0" applyNumberFormat="1" applyBorder="1"/>
    <xf numFmtId="173" fontId="0" fillId="0" borderId="0" xfId="0" applyNumberFormat="1"/>
    <xf numFmtId="175" fontId="0" fillId="0" borderId="0" xfId="0" applyNumberFormat="1"/>
    <xf numFmtId="176" fontId="0" fillId="0" borderId="0" xfId="0" applyNumberFormat="1"/>
    <xf numFmtId="177" fontId="0" fillId="0" borderId="0" xfId="0" applyNumberFormat="1"/>
    <xf numFmtId="166" fontId="10" fillId="11" borderId="36" xfId="5" applyNumberFormat="1" applyFont="1" applyFill="1" applyBorder="1" applyAlignment="1" applyProtection="1">
      <alignment horizontal="right" vertical="center"/>
      <protection locked="0"/>
    </xf>
    <xf numFmtId="0" fontId="10" fillId="14" borderId="5" xfId="6" applyFont="1" applyFill="1" applyBorder="1" applyAlignment="1" applyProtection="1">
      <alignment vertical="center"/>
      <protection locked="0"/>
    </xf>
    <xf numFmtId="3" fontId="10" fillId="15" borderId="5" xfId="6" applyNumberFormat="1" applyFont="1" applyFill="1" applyBorder="1" applyAlignment="1" applyProtection="1">
      <alignment horizontal="right" vertical="center"/>
      <protection locked="0"/>
    </xf>
    <xf numFmtId="0" fontId="10" fillId="0" borderId="5" xfId="6" applyFont="1" applyBorder="1" applyAlignment="1" applyProtection="1">
      <alignment vertical="center"/>
      <protection locked="0"/>
    </xf>
    <xf numFmtId="3" fontId="10" fillId="9" borderId="5" xfId="6" applyNumberFormat="1" applyFont="1" applyFill="1" applyBorder="1" applyAlignment="1" applyProtection="1">
      <alignment horizontal="right" vertical="center"/>
      <protection locked="0"/>
    </xf>
    <xf numFmtId="169" fontId="4" fillId="4" borderId="7" xfId="3" applyNumberFormat="1" applyBorder="1" applyAlignment="1">
      <alignment horizontal="right"/>
    </xf>
    <xf numFmtId="0" fontId="10" fillId="10" borderId="34" xfId="6" applyFont="1" applyFill="1" applyBorder="1" applyAlignment="1" applyProtection="1">
      <alignment vertical="center"/>
      <protection locked="0"/>
    </xf>
    <xf numFmtId="3" fontId="10" fillId="9" borderId="0" xfId="6" applyNumberFormat="1" applyFont="1" applyFill="1" applyAlignment="1" applyProtection="1">
      <alignment horizontal="right" vertical="center"/>
      <protection locked="0"/>
    </xf>
    <xf numFmtId="3" fontId="10" fillId="9" borderId="44" xfId="6" applyNumberFormat="1" applyFont="1" applyFill="1" applyBorder="1" applyAlignment="1" applyProtection="1">
      <alignment horizontal="right" vertical="center"/>
      <protection locked="0"/>
    </xf>
    <xf numFmtId="0" fontId="10" fillId="8" borderId="76" xfId="6" applyFont="1" applyFill="1" applyBorder="1" applyAlignment="1" applyProtection="1">
      <alignment vertical="center"/>
      <protection locked="0"/>
    </xf>
    <xf numFmtId="0" fontId="10" fillId="10" borderId="78" xfId="6" applyFont="1" applyFill="1" applyBorder="1" applyAlignment="1" applyProtection="1">
      <alignment vertical="center"/>
      <protection locked="0"/>
    </xf>
    <xf numFmtId="3" fontId="10" fillId="9" borderId="63" xfId="6" applyNumberFormat="1" applyFont="1" applyFill="1" applyBorder="1" applyAlignment="1" applyProtection="1">
      <alignment horizontal="right" vertical="center"/>
      <protection locked="0"/>
    </xf>
    <xf numFmtId="165" fontId="0" fillId="0" borderId="47" xfId="0" applyNumberFormat="1" applyBorder="1"/>
    <xf numFmtId="0" fontId="0" fillId="0" borderId="4" xfId="0" applyBorder="1"/>
    <xf numFmtId="0" fontId="0" fillId="0" borderId="30" xfId="0" applyBorder="1"/>
    <xf numFmtId="0" fontId="0" fillId="0" borderId="31" xfId="0" applyBorder="1"/>
    <xf numFmtId="169" fontId="0" fillId="0" borderId="35" xfId="0" applyNumberFormat="1" applyBorder="1"/>
    <xf numFmtId="169" fontId="0" fillId="0" borderId="13" xfId="0" applyNumberFormat="1" applyBorder="1"/>
    <xf numFmtId="8" fontId="0" fillId="0" borderId="0" xfId="0" applyNumberFormat="1"/>
    <xf numFmtId="0" fontId="0" fillId="0" borderId="36" xfId="0" applyBorder="1"/>
    <xf numFmtId="0" fontId="0" fillId="0" borderId="32" xfId="0" applyBorder="1"/>
    <xf numFmtId="0" fontId="0" fillId="0" borderId="35" xfId="0" applyBorder="1" applyAlignment="1">
      <alignment horizontal="center"/>
    </xf>
    <xf numFmtId="0" fontId="14" fillId="0" borderId="1" xfId="0" applyFont="1" applyBorder="1"/>
    <xf numFmtId="0" fontId="0" fillId="0" borderId="35" xfId="0" applyBorder="1" applyAlignment="1">
      <alignment horizontal="left"/>
    </xf>
    <xf numFmtId="0" fontId="0" fillId="2" borderId="1" xfId="1" applyFont="1" applyFill="1" applyBorder="1" applyAlignment="1">
      <alignment horizontal="left"/>
    </xf>
    <xf numFmtId="41" fontId="3" fillId="0" borderId="33" xfId="4" applyNumberFormat="1" applyFont="1" applyFill="1"/>
    <xf numFmtId="1" fontId="5" fillId="0" borderId="33" xfId="4" applyNumberFormat="1" applyFill="1"/>
    <xf numFmtId="1" fontId="13" fillId="17" borderId="33" xfId="9" applyNumberFormat="1" applyBorder="1"/>
    <xf numFmtId="0" fontId="10" fillId="19" borderId="31" xfId="6" applyFont="1" applyFill="1" applyBorder="1" applyAlignment="1" applyProtection="1">
      <alignment horizontal="center" vertical="center" wrapText="1"/>
      <protection locked="0"/>
    </xf>
    <xf numFmtId="0" fontId="0" fillId="24" borderId="0" xfId="0" applyFill="1"/>
    <xf numFmtId="1" fontId="0" fillId="24" borderId="0" xfId="0" applyNumberFormat="1" applyFill="1"/>
    <xf numFmtId="9" fontId="0" fillId="26" borderId="0" xfId="0" applyNumberFormat="1" applyFill="1"/>
    <xf numFmtId="10" fontId="0" fillId="26" borderId="0" xfId="0" applyNumberFormat="1" applyFill="1"/>
    <xf numFmtId="3" fontId="0" fillId="24" borderId="0" xfId="0" applyNumberFormat="1" applyFill="1"/>
    <xf numFmtId="0" fontId="0" fillId="26" borderId="1" xfId="0" applyFill="1" applyBorder="1"/>
    <xf numFmtId="0" fontId="0" fillId="26" borderId="0" xfId="0" applyFill="1"/>
    <xf numFmtId="169" fontId="0" fillId="27" borderId="0" xfId="0" applyNumberFormat="1" applyFill="1"/>
    <xf numFmtId="0" fontId="0" fillId="26" borderId="14" xfId="0" applyFill="1" applyBorder="1"/>
    <xf numFmtId="0" fontId="0" fillId="2" borderId="8" xfId="1" applyFont="1" applyFill="1" applyBorder="1" applyAlignment="1">
      <alignment horizontal="left" indent="1"/>
    </xf>
    <xf numFmtId="0" fontId="0" fillId="2" borderId="8" xfId="1" applyFont="1" applyFill="1" applyBorder="1" applyAlignment="1">
      <alignment horizontal="center"/>
    </xf>
    <xf numFmtId="0" fontId="0" fillId="2" borderId="9" xfId="1" applyFont="1" applyFill="1" applyBorder="1" applyAlignment="1">
      <alignment horizontal="center"/>
    </xf>
    <xf numFmtId="41" fontId="0" fillId="2" borderId="9" xfId="2" applyNumberFormat="1" applyFont="1" applyFill="1" applyBorder="1"/>
    <xf numFmtId="41" fontId="1" fillId="2" borderId="10" xfId="2" applyNumberFormat="1" applyFont="1" applyFill="1" applyBorder="1"/>
    <xf numFmtId="41" fontId="1" fillId="2" borderId="11" xfId="2" applyNumberFormat="1" applyFont="1" applyFill="1" applyBorder="1"/>
    <xf numFmtId="3" fontId="10" fillId="28" borderId="1" xfId="6" applyNumberFormat="1" applyFont="1" applyFill="1" applyBorder="1" applyAlignment="1" applyProtection="1">
      <alignment horizontal="right" vertical="center"/>
      <protection locked="0"/>
    </xf>
    <xf numFmtId="0" fontId="8" fillId="7" borderId="4" xfId="6" applyFont="1" applyFill="1" applyBorder="1" applyAlignment="1" applyProtection="1">
      <alignment horizontal="center" vertical="center" wrapText="1"/>
      <protection locked="0"/>
    </xf>
    <xf numFmtId="0" fontId="0" fillId="30" borderId="0" xfId="0" applyFill="1"/>
    <xf numFmtId="166" fontId="10" fillId="29" borderId="1" xfId="5" applyNumberFormat="1" applyFont="1" applyFill="1" applyBorder="1" applyAlignment="1" applyProtection="1">
      <alignment horizontal="center" vertical="center"/>
      <protection locked="0"/>
    </xf>
    <xf numFmtId="166" fontId="21" fillId="29" borderId="1" xfId="5" applyNumberFormat="1" applyFont="1" applyFill="1" applyBorder="1" applyAlignment="1" applyProtection="1">
      <alignment horizontal="center" vertical="center"/>
      <protection locked="0"/>
    </xf>
    <xf numFmtId="0" fontId="9" fillId="3" borderId="0" xfId="11" applyFill="1" applyAlignment="1" applyProtection="1">
      <alignment horizontal="center" vertical="center" wrapText="1"/>
      <protection locked="0"/>
    </xf>
    <xf numFmtId="166" fontId="10" fillId="33" borderId="1" xfId="5" applyNumberFormat="1" applyFont="1" applyFill="1" applyBorder="1" applyAlignment="1" applyProtection="1">
      <alignment horizontal="center" vertical="center"/>
      <protection locked="0"/>
    </xf>
    <xf numFmtId="0" fontId="0" fillId="32" borderId="0" xfId="0" applyFill="1"/>
    <xf numFmtId="0" fontId="0" fillId="24" borderId="48" xfId="0" applyFill="1" applyBorder="1"/>
    <xf numFmtId="0" fontId="0" fillId="24" borderId="34" xfId="0" applyFill="1" applyBorder="1"/>
    <xf numFmtId="0" fontId="0" fillId="24" borderId="22" xfId="0" applyFill="1" applyBorder="1"/>
    <xf numFmtId="3" fontId="10" fillId="6" borderId="15" xfId="6" applyNumberFormat="1" applyFont="1" applyFill="1" applyBorder="1" applyAlignment="1" applyProtection="1">
      <alignment horizontal="center" vertical="center"/>
      <protection locked="0"/>
    </xf>
    <xf numFmtId="3" fontId="10" fillId="9" borderId="50" xfId="6" applyNumberFormat="1" applyFont="1" applyFill="1" applyBorder="1" applyAlignment="1" applyProtection="1">
      <alignment horizontal="center" vertical="center"/>
      <protection locked="0"/>
    </xf>
    <xf numFmtId="3" fontId="10" fillId="13" borderId="63" xfId="6" applyNumberFormat="1" applyFont="1" applyFill="1" applyBorder="1" applyAlignment="1" applyProtection="1">
      <alignment horizontal="center" vertical="center"/>
      <protection locked="0"/>
    </xf>
    <xf numFmtId="3" fontId="10" fillId="13" borderId="15" xfId="6" applyNumberFormat="1" applyFont="1" applyFill="1" applyBorder="1" applyAlignment="1" applyProtection="1">
      <alignment horizontal="center" vertical="center"/>
      <protection locked="0"/>
    </xf>
    <xf numFmtId="0" fontId="3" fillId="3" borderId="33" xfId="4" applyFont="1" applyFill="1"/>
    <xf numFmtId="2" fontId="3" fillId="3" borderId="33" xfId="4" applyNumberFormat="1" applyFont="1" applyFill="1"/>
    <xf numFmtId="0" fontId="3" fillId="3" borderId="62" xfId="4" applyFont="1" applyFill="1" applyBorder="1"/>
    <xf numFmtId="0" fontId="3" fillId="3" borderId="0" xfId="0" applyFont="1" applyFill="1"/>
    <xf numFmtId="43" fontId="0" fillId="3" borderId="0" xfId="0" applyNumberFormat="1" applyFill="1"/>
    <xf numFmtId="0" fontId="0" fillId="0" borderId="69" xfId="0" applyBorder="1"/>
    <xf numFmtId="9" fontId="0" fillId="24" borderId="0" xfId="0" applyNumberFormat="1" applyFill="1"/>
    <xf numFmtId="9" fontId="0" fillId="24" borderId="44" xfId="0" applyNumberFormat="1" applyFill="1" applyBorder="1"/>
    <xf numFmtId="0" fontId="0" fillId="0" borderId="73" xfId="0" applyBorder="1"/>
    <xf numFmtId="9" fontId="0" fillId="24" borderId="47" xfId="0" applyNumberFormat="1" applyFill="1" applyBorder="1"/>
    <xf numFmtId="9" fontId="0" fillId="24" borderId="45" xfId="0" applyNumberFormat="1" applyFill="1" applyBorder="1"/>
    <xf numFmtId="0" fontId="0" fillId="24" borderId="44" xfId="0" applyFill="1" applyBorder="1"/>
    <xf numFmtId="0" fontId="3" fillId="3" borderId="22" xfId="3" applyFont="1" applyFill="1" applyBorder="1" applyAlignment="1">
      <alignment horizontal="left" indent="1"/>
    </xf>
    <xf numFmtId="0" fontId="3" fillId="3" borderId="24" xfId="3" applyFont="1" applyFill="1" applyBorder="1" applyAlignment="1">
      <alignment horizontal="left" indent="1"/>
    </xf>
    <xf numFmtId="1" fontId="0" fillId="24" borderId="1" xfId="0" applyNumberFormat="1" applyFill="1" applyBorder="1" applyAlignment="1">
      <alignment horizontal="center"/>
    </xf>
    <xf numFmtId="1" fontId="9" fillId="0" borderId="1" xfId="6" applyNumberFormat="1" applyFont="1" applyBorder="1" applyAlignment="1" applyProtection="1">
      <alignment vertical="center" wrapText="1"/>
      <protection locked="0"/>
    </xf>
    <xf numFmtId="1" fontId="0" fillId="24" borderId="1" xfId="0" applyNumberFormat="1" applyFill="1" applyBorder="1"/>
    <xf numFmtId="1" fontId="10" fillId="25" borderId="1" xfId="6" applyNumberFormat="1" applyFont="1" applyFill="1" applyBorder="1" applyAlignment="1" applyProtection="1">
      <alignment horizontal="center" vertical="center" wrapText="1"/>
      <protection locked="0"/>
    </xf>
    <xf numFmtId="167" fontId="0" fillId="0" borderId="0" xfId="0" applyNumberFormat="1"/>
    <xf numFmtId="0" fontId="0" fillId="24" borderId="12" xfId="0" applyFill="1" applyBorder="1"/>
    <xf numFmtId="0" fontId="0" fillId="24" borderId="13" xfId="0" applyFill="1" applyBorder="1"/>
    <xf numFmtId="0" fontId="0" fillId="24" borderId="14" xfId="0" applyFill="1" applyBorder="1"/>
    <xf numFmtId="0" fontId="0" fillId="24" borderId="5" xfId="0" applyFill="1" applyBorder="1"/>
    <xf numFmtId="0" fontId="3" fillId="3" borderId="0" xfId="3" applyFont="1" applyFill="1"/>
    <xf numFmtId="0" fontId="3" fillId="2" borderId="1" xfId="3" applyFont="1" applyFill="1" applyBorder="1" applyAlignment="1">
      <alignment horizontal="center"/>
    </xf>
    <xf numFmtId="0" fontId="3" fillId="2" borderId="1" xfId="3" applyFont="1" applyFill="1" applyBorder="1"/>
    <xf numFmtId="0" fontId="3" fillId="3" borderId="1" xfId="3" applyFont="1" applyFill="1" applyBorder="1" applyAlignment="1">
      <alignment horizontal="center"/>
    </xf>
    <xf numFmtId="9" fontId="3" fillId="3" borderId="1" xfId="3" applyNumberFormat="1" applyFont="1" applyFill="1" applyBorder="1"/>
    <xf numFmtId="0" fontId="3" fillId="35" borderId="0" xfId="0" applyFont="1" applyFill="1"/>
    <xf numFmtId="1" fontId="3" fillId="3" borderId="33" xfId="4" applyNumberFormat="1" applyFont="1" applyFill="1"/>
    <xf numFmtId="1" fontId="3" fillId="3" borderId="71" xfId="4" applyNumberFormat="1" applyFont="1" applyFill="1" applyBorder="1"/>
    <xf numFmtId="1" fontId="3" fillId="3" borderId="72" xfId="4" applyNumberFormat="1" applyFont="1" applyFill="1" applyBorder="1"/>
    <xf numFmtId="10" fontId="0" fillId="24" borderId="34" xfId="0" applyNumberFormat="1" applyFill="1" applyBorder="1"/>
    <xf numFmtId="0" fontId="0" fillId="24" borderId="77" xfId="0" applyFill="1" applyBorder="1"/>
    <xf numFmtId="1" fontId="0" fillId="2" borderId="1" xfId="0" applyNumberFormat="1" applyFill="1" applyBorder="1"/>
    <xf numFmtId="1" fontId="3" fillId="0" borderId="82" xfId="4" applyNumberFormat="1" applyFont="1" applyFill="1" applyBorder="1"/>
    <xf numFmtId="1" fontId="3" fillId="0" borderId="81" xfId="4" applyNumberFormat="1" applyFont="1" applyFill="1" applyBorder="1"/>
    <xf numFmtId="0" fontId="3" fillId="0" borderId="83" xfId="4" applyFont="1" applyFill="1" applyBorder="1"/>
    <xf numFmtId="0" fontId="10" fillId="36" borderId="61" xfId="6" applyFont="1" applyFill="1" applyBorder="1" applyAlignment="1" applyProtection="1">
      <alignment vertical="center"/>
      <protection locked="0"/>
    </xf>
    <xf numFmtId="0" fontId="10" fillId="12" borderId="66" xfId="6" applyFont="1" applyFill="1" applyBorder="1" applyAlignment="1" applyProtection="1">
      <alignment vertical="center"/>
      <protection locked="0"/>
    </xf>
    <xf numFmtId="0" fontId="24" fillId="34" borderId="0" xfId="9" applyFont="1" applyFill="1" applyAlignment="1">
      <alignment horizontal="center" vertical="center"/>
    </xf>
    <xf numFmtId="0" fontId="24" fillId="31" borderId="0" xfId="9" applyFont="1" applyFill="1" applyAlignment="1">
      <alignment horizontal="center" vertical="center"/>
    </xf>
    <xf numFmtId="0" fontId="24" fillId="32" borderId="0" xfId="9" applyFont="1" applyFill="1" applyAlignment="1">
      <alignment horizontal="center" vertical="center"/>
    </xf>
    <xf numFmtId="0" fontId="10" fillId="19" borderId="32" xfId="0" applyFont="1" applyFill="1" applyBorder="1" applyAlignment="1" applyProtection="1">
      <alignment horizontal="center" vertical="center" wrapText="1"/>
      <protection locked="0"/>
    </xf>
    <xf numFmtId="0" fontId="10" fillId="20" borderId="12" xfId="0" applyFont="1" applyFill="1" applyBorder="1" applyAlignment="1" applyProtection="1">
      <alignment horizontal="center" vertical="center" wrapText="1"/>
      <protection locked="0"/>
    </xf>
    <xf numFmtId="3" fontId="10" fillId="13" borderId="12" xfId="6" applyNumberFormat="1" applyFont="1" applyFill="1" applyBorder="1" applyAlignment="1" applyProtection="1">
      <alignment horizontal="center" vertical="center"/>
      <protection locked="0"/>
    </xf>
    <xf numFmtId="3" fontId="10" fillId="3" borderId="12" xfId="6" applyNumberFormat="1" applyFont="1" applyFill="1" applyBorder="1" applyAlignment="1" applyProtection="1">
      <alignment horizontal="center" vertical="center"/>
      <protection locked="0"/>
    </xf>
    <xf numFmtId="3" fontId="21" fillId="13" borderId="13" xfId="6" applyNumberFormat="1" applyFont="1" applyFill="1" applyBorder="1" applyAlignment="1" applyProtection="1">
      <alignment horizontal="center" vertical="center"/>
      <protection locked="0"/>
    </xf>
    <xf numFmtId="0" fontId="10" fillId="36" borderId="1" xfId="6" applyFont="1" applyFill="1" applyBorder="1" applyAlignment="1" applyProtection="1">
      <alignment vertical="center"/>
      <protection locked="0"/>
    </xf>
    <xf numFmtId="0" fontId="0" fillId="3" borderId="14" xfId="0" applyFill="1" applyBorder="1"/>
    <xf numFmtId="0" fontId="0" fillId="2" borderId="9" xfId="2" applyFont="1" applyFill="1" applyBorder="1" applyAlignment="1">
      <alignment horizontal="center"/>
    </xf>
    <xf numFmtId="1" fontId="10" fillId="3" borderId="0" xfId="5" applyNumberFormat="1" applyFont="1" applyFill="1" applyBorder="1" applyAlignment="1" applyProtection="1">
      <alignment horizontal="center" vertical="center"/>
      <protection locked="0"/>
    </xf>
    <xf numFmtId="166" fontId="10" fillId="3" borderId="1" xfId="5" applyNumberFormat="1" applyFont="1" applyFill="1" applyBorder="1" applyAlignment="1" applyProtection="1">
      <alignment horizontal="center" vertical="center"/>
      <protection locked="0"/>
    </xf>
    <xf numFmtId="0" fontId="0" fillId="37" borderId="48" xfId="0" applyFill="1" applyBorder="1"/>
    <xf numFmtId="0" fontId="0" fillId="37" borderId="34" xfId="0" applyFill="1" applyBorder="1"/>
    <xf numFmtId="0" fontId="0" fillId="37" borderId="22" xfId="0" applyFill="1" applyBorder="1"/>
    <xf numFmtId="169" fontId="0" fillId="37" borderId="0" xfId="0" applyNumberFormat="1" applyFill="1"/>
    <xf numFmtId="169" fontId="0" fillId="37" borderId="12" xfId="0" applyNumberFormat="1" applyFill="1" applyBorder="1"/>
    <xf numFmtId="166" fontId="10" fillId="38" borderId="0" xfId="5" applyNumberFormat="1" applyFont="1" applyFill="1" applyBorder="1" applyAlignment="1" applyProtection="1">
      <alignment horizontal="center" vertical="center"/>
      <protection locked="0"/>
    </xf>
    <xf numFmtId="9" fontId="10" fillId="37" borderId="1" xfId="0" applyNumberFormat="1" applyFont="1" applyFill="1" applyBorder="1" applyAlignment="1" applyProtection="1">
      <alignment horizontal="center" vertical="center"/>
      <protection locked="0"/>
    </xf>
    <xf numFmtId="9" fontId="10" fillId="37" borderId="1" xfId="8" applyFont="1" applyFill="1" applyBorder="1" applyAlignment="1" applyProtection="1">
      <alignment horizontal="center" vertical="center"/>
      <protection locked="0"/>
    </xf>
    <xf numFmtId="9" fontId="0" fillId="37" borderId="0" xfId="0" applyNumberFormat="1" applyFill="1"/>
    <xf numFmtId="9" fontId="0" fillId="37" borderId="44" xfId="0" applyNumberFormat="1" applyFill="1" applyBorder="1"/>
    <xf numFmtId="9" fontId="0" fillId="37" borderId="47" xfId="0" applyNumberFormat="1" applyFill="1" applyBorder="1"/>
    <xf numFmtId="9" fontId="0" fillId="37" borderId="45" xfId="0" applyNumberFormat="1" applyFill="1" applyBorder="1"/>
    <xf numFmtId="0" fontId="0" fillId="37" borderId="14" xfId="0" applyFill="1" applyBorder="1"/>
    <xf numFmtId="0" fontId="0" fillId="37" borderId="12" xfId="0" applyFill="1" applyBorder="1"/>
    <xf numFmtId="0" fontId="0" fillId="37" borderId="5" xfId="0" applyFill="1" applyBorder="1"/>
    <xf numFmtId="0" fontId="0" fillId="37" borderId="25" xfId="0" applyFill="1" applyBorder="1"/>
    <xf numFmtId="0" fontId="0" fillId="37" borderId="23" xfId="0" applyFill="1" applyBorder="1"/>
    <xf numFmtId="0" fontId="0" fillId="37" borderId="24" xfId="0" applyFill="1" applyBorder="1"/>
    <xf numFmtId="2" fontId="10" fillId="9" borderId="1" xfId="6" applyNumberFormat="1" applyFont="1" applyFill="1" applyBorder="1" applyAlignment="1" applyProtection="1">
      <alignment horizontal="right" vertical="center"/>
      <protection locked="0"/>
    </xf>
    <xf numFmtId="0" fontId="21" fillId="3" borderId="0" xfId="0" applyFont="1" applyFill="1" applyAlignment="1" applyProtection="1">
      <alignment horizontal="center"/>
      <protection locked="0"/>
    </xf>
    <xf numFmtId="166" fontId="10" fillId="33" borderId="0" xfId="5" applyNumberFormat="1" applyFont="1" applyFill="1" applyBorder="1" applyAlignment="1" applyProtection="1">
      <alignment horizontal="center" vertical="center"/>
      <protection locked="0"/>
    </xf>
    <xf numFmtId="3" fontId="21" fillId="13" borderId="0" xfId="6" applyNumberFormat="1" applyFont="1" applyFill="1" applyAlignment="1" applyProtection="1">
      <alignment horizontal="center" vertical="center"/>
      <protection locked="0"/>
    </xf>
    <xf numFmtId="166" fontId="10" fillId="12" borderId="2" xfId="5" applyNumberFormat="1" applyFont="1" applyFill="1" applyBorder="1" applyAlignment="1" applyProtection="1">
      <alignment horizontal="right" vertical="center"/>
      <protection locked="0"/>
    </xf>
    <xf numFmtId="3" fontId="10" fillId="9" borderId="21" xfId="6" applyNumberFormat="1" applyFont="1" applyFill="1" applyBorder="1" applyAlignment="1" applyProtection="1">
      <alignment horizontal="right" vertical="center"/>
      <protection locked="0"/>
    </xf>
    <xf numFmtId="0" fontId="10" fillId="12" borderId="77" xfId="6" applyFont="1" applyFill="1" applyBorder="1" applyAlignment="1" applyProtection="1">
      <alignment vertical="center"/>
      <protection locked="0"/>
    </xf>
    <xf numFmtId="3" fontId="10" fillId="9" borderId="66" xfId="6" applyNumberFormat="1" applyFont="1" applyFill="1" applyBorder="1" applyAlignment="1" applyProtection="1">
      <alignment horizontal="right" vertical="center"/>
      <protection locked="0"/>
    </xf>
    <xf numFmtId="3" fontId="10" fillId="9" borderId="73" xfId="6" applyNumberFormat="1" applyFont="1" applyFill="1" applyBorder="1" applyAlignment="1" applyProtection="1">
      <alignment horizontal="right" vertical="center"/>
      <protection locked="0"/>
    </xf>
    <xf numFmtId="3" fontId="10" fillId="9" borderId="84" xfId="6" applyNumberFormat="1" applyFont="1" applyFill="1" applyBorder="1" applyAlignment="1" applyProtection="1">
      <alignment horizontal="right" vertical="center"/>
      <protection locked="0"/>
    </xf>
    <xf numFmtId="9" fontId="0" fillId="3" borderId="0" xfId="0" applyNumberFormat="1" applyFill="1"/>
    <xf numFmtId="0" fontId="29" fillId="0" borderId="0" xfId="0" applyFont="1"/>
    <xf numFmtId="3" fontId="0" fillId="0" borderId="48" xfId="1" applyNumberFormat="1" applyFont="1" applyBorder="1" applyAlignment="1">
      <alignment horizontal="right" indent="1"/>
    </xf>
    <xf numFmtId="0" fontId="0" fillId="0" borderId="34" xfId="1" applyFont="1" applyBorder="1" applyAlignment="1">
      <alignment horizontal="left" indent="1"/>
    </xf>
    <xf numFmtId="0" fontId="0" fillId="0" borderId="9" xfId="1" applyFont="1" applyBorder="1" applyAlignment="1">
      <alignment horizontal="center"/>
    </xf>
    <xf numFmtId="3" fontId="29" fillId="40" borderId="8" xfId="0" applyNumberFormat="1" applyFont="1" applyFill="1" applyBorder="1"/>
    <xf numFmtId="3" fontId="0" fillId="41" borderId="8" xfId="0" applyNumberFormat="1" applyFill="1" applyBorder="1" applyAlignment="1">
      <alignment horizontal="center"/>
    </xf>
    <xf numFmtId="41" fontId="1" fillId="0" borderId="8" xfId="2" applyNumberFormat="1" applyFont="1" applyBorder="1" applyAlignment="1">
      <alignment horizontal="center"/>
    </xf>
    <xf numFmtId="0" fontId="0" fillId="0" borderId="8" xfId="0" applyBorder="1" applyAlignment="1">
      <alignment horizontal="center"/>
    </xf>
    <xf numFmtId="41" fontId="3" fillId="3" borderId="8" xfId="3" applyNumberFormat="1" applyFont="1" applyFill="1" applyBorder="1" applyAlignment="1">
      <alignment horizontal="center"/>
    </xf>
    <xf numFmtId="9" fontId="3" fillId="3" borderId="8" xfId="3" applyNumberFormat="1" applyFont="1" applyFill="1" applyBorder="1" applyAlignment="1">
      <alignment horizontal="center"/>
    </xf>
    <xf numFmtId="4" fontId="29" fillId="40" borderId="8" xfId="0" applyNumberFormat="1" applyFont="1" applyFill="1" applyBorder="1"/>
    <xf numFmtId="41" fontId="1" fillId="41" borderId="8" xfId="2" applyNumberFormat="1" applyFont="1" applyFill="1" applyBorder="1" applyAlignment="1">
      <alignment horizontal="center"/>
    </xf>
    <xf numFmtId="9" fontId="1" fillId="37" borderId="8" xfId="2" applyNumberFormat="1" applyFont="1" applyFill="1" applyBorder="1" applyAlignment="1">
      <alignment horizontal="right"/>
    </xf>
    <xf numFmtId="167" fontId="1" fillId="39" borderId="8" xfId="2" applyNumberFormat="1" applyFont="1" applyFill="1" applyBorder="1" applyAlignment="1">
      <alignment horizontal="right"/>
    </xf>
    <xf numFmtId="167" fontId="1" fillId="37" borderId="8" xfId="2" applyNumberFormat="1" applyFont="1" applyFill="1" applyBorder="1" applyAlignment="1">
      <alignment horizontal="right"/>
    </xf>
    <xf numFmtId="9" fontId="1" fillId="41" borderId="8" xfId="2" applyNumberFormat="1" applyFont="1" applyFill="1" applyBorder="1" applyAlignment="1">
      <alignment horizontal="right"/>
    </xf>
    <xf numFmtId="9" fontId="1" fillId="3" borderId="8" xfId="2" applyNumberFormat="1" applyFont="1" applyFill="1" applyBorder="1" applyAlignment="1">
      <alignment horizontal="right"/>
    </xf>
    <xf numFmtId="9" fontId="1" fillId="39" borderId="8" xfId="2" applyNumberFormat="1" applyFont="1" applyFill="1" applyBorder="1" applyAlignment="1">
      <alignment horizontal="right"/>
    </xf>
    <xf numFmtId="1" fontId="1" fillId="39" borderId="8" xfId="2" applyNumberFormat="1" applyFont="1" applyFill="1" applyBorder="1" applyAlignment="1">
      <alignment horizontal="right"/>
    </xf>
    <xf numFmtId="1" fontId="1" fillId="37" borderId="8" xfId="2" applyNumberFormat="1" applyFont="1" applyFill="1" applyBorder="1" applyAlignment="1">
      <alignment horizontal="right"/>
    </xf>
    <xf numFmtId="2" fontId="1" fillId="39" borderId="8" xfId="2" applyNumberFormat="1" applyFont="1" applyFill="1" applyBorder="1" applyAlignment="1">
      <alignment horizontal="right"/>
    </xf>
    <xf numFmtId="2" fontId="1" fillId="37" borderId="8" xfId="2" applyNumberFormat="1" applyFont="1" applyFill="1" applyBorder="1" applyAlignment="1">
      <alignment horizontal="right"/>
    </xf>
    <xf numFmtId="2" fontId="1" fillId="3" borderId="8" xfId="2" applyNumberFormat="1" applyFont="1" applyFill="1" applyBorder="1" applyAlignment="1">
      <alignment horizontal="right"/>
    </xf>
    <xf numFmtId="41" fontId="1" fillId="3" borderId="8" xfId="2" applyNumberFormat="1" applyFont="1" applyFill="1" applyBorder="1" applyAlignment="1">
      <alignment horizontal="center"/>
    </xf>
    <xf numFmtId="1" fontId="1" fillId="3" borderId="8" xfId="2" applyNumberFormat="1" applyFont="1" applyFill="1" applyBorder="1" applyAlignment="1">
      <alignment horizontal="center"/>
    </xf>
    <xf numFmtId="41" fontId="0" fillId="24" borderId="8" xfId="14" applyFont="1" applyFill="1" applyBorder="1"/>
    <xf numFmtId="0" fontId="0" fillId="41" borderId="0" xfId="0" applyFill="1"/>
    <xf numFmtId="0" fontId="10" fillId="7" borderId="1" xfId="0" applyFont="1" applyFill="1" applyBorder="1" applyAlignment="1" applyProtection="1">
      <alignment horizontal="center" vertical="center" wrapText="1"/>
      <protection locked="0"/>
    </xf>
    <xf numFmtId="1" fontId="0" fillId="41" borderId="1" xfId="0" applyNumberFormat="1" applyFill="1" applyBorder="1"/>
    <xf numFmtId="3" fontId="10" fillId="9" borderId="1" xfId="6" applyNumberFormat="1" applyFont="1" applyFill="1" applyBorder="1" applyAlignment="1" applyProtection="1">
      <alignment horizontal="center" vertical="center"/>
      <protection locked="0"/>
    </xf>
    <xf numFmtId="0" fontId="10" fillId="3" borderId="1" xfId="6" applyFont="1" applyFill="1" applyBorder="1" applyAlignment="1" applyProtection="1">
      <alignment vertical="center"/>
      <protection locked="0"/>
    </xf>
    <xf numFmtId="3" fontId="10" fillId="0" borderId="1" xfId="6" applyNumberFormat="1" applyFont="1" applyBorder="1" applyAlignment="1" applyProtection="1">
      <alignment horizontal="center" vertical="center"/>
      <protection locked="0"/>
    </xf>
    <xf numFmtId="0" fontId="0" fillId="0" borderId="0" xfId="0" applyAlignment="1">
      <alignment horizontal="left"/>
    </xf>
    <xf numFmtId="173" fontId="0" fillId="0" borderId="0" xfId="8" applyNumberFormat="1" applyFont="1"/>
    <xf numFmtId="0" fontId="26" fillId="0" borderId="1" xfId="0" applyFont="1" applyBorder="1" applyAlignment="1">
      <alignment horizontal="center"/>
    </xf>
    <xf numFmtId="0" fontId="30" fillId="0" borderId="1" xfId="0" applyFont="1" applyBorder="1"/>
    <xf numFmtId="4" fontId="30" fillId="0" borderId="1" xfId="0" applyNumberFormat="1" applyFont="1" applyBorder="1" applyAlignment="1">
      <alignment horizontal="left" vertical="center" wrapText="1"/>
    </xf>
    <xf numFmtId="0" fontId="26" fillId="0" borderId="1" xfId="0" applyFont="1" applyBorder="1" applyAlignment="1">
      <alignment horizontal="left" vertical="center" wrapText="1" indent="1"/>
    </xf>
    <xf numFmtId="0" fontId="26" fillId="0" borderId="1" xfId="0" applyFont="1" applyBorder="1" applyAlignment="1">
      <alignment horizontal="left" vertical="center" wrapText="1"/>
    </xf>
    <xf numFmtId="0" fontId="3" fillId="0" borderId="1" xfId="0" applyFont="1" applyBorder="1" applyAlignment="1">
      <alignment horizontal="left" indent="2"/>
    </xf>
    <xf numFmtId="0" fontId="3" fillId="0" borderId="1" xfId="0" applyFont="1" applyBorder="1" applyAlignment="1">
      <alignment horizontal="left" indent="4"/>
    </xf>
    <xf numFmtId="0" fontId="9" fillId="0" borderId="1" xfId="0" applyFont="1" applyBorder="1" applyAlignment="1">
      <alignment horizontal="left" indent="1"/>
    </xf>
    <xf numFmtId="0" fontId="31" fillId="0" borderId="1" xfId="0" applyFont="1" applyBorder="1"/>
    <xf numFmtId="0" fontId="26" fillId="0" borderId="1" xfId="0" applyFont="1" applyBorder="1" applyAlignment="1">
      <alignment horizontal="left" indent="1"/>
    </xf>
    <xf numFmtId="0" fontId="31" fillId="0" borderId="1" xfId="0" applyFont="1" applyBorder="1" applyAlignment="1">
      <alignment horizontal="left" indent="1"/>
    </xf>
    <xf numFmtId="0" fontId="31" fillId="0" borderId="1" xfId="0" applyFont="1" applyBorder="1" applyAlignment="1">
      <alignment horizontal="left"/>
    </xf>
    <xf numFmtId="4" fontId="26" fillId="0" borderId="1" xfId="0" applyNumberFormat="1" applyFont="1" applyBorder="1" applyAlignment="1">
      <alignment horizontal="left" vertical="center" wrapText="1"/>
    </xf>
    <xf numFmtId="0" fontId="32" fillId="0" borderId="1" xfId="0" applyFont="1" applyBorder="1" applyAlignment="1">
      <alignment horizontal="left" indent="2"/>
    </xf>
    <xf numFmtId="4" fontId="32" fillId="0" borderId="1" xfId="0" applyNumberFormat="1" applyFont="1" applyBorder="1" applyAlignment="1">
      <alignment horizontal="left" vertical="center" wrapText="1"/>
    </xf>
    <xf numFmtId="0" fontId="3" fillId="0" borderId="1" xfId="0" applyFont="1" applyBorder="1" applyAlignment="1">
      <alignment horizontal="left" indent="3"/>
    </xf>
    <xf numFmtId="4" fontId="3" fillId="0" borderId="1" xfId="0" applyNumberFormat="1" applyFont="1" applyBorder="1"/>
    <xf numFmtId="0" fontId="32" fillId="0" borderId="1" xfId="0" applyFont="1" applyBorder="1" applyAlignment="1">
      <alignment horizontal="left" vertical="center" wrapText="1"/>
    </xf>
    <xf numFmtId="4" fontId="3" fillId="0" borderId="1" xfId="0" applyNumberFormat="1" applyFont="1" applyBorder="1" applyAlignment="1">
      <alignment horizontal="left" vertical="center" wrapText="1"/>
    </xf>
    <xf numFmtId="0" fontId="3" fillId="0" borderId="1" xfId="0" applyFont="1" applyBorder="1" applyAlignment="1">
      <alignment horizontal="left" vertical="center" wrapText="1"/>
    </xf>
    <xf numFmtId="0" fontId="8" fillId="42" borderId="0" xfId="6" applyFont="1" applyFill="1" applyAlignment="1" applyProtection="1">
      <alignment horizontal="center" vertical="center" wrapText="1"/>
      <protection locked="0"/>
    </xf>
    <xf numFmtId="0" fontId="33" fillId="41" borderId="0" xfId="0" applyFont="1" applyFill="1"/>
    <xf numFmtId="0" fontId="0" fillId="41" borderId="0" xfId="0" quotePrefix="1" applyFill="1"/>
    <xf numFmtId="0" fontId="3" fillId="41" borderId="0" xfId="0" applyFont="1" applyFill="1" applyAlignment="1">
      <alignment horizontal="left" vertical="center" wrapText="1"/>
    </xf>
    <xf numFmtId="3" fontId="0" fillId="41" borderId="1" xfId="0" applyNumberFormat="1" applyFill="1" applyBorder="1"/>
    <xf numFmtId="0" fontId="0" fillId="41" borderId="1" xfId="0" applyFill="1" applyBorder="1"/>
    <xf numFmtId="10" fontId="0" fillId="41" borderId="1" xfId="0" applyNumberFormat="1" applyFill="1" applyBorder="1"/>
    <xf numFmtId="41" fontId="1" fillId="41" borderId="1" xfId="2" applyNumberFormat="1" applyFont="1" applyFill="1" applyBorder="1"/>
    <xf numFmtId="0" fontId="0" fillId="41" borderId="1" xfId="0" quotePrefix="1" applyFill="1" applyBorder="1"/>
    <xf numFmtId="41" fontId="0" fillId="41" borderId="1" xfId="0" applyNumberFormat="1" applyFill="1" applyBorder="1"/>
    <xf numFmtId="0" fontId="6" fillId="0" borderId="14" xfId="0" applyFont="1" applyBorder="1"/>
    <xf numFmtId="0" fontId="8" fillId="7" borderId="0" xfId="6" applyFont="1" applyFill="1" applyAlignment="1" applyProtection="1">
      <alignment horizontal="center" vertical="center" wrapText="1"/>
      <protection locked="0"/>
    </xf>
    <xf numFmtId="0" fontId="0" fillId="0" borderId="59" xfId="0" applyBorder="1"/>
    <xf numFmtId="0" fontId="0" fillId="0" borderId="57" xfId="0" applyBorder="1"/>
    <xf numFmtId="0" fontId="4" fillId="4" borderId="85" xfId="3" applyBorder="1" applyAlignment="1">
      <alignment horizontal="center"/>
    </xf>
    <xf numFmtId="0" fontId="4" fillId="4" borderId="86" xfId="3" applyBorder="1" applyAlignment="1">
      <alignment horizontal="center"/>
    </xf>
    <xf numFmtId="0" fontId="4" fillId="4" borderId="87" xfId="3" applyBorder="1" applyAlignment="1">
      <alignment horizontal="center"/>
    </xf>
    <xf numFmtId="9" fontId="4" fillId="4" borderId="88" xfId="3" applyNumberFormat="1" applyBorder="1"/>
    <xf numFmtId="9" fontId="4" fillId="4" borderId="89" xfId="3" applyNumberFormat="1" applyBorder="1"/>
    <xf numFmtId="9" fontId="4" fillId="4" borderId="85" xfId="3" applyNumberFormat="1" applyBorder="1"/>
    <xf numFmtId="9" fontId="4" fillId="4" borderId="86" xfId="3" applyNumberFormat="1" applyBorder="1"/>
    <xf numFmtId="0" fontId="8" fillId="19" borderId="90" xfId="6" applyFont="1" applyFill="1" applyBorder="1" applyAlignment="1" applyProtection="1">
      <alignment horizontal="center" vertical="center" wrapText="1"/>
      <protection locked="0"/>
    </xf>
    <xf numFmtId="1" fontId="0" fillId="0" borderId="0" xfId="5" applyNumberFormat="1" applyFont="1" applyBorder="1"/>
    <xf numFmtId="1" fontId="0" fillId="0" borderId="44" xfId="5" applyNumberFormat="1" applyFont="1" applyBorder="1"/>
    <xf numFmtId="1" fontId="0" fillId="0" borderId="47" xfId="5" applyNumberFormat="1" applyFont="1" applyBorder="1"/>
    <xf numFmtId="1" fontId="0" fillId="0" borderId="45" xfId="5" applyNumberFormat="1" applyFont="1" applyBorder="1"/>
    <xf numFmtId="169" fontId="0" fillId="0" borderId="47" xfId="0" applyNumberFormat="1" applyBorder="1"/>
    <xf numFmtId="169" fontId="0" fillId="0" borderId="45" xfId="0" applyNumberFormat="1" applyBorder="1"/>
    <xf numFmtId="0" fontId="0" fillId="0" borderId="93" xfId="0" applyBorder="1" applyAlignment="1">
      <alignment wrapText="1"/>
    </xf>
    <xf numFmtId="0" fontId="0" fillId="0" borderId="55" xfId="0" applyBorder="1"/>
    <xf numFmtId="0" fontId="0" fillId="0" borderId="56" xfId="0" applyBorder="1"/>
    <xf numFmtId="9" fontId="4" fillId="4" borderId="94" xfId="3" applyNumberFormat="1" applyBorder="1"/>
    <xf numFmtId="9" fontId="4" fillId="4" borderId="91" xfId="3" applyNumberFormat="1" applyBorder="1"/>
    <xf numFmtId="9" fontId="4" fillId="4" borderId="92" xfId="3" applyNumberFormat="1" applyBorder="1"/>
    <xf numFmtId="0" fontId="0" fillId="0" borderId="95" xfId="0" applyBorder="1"/>
    <xf numFmtId="0" fontId="0" fillId="0" borderId="89" xfId="0" applyBorder="1"/>
    <xf numFmtId="1" fontId="8" fillId="19" borderId="75" xfId="6" applyNumberFormat="1" applyFont="1" applyFill="1" applyBorder="1" applyAlignment="1" applyProtection="1">
      <alignment vertical="center" wrapText="1"/>
      <protection locked="0"/>
    </xf>
    <xf numFmtId="1" fontId="8" fillId="19" borderId="91" xfId="6" applyNumberFormat="1" applyFont="1" applyFill="1" applyBorder="1" applyAlignment="1" applyProtection="1">
      <alignment vertical="center" wrapText="1"/>
      <protection locked="0"/>
    </xf>
    <xf numFmtId="1" fontId="4" fillId="4" borderId="85" xfId="3" applyNumberFormat="1" applyBorder="1" applyAlignment="1">
      <alignment horizontal="center"/>
    </xf>
    <xf numFmtId="1" fontId="4" fillId="4" borderId="86" xfId="3" applyNumberFormat="1" applyBorder="1" applyAlignment="1">
      <alignment horizontal="center"/>
    </xf>
    <xf numFmtId="1" fontId="8" fillId="19" borderId="92" xfId="6" applyNumberFormat="1" applyFont="1" applyFill="1" applyBorder="1" applyAlignment="1" applyProtection="1">
      <alignment vertical="center" wrapText="1"/>
      <protection locked="0"/>
    </xf>
    <xf numFmtId="1" fontId="8" fillId="19" borderId="68" xfId="6" applyNumberFormat="1" applyFont="1" applyFill="1" applyBorder="1" applyAlignment="1" applyProtection="1">
      <alignment vertical="center" wrapText="1"/>
      <protection locked="0"/>
    </xf>
    <xf numFmtId="0" fontId="0" fillId="0" borderId="0" xfId="0" applyBorder="1"/>
    <xf numFmtId="1" fontId="0" fillId="0" borderId="0" xfId="0" applyNumberFormat="1" applyBorder="1"/>
    <xf numFmtId="169" fontId="0" fillId="0" borderId="0" xfId="0" applyNumberFormat="1" applyBorder="1"/>
    <xf numFmtId="9" fontId="0" fillId="0" borderId="0" xfId="0" applyNumberFormat="1" applyBorder="1"/>
    <xf numFmtId="1" fontId="3" fillId="0" borderId="44" xfId="0" applyNumberFormat="1" applyFont="1" applyBorder="1"/>
    <xf numFmtId="1" fontId="3" fillId="0" borderId="47" xfId="0" applyNumberFormat="1" applyFont="1" applyBorder="1"/>
    <xf numFmtId="1" fontId="3" fillId="0" borderId="45" xfId="0" applyNumberFormat="1" applyFont="1" applyBorder="1"/>
    <xf numFmtId="0" fontId="4" fillId="4" borderId="54" xfId="3" applyBorder="1" applyAlignment="1">
      <alignment horizontal="center"/>
    </xf>
    <xf numFmtId="0" fontId="4" fillId="4" borderId="55" xfId="3" applyBorder="1" applyAlignment="1">
      <alignment horizontal="center"/>
    </xf>
    <xf numFmtId="0" fontId="4" fillId="4" borderId="56" xfId="3" applyBorder="1" applyAlignment="1">
      <alignment horizontal="center"/>
    </xf>
    <xf numFmtId="0" fontId="8" fillId="7" borderId="32" xfId="6" applyFont="1" applyFill="1" applyBorder="1" applyAlignment="1" applyProtection="1">
      <alignment horizontal="center" vertical="center" wrapText="1"/>
      <protection locked="0"/>
    </xf>
    <xf numFmtId="0" fontId="10" fillId="0" borderId="12" xfId="0" applyFont="1" applyBorder="1" applyAlignment="1" applyProtection="1">
      <alignment horizontal="center" vertical="center" wrapText="1"/>
      <protection locked="0"/>
    </xf>
    <xf numFmtId="0" fontId="10" fillId="7" borderId="40" xfId="0" applyFont="1" applyFill="1" applyBorder="1" applyAlignment="1" applyProtection="1">
      <alignment horizontal="center" vertical="center" wrapText="1"/>
      <protection locked="0"/>
    </xf>
    <xf numFmtId="0" fontId="10" fillId="0" borderId="41" xfId="0" applyFont="1" applyBorder="1" applyAlignment="1" applyProtection="1">
      <alignment horizontal="center" vertical="center" wrapText="1"/>
      <protection locked="0"/>
    </xf>
    <xf numFmtId="0" fontId="10" fillId="7" borderId="37" xfId="0" applyFont="1" applyFill="1" applyBorder="1" applyAlignment="1" applyProtection="1">
      <alignment horizontal="center" vertical="center" wrapText="1"/>
      <protection locked="0"/>
    </xf>
    <xf numFmtId="0" fontId="10" fillId="0" borderId="38" xfId="0" applyFont="1" applyBorder="1" applyAlignment="1" applyProtection="1">
      <alignment horizontal="center" vertical="center" wrapText="1"/>
      <protection locked="0"/>
    </xf>
    <xf numFmtId="0" fontId="4" fillId="4" borderId="77" xfId="3" applyBorder="1" applyAlignment="1">
      <alignment horizontal="center" vertical="center"/>
    </xf>
    <xf numFmtId="0" fontId="4" fillId="4" borderId="34" xfId="3" applyBorder="1" applyAlignment="1">
      <alignment horizontal="center" vertical="center"/>
    </xf>
    <xf numFmtId="0" fontId="4" fillId="4" borderId="22" xfId="3" applyBorder="1" applyAlignment="1">
      <alignment horizontal="center" vertical="center"/>
    </xf>
    <xf numFmtId="0" fontId="4" fillId="4" borderId="69" xfId="3" applyBorder="1" applyAlignment="1">
      <alignment horizontal="center" vertical="center"/>
    </xf>
    <xf numFmtId="0" fontId="4" fillId="4" borderId="73" xfId="3" applyBorder="1" applyAlignment="1">
      <alignment horizontal="center" vertical="center"/>
    </xf>
    <xf numFmtId="0" fontId="4" fillId="4" borderId="74" xfId="3" applyBorder="1" applyAlignment="1">
      <alignment horizontal="center" vertical="center"/>
    </xf>
    <xf numFmtId="0" fontId="10" fillId="0" borderId="65" xfId="0" applyFont="1" applyBorder="1" applyAlignment="1" applyProtection="1">
      <alignment horizontal="center" vertical="center" wrapText="1"/>
      <protection locked="0"/>
    </xf>
    <xf numFmtId="0" fontId="8" fillId="19" borderId="1" xfId="6" applyFont="1" applyFill="1" applyBorder="1" applyAlignment="1" applyProtection="1">
      <alignment horizontal="center" vertical="center" wrapText="1"/>
      <protection locked="0"/>
    </xf>
    <xf numFmtId="0" fontId="10" fillId="20" borderId="1" xfId="0" applyFont="1" applyFill="1" applyBorder="1" applyAlignment="1" applyProtection="1">
      <alignment horizontal="center" vertical="center" wrapText="1"/>
      <protection locked="0"/>
    </xf>
    <xf numFmtId="0" fontId="10" fillId="19" borderId="1" xfId="0" applyFont="1" applyFill="1" applyBorder="1" applyAlignment="1" applyProtection="1">
      <alignment horizontal="center" vertical="center" wrapText="1"/>
      <protection locked="0"/>
    </xf>
    <xf numFmtId="0" fontId="21" fillId="7" borderId="40" xfId="0" applyFont="1" applyFill="1" applyBorder="1" applyAlignment="1" applyProtection="1">
      <alignment horizontal="center" vertical="center" wrapText="1"/>
      <protection locked="0"/>
    </xf>
    <xf numFmtId="0" fontId="21" fillId="0" borderId="41" xfId="0" applyFont="1" applyBorder="1" applyAlignment="1" applyProtection="1">
      <alignment horizontal="center" vertical="center" wrapText="1"/>
      <protection locked="0"/>
    </xf>
    <xf numFmtId="0" fontId="8" fillId="19" borderId="2" xfId="6" applyFont="1" applyFill="1" applyBorder="1" applyAlignment="1" applyProtection="1">
      <alignment horizontal="center" vertical="center" wrapText="1"/>
      <protection locked="0"/>
    </xf>
    <xf numFmtId="0" fontId="8" fillId="19" borderId="14" xfId="6" applyFont="1" applyFill="1" applyBorder="1" applyAlignment="1" applyProtection="1">
      <alignment horizontal="center" vertical="center" wrapText="1"/>
      <protection locked="0"/>
    </xf>
    <xf numFmtId="0" fontId="8" fillId="19" borderId="5" xfId="6" applyFont="1" applyFill="1" applyBorder="1" applyAlignment="1" applyProtection="1">
      <alignment horizontal="center" vertical="center" wrapText="1"/>
      <protection locked="0"/>
    </xf>
    <xf numFmtId="0" fontId="8" fillId="7" borderId="1" xfId="6" applyFont="1" applyFill="1" applyBorder="1" applyAlignment="1" applyProtection="1">
      <alignment horizontal="center" vertical="center" wrapText="1"/>
      <protection locked="0"/>
    </xf>
    <xf numFmtId="0" fontId="21" fillId="0" borderId="1" xfId="0" applyFont="1" applyBorder="1" applyAlignment="1" applyProtection="1">
      <alignment horizontal="center" vertical="center" wrapText="1"/>
      <protection locked="0"/>
    </xf>
    <xf numFmtId="0" fontId="14" fillId="0" borderId="1" xfId="0" applyFont="1" applyBorder="1" applyAlignment="1">
      <alignment horizontal="center" vertical="center"/>
    </xf>
    <xf numFmtId="1" fontId="9" fillId="7" borderId="2" xfId="6" applyNumberFormat="1" applyFont="1" applyFill="1" applyBorder="1" applyAlignment="1" applyProtection="1">
      <alignment horizontal="center" vertical="center" wrapText="1"/>
      <protection locked="0"/>
    </xf>
    <xf numFmtId="1" fontId="9" fillId="7" borderId="14" xfId="6" applyNumberFormat="1" applyFont="1" applyFill="1" applyBorder="1" applyAlignment="1" applyProtection="1">
      <alignment horizontal="center" vertical="center" wrapText="1"/>
      <protection locked="0"/>
    </xf>
    <xf numFmtId="1" fontId="9" fillId="7" borderId="5" xfId="6" applyNumberFormat="1" applyFont="1" applyFill="1" applyBorder="1" applyAlignment="1" applyProtection="1">
      <alignment horizontal="center" vertical="center" wrapText="1"/>
      <protection locked="0"/>
    </xf>
    <xf numFmtId="0" fontId="8" fillId="7" borderId="2" xfId="6" applyFont="1" applyFill="1" applyBorder="1" applyAlignment="1" applyProtection="1">
      <alignment horizontal="center" vertical="center" wrapText="1"/>
      <protection locked="0"/>
    </xf>
    <xf numFmtId="0" fontId="8" fillId="7" borderId="14" xfId="6" applyFont="1" applyFill="1" applyBorder="1" applyAlignment="1" applyProtection="1">
      <alignment horizontal="center" vertical="center" wrapText="1"/>
      <protection locked="0"/>
    </xf>
    <xf numFmtId="0" fontId="8" fillId="7" borderId="5" xfId="6" applyFont="1" applyFill="1" applyBorder="1" applyAlignment="1" applyProtection="1">
      <alignment horizontal="center" vertical="center" wrapText="1"/>
      <protection locked="0"/>
    </xf>
    <xf numFmtId="169" fontId="4" fillId="4" borderId="6" xfId="3" applyNumberFormat="1" applyBorder="1" applyAlignment="1">
      <alignment horizontal="center"/>
    </xf>
    <xf numFmtId="169" fontId="4" fillId="4" borderId="49" xfId="3" applyNumberFormat="1" applyBorder="1" applyAlignment="1">
      <alignment horizontal="center"/>
    </xf>
    <xf numFmtId="0" fontId="8" fillId="7" borderId="48" xfId="6" applyFont="1" applyFill="1" applyBorder="1" applyAlignment="1" applyProtection="1">
      <alignment horizontal="center" vertical="center" wrapText="1"/>
      <protection locked="0"/>
    </xf>
    <xf numFmtId="0" fontId="10" fillId="0" borderId="69" xfId="0" applyFont="1" applyBorder="1" applyAlignment="1" applyProtection="1">
      <alignment horizontal="center" vertical="center" wrapText="1"/>
      <protection locked="0"/>
    </xf>
    <xf numFmtId="0" fontId="10" fillId="7" borderId="68" xfId="0" applyFont="1" applyFill="1" applyBorder="1" applyAlignment="1" applyProtection="1">
      <alignment horizontal="center" vertical="center" wrapText="1"/>
      <protection locked="0"/>
    </xf>
    <xf numFmtId="0" fontId="10" fillId="0" borderId="70" xfId="0" applyFont="1" applyBorder="1" applyAlignment="1" applyProtection="1">
      <alignment horizontal="center" vertical="center" wrapText="1"/>
      <protection locked="0"/>
    </xf>
    <xf numFmtId="0" fontId="10" fillId="7" borderId="67" xfId="0" applyFont="1" applyFill="1" applyBorder="1" applyAlignment="1" applyProtection="1">
      <alignment horizontal="center" vertical="center" wrapText="1"/>
      <protection locked="0"/>
    </xf>
    <xf numFmtId="169" fontId="4" fillId="16" borderId="6" xfId="3" applyNumberFormat="1" applyFill="1" applyBorder="1" applyAlignment="1">
      <alignment horizontal="center"/>
    </xf>
    <xf numFmtId="169" fontId="4" fillId="16" borderId="49" xfId="3" applyNumberFormat="1" applyFill="1" applyBorder="1" applyAlignment="1">
      <alignment horizontal="center"/>
    </xf>
    <xf numFmtId="1" fontId="9" fillId="7" borderId="75" xfId="6" applyNumberFormat="1" applyFont="1" applyFill="1" applyBorder="1" applyAlignment="1" applyProtection="1">
      <alignment horizontal="center" vertical="center" wrapText="1"/>
      <protection locked="0"/>
    </xf>
    <xf numFmtId="0" fontId="4" fillId="4" borderId="4" xfId="3" applyBorder="1" applyAlignment="1">
      <alignment horizontal="center"/>
    </xf>
    <xf numFmtId="0" fontId="4" fillId="4" borderId="6" xfId="3" applyBorder="1" applyAlignment="1">
      <alignment horizontal="center"/>
    </xf>
    <xf numFmtId="0" fontId="4" fillId="4" borderId="49" xfId="3" applyBorder="1" applyAlignment="1">
      <alignment horizontal="center"/>
    </xf>
    <xf numFmtId="0" fontId="8" fillId="7" borderId="60" xfId="6" applyFont="1" applyFill="1" applyBorder="1" applyAlignment="1" applyProtection="1">
      <alignment horizontal="center" vertical="center" wrapText="1"/>
      <protection locked="0"/>
    </xf>
    <xf numFmtId="1" fontId="9" fillId="7" borderId="63" xfId="6" applyNumberFormat="1" applyFont="1" applyFill="1" applyBorder="1" applyAlignment="1" applyProtection="1">
      <alignment horizontal="center" vertical="center" wrapText="1"/>
      <protection locked="0"/>
    </xf>
    <xf numFmtId="1" fontId="9" fillId="7" borderId="70" xfId="6" applyNumberFormat="1" applyFont="1" applyFill="1" applyBorder="1" applyAlignment="1" applyProtection="1">
      <alignment horizontal="center" vertical="center" wrapText="1"/>
      <protection locked="0"/>
    </xf>
    <xf numFmtId="1" fontId="9" fillId="7" borderId="29" xfId="6" applyNumberFormat="1" applyFont="1" applyFill="1" applyBorder="1" applyAlignment="1" applyProtection="1">
      <alignment horizontal="center" vertical="center" wrapText="1"/>
      <protection locked="0"/>
    </xf>
    <xf numFmtId="0" fontId="6" fillId="3" borderId="35" xfId="0" applyFont="1" applyFill="1" applyBorder="1" applyAlignment="1">
      <alignment horizontal="center"/>
    </xf>
    <xf numFmtId="0" fontId="6" fillId="3" borderId="57" xfId="0" applyFont="1" applyFill="1" applyBorder="1" applyAlignment="1">
      <alignment horizontal="center"/>
    </xf>
    <xf numFmtId="0" fontId="8" fillId="7" borderId="20" xfId="6" applyFont="1" applyFill="1" applyBorder="1" applyAlignment="1" applyProtection="1">
      <alignment horizontal="center" vertical="center" wrapText="1"/>
      <protection locked="0"/>
    </xf>
    <xf numFmtId="0" fontId="8" fillId="7" borderId="43" xfId="6" applyFont="1" applyFill="1" applyBorder="1" applyAlignment="1" applyProtection="1">
      <alignment horizontal="center" vertical="center" wrapText="1"/>
      <protection locked="0"/>
    </xf>
    <xf numFmtId="0" fontId="8" fillId="7" borderId="58" xfId="6" applyFont="1" applyFill="1" applyBorder="1" applyAlignment="1" applyProtection="1">
      <alignment horizontal="center" vertical="center" wrapText="1"/>
      <protection locked="0"/>
    </xf>
    <xf numFmtId="1" fontId="9" fillId="7" borderId="68" xfId="6" applyNumberFormat="1" applyFont="1" applyFill="1" applyBorder="1" applyAlignment="1" applyProtection="1">
      <alignment horizontal="center" vertical="center" wrapText="1"/>
      <protection locked="0"/>
    </xf>
    <xf numFmtId="0" fontId="8" fillId="7" borderId="0" xfId="6" applyFont="1" applyFill="1" applyAlignment="1" applyProtection="1">
      <alignment horizontal="center" vertical="center" wrapText="1"/>
      <protection locked="0"/>
    </xf>
    <xf numFmtId="0" fontId="10" fillId="0" borderId="1" xfId="0" applyFont="1" applyBorder="1" applyAlignment="1" applyProtection="1">
      <alignment horizontal="center" vertical="center" wrapText="1"/>
      <protection locked="0"/>
    </xf>
    <xf numFmtId="0" fontId="4" fillId="4" borderId="31" xfId="3" applyBorder="1" applyAlignment="1">
      <alignment horizontal="center"/>
    </xf>
    <xf numFmtId="0" fontId="4" fillId="4" borderId="35" xfId="3" applyBorder="1" applyAlignment="1">
      <alignment horizontal="center"/>
    </xf>
    <xf numFmtId="0" fontId="4" fillId="4" borderId="57" xfId="3" applyBorder="1" applyAlignment="1">
      <alignment horizontal="center"/>
    </xf>
    <xf numFmtId="0" fontId="8" fillId="7" borderId="91" xfId="6" applyFont="1" applyFill="1" applyBorder="1" applyAlignment="1" applyProtection="1">
      <alignment horizontal="center" vertical="center" wrapText="1"/>
      <protection locked="0"/>
    </xf>
    <xf numFmtId="0" fontId="10" fillId="7" borderId="41" xfId="0" applyFont="1" applyFill="1" applyBorder="1" applyAlignment="1" applyProtection="1">
      <alignment horizontal="center" vertical="center" wrapText="1"/>
      <protection locked="0"/>
    </xf>
    <xf numFmtId="0" fontId="10" fillId="7" borderId="38" xfId="0" applyFont="1" applyFill="1" applyBorder="1" applyAlignment="1" applyProtection="1">
      <alignment horizontal="center" vertical="center" wrapText="1"/>
      <protection locked="0"/>
    </xf>
    <xf numFmtId="0" fontId="8" fillId="19" borderId="34" xfId="6" applyFont="1" applyFill="1" applyBorder="1" applyAlignment="1" applyProtection="1">
      <alignment horizontal="center" vertical="center" wrapText="1"/>
      <protection locked="0"/>
    </xf>
    <xf numFmtId="0" fontId="8" fillId="19" borderId="12" xfId="6" applyFont="1" applyFill="1" applyBorder="1" applyAlignment="1" applyProtection="1">
      <alignment horizontal="center" vertical="center" wrapText="1"/>
      <protection locked="0"/>
    </xf>
    <xf numFmtId="0" fontId="0" fillId="0" borderId="0" xfId="1" applyFont="1" applyAlignment="1">
      <alignment horizontal="center"/>
    </xf>
    <xf numFmtId="0" fontId="4" fillId="4" borderId="7" xfId="3" applyBorder="1" applyAlignment="1">
      <alignment horizontal="center"/>
    </xf>
    <xf numFmtId="0" fontId="14" fillId="20" borderId="0" xfId="0" applyFont="1" applyFill="1" applyAlignment="1">
      <alignment horizontal="center" vertical="center" wrapText="1"/>
    </xf>
    <xf numFmtId="0" fontId="0" fillId="3" borderId="9" xfId="0" applyFill="1" applyBorder="1" applyAlignment="1">
      <alignment horizontal="center"/>
    </xf>
    <xf numFmtId="0" fontId="0" fillId="3" borderId="10" xfId="0" applyFill="1" applyBorder="1" applyAlignment="1">
      <alignment horizontal="center"/>
    </xf>
    <xf numFmtId="0" fontId="0" fillId="3" borderId="11" xfId="0" applyFill="1" applyBorder="1" applyAlignment="1">
      <alignment horizontal="center"/>
    </xf>
    <xf numFmtId="0" fontId="23" fillId="4" borderId="0" xfId="3" applyFont="1" applyAlignment="1">
      <alignment horizontal="center" vertical="center" wrapText="1"/>
    </xf>
    <xf numFmtId="0" fontId="24" fillId="32" borderId="0" xfId="9" applyFont="1" applyFill="1" applyAlignment="1">
      <alignment horizontal="center" vertical="center"/>
    </xf>
    <xf numFmtId="0" fontId="10" fillId="7" borderId="1" xfId="0" applyFont="1" applyFill="1" applyBorder="1" applyAlignment="1" applyProtection="1">
      <alignment horizontal="center" vertical="center" wrapText="1"/>
      <protection locked="0"/>
    </xf>
    <xf numFmtId="0" fontId="9" fillId="7" borderId="1" xfId="6" applyFont="1" applyFill="1" applyBorder="1" applyAlignment="1" applyProtection="1">
      <alignment horizontal="center" vertical="center" wrapText="1"/>
      <protection locked="0"/>
    </xf>
    <xf numFmtId="0" fontId="0" fillId="41" borderId="30" xfId="0" applyFill="1" applyBorder="1" applyAlignment="1">
      <alignment horizontal="center" vertical="center" wrapText="1"/>
    </xf>
    <xf numFmtId="0" fontId="9" fillId="7" borderId="25" xfId="6" applyFont="1" applyFill="1" applyBorder="1" applyAlignment="1" applyProtection="1">
      <alignment horizontal="center" vertical="center" wrapText="1"/>
      <protection locked="0"/>
    </xf>
    <xf numFmtId="0" fontId="9" fillId="7" borderId="24" xfId="6" applyFont="1" applyFill="1" applyBorder="1" applyAlignment="1" applyProtection="1">
      <alignment horizontal="center" vertical="center" wrapText="1"/>
      <protection locked="0"/>
    </xf>
    <xf numFmtId="0" fontId="24" fillId="34" borderId="0" xfId="9" applyFont="1" applyFill="1" applyAlignment="1">
      <alignment horizontal="center" vertical="center"/>
    </xf>
    <xf numFmtId="0" fontId="10" fillId="20" borderId="2" xfId="0" applyFont="1" applyFill="1" applyBorder="1" applyAlignment="1" applyProtection="1">
      <alignment horizontal="center" vertical="center" wrapText="1"/>
      <protection locked="0"/>
    </xf>
    <xf numFmtId="0" fontId="10" fillId="20" borderId="14" xfId="0" applyFont="1" applyFill="1" applyBorder="1" applyAlignment="1" applyProtection="1">
      <alignment horizontal="center" vertical="center" wrapText="1"/>
      <protection locked="0"/>
    </xf>
    <xf numFmtId="0" fontId="10" fillId="20" borderId="5" xfId="0" applyFont="1" applyFill="1" applyBorder="1" applyAlignment="1" applyProtection="1">
      <alignment horizontal="center" vertical="center" wrapText="1"/>
      <protection locked="0"/>
    </xf>
    <xf numFmtId="0" fontId="24" fillId="31" borderId="0" xfId="9" applyFont="1" applyFill="1" applyAlignment="1">
      <alignment horizontal="center" vertical="center"/>
    </xf>
    <xf numFmtId="0" fontId="24" fillId="17" borderId="0" xfId="9" applyFont="1" applyAlignment="1">
      <alignment horizontal="center" vertical="center"/>
    </xf>
    <xf numFmtId="0" fontId="0" fillId="0" borderId="4"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9" fillId="19" borderId="2" xfId="6" applyFont="1" applyFill="1" applyBorder="1" applyAlignment="1" applyProtection="1">
      <alignment horizontal="center" vertical="center" wrapText="1"/>
      <protection locked="0"/>
    </xf>
    <xf numFmtId="0" fontId="9" fillId="19" borderId="14" xfId="6" applyFont="1" applyFill="1" applyBorder="1" applyAlignment="1" applyProtection="1">
      <alignment horizontal="center" vertical="center" wrapText="1"/>
      <protection locked="0"/>
    </xf>
    <xf numFmtId="0" fontId="9" fillId="19" borderId="5" xfId="6" applyFont="1" applyFill="1" applyBorder="1" applyAlignment="1" applyProtection="1">
      <alignment horizontal="center" vertical="center" wrapText="1"/>
      <protection locked="0"/>
    </xf>
    <xf numFmtId="0" fontId="8" fillId="7" borderId="4" xfId="6" applyFont="1" applyFill="1" applyBorder="1" applyAlignment="1" applyProtection="1">
      <alignment horizontal="center" vertical="center" wrapText="1"/>
      <protection locked="0"/>
    </xf>
    <xf numFmtId="0" fontId="8" fillId="7" borderId="7" xfId="6" applyFont="1" applyFill="1" applyBorder="1" applyAlignment="1" applyProtection="1">
      <alignment horizontal="center" vertical="center" wrapText="1"/>
      <protection locked="0"/>
    </xf>
    <xf numFmtId="0" fontId="8" fillId="7" borderId="3" xfId="6" applyFont="1" applyFill="1" applyBorder="1" applyAlignment="1" applyProtection="1">
      <alignment horizontal="center" vertical="center" wrapText="1"/>
      <protection locked="0"/>
    </xf>
    <xf numFmtId="0" fontId="8" fillId="7" borderId="30" xfId="6" applyFont="1" applyFill="1" applyBorder="1" applyAlignment="1" applyProtection="1">
      <alignment horizontal="center" vertical="center" wrapText="1"/>
      <protection locked="0"/>
    </xf>
    <xf numFmtId="0" fontId="8" fillId="7" borderId="31" xfId="6" applyFont="1" applyFill="1" applyBorder="1" applyAlignment="1" applyProtection="1">
      <alignment horizontal="center" vertical="center" wrapText="1"/>
      <protection locked="0"/>
    </xf>
    <xf numFmtId="0" fontId="10" fillId="7" borderId="63" xfId="0" applyFont="1" applyFill="1" applyBorder="1" applyAlignment="1" applyProtection="1">
      <alignment horizontal="center" vertical="center" wrapText="1"/>
      <protection locked="0"/>
    </xf>
    <xf numFmtId="0" fontId="21" fillId="20" borderId="2" xfId="0" applyFont="1" applyFill="1" applyBorder="1" applyAlignment="1" applyProtection="1">
      <alignment horizontal="center" vertical="center" wrapText="1"/>
      <protection locked="0"/>
    </xf>
    <xf numFmtId="0" fontId="21" fillId="20" borderId="14" xfId="0" applyFont="1" applyFill="1" applyBorder="1" applyAlignment="1" applyProtection="1">
      <alignment horizontal="center" vertical="center" wrapText="1"/>
      <protection locked="0"/>
    </xf>
    <xf numFmtId="0" fontId="21" fillId="20" borderId="5" xfId="0" applyFont="1" applyFill="1" applyBorder="1" applyAlignment="1" applyProtection="1">
      <alignment horizontal="center" vertical="center" wrapText="1"/>
      <protection locked="0"/>
    </xf>
    <xf numFmtId="9" fontId="8" fillId="7" borderId="3" xfId="6" applyNumberFormat="1" applyFont="1" applyFill="1" applyBorder="1" applyAlignment="1" applyProtection="1">
      <alignment horizontal="center" vertical="center" wrapText="1"/>
      <protection locked="0"/>
    </xf>
    <xf numFmtId="9" fontId="8" fillId="7" borderId="30" xfId="6" applyNumberFormat="1" applyFont="1" applyFill="1" applyBorder="1" applyAlignment="1" applyProtection="1">
      <alignment horizontal="center" vertical="center" wrapText="1"/>
      <protection locked="0"/>
    </xf>
    <xf numFmtId="9" fontId="8" fillId="7" borderId="31" xfId="6" applyNumberFormat="1" applyFont="1" applyFill="1" applyBorder="1" applyAlignment="1" applyProtection="1">
      <alignment horizontal="center" vertical="center" wrapText="1"/>
      <protection locked="0"/>
    </xf>
    <xf numFmtId="0" fontId="8" fillId="7" borderId="9" xfId="6" applyFont="1" applyFill="1" applyBorder="1" applyAlignment="1" applyProtection="1">
      <alignment horizontal="center" vertical="center" wrapText="1"/>
      <protection locked="0"/>
    </xf>
    <xf numFmtId="0" fontId="8" fillId="7" borderId="10" xfId="6" applyFont="1" applyFill="1" applyBorder="1" applyAlignment="1" applyProtection="1">
      <alignment horizontal="center" vertical="center" wrapText="1"/>
      <protection locked="0"/>
    </xf>
    <xf numFmtId="0" fontId="8" fillId="7" borderId="11" xfId="6" applyFont="1" applyFill="1" applyBorder="1" applyAlignment="1" applyProtection="1">
      <alignment horizontal="center" vertical="center" wrapText="1"/>
      <protection locked="0"/>
    </xf>
    <xf numFmtId="0" fontId="8" fillId="7" borderId="35" xfId="6" applyFont="1" applyFill="1" applyBorder="1" applyAlignment="1" applyProtection="1">
      <alignment horizontal="center" vertical="center" wrapText="1"/>
      <protection locked="0"/>
    </xf>
    <xf numFmtId="0" fontId="8" fillId="7" borderId="80" xfId="6" applyFont="1" applyFill="1" applyBorder="1" applyAlignment="1" applyProtection="1">
      <alignment horizontal="center" vertical="center" wrapText="1"/>
      <protection locked="0"/>
    </xf>
    <xf numFmtId="0" fontId="8" fillId="7" borderId="47" xfId="6" applyFont="1" applyFill="1" applyBorder="1" applyAlignment="1" applyProtection="1">
      <alignment horizontal="center" vertical="center" wrapText="1"/>
      <protection locked="0"/>
    </xf>
    <xf numFmtId="0" fontId="10" fillId="0" borderId="79" xfId="0" applyFont="1" applyBorder="1" applyAlignment="1" applyProtection="1">
      <alignment horizontal="center" vertical="center" wrapText="1"/>
      <protection locked="0"/>
    </xf>
    <xf numFmtId="0" fontId="14" fillId="21" borderId="0" xfId="0" applyFont="1" applyFill="1" applyAlignment="1">
      <alignment horizontal="center" vertical="center"/>
    </xf>
    <xf numFmtId="0" fontId="0" fillId="20" borderId="0" xfId="0" applyFill="1" applyAlignment="1">
      <alignment horizontal="center" vertical="center"/>
    </xf>
    <xf numFmtId="0" fontId="0" fillId="20" borderId="30" xfId="0" applyFill="1" applyBorder="1" applyAlignment="1">
      <alignment horizontal="center" vertical="center"/>
    </xf>
    <xf numFmtId="0" fontId="0" fillId="6" borderId="4" xfId="0" applyFill="1" applyBorder="1" applyAlignment="1">
      <alignment horizontal="center"/>
    </xf>
    <xf numFmtId="0" fontId="0" fillId="6" borderId="6" xfId="0" applyFill="1" applyBorder="1" applyAlignment="1">
      <alignment horizontal="center"/>
    </xf>
    <xf numFmtId="0" fontId="0" fillId="6" borderId="7" xfId="0" applyFill="1" applyBorder="1" applyAlignment="1">
      <alignment horizontal="center"/>
    </xf>
    <xf numFmtId="0" fontId="0" fillId="6" borderId="35" xfId="0" applyFill="1" applyBorder="1" applyAlignment="1">
      <alignment horizontal="center"/>
    </xf>
    <xf numFmtId="0" fontId="0" fillId="6" borderId="13" xfId="0" applyFill="1" applyBorder="1" applyAlignment="1">
      <alignment horizontal="center"/>
    </xf>
    <xf numFmtId="0" fontId="3" fillId="3" borderId="4" xfId="3" applyFont="1" applyFill="1" applyBorder="1" applyAlignment="1">
      <alignment horizontal="center"/>
    </xf>
    <xf numFmtId="0" fontId="3" fillId="3" borderId="6" xfId="3" applyFont="1" applyFill="1" applyBorder="1" applyAlignment="1">
      <alignment horizontal="center"/>
    </xf>
    <xf numFmtId="0" fontId="3" fillId="3" borderId="7" xfId="3" applyFont="1" applyFill="1" applyBorder="1" applyAlignment="1">
      <alignment horizontal="center"/>
    </xf>
    <xf numFmtId="0" fontId="0" fillId="0" borderId="48" xfId="0" applyBorder="1" applyAlignment="1">
      <alignment horizontal="center"/>
    </xf>
    <xf numFmtId="0" fontId="0" fillId="0" borderId="20" xfId="0" applyBorder="1" applyAlignment="1">
      <alignment horizontal="center"/>
    </xf>
    <xf numFmtId="0" fontId="0" fillId="0" borderId="43" xfId="0" applyBorder="1" applyAlignment="1">
      <alignment horizontal="center"/>
    </xf>
    <xf numFmtId="0" fontId="34" fillId="0" borderId="0" xfId="0" applyFont="1" applyAlignment="1">
      <alignment vertical="center"/>
    </xf>
    <xf numFmtId="0" fontId="35" fillId="0" borderId="0" xfId="15"/>
    <xf numFmtId="0" fontId="0" fillId="0" borderId="0" xfId="0" applyAlignment="1">
      <alignment horizontal="left" vertical="center" indent="1"/>
    </xf>
    <xf numFmtId="0" fontId="14" fillId="0" borderId="0" xfId="0" applyFont="1" applyAlignment="1">
      <alignment horizontal="left" vertical="center" indent="1"/>
    </xf>
    <xf numFmtId="0" fontId="14" fillId="0" borderId="0" xfId="0" applyFont="1" applyAlignment="1">
      <alignment horizontal="left" vertical="center"/>
    </xf>
    <xf numFmtId="0" fontId="36" fillId="0" borderId="0" xfId="0" applyFont="1" applyAlignment="1">
      <alignment horizontal="left" vertical="center"/>
    </xf>
    <xf numFmtId="0" fontId="0" fillId="0" borderId="0" xfId="0" applyFill="1"/>
  </cellXfs>
  <cellStyles count="16">
    <cellStyle name="Comma" xfId="5" builtinId="3"/>
    <cellStyle name="Comma [0]" xfId="14" builtinId="6"/>
    <cellStyle name="Comma 21" xfId="12" xr:uid="{BFC13402-F917-4DBA-A7C9-5A13BB104B0A}"/>
    <cellStyle name="Good" xfId="3" builtinId="26"/>
    <cellStyle name="Hyperlink" xfId="15" builtinId="8"/>
    <cellStyle name="Input" xfId="4" builtinId="20"/>
    <cellStyle name="Neutral" xfId="9" builtinId="28"/>
    <cellStyle name="Normal" xfId="0" builtinId="0"/>
    <cellStyle name="Normal 2" xfId="7" xr:uid="{C5FAA306-61AC-4B2A-B419-6258F9EEC679}"/>
    <cellStyle name="Normal 25" xfId="10" xr:uid="{3C4C0CD3-7C66-452C-85D9-744766C6F8B9}"/>
    <cellStyle name="Normal 26" xfId="2" xr:uid="{3D0641F2-B50E-4F2C-AB27-41E895714C6C}"/>
    <cellStyle name="Normal 27" xfId="1" xr:uid="{1A28AABF-10A1-422C-8EDC-C45B13816ABD}"/>
    <cellStyle name="Normal 4" xfId="11" xr:uid="{9971A1F3-B461-41B5-8D33-EC0CBB9B9620}"/>
    <cellStyle name="Normal_Book2" xfId="6" xr:uid="{9E348D2A-E558-45F3-AC64-7F7B29495DFB}"/>
    <cellStyle name="Percent" xfId="8" builtinId="5"/>
    <cellStyle name="Percent 2 2" xfId="13" xr:uid="{C5B7D1DB-B6F1-43A4-B122-B68AC95C82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Emissions by Sector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Results!$P$35</c:f>
              <c:strCache>
                <c:ptCount val="1"/>
                <c:pt idx="0">
                  <c:v>Waste</c:v>
                </c:pt>
              </c:strCache>
            </c:strRef>
          </c:tx>
          <c:spPr>
            <a:solidFill>
              <a:schemeClr val="accent1"/>
            </a:solidFill>
            <a:ln>
              <a:noFill/>
            </a:ln>
            <a:effectLst/>
          </c:spPr>
          <c:invertIfNegative val="0"/>
          <c:cat>
            <c:numRef>
              <c:f>Results!$Q$34:$W$34</c:f>
              <c:numCache>
                <c:formatCode>General</c:formatCode>
                <c:ptCount val="7"/>
                <c:pt idx="0">
                  <c:v>2022</c:v>
                </c:pt>
                <c:pt idx="1">
                  <c:v>2025</c:v>
                </c:pt>
                <c:pt idx="2">
                  <c:v>2030</c:v>
                </c:pt>
                <c:pt idx="3">
                  <c:v>2035</c:v>
                </c:pt>
                <c:pt idx="4">
                  <c:v>2040</c:v>
                </c:pt>
                <c:pt idx="5">
                  <c:v>2045</c:v>
                </c:pt>
                <c:pt idx="6">
                  <c:v>2051</c:v>
                </c:pt>
              </c:numCache>
            </c:numRef>
          </c:cat>
          <c:val>
            <c:numRef>
              <c:f>Results!$Q$35:$W$35</c:f>
              <c:numCache>
                <c:formatCode>0</c:formatCode>
                <c:ptCount val="7"/>
                <c:pt idx="0">
                  <c:v>9273.8450352770869</c:v>
                </c:pt>
                <c:pt idx="1">
                  <c:v>10415.158642420072</c:v>
                </c:pt>
                <c:pt idx="2">
                  <c:v>11559.249525561316</c:v>
                </c:pt>
                <c:pt idx="3">
                  <c:v>12694.201885914605</c:v>
                </c:pt>
                <c:pt idx="4">
                  <c:v>13363.850906953823</c:v>
                </c:pt>
                <c:pt idx="5">
                  <c:v>13946.26425395779</c:v>
                </c:pt>
                <c:pt idx="6">
                  <c:v>14770.086734578357</c:v>
                </c:pt>
              </c:numCache>
            </c:numRef>
          </c:val>
          <c:extLst>
            <c:ext xmlns:c16="http://schemas.microsoft.com/office/drawing/2014/chart" uri="{C3380CC4-5D6E-409C-BE32-E72D297353CC}">
              <c16:uniqueId val="{00000000-7F72-46DA-B820-D9AED92CA373}"/>
            </c:ext>
          </c:extLst>
        </c:ser>
        <c:ser>
          <c:idx val="1"/>
          <c:order val="1"/>
          <c:tx>
            <c:strRef>
              <c:f>Results!$P$36</c:f>
              <c:strCache>
                <c:ptCount val="1"/>
                <c:pt idx="0">
                  <c:v>Energy</c:v>
                </c:pt>
              </c:strCache>
            </c:strRef>
          </c:tx>
          <c:spPr>
            <a:solidFill>
              <a:schemeClr val="accent2"/>
            </a:solidFill>
            <a:ln>
              <a:noFill/>
            </a:ln>
            <a:effectLst/>
          </c:spPr>
          <c:invertIfNegative val="0"/>
          <c:cat>
            <c:numRef>
              <c:f>Results!$Q$34:$W$34</c:f>
              <c:numCache>
                <c:formatCode>General</c:formatCode>
                <c:ptCount val="7"/>
                <c:pt idx="0">
                  <c:v>2022</c:v>
                </c:pt>
                <c:pt idx="1">
                  <c:v>2025</c:v>
                </c:pt>
                <c:pt idx="2">
                  <c:v>2030</c:v>
                </c:pt>
                <c:pt idx="3">
                  <c:v>2035</c:v>
                </c:pt>
                <c:pt idx="4">
                  <c:v>2040</c:v>
                </c:pt>
                <c:pt idx="5">
                  <c:v>2045</c:v>
                </c:pt>
                <c:pt idx="6">
                  <c:v>2051</c:v>
                </c:pt>
              </c:numCache>
            </c:numRef>
          </c:cat>
          <c:val>
            <c:numRef>
              <c:f>Results!$Q$36:$W$36</c:f>
              <c:numCache>
                <c:formatCode>0</c:formatCode>
                <c:ptCount val="7"/>
                <c:pt idx="0">
                  <c:v>169596.04044749241</c:v>
                </c:pt>
                <c:pt idx="1">
                  <c:v>171446.13716357949</c:v>
                </c:pt>
                <c:pt idx="2">
                  <c:v>157455.06468517164</c:v>
                </c:pt>
                <c:pt idx="3">
                  <c:v>149319.62620807969</c:v>
                </c:pt>
                <c:pt idx="4">
                  <c:v>153580.81597430096</c:v>
                </c:pt>
                <c:pt idx="5">
                  <c:v>157282.38416528873</c:v>
                </c:pt>
                <c:pt idx="6">
                  <c:v>162358.41082522582</c:v>
                </c:pt>
              </c:numCache>
            </c:numRef>
          </c:val>
          <c:extLst>
            <c:ext xmlns:c16="http://schemas.microsoft.com/office/drawing/2014/chart" uri="{C3380CC4-5D6E-409C-BE32-E72D297353CC}">
              <c16:uniqueId val="{00000001-7F72-46DA-B820-D9AED92CA373}"/>
            </c:ext>
          </c:extLst>
        </c:ser>
        <c:ser>
          <c:idx val="2"/>
          <c:order val="2"/>
          <c:tx>
            <c:strRef>
              <c:f>Results!$P$37</c:f>
              <c:strCache>
                <c:ptCount val="1"/>
                <c:pt idx="0">
                  <c:v>Transport</c:v>
                </c:pt>
              </c:strCache>
            </c:strRef>
          </c:tx>
          <c:spPr>
            <a:solidFill>
              <a:schemeClr val="accent3"/>
            </a:solidFill>
            <a:ln>
              <a:noFill/>
            </a:ln>
            <a:effectLst/>
          </c:spPr>
          <c:invertIfNegative val="0"/>
          <c:cat>
            <c:numRef>
              <c:f>Results!$Q$34:$W$34</c:f>
              <c:numCache>
                <c:formatCode>General</c:formatCode>
                <c:ptCount val="7"/>
                <c:pt idx="0">
                  <c:v>2022</c:v>
                </c:pt>
                <c:pt idx="1">
                  <c:v>2025</c:v>
                </c:pt>
                <c:pt idx="2">
                  <c:v>2030</c:v>
                </c:pt>
                <c:pt idx="3">
                  <c:v>2035</c:v>
                </c:pt>
                <c:pt idx="4">
                  <c:v>2040</c:v>
                </c:pt>
                <c:pt idx="5">
                  <c:v>2045</c:v>
                </c:pt>
                <c:pt idx="6">
                  <c:v>2051</c:v>
                </c:pt>
              </c:numCache>
            </c:numRef>
          </c:cat>
          <c:val>
            <c:numRef>
              <c:f>Results!$Q$37:$W$37</c:f>
              <c:numCache>
                <c:formatCode>0</c:formatCode>
                <c:ptCount val="7"/>
                <c:pt idx="0">
                  <c:v>191900.61500730008</c:v>
                </c:pt>
                <c:pt idx="1">
                  <c:v>205862.02607583348</c:v>
                </c:pt>
                <c:pt idx="2">
                  <c:v>226217.27741085135</c:v>
                </c:pt>
                <c:pt idx="3">
                  <c:v>244106.57693777781</c:v>
                </c:pt>
                <c:pt idx="4">
                  <c:v>262066.6210315208</c:v>
                </c:pt>
                <c:pt idx="5">
                  <c:v>277798.20195418427</c:v>
                </c:pt>
                <c:pt idx="6">
                  <c:v>316862.98864286806</c:v>
                </c:pt>
              </c:numCache>
            </c:numRef>
          </c:val>
          <c:extLst>
            <c:ext xmlns:c16="http://schemas.microsoft.com/office/drawing/2014/chart" uri="{C3380CC4-5D6E-409C-BE32-E72D297353CC}">
              <c16:uniqueId val="{00000002-7F72-46DA-B820-D9AED92CA373}"/>
            </c:ext>
          </c:extLst>
        </c:ser>
        <c:ser>
          <c:idx val="3"/>
          <c:order val="3"/>
          <c:tx>
            <c:strRef>
              <c:f>Results!$P$38</c:f>
              <c:strCache>
                <c:ptCount val="1"/>
                <c:pt idx="0">
                  <c:v>Air Travel</c:v>
                </c:pt>
              </c:strCache>
            </c:strRef>
          </c:tx>
          <c:spPr>
            <a:solidFill>
              <a:schemeClr val="accent4"/>
            </a:solidFill>
            <a:ln>
              <a:noFill/>
            </a:ln>
            <a:effectLst/>
          </c:spPr>
          <c:invertIfNegative val="0"/>
          <c:cat>
            <c:numRef>
              <c:f>Results!$Q$34:$W$34</c:f>
              <c:numCache>
                <c:formatCode>General</c:formatCode>
                <c:ptCount val="7"/>
                <c:pt idx="0">
                  <c:v>2022</c:v>
                </c:pt>
                <c:pt idx="1">
                  <c:v>2025</c:v>
                </c:pt>
                <c:pt idx="2">
                  <c:v>2030</c:v>
                </c:pt>
                <c:pt idx="3">
                  <c:v>2035</c:v>
                </c:pt>
                <c:pt idx="4">
                  <c:v>2040</c:v>
                </c:pt>
                <c:pt idx="5">
                  <c:v>2045</c:v>
                </c:pt>
                <c:pt idx="6">
                  <c:v>2051</c:v>
                </c:pt>
              </c:numCache>
            </c:numRef>
          </c:cat>
          <c:val>
            <c:numRef>
              <c:f>Results!$Q$38:$W$38</c:f>
              <c:numCache>
                <c:formatCode>0</c:formatCode>
                <c:ptCount val="7"/>
                <c:pt idx="0">
                  <c:v>24276.752289934866</c:v>
                </c:pt>
                <c:pt idx="1">
                  <c:v>14230.999818683302</c:v>
                </c:pt>
                <c:pt idx="2">
                  <c:v>16202.148351539716</c:v>
                </c:pt>
                <c:pt idx="3">
                  <c:v>17958.395930978098</c:v>
                </c:pt>
                <c:pt idx="4">
                  <c:v>20018.058175608148</c:v>
                </c:pt>
                <c:pt idx="5">
                  <c:v>22064.800068103079</c:v>
                </c:pt>
                <c:pt idx="6">
                  <c:v>24643.757159140434</c:v>
                </c:pt>
              </c:numCache>
            </c:numRef>
          </c:val>
          <c:extLst>
            <c:ext xmlns:c16="http://schemas.microsoft.com/office/drawing/2014/chart" uri="{C3380CC4-5D6E-409C-BE32-E72D297353CC}">
              <c16:uniqueId val="{00000003-7F72-46DA-B820-D9AED92CA373}"/>
            </c:ext>
          </c:extLst>
        </c:ser>
        <c:ser>
          <c:idx val="4"/>
          <c:order val="4"/>
          <c:tx>
            <c:strRef>
              <c:f>Results!$P$40</c:f>
              <c:strCache>
                <c:ptCount val="1"/>
                <c:pt idx="0">
                  <c:v>Industrial Processes</c:v>
                </c:pt>
              </c:strCache>
            </c:strRef>
          </c:tx>
          <c:spPr>
            <a:solidFill>
              <a:schemeClr val="accent5"/>
            </a:solidFill>
            <a:ln>
              <a:noFill/>
            </a:ln>
            <a:effectLst/>
          </c:spPr>
          <c:invertIfNegative val="0"/>
          <c:cat>
            <c:numRef>
              <c:f>Results!$Q$34:$W$34</c:f>
              <c:numCache>
                <c:formatCode>General</c:formatCode>
                <c:ptCount val="7"/>
                <c:pt idx="0">
                  <c:v>2022</c:v>
                </c:pt>
                <c:pt idx="1">
                  <c:v>2025</c:v>
                </c:pt>
                <c:pt idx="2">
                  <c:v>2030</c:v>
                </c:pt>
                <c:pt idx="3">
                  <c:v>2035</c:v>
                </c:pt>
                <c:pt idx="4">
                  <c:v>2040</c:v>
                </c:pt>
                <c:pt idx="5">
                  <c:v>2045</c:v>
                </c:pt>
                <c:pt idx="6">
                  <c:v>2051</c:v>
                </c:pt>
              </c:numCache>
            </c:numRef>
          </c:cat>
          <c:val>
            <c:numRef>
              <c:f>Results!$Q$40:$W$40</c:f>
              <c:numCache>
                <c:formatCode>0</c:formatCode>
                <c:ptCount val="7"/>
                <c:pt idx="0">
                  <c:v>25679.38427410198</c:v>
                </c:pt>
                <c:pt idx="1">
                  <c:v>26901.722965549234</c:v>
                </c:pt>
                <c:pt idx="2">
                  <c:v>28000.800612480794</c:v>
                </c:pt>
                <c:pt idx="3">
                  <c:v>28195.963932963972</c:v>
                </c:pt>
                <c:pt idx="4">
                  <c:v>28819.972970824656</c:v>
                </c:pt>
                <c:pt idx="5">
                  <c:v>29336.128594734106</c:v>
                </c:pt>
                <c:pt idx="6">
                  <c:v>29788.085757958295</c:v>
                </c:pt>
              </c:numCache>
            </c:numRef>
          </c:val>
          <c:extLst>
            <c:ext xmlns:c16="http://schemas.microsoft.com/office/drawing/2014/chart" uri="{C3380CC4-5D6E-409C-BE32-E72D297353CC}">
              <c16:uniqueId val="{00000004-7F72-46DA-B820-D9AED92CA373}"/>
            </c:ext>
          </c:extLst>
        </c:ser>
        <c:ser>
          <c:idx val="5"/>
          <c:order val="5"/>
          <c:tx>
            <c:strRef>
              <c:f>Results!$P$41</c:f>
              <c:strCache>
                <c:ptCount val="1"/>
                <c:pt idx="0">
                  <c:v>Landuse</c:v>
                </c:pt>
              </c:strCache>
            </c:strRef>
          </c:tx>
          <c:spPr>
            <a:solidFill>
              <a:schemeClr val="accent6"/>
            </a:solidFill>
            <a:ln>
              <a:noFill/>
            </a:ln>
            <a:effectLst/>
          </c:spPr>
          <c:invertIfNegative val="0"/>
          <c:cat>
            <c:numRef>
              <c:f>Results!$Q$34:$W$34</c:f>
              <c:numCache>
                <c:formatCode>General</c:formatCode>
                <c:ptCount val="7"/>
                <c:pt idx="0">
                  <c:v>2022</c:v>
                </c:pt>
                <c:pt idx="1">
                  <c:v>2025</c:v>
                </c:pt>
                <c:pt idx="2">
                  <c:v>2030</c:v>
                </c:pt>
                <c:pt idx="3">
                  <c:v>2035</c:v>
                </c:pt>
                <c:pt idx="4">
                  <c:v>2040</c:v>
                </c:pt>
                <c:pt idx="5">
                  <c:v>2045</c:v>
                </c:pt>
                <c:pt idx="6">
                  <c:v>2051</c:v>
                </c:pt>
              </c:numCache>
            </c:numRef>
          </c:cat>
          <c:val>
            <c:numRef>
              <c:f>Results!$Q$41:$W$41</c:f>
              <c:numCache>
                <c:formatCode>0</c:formatCode>
                <c:ptCount val="7"/>
                <c:pt idx="0">
                  <c:v>77436.497272146036</c:v>
                </c:pt>
                <c:pt idx="1">
                  <c:v>83966.91942206939</c:v>
                </c:pt>
                <c:pt idx="2">
                  <c:v>81982.676179340357</c:v>
                </c:pt>
                <c:pt idx="3">
                  <c:v>78918.326847364006</c:v>
                </c:pt>
                <c:pt idx="4">
                  <c:v>75837.851730261697</c:v>
                </c:pt>
                <c:pt idx="5">
                  <c:v>72751.767784163167</c:v>
                </c:pt>
                <c:pt idx="6">
                  <c:v>68276.889748692163</c:v>
                </c:pt>
              </c:numCache>
            </c:numRef>
          </c:val>
          <c:extLst>
            <c:ext xmlns:c16="http://schemas.microsoft.com/office/drawing/2014/chart" uri="{C3380CC4-5D6E-409C-BE32-E72D297353CC}">
              <c16:uniqueId val="{00000005-7F72-46DA-B820-D9AED92CA373}"/>
            </c:ext>
          </c:extLst>
        </c:ser>
        <c:ser>
          <c:idx val="6"/>
          <c:order val="6"/>
          <c:tx>
            <c:strRef>
              <c:f>Results!$P$42</c:f>
              <c:strCache>
                <c:ptCount val="1"/>
                <c:pt idx="0">
                  <c:v>Sequestration</c:v>
                </c:pt>
              </c:strCache>
            </c:strRef>
          </c:tx>
          <c:spPr>
            <a:solidFill>
              <a:schemeClr val="accent1">
                <a:lumMod val="60000"/>
              </a:schemeClr>
            </a:solidFill>
            <a:ln>
              <a:noFill/>
            </a:ln>
            <a:effectLst/>
          </c:spPr>
          <c:invertIfNegative val="0"/>
          <c:cat>
            <c:numRef>
              <c:f>Results!$Q$34:$W$34</c:f>
              <c:numCache>
                <c:formatCode>General</c:formatCode>
                <c:ptCount val="7"/>
                <c:pt idx="0">
                  <c:v>2022</c:v>
                </c:pt>
                <c:pt idx="1">
                  <c:v>2025</c:v>
                </c:pt>
                <c:pt idx="2">
                  <c:v>2030</c:v>
                </c:pt>
                <c:pt idx="3">
                  <c:v>2035</c:v>
                </c:pt>
                <c:pt idx="4">
                  <c:v>2040</c:v>
                </c:pt>
                <c:pt idx="5">
                  <c:v>2045</c:v>
                </c:pt>
                <c:pt idx="6">
                  <c:v>2051</c:v>
                </c:pt>
              </c:numCache>
            </c:numRef>
          </c:cat>
          <c:val>
            <c:numRef>
              <c:f>Results!$Q$42:$W$42</c:f>
              <c:numCache>
                <c:formatCode>0</c:formatCode>
                <c:ptCount val="7"/>
                <c:pt idx="0">
                  <c:v>-77134.100000000006</c:v>
                </c:pt>
                <c:pt idx="1">
                  <c:v>-80693.305000000008</c:v>
                </c:pt>
                <c:pt idx="2">
                  <c:v>-84252.510000000009</c:v>
                </c:pt>
                <c:pt idx="3">
                  <c:v>-91370.919999999984</c:v>
                </c:pt>
                <c:pt idx="4">
                  <c:v>-98489.33</c:v>
                </c:pt>
                <c:pt idx="5">
                  <c:v>-105607.73999999999</c:v>
                </c:pt>
                <c:pt idx="6">
                  <c:v>-111576.253</c:v>
                </c:pt>
              </c:numCache>
            </c:numRef>
          </c:val>
          <c:extLst>
            <c:ext xmlns:c16="http://schemas.microsoft.com/office/drawing/2014/chart" uri="{C3380CC4-5D6E-409C-BE32-E72D297353CC}">
              <c16:uniqueId val="{00000006-7F72-46DA-B820-D9AED92CA373}"/>
            </c:ext>
          </c:extLst>
        </c:ser>
        <c:dLbls>
          <c:showLegendKey val="0"/>
          <c:showVal val="0"/>
          <c:showCatName val="0"/>
          <c:showSerName val="0"/>
          <c:showPercent val="0"/>
          <c:showBubbleSize val="0"/>
        </c:dLbls>
        <c:gapWidth val="150"/>
        <c:overlap val="100"/>
        <c:axId val="887007280"/>
        <c:axId val="897768208"/>
      </c:barChart>
      <c:lineChart>
        <c:grouping val="standard"/>
        <c:varyColors val="0"/>
        <c:ser>
          <c:idx val="7"/>
          <c:order val="7"/>
          <c:tx>
            <c:strRef>
              <c:f>Results!$P$64</c:f>
              <c:strCache>
                <c:ptCount val="1"/>
                <c:pt idx="0">
                  <c:v>Emission reduction target (net carbon) (net t CO2e)</c:v>
                </c:pt>
              </c:strCache>
            </c:strRef>
          </c:tx>
          <c:spPr>
            <a:ln w="28575" cap="rnd">
              <a:solidFill>
                <a:schemeClr val="accent2">
                  <a:lumMod val="60000"/>
                </a:schemeClr>
              </a:solidFill>
              <a:round/>
            </a:ln>
            <a:effectLst/>
          </c:spPr>
          <c:marker>
            <c:symbol val="none"/>
          </c:marker>
          <c:val>
            <c:numRef>
              <c:f>Results!$Q$64:$W$64</c:f>
              <c:numCache>
                <c:formatCode>0</c:formatCode>
                <c:ptCount val="7"/>
                <c:pt idx="0">
                  <c:v>426923</c:v>
                </c:pt>
                <c:pt idx="1">
                  <c:v>341538.4</c:v>
                </c:pt>
                <c:pt idx="2">
                  <c:v>256153.8</c:v>
                </c:pt>
                <c:pt idx="3">
                  <c:v>213461.5</c:v>
                </c:pt>
                <c:pt idx="4">
                  <c:v>85384.6</c:v>
                </c:pt>
                <c:pt idx="5">
                  <c:v>0</c:v>
                </c:pt>
                <c:pt idx="6">
                  <c:v>0</c:v>
                </c:pt>
              </c:numCache>
            </c:numRef>
          </c:val>
          <c:smooth val="0"/>
          <c:extLst>
            <c:ext xmlns:c16="http://schemas.microsoft.com/office/drawing/2014/chart" uri="{C3380CC4-5D6E-409C-BE32-E72D297353CC}">
              <c16:uniqueId val="{00000003-1164-49AE-84CD-E5C136A10E34}"/>
            </c:ext>
          </c:extLst>
        </c:ser>
        <c:ser>
          <c:idx val="8"/>
          <c:order val="8"/>
          <c:tx>
            <c:strRef>
              <c:f>Results!$P$32</c:f>
              <c:strCache>
                <c:ptCount val="1"/>
                <c:pt idx="0">
                  <c:v>Net Emissions</c:v>
                </c:pt>
              </c:strCache>
            </c:strRef>
          </c:tx>
          <c:spPr>
            <a:ln w="28575" cap="rnd">
              <a:solidFill>
                <a:schemeClr val="accent3">
                  <a:lumMod val="60000"/>
                </a:schemeClr>
              </a:solidFill>
              <a:round/>
            </a:ln>
            <a:effectLst/>
          </c:spPr>
          <c:marker>
            <c:symbol val="none"/>
          </c:marker>
          <c:val>
            <c:numRef>
              <c:f>Results!$Q$32:$W$32</c:f>
              <c:numCache>
                <c:formatCode>0</c:formatCode>
                <c:ptCount val="7"/>
                <c:pt idx="0">
                  <c:v>421029.03432625241</c:v>
                </c:pt>
                <c:pt idx="1">
                  <c:v>432129.65908813494</c:v>
                </c:pt>
                <c:pt idx="2">
                  <c:v>437164.70676494512</c:v>
                </c:pt>
                <c:pt idx="3">
                  <c:v>439822.17174307822</c:v>
                </c:pt>
                <c:pt idx="4">
                  <c:v>455197.84078947006</c:v>
                </c:pt>
                <c:pt idx="5">
                  <c:v>467571.80682043114</c:v>
                </c:pt>
                <c:pt idx="6">
                  <c:v>505123.96586846316</c:v>
                </c:pt>
              </c:numCache>
            </c:numRef>
          </c:val>
          <c:smooth val="0"/>
          <c:extLst>
            <c:ext xmlns:c16="http://schemas.microsoft.com/office/drawing/2014/chart" uri="{C3380CC4-5D6E-409C-BE32-E72D297353CC}">
              <c16:uniqueId val="{00000004-1164-49AE-84CD-E5C136A10E34}"/>
            </c:ext>
          </c:extLst>
        </c:ser>
        <c:ser>
          <c:idx val="9"/>
          <c:order val="9"/>
          <c:tx>
            <c:strRef>
              <c:f>Results!$P$66</c:f>
              <c:strCache>
                <c:ptCount val="1"/>
                <c:pt idx="0">
                  <c:v>Emission reduction target (gross carbon) (gross t CO2e)</c:v>
                </c:pt>
              </c:strCache>
            </c:strRef>
          </c:tx>
          <c:spPr>
            <a:ln w="28575" cap="rnd">
              <a:solidFill>
                <a:schemeClr val="accent4">
                  <a:lumMod val="60000"/>
                </a:schemeClr>
              </a:solidFill>
              <a:round/>
            </a:ln>
            <a:effectLst/>
          </c:spPr>
          <c:marker>
            <c:symbol val="none"/>
          </c:marker>
          <c:val>
            <c:numRef>
              <c:f>Results!$Q$66:$W$66</c:f>
              <c:numCache>
                <c:formatCode>General</c:formatCode>
                <c:ptCount val="7"/>
                <c:pt idx="0">
                  <c:v>502530</c:v>
                </c:pt>
                <c:pt idx="1">
                  <c:v>452277</c:v>
                </c:pt>
                <c:pt idx="2">
                  <c:v>402024</c:v>
                </c:pt>
                <c:pt idx="3">
                  <c:v>301518</c:v>
                </c:pt>
                <c:pt idx="4">
                  <c:v>251265</c:v>
                </c:pt>
                <c:pt idx="5">
                  <c:v>195986.7</c:v>
                </c:pt>
                <c:pt idx="6">
                  <c:v>100506</c:v>
                </c:pt>
              </c:numCache>
            </c:numRef>
          </c:val>
          <c:smooth val="0"/>
          <c:extLst>
            <c:ext xmlns:c16="http://schemas.microsoft.com/office/drawing/2014/chart" uri="{C3380CC4-5D6E-409C-BE32-E72D297353CC}">
              <c16:uniqueId val="{00000005-1164-49AE-84CD-E5C136A10E34}"/>
            </c:ext>
          </c:extLst>
        </c:ser>
        <c:ser>
          <c:idx val="10"/>
          <c:order val="10"/>
          <c:tx>
            <c:strRef>
              <c:f>Results!$P$30</c:f>
              <c:strCache>
                <c:ptCount val="1"/>
                <c:pt idx="0">
                  <c:v>Gross Emissions</c:v>
                </c:pt>
              </c:strCache>
            </c:strRef>
          </c:tx>
          <c:spPr>
            <a:ln w="28575" cap="rnd">
              <a:solidFill>
                <a:schemeClr val="accent5">
                  <a:lumMod val="60000"/>
                </a:schemeClr>
              </a:solidFill>
              <a:round/>
            </a:ln>
            <a:effectLst/>
          </c:spPr>
          <c:marker>
            <c:symbol val="none"/>
          </c:marker>
          <c:val>
            <c:numRef>
              <c:f>Results!$Q$30:$W$30</c:f>
              <c:numCache>
                <c:formatCode>0</c:formatCode>
                <c:ptCount val="7"/>
                <c:pt idx="0">
                  <c:v>498163.13432625245</c:v>
                </c:pt>
                <c:pt idx="1">
                  <c:v>512822.96408813493</c:v>
                </c:pt>
                <c:pt idx="2">
                  <c:v>521417.21676494513</c:v>
                </c:pt>
                <c:pt idx="3">
                  <c:v>531193.0917430782</c:v>
                </c:pt>
                <c:pt idx="4">
                  <c:v>553687.17078947008</c:v>
                </c:pt>
                <c:pt idx="5">
                  <c:v>573179.54682043113</c:v>
                </c:pt>
                <c:pt idx="6">
                  <c:v>616700.21886846318</c:v>
                </c:pt>
              </c:numCache>
            </c:numRef>
          </c:val>
          <c:smooth val="0"/>
          <c:extLst>
            <c:ext xmlns:c16="http://schemas.microsoft.com/office/drawing/2014/chart" uri="{C3380CC4-5D6E-409C-BE32-E72D297353CC}">
              <c16:uniqueId val="{00000006-1164-49AE-84CD-E5C136A10E34}"/>
            </c:ext>
          </c:extLst>
        </c:ser>
        <c:dLbls>
          <c:showLegendKey val="0"/>
          <c:showVal val="0"/>
          <c:showCatName val="0"/>
          <c:showSerName val="0"/>
          <c:showPercent val="0"/>
          <c:showBubbleSize val="0"/>
        </c:dLbls>
        <c:marker val="1"/>
        <c:smooth val="0"/>
        <c:axId val="887007280"/>
        <c:axId val="897768208"/>
      </c:lineChart>
      <c:catAx>
        <c:axId val="887007280"/>
        <c:scaling>
          <c:orientation val="minMax"/>
        </c:scaling>
        <c:delete val="0"/>
        <c:axPos val="b"/>
        <c:numFmt formatCode="General" sourceLinked="1"/>
        <c:majorTickMark val="none"/>
        <c:minorTickMark val="none"/>
        <c:tickLblPos val="nextTo"/>
        <c:spPr>
          <a:solidFill>
            <a:srgbClr val="FFC000"/>
          </a:solid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768208"/>
        <c:crosses val="autoZero"/>
        <c:auto val="1"/>
        <c:lblAlgn val="ctr"/>
        <c:lblOffset val="100"/>
        <c:noMultiLvlLbl val="0"/>
      </c:catAx>
      <c:valAx>
        <c:axId val="8977682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007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creativecommons.org/licenses/by/4.0/"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167640</xdr:colOff>
      <xdr:row>29</xdr:row>
      <xdr:rowOff>76200</xdr:rowOff>
    </xdr:from>
    <xdr:to>
      <xdr:col>0</xdr:col>
      <xdr:colOff>525780</xdr:colOff>
      <xdr:row>35</xdr:row>
      <xdr:rowOff>30480</xdr:rowOff>
    </xdr:to>
    <xdr:sp macro="" textlink="">
      <xdr:nvSpPr>
        <xdr:cNvPr id="35842" name="Scroll Bar 2" hidden="1">
          <a:extLst>
            <a:ext uri="{63B3BB69-23CF-44E3-9099-C40C66FF867C}">
              <a14:compatExt xmlns:a14="http://schemas.microsoft.com/office/drawing/2010/main" spid="_x0000_s35842"/>
            </a:ext>
            <a:ext uri="{FF2B5EF4-FFF2-40B4-BE49-F238E27FC236}">
              <a16:creationId xmlns:a16="http://schemas.microsoft.com/office/drawing/2014/main" id="{00000000-0008-0000-0000-0000028C0000}"/>
            </a:ext>
          </a:extLst>
        </xdr:cNvPr>
        <xdr:cNvSpPr/>
      </xdr:nvSpPr>
      <xdr:spPr bwMode="auto">
        <a:xfrm>
          <a:off x="167640" y="5303520"/>
          <a:ext cx="358140" cy="1059180"/>
        </a:xfrm>
        <a:prstGeom prst="rect">
          <a:avLst/>
        </a:prstGeom>
        <a:noFill/>
        <a:ln w="9525">
          <a:miter lim="800000"/>
          <a:headEnd/>
          <a:tailEnd/>
        </a:ln>
      </xdr:spPr>
    </xdr:sp>
    <xdr:clientData/>
  </xdr:twoCellAnchor>
  <xdr:twoCellAnchor editAs="oneCell">
    <xdr:from>
      <xdr:col>1</xdr:col>
      <xdr:colOff>0</xdr:colOff>
      <xdr:row>3</xdr:row>
      <xdr:rowOff>57150</xdr:rowOff>
    </xdr:from>
    <xdr:to>
      <xdr:col>2</xdr:col>
      <xdr:colOff>85725</xdr:colOff>
      <xdr:row>4</xdr:row>
      <xdr:rowOff>161925</xdr:rowOff>
    </xdr:to>
    <xdr:pic>
      <xdr:nvPicPr>
        <xdr:cNvPr id="3" name="Picture 2" descr="Creative Commons License">
          <a:hlinkClick xmlns:r="http://schemas.openxmlformats.org/officeDocument/2006/relationships" r:id="rId1"/>
          <a:extLst>
            <a:ext uri="{FF2B5EF4-FFF2-40B4-BE49-F238E27FC236}">
              <a16:creationId xmlns:a16="http://schemas.microsoft.com/office/drawing/2014/main" id="{78B82AE1-9BC3-4448-A029-D6109CF7F4B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704850"/>
          <a:ext cx="83820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531494</xdr:colOff>
      <xdr:row>32</xdr:row>
      <xdr:rowOff>40957</xdr:rowOff>
    </xdr:from>
    <xdr:to>
      <xdr:col>14</xdr:col>
      <xdr:colOff>243840</xdr:colOff>
      <xdr:row>58</xdr:row>
      <xdr:rowOff>179070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129540</xdr:colOff>
      <xdr:row>32</xdr:row>
      <xdr:rowOff>60960</xdr:rowOff>
    </xdr:from>
    <xdr:to>
      <xdr:col>0</xdr:col>
      <xdr:colOff>478155</xdr:colOff>
      <xdr:row>38</xdr:row>
      <xdr:rowOff>53340</xdr:rowOff>
    </xdr:to>
    <xdr:sp macro="" textlink="">
      <xdr:nvSpPr>
        <xdr:cNvPr id="4101" name="Scroll Bar 5" hidden="1">
          <a:extLst>
            <a:ext uri="{63B3BB69-23CF-44E3-9099-C40C66FF867C}">
              <a14:compatExt xmlns:a14="http://schemas.microsoft.com/office/drawing/2010/main" spid="_x0000_s4101"/>
            </a:ext>
            <a:ext uri="{FF2B5EF4-FFF2-40B4-BE49-F238E27FC236}">
              <a16:creationId xmlns:a16="http://schemas.microsoft.com/office/drawing/2014/main" id="{00000000-0008-0000-0300-0000051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0</xdr:col>
      <xdr:colOff>129540</xdr:colOff>
      <xdr:row>44</xdr:row>
      <xdr:rowOff>60960</xdr:rowOff>
    </xdr:from>
    <xdr:to>
      <xdr:col>0</xdr:col>
      <xdr:colOff>478155</xdr:colOff>
      <xdr:row>50</xdr:row>
      <xdr:rowOff>19050</xdr:rowOff>
    </xdr:to>
    <xdr:sp macro="" textlink="">
      <xdr:nvSpPr>
        <xdr:cNvPr id="4102" name="Scroll Bar 6" hidden="1">
          <a:extLst>
            <a:ext uri="{63B3BB69-23CF-44E3-9099-C40C66FF867C}">
              <a14:compatExt xmlns:a14="http://schemas.microsoft.com/office/drawing/2010/main" spid="_x0000_s4102"/>
            </a:ext>
            <a:ext uri="{FF2B5EF4-FFF2-40B4-BE49-F238E27FC236}">
              <a16:creationId xmlns:a16="http://schemas.microsoft.com/office/drawing/2014/main" id="{00000000-0008-0000-0300-0000061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0</xdr:col>
      <xdr:colOff>129540</xdr:colOff>
      <xdr:row>56</xdr:row>
      <xdr:rowOff>60960</xdr:rowOff>
    </xdr:from>
    <xdr:to>
      <xdr:col>0</xdr:col>
      <xdr:colOff>478155</xdr:colOff>
      <xdr:row>62</xdr:row>
      <xdr:rowOff>7620</xdr:rowOff>
    </xdr:to>
    <xdr:sp macro="" textlink="">
      <xdr:nvSpPr>
        <xdr:cNvPr id="4103" name="Scroll Bar 7" hidden="1">
          <a:extLst>
            <a:ext uri="{63B3BB69-23CF-44E3-9099-C40C66FF867C}">
              <a14:compatExt xmlns:a14="http://schemas.microsoft.com/office/drawing/2010/main" spid="_x0000_s4103"/>
            </a:ext>
            <a:ext uri="{FF2B5EF4-FFF2-40B4-BE49-F238E27FC236}">
              <a16:creationId xmlns:a16="http://schemas.microsoft.com/office/drawing/2014/main" id="{00000000-0008-0000-0300-0000071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0</xdr:col>
      <xdr:colOff>129540</xdr:colOff>
      <xdr:row>70</xdr:row>
      <xdr:rowOff>60960</xdr:rowOff>
    </xdr:from>
    <xdr:to>
      <xdr:col>0</xdr:col>
      <xdr:colOff>478155</xdr:colOff>
      <xdr:row>76</xdr:row>
      <xdr:rowOff>19050</xdr:rowOff>
    </xdr:to>
    <xdr:sp macro="" textlink="">
      <xdr:nvSpPr>
        <xdr:cNvPr id="4104" name="Scroll Bar 8" hidden="1">
          <a:extLst>
            <a:ext uri="{63B3BB69-23CF-44E3-9099-C40C66FF867C}">
              <a14:compatExt xmlns:a14="http://schemas.microsoft.com/office/drawing/2010/main" spid="_x0000_s4104"/>
            </a:ext>
            <a:ext uri="{FF2B5EF4-FFF2-40B4-BE49-F238E27FC236}">
              <a16:creationId xmlns:a16="http://schemas.microsoft.com/office/drawing/2014/main" id="{00000000-0008-0000-0300-0000081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0</xdr:col>
      <xdr:colOff>129540</xdr:colOff>
      <xdr:row>8</xdr:row>
      <xdr:rowOff>60960</xdr:rowOff>
    </xdr:from>
    <xdr:to>
      <xdr:col>0</xdr:col>
      <xdr:colOff>478155</xdr:colOff>
      <xdr:row>14</xdr:row>
      <xdr:rowOff>19050</xdr:rowOff>
    </xdr:to>
    <xdr:sp macro="" textlink="">
      <xdr:nvSpPr>
        <xdr:cNvPr id="4108" name="Scroll Bar 12" hidden="1">
          <a:extLst>
            <a:ext uri="{63B3BB69-23CF-44E3-9099-C40C66FF867C}">
              <a14:compatExt xmlns:a14="http://schemas.microsoft.com/office/drawing/2010/main" spid="_x0000_s4108"/>
            </a:ext>
            <a:ext uri="{FF2B5EF4-FFF2-40B4-BE49-F238E27FC236}">
              <a16:creationId xmlns:a16="http://schemas.microsoft.com/office/drawing/2014/main" id="{00000000-0008-0000-0300-00000C100000}"/>
            </a:ext>
          </a:extLst>
        </xdr:cNvPr>
        <xdr:cNvSpPr/>
      </xdr:nvSpPr>
      <xdr:spPr bwMode="auto">
        <a:xfrm>
          <a:off x="0" y="0"/>
          <a:ext cx="0" cy="0"/>
        </a:xfrm>
        <a:prstGeom prst="rect">
          <a:avLst/>
        </a:prstGeom>
        <a:noFill/>
        <a:ln w="9525">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175260</xdr:colOff>
      <xdr:row>15</xdr:row>
      <xdr:rowOff>76200</xdr:rowOff>
    </xdr:from>
    <xdr:to>
      <xdr:col>0</xdr:col>
      <xdr:colOff>516255</xdr:colOff>
      <xdr:row>20</xdr:row>
      <xdr:rowOff>220980</xdr:rowOff>
    </xdr:to>
    <xdr:sp macro="" textlink="">
      <xdr:nvSpPr>
        <xdr:cNvPr id="24578" name="Scroll Bar 2" hidden="1">
          <a:extLst>
            <a:ext uri="{63B3BB69-23CF-44E3-9099-C40C66FF867C}">
              <a14:compatExt xmlns:a14="http://schemas.microsoft.com/office/drawing/2010/main" spid="_x0000_s24578"/>
            </a:ext>
            <a:ext uri="{FF2B5EF4-FFF2-40B4-BE49-F238E27FC236}">
              <a16:creationId xmlns:a16="http://schemas.microsoft.com/office/drawing/2014/main" id="{00000000-0008-0000-0400-0000026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0</xdr:col>
      <xdr:colOff>175260</xdr:colOff>
      <xdr:row>39</xdr:row>
      <xdr:rowOff>76200</xdr:rowOff>
    </xdr:from>
    <xdr:to>
      <xdr:col>0</xdr:col>
      <xdr:colOff>516255</xdr:colOff>
      <xdr:row>45</xdr:row>
      <xdr:rowOff>20955</xdr:rowOff>
    </xdr:to>
    <xdr:sp macro="" textlink="">
      <xdr:nvSpPr>
        <xdr:cNvPr id="24580" name="Scroll Bar 4" hidden="1">
          <a:extLst>
            <a:ext uri="{63B3BB69-23CF-44E3-9099-C40C66FF867C}">
              <a14:compatExt xmlns:a14="http://schemas.microsoft.com/office/drawing/2010/main" spid="_x0000_s24580"/>
            </a:ext>
            <a:ext uri="{FF2B5EF4-FFF2-40B4-BE49-F238E27FC236}">
              <a16:creationId xmlns:a16="http://schemas.microsoft.com/office/drawing/2014/main" id="{00000000-0008-0000-0400-0000046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0</xdr:col>
      <xdr:colOff>129540</xdr:colOff>
      <xdr:row>60</xdr:row>
      <xdr:rowOff>60960</xdr:rowOff>
    </xdr:from>
    <xdr:to>
      <xdr:col>0</xdr:col>
      <xdr:colOff>478155</xdr:colOff>
      <xdr:row>66</xdr:row>
      <xdr:rowOff>19050</xdr:rowOff>
    </xdr:to>
    <xdr:sp macro="" textlink="">
      <xdr:nvSpPr>
        <xdr:cNvPr id="24582" name="Scroll Bar 6" hidden="1">
          <a:extLst>
            <a:ext uri="{63B3BB69-23CF-44E3-9099-C40C66FF867C}">
              <a14:compatExt xmlns:a14="http://schemas.microsoft.com/office/drawing/2010/main" spid="_x0000_s24582"/>
            </a:ext>
            <a:ext uri="{FF2B5EF4-FFF2-40B4-BE49-F238E27FC236}">
              <a16:creationId xmlns:a16="http://schemas.microsoft.com/office/drawing/2014/main" id="{00000000-0008-0000-0400-00000660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0</xdr:col>
      <xdr:colOff>129540</xdr:colOff>
      <xdr:row>77</xdr:row>
      <xdr:rowOff>60960</xdr:rowOff>
    </xdr:from>
    <xdr:to>
      <xdr:col>0</xdr:col>
      <xdr:colOff>478155</xdr:colOff>
      <xdr:row>83</xdr:row>
      <xdr:rowOff>19050</xdr:rowOff>
    </xdr:to>
    <xdr:sp macro="" textlink="">
      <xdr:nvSpPr>
        <xdr:cNvPr id="24584" name="Scroll Bar 8" hidden="1">
          <a:extLst>
            <a:ext uri="{63B3BB69-23CF-44E3-9099-C40C66FF867C}">
              <a14:compatExt xmlns:a14="http://schemas.microsoft.com/office/drawing/2010/main" spid="_x0000_s24584"/>
            </a:ext>
            <a:ext uri="{FF2B5EF4-FFF2-40B4-BE49-F238E27FC236}">
              <a16:creationId xmlns:a16="http://schemas.microsoft.com/office/drawing/2014/main" id="{00000000-0008-0000-0400-000008600000}"/>
            </a:ext>
          </a:extLst>
        </xdr:cNvPr>
        <xdr:cNvSpPr/>
      </xdr:nvSpPr>
      <xdr:spPr bwMode="auto">
        <a:xfrm>
          <a:off x="0" y="0"/>
          <a:ext cx="0" cy="0"/>
        </a:xfrm>
        <a:prstGeom prst="rect">
          <a:avLst/>
        </a:prstGeom>
        <a:noFill/>
        <a:ln w="9525">
          <a:miter lim="800000"/>
          <a:headEnd/>
          <a:tailEnd/>
        </a:ln>
      </xdr:spPr>
    </xdr:sp>
    <xdr:clientData/>
  </xdr:twoCellAnchor>
  <xdr:oneCellAnchor>
    <xdr:from>
      <xdr:col>0</xdr:col>
      <xdr:colOff>175260</xdr:colOff>
      <xdr:row>37</xdr:row>
      <xdr:rowOff>0</xdr:rowOff>
    </xdr:from>
    <xdr:ext cx="340995" cy="1049655"/>
    <xdr:sp macro="" textlink="">
      <xdr:nvSpPr>
        <xdr:cNvPr id="2" name="Scroll Bar 4" hidden="1">
          <a:extLst>
            <a:ext uri="{63B3BB69-23CF-44E3-9099-C40C66FF867C}">
              <a14:compatExt xmlns:a14="http://schemas.microsoft.com/office/drawing/2010/main" spid="_x0000_s24580"/>
            </a:ext>
            <a:ext uri="{FF2B5EF4-FFF2-40B4-BE49-F238E27FC236}">
              <a16:creationId xmlns:a16="http://schemas.microsoft.com/office/drawing/2014/main" id="{097BBE00-103E-4A68-8CD5-AA6D9221D028}"/>
            </a:ext>
          </a:extLst>
        </xdr:cNvPr>
        <xdr:cNvSpPr/>
      </xdr:nvSpPr>
      <xdr:spPr bwMode="auto">
        <a:xfrm>
          <a:off x="175260" y="10972800"/>
          <a:ext cx="340995" cy="1049655"/>
        </a:xfrm>
        <a:prstGeom prst="rect">
          <a:avLst/>
        </a:prstGeom>
        <a:noFill/>
        <a:ln w="9525">
          <a:miter lim="800000"/>
          <a:headEnd/>
          <a:tailEnd/>
        </a:ln>
      </xdr:spPr>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167640</xdr:colOff>
      <xdr:row>78</xdr:row>
      <xdr:rowOff>76200</xdr:rowOff>
    </xdr:from>
    <xdr:to>
      <xdr:col>0</xdr:col>
      <xdr:colOff>533400</xdr:colOff>
      <xdr:row>84</xdr:row>
      <xdr:rowOff>20955</xdr:rowOff>
    </xdr:to>
    <xdr:sp macro="" textlink="">
      <xdr:nvSpPr>
        <xdr:cNvPr id="25602" name="Scroll Bar 2" hidden="1">
          <a:extLst>
            <a:ext uri="{63B3BB69-23CF-44E3-9099-C40C66FF867C}">
              <a14:compatExt xmlns:a14="http://schemas.microsoft.com/office/drawing/2010/main" spid="_x0000_s25602"/>
            </a:ext>
            <a:ext uri="{FF2B5EF4-FFF2-40B4-BE49-F238E27FC236}">
              <a16:creationId xmlns:a16="http://schemas.microsoft.com/office/drawing/2014/main" id="{00000000-0008-0000-0600-00000264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0</xdr:col>
      <xdr:colOff>167640</xdr:colOff>
      <xdr:row>101</xdr:row>
      <xdr:rowOff>76200</xdr:rowOff>
    </xdr:from>
    <xdr:to>
      <xdr:col>0</xdr:col>
      <xdr:colOff>533400</xdr:colOff>
      <xdr:row>107</xdr:row>
      <xdr:rowOff>20955</xdr:rowOff>
    </xdr:to>
    <xdr:sp macro="" textlink="">
      <xdr:nvSpPr>
        <xdr:cNvPr id="25603" name="Scroll Bar 3" hidden="1">
          <a:extLst>
            <a:ext uri="{63B3BB69-23CF-44E3-9099-C40C66FF867C}">
              <a14:compatExt xmlns:a14="http://schemas.microsoft.com/office/drawing/2010/main" spid="_x0000_s25603"/>
            </a:ext>
            <a:ext uri="{FF2B5EF4-FFF2-40B4-BE49-F238E27FC236}">
              <a16:creationId xmlns:a16="http://schemas.microsoft.com/office/drawing/2014/main" id="{00000000-0008-0000-0600-00000364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0</xdr:col>
      <xdr:colOff>167640</xdr:colOff>
      <xdr:row>126</xdr:row>
      <xdr:rowOff>76200</xdr:rowOff>
    </xdr:from>
    <xdr:to>
      <xdr:col>0</xdr:col>
      <xdr:colOff>533400</xdr:colOff>
      <xdr:row>132</xdr:row>
      <xdr:rowOff>38100</xdr:rowOff>
    </xdr:to>
    <xdr:sp macro="" textlink="">
      <xdr:nvSpPr>
        <xdr:cNvPr id="25606" name="Scroll Bar 6" hidden="1">
          <a:extLst>
            <a:ext uri="{63B3BB69-23CF-44E3-9099-C40C66FF867C}">
              <a14:compatExt xmlns:a14="http://schemas.microsoft.com/office/drawing/2010/main" spid="_x0000_s25606"/>
            </a:ext>
            <a:ext uri="{FF2B5EF4-FFF2-40B4-BE49-F238E27FC236}">
              <a16:creationId xmlns:a16="http://schemas.microsoft.com/office/drawing/2014/main" id="{00000000-0008-0000-0600-00000664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0</xdr:col>
      <xdr:colOff>167640</xdr:colOff>
      <xdr:row>152</xdr:row>
      <xdr:rowOff>76200</xdr:rowOff>
    </xdr:from>
    <xdr:to>
      <xdr:col>0</xdr:col>
      <xdr:colOff>533400</xdr:colOff>
      <xdr:row>158</xdr:row>
      <xdr:rowOff>20955</xdr:rowOff>
    </xdr:to>
    <xdr:sp macro="" textlink="">
      <xdr:nvSpPr>
        <xdr:cNvPr id="25607" name="Scroll Bar 7" hidden="1">
          <a:extLst>
            <a:ext uri="{63B3BB69-23CF-44E3-9099-C40C66FF867C}">
              <a14:compatExt xmlns:a14="http://schemas.microsoft.com/office/drawing/2010/main" spid="_x0000_s25607"/>
            </a:ext>
            <a:ext uri="{FF2B5EF4-FFF2-40B4-BE49-F238E27FC236}">
              <a16:creationId xmlns:a16="http://schemas.microsoft.com/office/drawing/2014/main" id="{00000000-0008-0000-0600-00000764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0</xdr:col>
      <xdr:colOff>167640</xdr:colOff>
      <xdr:row>181</xdr:row>
      <xdr:rowOff>76200</xdr:rowOff>
    </xdr:from>
    <xdr:to>
      <xdr:col>0</xdr:col>
      <xdr:colOff>533400</xdr:colOff>
      <xdr:row>187</xdr:row>
      <xdr:rowOff>20955</xdr:rowOff>
    </xdr:to>
    <xdr:sp macro="" textlink="">
      <xdr:nvSpPr>
        <xdr:cNvPr id="25608" name="Scroll Bar 8" hidden="1">
          <a:extLst>
            <a:ext uri="{63B3BB69-23CF-44E3-9099-C40C66FF867C}">
              <a14:compatExt xmlns:a14="http://schemas.microsoft.com/office/drawing/2010/main" spid="_x0000_s25608"/>
            </a:ext>
            <a:ext uri="{FF2B5EF4-FFF2-40B4-BE49-F238E27FC236}">
              <a16:creationId xmlns:a16="http://schemas.microsoft.com/office/drawing/2014/main" id="{00000000-0008-0000-0600-00000864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0</xdr:col>
      <xdr:colOff>167640</xdr:colOff>
      <xdr:row>254</xdr:row>
      <xdr:rowOff>76200</xdr:rowOff>
    </xdr:from>
    <xdr:to>
      <xdr:col>0</xdr:col>
      <xdr:colOff>533400</xdr:colOff>
      <xdr:row>260</xdr:row>
      <xdr:rowOff>45720</xdr:rowOff>
    </xdr:to>
    <xdr:sp macro="" textlink="">
      <xdr:nvSpPr>
        <xdr:cNvPr id="25610" name="Scroll Bar 10" hidden="1">
          <a:extLst>
            <a:ext uri="{63B3BB69-23CF-44E3-9099-C40C66FF867C}">
              <a14:compatExt xmlns:a14="http://schemas.microsoft.com/office/drawing/2010/main" spid="_x0000_s25610"/>
            </a:ext>
            <a:ext uri="{FF2B5EF4-FFF2-40B4-BE49-F238E27FC236}">
              <a16:creationId xmlns:a16="http://schemas.microsoft.com/office/drawing/2014/main" id="{00000000-0008-0000-0600-00000A640000}"/>
            </a:ext>
          </a:extLst>
        </xdr:cNvPr>
        <xdr:cNvSpPr/>
      </xdr:nvSpPr>
      <xdr:spPr bwMode="auto">
        <a:xfrm>
          <a:off x="0" y="0"/>
          <a:ext cx="0" cy="0"/>
        </a:xfrm>
        <a:prstGeom prst="rect">
          <a:avLst/>
        </a:prstGeom>
        <a:noFill/>
        <a:ln w="9525">
          <a:miter lim="800000"/>
          <a:headEnd/>
          <a:tailEnd/>
        </a:ln>
      </xdr:spPr>
    </xdr:sp>
    <xdr:clientData/>
  </xdr:twoCellAnchor>
  <xdr:oneCellAnchor>
    <xdr:from>
      <xdr:col>0</xdr:col>
      <xdr:colOff>167640</xdr:colOff>
      <xdr:row>289</xdr:row>
      <xdr:rowOff>76200</xdr:rowOff>
    </xdr:from>
    <xdr:ext cx="365760" cy="1049655"/>
    <xdr:sp macro="" textlink="">
      <xdr:nvSpPr>
        <xdr:cNvPr id="2" name="Scroll Bar 2" hidden="1">
          <a:extLst>
            <a:ext uri="{63B3BB69-23CF-44E3-9099-C40C66FF867C}">
              <a14:compatExt xmlns:a14="http://schemas.microsoft.com/office/drawing/2010/main" spid="_x0000_s25602"/>
            </a:ext>
            <a:ext uri="{FF2B5EF4-FFF2-40B4-BE49-F238E27FC236}">
              <a16:creationId xmlns:a16="http://schemas.microsoft.com/office/drawing/2014/main" id="{14BE49A3-07C8-437C-813E-78D4975A255A}"/>
            </a:ext>
          </a:extLst>
        </xdr:cNvPr>
        <xdr:cNvSpPr/>
      </xdr:nvSpPr>
      <xdr:spPr bwMode="auto">
        <a:xfrm>
          <a:off x="167640" y="10904220"/>
          <a:ext cx="365760" cy="1049655"/>
        </a:xfrm>
        <a:prstGeom prst="rect">
          <a:avLst/>
        </a:prstGeom>
        <a:noFill/>
        <a:ln w="9525">
          <a:miter lim="800000"/>
          <a:headEnd/>
          <a:tailEnd/>
        </a:ln>
      </xdr:spPr>
    </xdr:sp>
    <xdr:clientData/>
  </xdr:oneCellAnchor>
  <xdr:oneCellAnchor>
    <xdr:from>
      <xdr:col>0</xdr:col>
      <xdr:colOff>167640</xdr:colOff>
      <xdr:row>294</xdr:row>
      <xdr:rowOff>76200</xdr:rowOff>
    </xdr:from>
    <xdr:ext cx="365760" cy="1049655"/>
    <xdr:sp macro="" textlink="">
      <xdr:nvSpPr>
        <xdr:cNvPr id="9" name="Scroll Bar 2" hidden="1">
          <a:extLst>
            <a:ext uri="{63B3BB69-23CF-44E3-9099-C40C66FF867C}">
              <a14:compatExt xmlns:a14="http://schemas.microsoft.com/office/drawing/2010/main" spid="_x0000_s25602"/>
            </a:ext>
            <a:ext uri="{FF2B5EF4-FFF2-40B4-BE49-F238E27FC236}">
              <a16:creationId xmlns:a16="http://schemas.microsoft.com/office/drawing/2014/main" id="{C5139985-5ACF-46D6-9EE6-CF786CB5366E}"/>
            </a:ext>
          </a:extLst>
        </xdr:cNvPr>
        <xdr:cNvSpPr/>
      </xdr:nvSpPr>
      <xdr:spPr bwMode="auto">
        <a:xfrm>
          <a:off x="167640" y="54530625"/>
          <a:ext cx="365760" cy="1049655"/>
        </a:xfrm>
        <a:prstGeom prst="rect">
          <a:avLst/>
        </a:prstGeom>
        <a:noFill/>
        <a:ln w="9525">
          <a:miter lim="800000"/>
          <a:headEnd/>
          <a:tailEnd/>
        </a:ln>
      </xdr:spPr>
    </xdr:sp>
    <xdr:clientData/>
  </xdr:oneCellAnchor>
  <xdr:oneCellAnchor>
    <xdr:from>
      <xdr:col>0</xdr:col>
      <xdr:colOff>167640</xdr:colOff>
      <xdr:row>296</xdr:row>
      <xdr:rowOff>76200</xdr:rowOff>
    </xdr:from>
    <xdr:ext cx="365760" cy="1049655"/>
    <xdr:sp macro="" textlink="">
      <xdr:nvSpPr>
        <xdr:cNvPr id="10" name="Scroll Bar 2" hidden="1">
          <a:extLst>
            <a:ext uri="{63B3BB69-23CF-44E3-9099-C40C66FF867C}">
              <a14:compatExt xmlns:a14="http://schemas.microsoft.com/office/drawing/2010/main" spid="_x0000_s25602"/>
            </a:ext>
            <a:ext uri="{FF2B5EF4-FFF2-40B4-BE49-F238E27FC236}">
              <a16:creationId xmlns:a16="http://schemas.microsoft.com/office/drawing/2014/main" id="{C1567B89-BF91-4B78-BDE4-2FFA4048E50D}"/>
            </a:ext>
          </a:extLst>
        </xdr:cNvPr>
        <xdr:cNvSpPr/>
      </xdr:nvSpPr>
      <xdr:spPr bwMode="auto">
        <a:xfrm>
          <a:off x="167640" y="54530625"/>
          <a:ext cx="365760" cy="1049655"/>
        </a:xfrm>
        <a:prstGeom prst="rect">
          <a:avLst/>
        </a:prstGeom>
        <a:noFill/>
        <a:ln w="9525">
          <a:miter lim="800000"/>
          <a:headEnd/>
          <a:tailEnd/>
        </a:ln>
      </xdr:spPr>
    </xdr:sp>
    <xdr:clientData/>
  </xdr:oneCellAnchor>
  <xdr:oneCellAnchor>
    <xdr:from>
      <xdr:col>0</xdr:col>
      <xdr:colOff>167640</xdr:colOff>
      <xdr:row>302</xdr:row>
      <xdr:rowOff>76200</xdr:rowOff>
    </xdr:from>
    <xdr:ext cx="365760" cy="1049655"/>
    <xdr:sp macro="" textlink="">
      <xdr:nvSpPr>
        <xdr:cNvPr id="11" name="Scroll Bar 2" hidden="1">
          <a:extLst>
            <a:ext uri="{63B3BB69-23CF-44E3-9099-C40C66FF867C}">
              <a14:compatExt xmlns:a14="http://schemas.microsoft.com/office/drawing/2010/main" spid="_x0000_s25602"/>
            </a:ext>
            <a:ext uri="{FF2B5EF4-FFF2-40B4-BE49-F238E27FC236}">
              <a16:creationId xmlns:a16="http://schemas.microsoft.com/office/drawing/2014/main" id="{A6DD6610-7EBF-403D-A2EA-D656DA955515}"/>
            </a:ext>
          </a:extLst>
        </xdr:cNvPr>
        <xdr:cNvSpPr/>
      </xdr:nvSpPr>
      <xdr:spPr bwMode="auto">
        <a:xfrm>
          <a:off x="167640" y="55492650"/>
          <a:ext cx="365760" cy="1049655"/>
        </a:xfrm>
        <a:prstGeom prst="rect">
          <a:avLst/>
        </a:prstGeom>
        <a:noFill/>
        <a:ln w="9525">
          <a:miter lim="800000"/>
          <a:headEnd/>
          <a:tailEnd/>
        </a:ln>
      </xdr:spPr>
    </xdr:sp>
    <xdr:clientData/>
  </xdr:oneCellAnchor>
  <xdr:oneCellAnchor>
    <xdr:from>
      <xdr:col>0</xdr:col>
      <xdr:colOff>167640</xdr:colOff>
      <xdr:row>309</xdr:row>
      <xdr:rowOff>76200</xdr:rowOff>
    </xdr:from>
    <xdr:ext cx="365760" cy="1049655"/>
    <xdr:sp macro="" textlink="">
      <xdr:nvSpPr>
        <xdr:cNvPr id="12" name="Scroll Bar 2" hidden="1">
          <a:extLst>
            <a:ext uri="{63B3BB69-23CF-44E3-9099-C40C66FF867C}">
              <a14:compatExt xmlns:a14="http://schemas.microsoft.com/office/drawing/2010/main" spid="_x0000_s25602"/>
            </a:ext>
            <a:ext uri="{FF2B5EF4-FFF2-40B4-BE49-F238E27FC236}">
              <a16:creationId xmlns:a16="http://schemas.microsoft.com/office/drawing/2014/main" id="{D24333D8-C790-42DC-AE35-D0F704801BD5}"/>
            </a:ext>
          </a:extLst>
        </xdr:cNvPr>
        <xdr:cNvSpPr/>
      </xdr:nvSpPr>
      <xdr:spPr bwMode="auto">
        <a:xfrm>
          <a:off x="167640" y="55492650"/>
          <a:ext cx="365760" cy="1049655"/>
        </a:xfrm>
        <a:prstGeom prst="rect">
          <a:avLst/>
        </a:prstGeom>
        <a:noFill/>
        <a:ln w="9525">
          <a:miter lim="800000"/>
          <a:headEnd/>
          <a:tailEnd/>
        </a:ln>
      </xdr:spPr>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0</xdr:col>
      <xdr:colOff>167640</xdr:colOff>
      <xdr:row>38</xdr:row>
      <xdr:rowOff>76200</xdr:rowOff>
    </xdr:from>
    <xdr:to>
      <xdr:col>0</xdr:col>
      <xdr:colOff>516255</xdr:colOff>
      <xdr:row>44</xdr:row>
      <xdr:rowOff>11430</xdr:rowOff>
    </xdr:to>
    <xdr:sp macro="" textlink="">
      <xdr:nvSpPr>
        <xdr:cNvPr id="26629" name="Scroll Bar 5" hidden="1">
          <a:extLst>
            <a:ext uri="{63B3BB69-23CF-44E3-9099-C40C66FF867C}">
              <a14:compatExt xmlns:a14="http://schemas.microsoft.com/office/drawing/2010/main" spid="_x0000_s26629"/>
            </a:ext>
            <a:ext uri="{FF2B5EF4-FFF2-40B4-BE49-F238E27FC236}">
              <a16:creationId xmlns:a16="http://schemas.microsoft.com/office/drawing/2014/main" id="{00000000-0008-0000-0500-00000568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0</xdr:col>
      <xdr:colOff>167640</xdr:colOff>
      <xdr:row>155</xdr:row>
      <xdr:rowOff>0</xdr:rowOff>
    </xdr:from>
    <xdr:to>
      <xdr:col>0</xdr:col>
      <xdr:colOff>516255</xdr:colOff>
      <xdr:row>160</xdr:row>
      <xdr:rowOff>135255</xdr:rowOff>
    </xdr:to>
    <xdr:sp macro="" textlink="">
      <xdr:nvSpPr>
        <xdr:cNvPr id="26632" name="Scroll Bar 8" hidden="1">
          <a:extLst>
            <a:ext uri="{63B3BB69-23CF-44E3-9099-C40C66FF867C}">
              <a14:compatExt xmlns:a14="http://schemas.microsoft.com/office/drawing/2010/main" spid="_x0000_s26632"/>
            </a:ext>
            <a:ext uri="{FF2B5EF4-FFF2-40B4-BE49-F238E27FC236}">
              <a16:creationId xmlns:a16="http://schemas.microsoft.com/office/drawing/2014/main" id="{00000000-0008-0000-0500-00000868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0</xdr:col>
      <xdr:colOff>167640</xdr:colOff>
      <xdr:row>155</xdr:row>
      <xdr:rowOff>0</xdr:rowOff>
    </xdr:from>
    <xdr:to>
      <xdr:col>0</xdr:col>
      <xdr:colOff>516255</xdr:colOff>
      <xdr:row>160</xdr:row>
      <xdr:rowOff>142875</xdr:rowOff>
    </xdr:to>
    <xdr:sp macro="" textlink="">
      <xdr:nvSpPr>
        <xdr:cNvPr id="26634" name="Scroll Bar 10" hidden="1">
          <a:extLst>
            <a:ext uri="{63B3BB69-23CF-44E3-9099-C40C66FF867C}">
              <a14:compatExt xmlns:a14="http://schemas.microsoft.com/office/drawing/2010/main" spid="_x0000_s26634"/>
            </a:ext>
            <a:ext uri="{FF2B5EF4-FFF2-40B4-BE49-F238E27FC236}">
              <a16:creationId xmlns:a16="http://schemas.microsoft.com/office/drawing/2014/main" id="{00000000-0008-0000-0500-00000A68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0</xdr:col>
      <xdr:colOff>167640</xdr:colOff>
      <xdr:row>157</xdr:row>
      <xdr:rowOff>76200</xdr:rowOff>
    </xdr:from>
    <xdr:to>
      <xdr:col>0</xdr:col>
      <xdr:colOff>516255</xdr:colOff>
      <xdr:row>163</xdr:row>
      <xdr:rowOff>20955</xdr:rowOff>
    </xdr:to>
    <xdr:sp macro="" textlink="">
      <xdr:nvSpPr>
        <xdr:cNvPr id="26637" name="Scroll Bar 13" hidden="1">
          <a:extLst>
            <a:ext uri="{63B3BB69-23CF-44E3-9099-C40C66FF867C}">
              <a14:compatExt xmlns:a14="http://schemas.microsoft.com/office/drawing/2010/main" spid="_x0000_s26637"/>
            </a:ext>
            <a:ext uri="{FF2B5EF4-FFF2-40B4-BE49-F238E27FC236}">
              <a16:creationId xmlns:a16="http://schemas.microsoft.com/office/drawing/2014/main" id="{00000000-0008-0000-0500-00000D68000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0</xdr:col>
      <xdr:colOff>167640</xdr:colOff>
      <xdr:row>172</xdr:row>
      <xdr:rowOff>76200</xdr:rowOff>
    </xdr:from>
    <xdr:to>
      <xdr:col>0</xdr:col>
      <xdr:colOff>516255</xdr:colOff>
      <xdr:row>178</xdr:row>
      <xdr:rowOff>20955</xdr:rowOff>
    </xdr:to>
    <xdr:sp macro="" textlink="">
      <xdr:nvSpPr>
        <xdr:cNvPr id="26638" name="Scroll Bar 14" hidden="1">
          <a:extLst>
            <a:ext uri="{63B3BB69-23CF-44E3-9099-C40C66FF867C}">
              <a14:compatExt xmlns:a14="http://schemas.microsoft.com/office/drawing/2010/main" spid="_x0000_s26638"/>
            </a:ext>
            <a:ext uri="{FF2B5EF4-FFF2-40B4-BE49-F238E27FC236}">
              <a16:creationId xmlns:a16="http://schemas.microsoft.com/office/drawing/2014/main" id="{00000000-0008-0000-0500-00000E680000}"/>
            </a:ext>
          </a:extLst>
        </xdr:cNvPr>
        <xdr:cNvSpPr/>
      </xdr:nvSpPr>
      <xdr:spPr bwMode="auto">
        <a:xfrm>
          <a:off x="0" y="0"/>
          <a:ext cx="0" cy="0"/>
        </a:xfrm>
        <a:prstGeom prst="rect">
          <a:avLst/>
        </a:prstGeom>
        <a:noFill/>
        <a:ln w="9525">
          <a:miter lim="800000"/>
          <a:headEnd/>
          <a:tailEnd/>
        </a:ln>
      </xdr:spPr>
    </xdr:sp>
    <xdr:clientData/>
  </xdr:twoCellAnchor>
  <xdr:oneCellAnchor>
    <xdr:from>
      <xdr:col>0</xdr:col>
      <xdr:colOff>167640</xdr:colOff>
      <xdr:row>184</xdr:row>
      <xdr:rowOff>0</xdr:rowOff>
    </xdr:from>
    <xdr:ext cx="348615" cy="1049655"/>
    <xdr:sp macro="" textlink="">
      <xdr:nvSpPr>
        <xdr:cNvPr id="2" name="Scroll Bar 14" hidden="1">
          <a:extLst>
            <a:ext uri="{63B3BB69-23CF-44E3-9099-C40C66FF867C}">
              <a14:compatExt xmlns:a14="http://schemas.microsoft.com/office/drawing/2010/main" spid="_x0000_s26638"/>
            </a:ext>
            <a:ext uri="{FF2B5EF4-FFF2-40B4-BE49-F238E27FC236}">
              <a16:creationId xmlns:a16="http://schemas.microsoft.com/office/drawing/2014/main" id="{832D2245-B7E9-40BF-B7A6-4BDF97E6D4D6}"/>
            </a:ext>
          </a:extLst>
        </xdr:cNvPr>
        <xdr:cNvSpPr/>
      </xdr:nvSpPr>
      <xdr:spPr bwMode="auto">
        <a:xfrm>
          <a:off x="167640" y="32468820"/>
          <a:ext cx="348615" cy="1049655"/>
        </a:xfrm>
        <a:prstGeom prst="rect">
          <a:avLst/>
        </a:prstGeom>
        <a:noFill/>
        <a:ln w="9525">
          <a:miter lim="800000"/>
          <a:headEnd/>
          <a:tailEnd/>
        </a:ln>
      </xdr:spPr>
    </xdr:sp>
    <xdr:clientData/>
  </xdr:oneCellAnchor>
  <xdr:oneCellAnchor>
    <xdr:from>
      <xdr:col>0</xdr:col>
      <xdr:colOff>167640</xdr:colOff>
      <xdr:row>184</xdr:row>
      <xdr:rowOff>0</xdr:rowOff>
    </xdr:from>
    <xdr:ext cx="348615" cy="1049655"/>
    <xdr:sp macro="" textlink="">
      <xdr:nvSpPr>
        <xdr:cNvPr id="8" name="Scroll Bar 14" hidden="1">
          <a:extLst>
            <a:ext uri="{63B3BB69-23CF-44E3-9099-C40C66FF867C}">
              <a14:compatExt xmlns:a14="http://schemas.microsoft.com/office/drawing/2010/main" spid="_x0000_s26638"/>
            </a:ext>
            <a:ext uri="{FF2B5EF4-FFF2-40B4-BE49-F238E27FC236}">
              <a16:creationId xmlns:a16="http://schemas.microsoft.com/office/drawing/2014/main" id="{68B7A603-B214-44FA-8732-C13BC66BACB9}"/>
            </a:ext>
          </a:extLst>
        </xdr:cNvPr>
        <xdr:cNvSpPr/>
      </xdr:nvSpPr>
      <xdr:spPr bwMode="auto">
        <a:xfrm>
          <a:off x="167640" y="36804600"/>
          <a:ext cx="348615" cy="1049655"/>
        </a:xfrm>
        <a:prstGeom prst="rect">
          <a:avLst/>
        </a:prstGeom>
        <a:noFill/>
        <a:ln w="9525">
          <a:miter lim="800000"/>
          <a:headEnd/>
          <a:tailEnd/>
        </a:ln>
      </xdr:spPr>
    </xdr:sp>
    <xdr:clientData/>
  </xdr:oneCellAnchor>
  <xdr:twoCellAnchor editAs="oneCell">
    <xdr:from>
      <xdr:col>0</xdr:col>
      <xdr:colOff>167640</xdr:colOff>
      <xdr:row>57</xdr:row>
      <xdr:rowOff>76200</xdr:rowOff>
    </xdr:from>
    <xdr:to>
      <xdr:col>0</xdr:col>
      <xdr:colOff>516255</xdr:colOff>
      <xdr:row>63</xdr:row>
      <xdr:rowOff>19273</xdr:rowOff>
    </xdr:to>
    <xdr:sp macro="" textlink="">
      <xdr:nvSpPr>
        <xdr:cNvPr id="9" name="Scroll Bar 8" hidden="1">
          <a:extLst>
            <a:ext uri="{63B3BB69-23CF-44E3-9099-C40C66FF867C}">
              <a14:compatExt xmlns:a14="http://schemas.microsoft.com/office/drawing/2010/main" spid="_x0000_s26632"/>
            </a:ext>
            <a:ext uri="{FF2B5EF4-FFF2-40B4-BE49-F238E27FC236}">
              <a16:creationId xmlns:a16="http://schemas.microsoft.com/office/drawing/2014/main" id="{4909D009-C1EA-420F-B39E-1651241F44F7}"/>
            </a:ext>
          </a:extLst>
        </xdr:cNvPr>
        <xdr:cNvSpPr/>
      </xdr:nvSpPr>
      <xdr:spPr bwMode="auto">
        <a:xfrm>
          <a:off x="167640" y="11753850"/>
          <a:ext cx="348615" cy="1095598"/>
        </a:xfrm>
        <a:prstGeom prst="rect">
          <a:avLst/>
        </a:prstGeom>
        <a:noFill/>
        <a:ln w="9525">
          <a:miter lim="800000"/>
          <a:headEnd/>
          <a:tailEnd/>
        </a:ln>
      </xdr:spPr>
    </xdr:sp>
    <xdr:clientData/>
  </xdr:twoCellAnchor>
  <xdr:twoCellAnchor editAs="oneCell">
    <xdr:from>
      <xdr:col>0</xdr:col>
      <xdr:colOff>167640</xdr:colOff>
      <xdr:row>111</xdr:row>
      <xdr:rowOff>76200</xdr:rowOff>
    </xdr:from>
    <xdr:to>
      <xdr:col>0</xdr:col>
      <xdr:colOff>516255</xdr:colOff>
      <xdr:row>117</xdr:row>
      <xdr:rowOff>38100</xdr:rowOff>
    </xdr:to>
    <xdr:sp macro="" textlink="">
      <xdr:nvSpPr>
        <xdr:cNvPr id="10" name="Scroll Bar 10" hidden="1">
          <a:extLst>
            <a:ext uri="{63B3BB69-23CF-44E3-9099-C40C66FF867C}">
              <a14:compatExt xmlns:a14="http://schemas.microsoft.com/office/drawing/2010/main" spid="_x0000_s26634"/>
            </a:ext>
            <a:ext uri="{FF2B5EF4-FFF2-40B4-BE49-F238E27FC236}">
              <a16:creationId xmlns:a16="http://schemas.microsoft.com/office/drawing/2014/main" id="{55993690-2CFC-4D7F-98FC-A5FC8D2488F4}"/>
            </a:ext>
          </a:extLst>
        </xdr:cNvPr>
        <xdr:cNvSpPr/>
      </xdr:nvSpPr>
      <xdr:spPr bwMode="auto">
        <a:xfrm>
          <a:off x="167640" y="22850475"/>
          <a:ext cx="348615" cy="1104900"/>
        </a:xfrm>
        <a:prstGeom prst="rect">
          <a:avLst/>
        </a:prstGeom>
        <a:noFill/>
        <a:ln w="9525">
          <a:miter lim="800000"/>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167640</xdr:colOff>
      <xdr:row>82</xdr:row>
      <xdr:rowOff>76200</xdr:rowOff>
    </xdr:from>
    <xdr:to>
      <xdr:col>0</xdr:col>
      <xdr:colOff>472440</xdr:colOff>
      <xdr:row>88</xdr:row>
      <xdr:rowOff>167640</xdr:rowOff>
    </xdr:to>
    <xdr:sp macro="" textlink="">
      <xdr:nvSpPr>
        <xdr:cNvPr id="22534" name="Scroll Bar 6" hidden="1">
          <a:extLst>
            <a:ext uri="{63B3BB69-23CF-44E3-9099-C40C66FF867C}">
              <a14:compatExt xmlns:a14="http://schemas.microsoft.com/office/drawing/2010/main" spid="_x0000_s22534"/>
            </a:ext>
            <a:ext uri="{FF2B5EF4-FFF2-40B4-BE49-F238E27FC236}">
              <a16:creationId xmlns:a16="http://schemas.microsoft.com/office/drawing/2014/main" id="{00000000-0008-0000-0700-000006580000}"/>
            </a:ext>
          </a:extLst>
        </xdr:cNvPr>
        <xdr:cNvSpPr/>
      </xdr:nvSpPr>
      <xdr:spPr bwMode="auto">
        <a:xfrm>
          <a:off x="167640" y="16040100"/>
          <a:ext cx="304800" cy="1196340"/>
        </a:xfrm>
        <a:prstGeom prst="rect">
          <a:avLst/>
        </a:prstGeom>
        <a:noFill/>
        <a:ln w="9525">
          <a:miter lim="800000"/>
          <a:headEnd/>
          <a:tailEnd/>
        </a:ln>
      </xdr:spPr>
    </xdr:sp>
    <xdr:clientData/>
  </xdr:twoCellAnchor>
  <xdr:twoCellAnchor editAs="oneCell">
    <xdr:from>
      <xdr:col>0</xdr:col>
      <xdr:colOff>167640</xdr:colOff>
      <xdr:row>60</xdr:row>
      <xdr:rowOff>76200</xdr:rowOff>
    </xdr:from>
    <xdr:to>
      <xdr:col>0</xdr:col>
      <xdr:colOff>476250</xdr:colOff>
      <xdr:row>66</xdr:row>
      <xdr:rowOff>171450</xdr:rowOff>
    </xdr:to>
    <xdr:sp macro="" textlink="">
      <xdr:nvSpPr>
        <xdr:cNvPr id="22536" name="Scroll Bar 8" hidden="1">
          <a:extLst>
            <a:ext uri="{63B3BB69-23CF-44E3-9099-C40C66FF867C}">
              <a14:compatExt xmlns:a14="http://schemas.microsoft.com/office/drawing/2010/main" spid="_x0000_s22536"/>
            </a:ext>
            <a:ext uri="{FF2B5EF4-FFF2-40B4-BE49-F238E27FC236}">
              <a16:creationId xmlns:a16="http://schemas.microsoft.com/office/drawing/2014/main" id="{00000000-0008-0000-0700-000008580000}"/>
            </a:ext>
          </a:extLst>
        </xdr:cNvPr>
        <xdr:cNvSpPr/>
      </xdr:nvSpPr>
      <xdr:spPr bwMode="auto">
        <a:xfrm>
          <a:off x="167640" y="11993880"/>
          <a:ext cx="308610" cy="1200150"/>
        </a:xfrm>
        <a:prstGeom prst="rect">
          <a:avLst/>
        </a:prstGeom>
        <a:noFill/>
        <a:ln w="9525">
          <a:miter lim="800000"/>
          <a:headEnd/>
          <a:tailEnd/>
        </a:ln>
      </xdr:spPr>
    </xdr:sp>
    <xdr:clientData/>
  </xdr:twoCellAnchor>
  <xdr:twoCellAnchor editAs="oneCell">
    <xdr:from>
      <xdr:col>0</xdr:col>
      <xdr:colOff>152400</xdr:colOff>
      <xdr:row>41</xdr:row>
      <xdr:rowOff>76200</xdr:rowOff>
    </xdr:from>
    <xdr:to>
      <xdr:col>0</xdr:col>
      <xdr:colOff>476250</xdr:colOff>
      <xdr:row>47</xdr:row>
      <xdr:rowOff>0</xdr:rowOff>
    </xdr:to>
    <xdr:sp macro="" textlink="">
      <xdr:nvSpPr>
        <xdr:cNvPr id="22537" name="Scroll Bar 9" hidden="1">
          <a:extLst>
            <a:ext uri="{63B3BB69-23CF-44E3-9099-C40C66FF867C}">
              <a14:compatExt xmlns:a14="http://schemas.microsoft.com/office/drawing/2010/main" spid="_x0000_s22537"/>
            </a:ext>
            <a:ext uri="{FF2B5EF4-FFF2-40B4-BE49-F238E27FC236}">
              <a16:creationId xmlns:a16="http://schemas.microsoft.com/office/drawing/2014/main" id="{00000000-0008-0000-0700-000009580000}"/>
            </a:ext>
          </a:extLst>
        </xdr:cNvPr>
        <xdr:cNvSpPr/>
      </xdr:nvSpPr>
      <xdr:spPr bwMode="auto">
        <a:xfrm>
          <a:off x="152400" y="8503920"/>
          <a:ext cx="323850" cy="1028700"/>
        </a:xfrm>
        <a:prstGeom prst="rect">
          <a:avLst/>
        </a:prstGeom>
        <a:noFill/>
        <a:ln w="9525">
          <a:miter lim="800000"/>
          <a:headEnd/>
          <a:tailEnd/>
        </a:ln>
      </xdr:spPr>
    </xdr:sp>
    <xdr:clientData/>
  </xdr:twoCellAnchor>
  <xdr:twoCellAnchor editAs="oneCell">
    <xdr:from>
      <xdr:col>0</xdr:col>
      <xdr:colOff>167640</xdr:colOff>
      <xdr:row>30</xdr:row>
      <xdr:rowOff>76200</xdr:rowOff>
    </xdr:from>
    <xdr:to>
      <xdr:col>0</xdr:col>
      <xdr:colOff>512445</xdr:colOff>
      <xdr:row>36</xdr:row>
      <xdr:rowOff>17145</xdr:rowOff>
    </xdr:to>
    <xdr:sp macro="" textlink="">
      <xdr:nvSpPr>
        <xdr:cNvPr id="22538" name="Scroll Bar 10" hidden="1">
          <a:extLst>
            <a:ext uri="{63B3BB69-23CF-44E3-9099-C40C66FF867C}">
              <a14:compatExt xmlns:a14="http://schemas.microsoft.com/office/drawing/2010/main" spid="_x0000_s22538"/>
            </a:ext>
            <a:ext uri="{FF2B5EF4-FFF2-40B4-BE49-F238E27FC236}">
              <a16:creationId xmlns:a16="http://schemas.microsoft.com/office/drawing/2014/main" id="{00000000-0008-0000-0700-00000A580000}"/>
            </a:ext>
          </a:extLst>
        </xdr:cNvPr>
        <xdr:cNvSpPr/>
      </xdr:nvSpPr>
      <xdr:spPr bwMode="auto">
        <a:xfrm>
          <a:off x="167640" y="6324600"/>
          <a:ext cx="344805" cy="1045845"/>
        </a:xfrm>
        <a:prstGeom prst="rect">
          <a:avLst/>
        </a:prstGeom>
        <a:noFill/>
        <a:ln w="9525">
          <a:miter lim="800000"/>
          <a:headEnd/>
          <a:tailEnd/>
        </a:ln>
      </xdr:spPr>
    </xdr:sp>
    <xdr:clientData/>
  </xdr:twoCellAnchor>
  <xdr:twoCellAnchor editAs="oneCell">
    <xdr:from>
      <xdr:col>0</xdr:col>
      <xdr:colOff>167640</xdr:colOff>
      <xdr:row>2</xdr:row>
      <xdr:rowOff>76200</xdr:rowOff>
    </xdr:from>
    <xdr:to>
      <xdr:col>0</xdr:col>
      <xdr:colOff>512445</xdr:colOff>
      <xdr:row>8</xdr:row>
      <xdr:rowOff>38100</xdr:rowOff>
    </xdr:to>
    <xdr:sp macro="" textlink="">
      <xdr:nvSpPr>
        <xdr:cNvPr id="22541" name="Scroll Bar 13" hidden="1">
          <a:extLst>
            <a:ext uri="{63B3BB69-23CF-44E3-9099-C40C66FF867C}">
              <a14:compatExt xmlns:a14="http://schemas.microsoft.com/office/drawing/2010/main" spid="_x0000_s22541"/>
            </a:ext>
            <a:ext uri="{FF2B5EF4-FFF2-40B4-BE49-F238E27FC236}">
              <a16:creationId xmlns:a16="http://schemas.microsoft.com/office/drawing/2014/main" id="{00000000-0008-0000-0700-00000D580000}"/>
            </a:ext>
          </a:extLst>
        </xdr:cNvPr>
        <xdr:cNvSpPr/>
      </xdr:nvSpPr>
      <xdr:spPr bwMode="auto">
        <a:xfrm>
          <a:off x="167640" y="441960"/>
          <a:ext cx="344805" cy="1059180"/>
        </a:xfrm>
        <a:prstGeom prst="rect">
          <a:avLst/>
        </a:prstGeom>
        <a:noFill/>
        <a:ln w="9525">
          <a:miter lim="800000"/>
          <a:headEnd/>
          <a:tailEnd/>
        </a:ln>
      </xdr:spPr>
    </xdr:sp>
    <xdr:clientData/>
  </xdr:twoCellAnchor>
</xdr:wsDr>
</file>

<file path=xl/persons/person.xml><?xml version="1.0" encoding="utf-8"?>
<personList xmlns="http://schemas.microsoft.com/office/spreadsheetml/2018/threadedcomments" xmlns:x="http://schemas.openxmlformats.org/spreadsheetml/2006/main">
  <person displayName="Adam Jarvis" id="{4012F7CC-A824-4518-B2F7-968E76FEA6E9}" userId="Adam Jarvis" providerId="None"/>
  <person displayName="Adam Jarvis" id="{03039F72-E038-422C-8A66-CDB6B718EF2B}" userId="S::adam.jarvis@pncc.govt.nz::a3a41157-aaa4-452b-ae99-d75b144d9b7b" providerId="AD"/>
  <person displayName="David Watson" id="{412F4180-452D-444A-9729-3F2FDB5470EE}" userId="S::david.watson@pncc.govt.nz::cdd21091-e126-4c8e-8cf1-f8df64b1b89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32" dT="2019-12-18T19:22:02.11" personId="{03039F72-E038-422C-8A66-CDB6B718EF2B}" id="{C5F48987-A786-496A-B205-0AA0744FFB32}">
    <text>Alpha</text>
  </threadedComment>
</ThreadedComments>
</file>

<file path=xl/threadedComments/threadedComment2.xml><?xml version="1.0" encoding="utf-8"?>
<ThreadedComments xmlns="http://schemas.microsoft.com/office/spreadsheetml/2018/threadedcomments" xmlns:x="http://schemas.openxmlformats.org/spreadsheetml/2006/main">
  <threadedComment ref="E47" dT="2019-12-16T19:51:37.03" personId="{03039F72-E038-422C-8A66-CDB6B718EF2B}" id="{2AA378B8-89B9-4094-913E-B87DC7D6CC1A}">
    <text>e.g. 100%</text>
  </threadedComment>
  <threadedComment ref="B102" dT="2022-08-01T23:59:02.10" personId="{4012F7CC-A824-4518-B2F7-968E76FEA6E9}" id="{C08DF878-34E0-444B-AE91-08C294D662E3}">
    <text>Thanks to Rick Zwann from DCC for this update</text>
  </threadedComment>
</ThreadedComments>
</file>

<file path=xl/threadedComments/threadedComment3.xml><?xml version="1.0" encoding="utf-8"?>
<ThreadedComments xmlns="http://schemas.microsoft.com/office/spreadsheetml/2018/threadedcomments" xmlns:x="http://schemas.openxmlformats.org/spreadsheetml/2006/main">
  <threadedComment ref="I66" dT="2019-12-17T03:38:45.61" personId="{03039F72-E038-422C-8A66-CDB6B718EF2B}" id="{176BFC9D-77B2-4E96-AC3E-C5A72762BE2B}">
    <text>Assumed that any excess is exported outside city and that the freight emissions are (more than) offset by heating emission reductions. In any case, these are out of scope once exported.</text>
  </threadedComment>
  <threadedComment ref="O67" dT="2022-12-07T00:34:19.93" personId="{03039F72-E038-422C-8A66-CDB6B718EF2B}" id="{F8BDDCA0-F56B-4AF8-875F-7FA78F5E6F51}">
    <text>per: https://www.researchgate.net/publication/323265153_Throughput_Rate_and_Energy_Consumption_During_Wood_Chip_Production_in_Relation_to_Raw_Material_Chipper_Type_and_Machine_Setting</text>
  </threadedComment>
  <threadedComment ref="B73" dT="2019-12-18T19:45:31.07" personId="{03039F72-E038-422C-8A66-CDB6B718EF2B}" id="{07ED7205-C9B7-4856-BC23-C2B92DAECE05}">
    <text>Alpha</text>
  </threadedComment>
</ThreadedComments>
</file>

<file path=xl/threadedComments/threadedComment4.xml><?xml version="1.0" encoding="utf-8"?>
<ThreadedComments xmlns="http://schemas.microsoft.com/office/spreadsheetml/2018/threadedcomments" xmlns:x="http://schemas.openxmlformats.org/spreadsheetml/2006/main">
  <threadedComment ref="B18" dT="2019-12-18T19:39:22.57" personId="{03039F72-E038-422C-8A66-CDB6B718EF2B}" id="{DA175E4E-488F-4F3B-87B3-1357FEC085A9}">
    <text>Alpha</text>
  </threadedComment>
  <threadedComment ref="B63" dT="2019-12-18T19:42:36.15" personId="{03039F72-E038-422C-8A66-CDB6B718EF2B}" id="{8D25D758-F530-465B-8340-4E1B2916256E}">
    <text>Alpha</text>
  </threadedComment>
  <threadedComment ref="B80" dT="2019-12-18T19:44:01.23" personId="{03039F72-E038-422C-8A66-CDB6B718EF2B}" id="{069B844C-D48C-4E5B-BBCE-D3DA29AADD93}">
    <text>Alpha</text>
  </threadedComment>
</ThreadedComments>
</file>

<file path=xl/threadedComments/threadedComment5.xml><?xml version="1.0" encoding="utf-8"?>
<ThreadedComments xmlns="http://schemas.microsoft.com/office/spreadsheetml/2018/threadedcomments" xmlns:x="http://schemas.openxmlformats.org/spreadsheetml/2006/main">
  <threadedComment ref="B104" dT="2019-12-18T19:29:31.94" personId="{03039F72-E038-422C-8A66-CDB6B718EF2B}" id="{C546AB66-8AE5-40A0-A28E-E84F0FDCF925}">
    <text>Alpha</text>
  </threadedComment>
  <threadedComment ref="B214" dT="2020-01-24T01:36:55.90" personId="{03039F72-E038-422C-8A66-CDB6B718EF2B}" id="{24A5F81B-4E58-40DB-B689-0DA210B5C2DF}">
    <text>Alpha</text>
  </threadedComment>
</ThreadedComments>
</file>

<file path=xl/threadedComments/threadedComment6.xml><?xml version="1.0" encoding="utf-8"?>
<ThreadedComments xmlns="http://schemas.microsoft.com/office/spreadsheetml/2018/threadedcomments" xmlns:x="http://schemas.openxmlformats.org/spreadsheetml/2006/main">
  <threadedComment ref="B41" dT="2019-12-18T19:22:02.11" personId="{03039F72-E038-422C-8A66-CDB6B718EF2B}" id="{9352A151-7FD2-47DC-A693-47858FA0B1A0}">
    <text>Alpha</text>
  </threadedComment>
  <threadedComment ref="I59" dT="2019-12-16T19:50:12.92" personId="{03039F72-E038-422C-8A66-CDB6B718EF2B}" id="{FD244107-ED54-4527-8766-6E6987371068}">
    <text>100%</text>
  </threadedComment>
</ThreadedComments>
</file>

<file path=xl/threadedComments/threadedComment7.xml><?xml version="1.0" encoding="utf-8"?>
<ThreadedComments xmlns="http://schemas.microsoft.com/office/spreadsheetml/2018/threadedcomments" xmlns:x="http://schemas.openxmlformats.org/spreadsheetml/2006/main">
  <threadedComment ref="B44" dT="2019-12-18T19:16:55.27" personId="{03039F72-E038-422C-8A66-CDB6B718EF2B}" id="{2FB09C4D-E7C3-4C99-B7B2-60BAF1CC1C17}">
    <text>Alpha</text>
  </threadedComment>
</ThreadedComments>
</file>

<file path=xl/threadedComments/threadedComment8.xml><?xml version="1.0" encoding="utf-8"?>
<ThreadedComments xmlns="http://schemas.microsoft.com/office/spreadsheetml/2018/threadedcomments" xmlns:x="http://schemas.openxmlformats.org/spreadsheetml/2006/main">
  <threadedComment ref="O8" dT="2023-05-16T01:04:21.54" personId="{412F4180-452D-444A-9729-3F2FDB5470EE}" id="{DA2C9EAF-DD5D-423B-B867-A896684FCD4B}">
    <text>From Common Reporting Format Tables and Emissions Factors</text>
  </threadedComment>
</ThreadedComments>
</file>

<file path=xl/threadedComments/threadedComment9.xml><?xml version="1.0" encoding="utf-8"?>
<ThreadedComments xmlns="http://schemas.microsoft.com/office/spreadsheetml/2018/threadedcomments" xmlns:x="http://schemas.openxmlformats.org/spreadsheetml/2006/main">
  <threadedComment ref="C38" dT="2019-11-26T02:54:19.91" personId="{03039F72-E038-422C-8A66-CDB6B718EF2B}" id="{93BAF3C9-DFA8-412E-BB4D-A50481455FA1}">
    <text>Includes positive emissions resulting from harvesting</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4.0/"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0.bin"/><Relationship Id="rId4" Type="http://schemas.microsoft.com/office/2017/10/relationships/threadedComment" Target="../threadedComments/threadedComment8.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5" Type="http://schemas.microsoft.com/office/2017/10/relationships/threadedComment" Target="../threadedComments/threadedComment5.xm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8.bin"/><Relationship Id="rId5" Type="http://schemas.microsoft.com/office/2017/10/relationships/threadedComment" Target="../threadedComments/threadedComment7.xml"/><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A343B-D9CC-476D-BE3A-B5158E6E6159}">
  <sheetPr codeName="Sheet2">
    <tabColor theme="8" tint="0.59999389629810485"/>
  </sheetPr>
  <dimension ref="A3:R55"/>
  <sheetViews>
    <sheetView tabSelected="1" workbookViewId="0">
      <selection activeCell="N15" sqref="N15"/>
    </sheetView>
  </sheetViews>
  <sheetFormatPr defaultRowHeight="15"/>
  <cols>
    <col min="2" max="2" width="11.28515625" customWidth="1"/>
    <col min="3" max="9" width="10" bestFit="1" customWidth="1"/>
    <col min="17" max="17" width="8.85546875" customWidth="1"/>
    <col min="19" max="20" width="8.85546875" customWidth="1"/>
  </cols>
  <sheetData>
    <row r="3" spans="2:18" ht="21">
      <c r="B3" s="317" t="s">
        <v>0</v>
      </c>
      <c r="P3" s="720"/>
    </row>
    <row r="4" spans="2:18">
      <c r="B4" s="720"/>
      <c r="P4" s="720"/>
      <c r="R4" s="177"/>
    </row>
    <row r="5" spans="2:18">
      <c r="P5" s="720"/>
      <c r="R5" s="177"/>
    </row>
    <row r="6" spans="2:18">
      <c r="B6" s="721" t="s">
        <v>946</v>
      </c>
    </row>
    <row r="7" spans="2:18">
      <c r="P7" s="720"/>
    </row>
    <row r="8" spans="2:18">
      <c r="B8" t="s">
        <v>1</v>
      </c>
    </row>
    <row r="9" spans="2:18">
      <c r="B9" t="s">
        <v>2</v>
      </c>
    </row>
    <row r="10" spans="2:18">
      <c r="B10" t="s">
        <v>3</v>
      </c>
    </row>
    <row r="11" spans="2:18">
      <c r="C11" t="s">
        <v>4</v>
      </c>
    </row>
    <row r="12" spans="2:18">
      <c r="C12" t="s">
        <v>5</v>
      </c>
    </row>
    <row r="13" spans="2:18" ht="14.45" customHeight="1">
      <c r="C13" t="s">
        <v>6</v>
      </c>
    </row>
    <row r="14" spans="2:18">
      <c r="C14" t="s">
        <v>7</v>
      </c>
    </row>
    <row r="15" spans="2:18" ht="15.75" thickBot="1"/>
    <row r="16" spans="2:18" ht="14.45" customHeight="1">
      <c r="B16" s="271" t="s">
        <v>955</v>
      </c>
      <c r="C16" s="272"/>
      <c r="D16" s="272"/>
      <c r="E16" s="272"/>
      <c r="F16" s="272"/>
      <c r="G16" s="272"/>
      <c r="H16" s="273"/>
    </row>
    <row r="17" spans="1:10" ht="14.45" customHeight="1">
      <c r="B17" s="248" t="s">
        <v>954</v>
      </c>
      <c r="C17" s="589"/>
      <c r="D17" s="589"/>
      <c r="E17" s="589"/>
      <c r="F17" s="589"/>
      <c r="G17" s="589"/>
      <c r="H17" s="116"/>
    </row>
    <row r="18" spans="1:10" ht="15.75" thickBot="1">
      <c r="B18" s="252" t="s">
        <v>8</v>
      </c>
      <c r="C18" s="158"/>
      <c r="D18" s="158"/>
      <c r="E18" s="158"/>
      <c r="F18" s="158"/>
      <c r="G18" s="158"/>
      <c r="H18" s="159"/>
    </row>
    <row r="20" spans="1:10">
      <c r="B20" s="177" t="s">
        <v>9</v>
      </c>
    </row>
    <row r="21" spans="1:10">
      <c r="B21" t="s">
        <v>10</v>
      </c>
    </row>
    <row r="22" spans="1:10">
      <c r="B22" t="s">
        <v>11</v>
      </c>
    </row>
    <row r="23" spans="1:10">
      <c r="B23" t="s">
        <v>12</v>
      </c>
    </row>
    <row r="25" spans="1:10">
      <c r="B25" s="177" t="s">
        <v>13</v>
      </c>
    </row>
    <row r="26" spans="1:10">
      <c r="B26" t="s">
        <v>14</v>
      </c>
    </row>
    <row r="27" spans="1:10">
      <c r="B27" t="s">
        <v>15</v>
      </c>
    </row>
    <row r="28" spans="1:10" ht="15.75" thickBot="1"/>
    <row r="29" spans="1:10">
      <c r="A29" s="339">
        <v>1</v>
      </c>
      <c r="B29" s="125"/>
      <c r="C29" s="596" t="s">
        <v>16</v>
      </c>
      <c r="D29" s="597"/>
      <c r="E29" s="597"/>
      <c r="F29" s="597"/>
      <c r="G29" s="597"/>
      <c r="H29" s="597"/>
      <c r="I29" s="598"/>
    </row>
    <row r="30" spans="1:10">
      <c r="B30" s="126" t="s">
        <v>17</v>
      </c>
      <c r="C30" s="213">
        <v>2018</v>
      </c>
      <c r="D30" s="213">
        <v>2023</v>
      </c>
      <c r="E30" s="213">
        <v>2028</v>
      </c>
      <c r="F30" s="213">
        <v>2033</v>
      </c>
      <c r="G30" s="213">
        <v>2038</v>
      </c>
      <c r="H30" s="213">
        <v>2043</v>
      </c>
      <c r="I30" s="104">
        <v>2050</v>
      </c>
    </row>
    <row r="31" spans="1:10">
      <c r="B31" s="127" t="s">
        <v>18</v>
      </c>
      <c r="C31" s="83">
        <f>VLOOKUP($A29,$B32:$I35,COLUMN()-1,TRUE)</f>
        <v>1</v>
      </c>
      <c r="D31" s="83">
        <f t="shared" ref="D31:I31" si="0">VLOOKUP($A29,$B32:$I35,COLUMN()-1,TRUE)</f>
        <v>1</v>
      </c>
      <c r="E31" s="83">
        <f t="shared" si="0"/>
        <v>1</v>
      </c>
      <c r="F31" s="83">
        <f t="shared" si="0"/>
        <v>1</v>
      </c>
      <c r="G31" s="83">
        <f t="shared" si="0"/>
        <v>1</v>
      </c>
      <c r="H31" s="83">
        <f t="shared" si="0"/>
        <v>1</v>
      </c>
      <c r="I31" s="83">
        <f t="shared" si="0"/>
        <v>1</v>
      </c>
    </row>
    <row r="32" spans="1:10">
      <c r="B32" s="127">
        <v>1</v>
      </c>
      <c r="C32" s="83">
        <v>1</v>
      </c>
      <c r="D32" s="81">
        <v>1</v>
      </c>
      <c r="E32" s="81">
        <v>1</v>
      </c>
      <c r="F32" s="81">
        <v>1</v>
      </c>
      <c r="G32" s="81">
        <v>1</v>
      </c>
      <c r="H32" s="81">
        <v>1</v>
      </c>
      <c r="I32" s="105">
        <v>1</v>
      </c>
      <c r="J32" t="s">
        <v>19</v>
      </c>
    </row>
    <row r="33" spans="2:10">
      <c r="B33" s="127">
        <v>2</v>
      </c>
      <c r="C33" s="83">
        <v>1</v>
      </c>
      <c r="D33" s="83">
        <v>0.95</v>
      </c>
      <c r="E33" s="83">
        <v>0.9</v>
      </c>
      <c r="F33" s="83">
        <v>0.85</v>
      </c>
      <c r="G33" s="83">
        <v>0.8</v>
      </c>
      <c r="H33" s="83">
        <v>0.8</v>
      </c>
      <c r="I33" s="106">
        <v>0.8</v>
      </c>
      <c r="J33" t="s">
        <v>20</v>
      </c>
    </row>
    <row r="34" spans="2:10">
      <c r="B34" s="127">
        <v>3</v>
      </c>
      <c r="C34" s="83">
        <v>1</v>
      </c>
      <c r="D34" s="81">
        <v>0.94</v>
      </c>
      <c r="E34" s="81">
        <v>0.88</v>
      </c>
      <c r="F34" s="81">
        <v>0.8</v>
      </c>
      <c r="G34" s="81">
        <v>0.7</v>
      </c>
      <c r="H34" s="81">
        <v>0.65</v>
      </c>
      <c r="I34" s="105">
        <v>0.6</v>
      </c>
      <c r="J34" t="s">
        <v>21</v>
      </c>
    </row>
    <row r="35" spans="2:10" ht="15.75" thickBot="1">
      <c r="B35" s="127">
        <v>4</v>
      </c>
      <c r="C35" s="84">
        <v>1</v>
      </c>
      <c r="D35" s="82">
        <v>0.88</v>
      </c>
      <c r="E35" s="82">
        <v>0.77</v>
      </c>
      <c r="F35" s="82">
        <v>0.66</v>
      </c>
      <c r="G35" s="82">
        <v>0.55000000000000004</v>
      </c>
      <c r="H35" s="82">
        <v>0.44</v>
      </c>
      <c r="I35" s="107">
        <v>0.33</v>
      </c>
      <c r="J35" t="s">
        <v>22</v>
      </c>
    </row>
    <row r="37" spans="2:10" ht="38.25">
      <c r="B37" s="249" t="s">
        <v>23</v>
      </c>
      <c r="C37" s="247">
        <v>2018</v>
      </c>
      <c r="D37" s="247">
        <v>2023</v>
      </c>
      <c r="E37" s="247">
        <v>2028</v>
      </c>
      <c r="F37" s="247">
        <v>2033</v>
      </c>
      <c r="G37" s="247">
        <v>2038</v>
      </c>
      <c r="H37" s="247">
        <v>2043</v>
      </c>
      <c r="I37" s="250">
        <v>2050</v>
      </c>
    </row>
    <row r="38" spans="2:10" ht="30">
      <c r="B38" s="266" t="s">
        <v>24</v>
      </c>
      <c r="C38" s="231">
        <v>200410749.96145627</v>
      </c>
      <c r="D38" s="231">
        <v>207446687.95557308</v>
      </c>
      <c r="E38" s="231">
        <v>213801728.72445276</v>
      </c>
      <c r="F38" s="231">
        <v>219475872.26809534</v>
      </c>
      <c r="G38" s="231">
        <v>224242152.84475514</v>
      </c>
      <c r="H38" s="231">
        <v>228554501.93792352</v>
      </c>
      <c r="I38" s="251">
        <v>153099335.66079089</v>
      </c>
      <c r="J38" t="s">
        <v>25</v>
      </c>
    </row>
    <row r="39" spans="2:10" ht="30">
      <c r="B39" s="266" t="s">
        <v>26</v>
      </c>
      <c r="C39" s="231">
        <v>115837368.16726452</v>
      </c>
      <c r="D39" s="231">
        <v>119904138.73712319</v>
      </c>
      <c r="E39" s="231">
        <v>123577350.86473747</v>
      </c>
      <c r="F39" s="231">
        <v>126857004.55010734</v>
      </c>
      <c r="G39" s="231">
        <v>129611913.64581807</v>
      </c>
      <c r="H39" s="231">
        <v>132104450.44669919</v>
      </c>
      <c r="I39" s="251">
        <v>137596537.50297639</v>
      </c>
      <c r="J39" t="s">
        <v>25</v>
      </c>
    </row>
    <row r="40" spans="2:10" ht="30.75" thickBot="1">
      <c r="B40" s="267" t="s">
        <v>27</v>
      </c>
      <c r="C40" s="253">
        <v>149639888.90050253</v>
      </c>
      <c r="D40" s="253">
        <v>157520660.59988105</v>
      </c>
      <c r="E40" s="253">
        <v>164635954.93715525</v>
      </c>
      <c r="F40" s="253">
        <v>170993062.17291665</v>
      </c>
      <c r="G40" s="253">
        <v>176329532.9258723</v>
      </c>
      <c r="H40" s="253">
        <v>181162975.69801655</v>
      </c>
      <c r="I40" s="254">
        <v>191980704.76589921</v>
      </c>
      <c r="J40" t="s">
        <v>25</v>
      </c>
    </row>
    <row r="42" spans="2:10">
      <c r="B42" s="318" t="s">
        <v>28</v>
      </c>
      <c r="C42" s="319"/>
      <c r="D42" s="319"/>
      <c r="E42" s="319"/>
      <c r="F42" s="319"/>
      <c r="G42" s="319"/>
      <c r="H42" s="319"/>
      <c r="I42" s="319"/>
    </row>
    <row r="43" spans="2:10">
      <c r="B43" t="s">
        <v>29</v>
      </c>
    </row>
    <row r="44" spans="2:10">
      <c r="B44" t="s">
        <v>30</v>
      </c>
    </row>
    <row r="45" spans="2:10">
      <c r="B45" t="s">
        <v>31</v>
      </c>
    </row>
    <row r="47" spans="2:10">
      <c r="B47" t="s">
        <v>32</v>
      </c>
    </row>
    <row r="48" spans="2:10">
      <c r="B48" t="s">
        <v>33</v>
      </c>
    </row>
    <row r="50" spans="2:7">
      <c r="B50" t="s">
        <v>34</v>
      </c>
    </row>
    <row r="52" spans="2:7">
      <c r="B52" s="338" t="s">
        <v>35</v>
      </c>
      <c r="C52" s="338"/>
      <c r="D52" s="338"/>
      <c r="E52" s="338"/>
    </row>
    <row r="54" spans="2:7">
      <c r="B54" s="340" t="s">
        <v>36</v>
      </c>
      <c r="C54" s="340"/>
      <c r="D54" s="340"/>
      <c r="E54" s="340"/>
      <c r="F54" s="340"/>
      <c r="G54" s="340"/>
    </row>
    <row r="55" spans="2:7">
      <c r="B55" s="439" t="s">
        <v>37</v>
      </c>
      <c r="C55" s="439"/>
      <c r="D55" s="439"/>
      <c r="E55" s="439"/>
      <c r="F55" s="439"/>
      <c r="G55" s="439"/>
    </row>
  </sheetData>
  <mergeCells count="1">
    <mergeCell ref="C29:I29"/>
  </mergeCells>
  <hyperlinks>
    <hyperlink ref="B6" r:id="rId1" display="https://creativecommons.org/licenses/by/4.0/" xr:uid="{91396DDB-7211-49A6-81E1-8BE4D9ACB68B}"/>
  </hyperlinks>
  <pageMargins left="0.7" right="0.7" top="0.75" bottom="0.75" header="0.3" footer="0.3"/>
  <pageSetup paperSize="9" orientation="portrait" r:id="rId2"/>
  <drawing r:id="rId3"/>
  <legacy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5D011-C364-4B94-87D9-8E98AC14C107}">
  <sheetPr codeName="Sheet10">
    <tabColor theme="5" tint="0.59999389629810485"/>
  </sheetPr>
  <dimension ref="B2:AX83"/>
  <sheetViews>
    <sheetView topLeftCell="U25" workbookViewId="0">
      <selection activeCell="AC19" sqref="AC19"/>
    </sheetView>
  </sheetViews>
  <sheetFormatPr defaultRowHeight="15"/>
  <cols>
    <col min="2" max="2" width="13.140625" customWidth="1"/>
    <col min="8" max="8" width="8.85546875" style="403"/>
    <col min="10" max="10" width="22.7109375" customWidth="1"/>
    <col min="11" max="11" width="20.42578125" customWidth="1"/>
    <col min="12" max="12" width="8.85546875" customWidth="1"/>
    <col min="16" max="16" width="8.85546875" style="398"/>
    <col min="18" max="18" width="28.28515625" customWidth="1"/>
    <col min="19" max="19" width="11.140625" bestFit="1" customWidth="1"/>
    <col min="20" max="20" width="11.28515625" customWidth="1"/>
    <col min="21" max="21" width="12" bestFit="1" customWidth="1"/>
    <col min="22" max="22" width="28.140625" customWidth="1"/>
    <col min="24" max="24" width="8.85546875" style="381"/>
    <col min="26" max="26" width="17.7109375" bestFit="1" customWidth="1"/>
    <col min="27" max="27" width="17.7109375" customWidth="1"/>
    <col min="28" max="28" width="16.42578125" bestFit="1" customWidth="1"/>
    <col min="29" max="29" width="21.28515625" customWidth="1"/>
    <col min="30" max="32" width="13.28515625" customWidth="1"/>
    <col min="33" max="33" width="20.28515625" customWidth="1"/>
    <col min="35" max="35" width="40.140625" customWidth="1"/>
    <col min="36" max="36" width="8.28515625" bestFit="1" customWidth="1"/>
    <col min="41" max="41" width="8.85546875" style="212"/>
    <col min="43" max="43" width="19.140625" customWidth="1"/>
    <col min="44" max="44" width="18.28515625" customWidth="1"/>
    <col min="45" max="46" width="14.140625" bestFit="1" customWidth="1"/>
    <col min="47" max="47" width="12.42578125" customWidth="1"/>
    <col min="48" max="48" width="19.28515625" bestFit="1" customWidth="1"/>
    <col min="49" max="49" width="16.5703125" bestFit="1" customWidth="1"/>
  </cols>
  <sheetData>
    <row r="2" spans="2:50">
      <c r="AA2" t="s">
        <v>691</v>
      </c>
      <c r="AC2" s="351">
        <f>'Baseline Statistics'!D17/'Baseline Statistics'!C17</f>
        <v>1.0673539518900343</v>
      </c>
    </row>
    <row r="5" spans="2:50" ht="14.45" customHeight="1">
      <c r="B5" s="679" t="s">
        <v>258</v>
      </c>
      <c r="C5" s="679"/>
      <c r="D5" s="679"/>
      <c r="E5" s="679"/>
      <c r="F5" s="452"/>
      <c r="J5" s="675" t="s">
        <v>228</v>
      </c>
      <c r="K5" s="675"/>
      <c r="L5" s="675"/>
      <c r="M5" s="675"/>
      <c r="N5" s="451"/>
      <c r="R5" s="669" t="s">
        <v>197</v>
      </c>
      <c r="S5" s="669"/>
      <c r="T5" s="669"/>
      <c r="U5" s="669"/>
      <c r="V5" s="453"/>
      <c r="AA5" s="680" t="s">
        <v>221</v>
      </c>
      <c r="AB5" s="680"/>
      <c r="AC5" s="680"/>
      <c r="AD5" s="680"/>
      <c r="AE5" s="680"/>
      <c r="AF5" s="680"/>
      <c r="AG5" s="680"/>
      <c r="AH5" s="680"/>
      <c r="AI5" s="680"/>
      <c r="AR5" s="668" t="s">
        <v>692</v>
      </c>
      <c r="AS5" s="668"/>
      <c r="AT5" s="668"/>
    </row>
    <row r="6" spans="2:50" ht="14.45" customHeight="1">
      <c r="B6" s="679"/>
      <c r="C6" s="679"/>
      <c r="D6" s="679"/>
      <c r="E6" s="679"/>
      <c r="F6" s="452"/>
      <c r="J6" s="675"/>
      <c r="K6" s="675"/>
      <c r="L6" s="675"/>
      <c r="M6" s="675"/>
      <c r="N6" s="451"/>
      <c r="R6" s="669"/>
      <c r="S6" s="669"/>
      <c r="T6" s="669"/>
      <c r="U6" s="669"/>
      <c r="V6" s="453"/>
      <c r="AA6" s="680"/>
      <c r="AB6" s="680"/>
      <c r="AC6" s="680"/>
      <c r="AD6" s="680"/>
      <c r="AE6" s="680"/>
      <c r="AF6" s="680"/>
      <c r="AG6" s="680"/>
      <c r="AH6" s="680"/>
      <c r="AI6" s="680"/>
      <c r="AR6" s="668"/>
      <c r="AS6" s="668"/>
      <c r="AT6" s="668"/>
    </row>
    <row r="8" spans="2:50">
      <c r="B8" s="620" t="s">
        <v>275</v>
      </c>
      <c r="C8" s="670" t="str">
        <f>K8</f>
        <v>Prior Year</v>
      </c>
      <c r="D8" s="670">
        <f>L8</f>
        <v>2022</v>
      </c>
      <c r="E8" s="670" t="s">
        <v>202</v>
      </c>
      <c r="F8" s="670" t="s">
        <v>200</v>
      </c>
      <c r="J8" s="612" t="s">
        <v>326</v>
      </c>
      <c r="K8" s="676" t="s">
        <v>693</v>
      </c>
      <c r="L8" s="684">
        <f>T8</f>
        <v>2022</v>
      </c>
      <c r="M8" s="614" t="s">
        <v>202</v>
      </c>
      <c r="N8" s="454"/>
      <c r="O8" s="672" t="s">
        <v>892</v>
      </c>
      <c r="R8" s="620" t="s">
        <v>376</v>
      </c>
      <c r="S8" s="671" t="s">
        <v>693</v>
      </c>
      <c r="T8" s="670">
        <f>'Baseline Statistics'!D4</f>
        <v>2022</v>
      </c>
      <c r="U8" s="670" t="s">
        <v>202</v>
      </c>
      <c r="V8" s="670" t="s">
        <v>200</v>
      </c>
      <c r="Z8" s="620" t="s">
        <v>275</v>
      </c>
      <c r="AA8" s="620" t="s">
        <v>459</v>
      </c>
      <c r="AB8" s="687" t="s">
        <v>694</v>
      </c>
      <c r="AC8" s="688"/>
      <c r="AD8" s="670" t="s">
        <v>202</v>
      </c>
      <c r="AE8" s="520"/>
      <c r="AF8" s="670" t="s">
        <v>202</v>
      </c>
      <c r="AG8" s="670" t="s">
        <v>200</v>
      </c>
      <c r="AI8" s="693" t="s">
        <v>695</v>
      </c>
      <c r="AJ8" s="689" t="s">
        <v>315</v>
      </c>
      <c r="AK8" s="692" t="s">
        <v>200</v>
      </c>
      <c r="AQ8" s="620" t="s">
        <v>275</v>
      </c>
      <c r="AR8" s="620" t="s">
        <v>459</v>
      </c>
      <c r="AS8" s="687" t="s">
        <v>694</v>
      </c>
      <c r="AT8" s="688"/>
      <c r="AU8" s="603" t="s">
        <v>202</v>
      </c>
      <c r="AV8" s="692" t="s">
        <v>200</v>
      </c>
    </row>
    <row r="9" spans="2:50">
      <c r="B9" s="653"/>
      <c r="C9" s="653"/>
      <c r="D9" s="653"/>
      <c r="E9" s="653"/>
      <c r="F9" s="653"/>
      <c r="J9" s="613"/>
      <c r="K9" s="677"/>
      <c r="L9" s="685"/>
      <c r="M9" s="613"/>
      <c r="N9" s="455" t="s">
        <v>200</v>
      </c>
      <c r="O9" s="672"/>
      <c r="R9" s="653"/>
      <c r="S9" s="671"/>
      <c r="T9" s="653"/>
      <c r="U9" s="653"/>
      <c r="V9" s="653"/>
      <c r="Z9" s="621"/>
      <c r="AA9" s="621"/>
      <c r="AB9" s="229" t="s">
        <v>693</v>
      </c>
      <c r="AC9" s="215">
        <f>'Baseline Statistics'!D4</f>
        <v>2022</v>
      </c>
      <c r="AD9" s="653"/>
      <c r="AE9" s="215">
        <v>2022</v>
      </c>
      <c r="AF9" s="653"/>
      <c r="AG9" s="653"/>
      <c r="AI9" s="694"/>
      <c r="AJ9" s="690"/>
      <c r="AK9" s="634"/>
      <c r="AQ9" s="621"/>
      <c r="AR9" s="621"/>
      <c r="AS9" s="229" t="str">
        <f>AB9</f>
        <v>Prior Year</v>
      </c>
      <c r="AT9" s="215">
        <f>AC9</f>
        <v>2022</v>
      </c>
      <c r="AU9" s="604"/>
      <c r="AV9" s="634"/>
    </row>
    <row r="10" spans="2:50">
      <c r="B10" s="653"/>
      <c r="C10" s="653"/>
      <c r="D10" s="653"/>
      <c r="E10" s="653"/>
      <c r="F10" s="653"/>
      <c r="J10" s="613"/>
      <c r="K10" s="678"/>
      <c r="L10" s="686"/>
      <c r="M10" s="613"/>
      <c r="N10" s="455"/>
      <c r="O10" s="672"/>
      <c r="R10" s="653"/>
      <c r="S10" s="671"/>
      <c r="T10" s="653"/>
      <c r="U10" s="653"/>
      <c r="V10" s="653"/>
      <c r="Z10" s="621"/>
      <c r="AA10" s="621"/>
      <c r="AB10" s="230"/>
      <c r="AC10" s="216"/>
      <c r="AD10" s="653"/>
      <c r="AE10" s="216"/>
      <c r="AF10" s="653"/>
      <c r="AG10" s="653"/>
      <c r="AI10" s="695"/>
      <c r="AJ10" s="691"/>
      <c r="AK10" s="634"/>
      <c r="AQ10" s="621"/>
      <c r="AR10" s="621"/>
      <c r="AS10" s="230"/>
      <c r="AT10" s="216"/>
      <c r="AU10" s="611"/>
      <c r="AV10" s="634"/>
    </row>
    <row r="11" spans="2:50" ht="15.75">
      <c r="B11" s="35" t="s">
        <v>262</v>
      </c>
      <c r="C11" s="202"/>
      <c r="D11" s="521">
        <v>2721</v>
      </c>
      <c r="E11" s="35" t="s">
        <v>264</v>
      </c>
      <c r="F11" s="35"/>
      <c r="J11" s="217" t="s">
        <v>329</v>
      </c>
      <c r="K11" s="217"/>
      <c r="L11" s="399">
        <v>432.87022550430777</v>
      </c>
      <c r="M11" s="219" t="s">
        <v>330</v>
      </c>
      <c r="N11" s="456"/>
      <c r="O11" s="519">
        <v>997248.485669052</v>
      </c>
      <c r="R11" s="65" t="s">
        <v>377</v>
      </c>
      <c r="S11" s="282"/>
      <c r="T11" s="396">
        <v>36790440.061202846</v>
      </c>
      <c r="U11" s="522" t="s">
        <v>227</v>
      </c>
      <c r="V11" s="522"/>
      <c r="Z11" s="620" t="s">
        <v>460</v>
      </c>
      <c r="AA11" s="343" t="s">
        <v>461</v>
      </c>
      <c r="AB11" s="264">
        <v>460611812.15913033</v>
      </c>
      <c r="AC11" s="382">
        <f>AB11*AC$2</f>
        <v>491635837.99527794</v>
      </c>
      <c r="AD11" t="s">
        <v>317</v>
      </c>
      <c r="AE11" s="548">
        <f>AE13-AE12</f>
        <v>38888.229670543704</v>
      </c>
      <c r="AF11" s="519" t="s">
        <v>552</v>
      </c>
      <c r="AI11" s="234" t="s">
        <v>696</v>
      </c>
      <c r="AJ11" s="470">
        <v>0.43016936889917678</v>
      </c>
      <c r="AQ11" s="620" t="s">
        <v>463</v>
      </c>
      <c r="AR11" s="343" t="s">
        <v>464</v>
      </c>
      <c r="AS11" s="264">
        <f>AS12/'Baseline Statistics'!C17</f>
        <v>518.45038286485646</v>
      </c>
      <c r="AT11" s="264">
        <f>AT12/'Baseline Statistics'!D17</f>
        <v>518.45038286485646</v>
      </c>
      <c r="AU11" t="s">
        <v>465</v>
      </c>
    </row>
    <row r="12" spans="2:50" ht="15.75">
      <c r="B12" s="35" t="s">
        <v>266</v>
      </c>
      <c r="C12" s="202"/>
      <c r="D12" s="521">
        <v>3721</v>
      </c>
      <c r="E12" s="35" t="s">
        <v>264</v>
      </c>
      <c r="F12" s="35"/>
      <c r="J12" s="217" t="s">
        <v>333</v>
      </c>
      <c r="K12" s="217"/>
      <c r="L12" s="399">
        <v>0</v>
      </c>
      <c r="M12" s="68" t="s">
        <v>330</v>
      </c>
      <c r="N12" s="457"/>
      <c r="O12" s="519">
        <v>6310.7512825000003</v>
      </c>
      <c r="R12" s="66" t="s">
        <v>378</v>
      </c>
      <c r="S12" s="523"/>
      <c r="T12" s="396">
        <v>8353453.6432471676</v>
      </c>
      <c r="U12" s="524" t="s">
        <v>227</v>
      </c>
      <c r="V12" s="524"/>
      <c r="Z12" s="621"/>
      <c r="AA12" s="343" t="s">
        <v>466</v>
      </c>
      <c r="AB12" s="264">
        <v>304244.85635165829</v>
      </c>
      <c r="AC12" s="382">
        <f>AB12*AC$2</f>
        <v>324736.94976915832</v>
      </c>
      <c r="AD12" t="s">
        <v>317</v>
      </c>
      <c r="AE12" s="548">
        <v>94.558139424999993</v>
      </c>
      <c r="AF12" s="519" t="s">
        <v>552</v>
      </c>
      <c r="AG12" s="549" t="s">
        <v>933</v>
      </c>
      <c r="AI12" s="234" t="s">
        <v>469</v>
      </c>
      <c r="AJ12" s="470">
        <v>0.24863779796761001</v>
      </c>
      <c r="AQ12" s="621"/>
      <c r="AR12" s="343" t="s">
        <v>467</v>
      </c>
      <c r="AS12" s="264">
        <v>45260718.424101971</v>
      </c>
      <c r="AT12" s="382">
        <f>AS12*AC2</f>
        <v>48309206.675347328</v>
      </c>
      <c r="AU12" t="s">
        <v>468</v>
      </c>
    </row>
    <row r="13" spans="2:50" ht="15.75">
      <c r="J13" s="217" t="s">
        <v>336</v>
      </c>
      <c r="K13" s="217"/>
      <c r="L13" s="399">
        <v>37.116319335794905</v>
      </c>
      <c r="M13" s="219" t="s">
        <v>330</v>
      </c>
      <c r="N13" s="456"/>
      <c r="O13" s="519">
        <v>2176.1829959335441</v>
      </c>
      <c r="R13" s="65" t="s">
        <v>379</v>
      </c>
      <c r="S13" s="282"/>
      <c r="T13" s="396">
        <v>3404243.6177032739</v>
      </c>
      <c r="U13" s="522" t="s">
        <v>227</v>
      </c>
      <c r="V13" s="522"/>
      <c r="Z13" s="621"/>
      <c r="AA13" s="343" t="s">
        <v>342</v>
      </c>
      <c r="AB13" s="264">
        <f>SUM(AB11:AB12)</f>
        <v>460916057.01548201</v>
      </c>
      <c r="AC13" s="382">
        <f>AB13*AC$2</f>
        <v>491960574.94504714</v>
      </c>
      <c r="AD13" t="s">
        <v>317</v>
      </c>
      <c r="AE13" s="548">
        <v>38982.7878099687</v>
      </c>
      <c r="AF13" s="519" t="s">
        <v>552</v>
      </c>
      <c r="AI13" s="234" t="s">
        <v>470</v>
      </c>
      <c r="AJ13" s="470">
        <v>0.32119283313321306</v>
      </c>
      <c r="AQ13" s="621"/>
      <c r="AR13" s="343" t="s">
        <v>697</v>
      </c>
      <c r="AS13" s="264"/>
      <c r="AT13" s="492">
        <f>(9.01+5.71)/100</f>
        <v>0.1472</v>
      </c>
      <c r="AV13" t="s">
        <v>698</v>
      </c>
    </row>
    <row r="14" spans="2:50" ht="15.75">
      <c r="J14" s="217" t="s">
        <v>339</v>
      </c>
      <c r="K14" s="217"/>
      <c r="L14" s="399">
        <v>25133.753260232486</v>
      </c>
      <c r="M14" s="68" t="s">
        <v>330</v>
      </c>
      <c r="N14" s="457"/>
      <c r="O14" s="519">
        <v>72660.833864750006</v>
      </c>
      <c r="R14" s="66" t="s">
        <v>380</v>
      </c>
      <c r="S14" s="523"/>
      <c r="T14" s="396">
        <v>18536711.417872287</v>
      </c>
      <c r="U14" s="524" t="s">
        <v>227</v>
      </c>
      <c r="V14" s="524"/>
      <c r="AB14" s="205"/>
      <c r="AC14" s="264"/>
      <c r="AI14" s="70"/>
      <c r="AJ14" s="236"/>
      <c r="AS14" s="205"/>
      <c r="AT14" s="205"/>
    </row>
    <row r="15" spans="2:50" ht="15.75">
      <c r="J15" s="217" t="s">
        <v>341</v>
      </c>
      <c r="K15" s="217"/>
      <c r="L15" s="399">
        <v>75.644469029390663</v>
      </c>
      <c r="M15" s="219" t="s">
        <v>330</v>
      </c>
      <c r="N15" s="456"/>
      <c r="O15" s="519">
        <v>10582.712551694955</v>
      </c>
      <c r="R15" s="65" t="s">
        <v>381</v>
      </c>
      <c r="S15" s="282"/>
      <c r="T15" s="396">
        <v>875123.71500684612</v>
      </c>
      <c r="U15" s="522" t="s">
        <v>227</v>
      </c>
      <c r="V15" s="522"/>
      <c r="AA15" s="343" t="s">
        <v>228</v>
      </c>
      <c r="AB15" s="205"/>
      <c r="AC15" s="382">
        <f>AC$11*AJ11</f>
        <v>211486678.15864664</v>
      </c>
      <c r="AD15" t="s">
        <v>317</v>
      </c>
      <c r="AE15" s="548">
        <v>13499.6892659193</v>
      </c>
      <c r="AF15" s="519" t="s">
        <v>552</v>
      </c>
      <c r="AJ15" s="185"/>
      <c r="AQ15" s="620" t="s">
        <v>212</v>
      </c>
      <c r="AR15" s="343" t="s">
        <v>471</v>
      </c>
      <c r="AS15" s="264">
        <v>1825.7396390900001</v>
      </c>
      <c r="AT15" s="382">
        <f>AS15*AC$2</f>
        <v>1948.7104189049967</v>
      </c>
      <c r="AU15" t="s">
        <v>209</v>
      </c>
      <c r="AW15" s="232"/>
      <c r="AX15" s="233"/>
    </row>
    <row r="16" spans="2:50">
      <c r="J16" s="218" t="s">
        <v>342</v>
      </c>
      <c r="K16" s="218"/>
      <c r="L16" s="400">
        <v>25679.38427410198</v>
      </c>
      <c r="M16" s="220" t="s">
        <v>343</v>
      </c>
      <c r="N16" s="458"/>
      <c r="O16" s="519">
        <f>SUM(O11:O15)</f>
        <v>1088978.9663639306</v>
      </c>
      <c r="R16" s="66" t="s">
        <v>382</v>
      </c>
      <c r="S16" s="523"/>
      <c r="T16" s="396">
        <v>5648525.7968623694</v>
      </c>
      <c r="U16" s="524" t="s">
        <v>227</v>
      </c>
      <c r="V16" s="524"/>
      <c r="AA16" s="343" t="s">
        <v>469</v>
      </c>
      <c r="AB16" s="205"/>
      <c r="AC16" s="382">
        <f t="shared" ref="AC16:AC17" si="0">AC$11*AJ12</f>
        <v>122239252.16110656</v>
      </c>
      <c r="AD16" t="s">
        <v>317</v>
      </c>
      <c r="AE16" s="548">
        <v>9386.5563373331297</v>
      </c>
      <c r="AF16" s="519" t="s">
        <v>552</v>
      </c>
      <c r="AI16" s="693" t="s">
        <v>699</v>
      </c>
      <c r="AJ16" s="696" t="s">
        <v>315</v>
      </c>
      <c r="AK16" s="692" t="s">
        <v>200</v>
      </c>
      <c r="AQ16" s="621"/>
      <c r="AR16" s="343" t="s">
        <v>473</v>
      </c>
      <c r="AS16" s="264">
        <v>530.06849999999997</v>
      </c>
      <c r="AT16" s="382">
        <f>AS16*AC$2</f>
        <v>565.77070824742259</v>
      </c>
      <c r="AU16" t="s">
        <v>209</v>
      </c>
    </row>
    <row r="17" spans="2:49" ht="15.75" thickBot="1">
      <c r="R17" s="65" t="s">
        <v>383</v>
      </c>
      <c r="S17" s="282"/>
      <c r="T17" s="396">
        <v>533194.78349569347</v>
      </c>
      <c r="U17" s="522" t="s">
        <v>227</v>
      </c>
      <c r="V17" s="522"/>
      <c r="AA17" s="343" t="s">
        <v>470</v>
      </c>
      <c r="AB17" s="205"/>
      <c r="AC17" s="382">
        <f t="shared" si="0"/>
        <v>157909907.67552468</v>
      </c>
      <c r="AD17" t="s">
        <v>317</v>
      </c>
      <c r="AE17" s="548">
        <v>13027.372179923501</v>
      </c>
      <c r="AF17" s="519" t="s">
        <v>552</v>
      </c>
      <c r="AI17" s="694"/>
      <c r="AJ17" s="697"/>
      <c r="AK17" s="634"/>
      <c r="AQ17" s="621"/>
      <c r="AR17" s="343" t="s">
        <v>342</v>
      </c>
      <c r="AS17" s="264">
        <f>SUM(AS15:AS16)</f>
        <v>2355.8081390900002</v>
      </c>
      <c r="AT17" s="264">
        <f>SUM(AT15:AT16)</f>
        <v>2514.4811271524195</v>
      </c>
      <c r="AU17" t="s">
        <v>209</v>
      </c>
    </row>
    <row r="18" spans="2:49" ht="26.25" thickBot="1">
      <c r="B18" s="665" t="s">
        <v>700</v>
      </c>
      <c r="C18" s="666"/>
      <c r="D18" s="666"/>
      <c r="E18" s="666"/>
      <c r="F18" s="666"/>
      <c r="G18" s="667"/>
      <c r="J18" s="401" t="s">
        <v>701</v>
      </c>
      <c r="L18" s="469">
        <v>50</v>
      </c>
      <c r="M18" t="s">
        <v>315</v>
      </c>
      <c r="R18" s="67" t="s">
        <v>337</v>
      </c>
      <c r="S18" s="282"/>
      <c r="T18" s="396">
        <v>603881.656249461</v>
      </c>
      <c r="U18" s="68" t="s">
        <v>227</v>
      </c>
      <c r="V18" s="68"/>
      <c r="Z18" s="231"/>
      <c r="AA18" s="343" t="s">
        <v>466</v>
      </c>
      <c r="AB18" s="205"/>
      <c r="AC18" s="382">
        <f>AC12</f>
        <v>324736.94976915832</v>
      </c>
      <c r="AD18" t="s">
        <v>317</v>
      </c>
      <c r="AE18" s="548">
        <v>94.558139424999993</v>
      </c>
      <c r="AF18" s="519" t="s">
        <v>552</v>
      </c>
      <c r="AI18" s="695"/>
      <c r="AJ18" s="698"/>
      <c r="AK18" s="634"/>
      <c r="AR18" s="343" t="s">
        <v>474</v>
      </c>
      <c r="AS18" s="205"/>
      <c r="AT18" s="415">
        <f>AT15/'Baseline Statistics'!D18</f>
        <v>2.1967944118333353E-2</v>
      </c>
      <c r="AU18" t="s">
        <v>209</v>
      </c>
    </row>
    <row r="19" spans="2:49">
      <c r="B19" s="464">
        <v>7</v>
      </c>
      <c r="C19" s="272" t="s">
        <v>702</v>
      </c>
      <c r="D19" s="272"/>
      <c r="E19" s="272"/>
      <c r="F19" s="272"/>
      <c r="G19" s="273"/>
      <c r="R19" s="67" t="s">
        <v>340</v>
      </c>
      <c r="S19" s="282"/>
      <c r="T19" s="396">
        <v>307048.79688692791</v>
      </c>
      <c r="U19" s="68" t="s">
        <v>317</v>
      </c>
      <c r="V19" s="68"/>
      <c r="AA19" s="343" t="s">
        <v>703</v>
      </c>
      <c r="AB19" s="205"/>
      <c r="AC19" s="382">
        <v>0</v>
      </c>
      <c r="AD19" t="s">
        <v>317</v>
      </c>
      <c r="AF19" t="s">
        <v>552</v>
      </c>
      <c r="AI19" s="235" t="s">
        <v>696</v>
      </c>
      <c r="AJ19" s="471">
        <v>0.82306146299675331</v>
      </c>
      <c r="AR19" s="343" t="s">
        <v>475</v>
      </c>
      <c r="AS19" s="205"/>
      <c r="AT19" s="415">
        <f>AT16/'Baseline Statistics'!D19</f>
        <v>0.1264857384858982</v>
      </c>
      <c r="AU19" t="s">
        <v>209</v>
      </c>
    </row>
    <row r="20" spans="2:49">
      <c r="B20" s="465">
        <v>0.03</v>
      </c>
      <c r="C20" t="s">
        <v>704</v>
      </c>
      <c r="G20" s="116"/>
      <c r="R20" s="65" t="s">
        <v>239</v>
      </c>
      <c r="S20" s="282"/>
      <c r="T20" s="396">
        <v>4350044.3909544628</v>
      </c>
      <c r="U20" s="522" t="s">
        <v>227</v>
      </c>
      <c r="V20" s="522"/>
      <c r="AB20" s="205"/>
      <c r="AC20" s="264"/>
      <c r="AI20" s="235" t="s">
        <v>469</v>
      </c>
      <c r="AJ20" s="471">
        <v>9.9208468542249503E-2</v>
      </c>
      <c r="AS20" s="205"/>
      <c r="AT20" s="205"/>
    </row>
    <row r="21" spans="2:49" ht="14.45" customHeight="1">
      <c r="B21" s="465">
        <v>320</v>
      </c>
      <c r="C21" t="s">
        <v>705</v>
      </c>
      <c r="G21" s="116"/>
      <c r="J21" s="681" t="s">
        <v>706</v>
      </c>
      <c r="K21" s="682"/>
      <c r="L21" s="682"/>
      <c r="M21" s="683"/>
      <c r="R21" s="67" t="s">
        <v>242</v>
      </c>
      <c r="S21" s="282"/>
      <c r="T21" s="396">
        <v>578623.93901467754</v>
      </c>
      <c r="U21" s="68" t="s">
        <v>227</v>
      </c>
      <c r="V21" s="68"/>
      <c r="Z21" s="626" t="s">
        <v>462</v>
      </c>
      <c r="AA21" s="397" t="s">
        <v>342</v>
      </c>
      <c r="AB21" s="462">
        <f>884884.562+7876.63</f>
        <v>892761.19200000004</v>
      </c>
      <c r="AC21" s="382">
        <f>AB21*AC2</f>
        <v>952892.18637525779</v>
      </c>
      <c r="AD21" t="s">
        <v>220</v>
      </c>
      <c r="AE21" s="519">
        <v>140.37</v>
      </c>
      <c r="AF21" s="519" t="s">
        <v>931</v>
      </c>
      <c r="AH21" s="233"/>
      <c r="AI21" s="235" t="s">
        <v>470</v>
      </c>
      <c r="AJ21" s="471">
        <v>7.7730068460997295E-2</v>
      </c>
    </row>
    <row r="22" spans="2:49">
      <c r="B22" s="465">
        <v>2</v>
      </c>
      <c r="C22" t="s">
        <v>682</v>
      </c>
      <c r="G22" s="116"/>
      <c r="J22" s="365"/>
      <c r="K22" s="192" t="s">
        <v>233</v>
      </c>
      <c r="L22" s="192" t="s">
        <v>226</v>
      </c>
      <c r="M22" s="193" t="s">
        <v>230</v>
      </c>
      <c r="R22" s="65" t="s">
        <v>233</v>
      </c>
      <c r="S22" s="282"/>
      <c r="T22" s="396">
        <v>538033.26885880088</v>
      </c>
      <c r="U22" s="522" t="s">
        <v>227</v>
      </c>
      <c r="V22" s="522"/>
      <c r="Z22" s="627"/>
      <c r="AA22" s="343" t="s">
        <v>228</v>
      </c>
      <c r="AB22" s="264"/>
      <c r="AC22" s="382">
        <f>AC21*AJ19</f>
        <v>784288.83699619456</v>
      </c>
      <c r="AD22" t="s">
        <v>220</v>
      </c>
      <c r="AE22" s="519">
        <v>47.92</v>
      </c>
      <c r="AF22" s="519" t="s">
        <v>931</v>
      </c>
      <c r="AJ22" s="185"/>
      <c r="AQ22" s="691" t="s">
        <v>707</v>
      </c>
      <c r="AR22" s="702"/>
      <c r="AS22" s="702"/>
      <c r="AT22" s="702"/>
      <c r="AU22" s="702"/>
      <c r="AV22" s="702"/>
      <c r="AW22" s="702"/>
    </row>
    <row r="23" spans="2:49" ht="15.75" thickBot="1">
      <c r="B23" s="465">
        <v>0.5</v>
      </c>
      <c r="C23" t="s">
        <v>684</v>
      </c>
      <c r="G23" s="116"/>
      <c r="J23" s="366" t="s">
        <v>493</v>
      </c>
      <c r="K23" s="467">
        <f>3224.6/5002.9</f>
        <v>0.64454616322532932</v>
      </c>
      <c r="L23" s="467">
        <f>928.2/5706.7</f>
        <v>0.16265091909509877</v>
      </c>
      <c r="M23" s="468"/>
      <c r="R23" s="67" t="s">
        <v>708</v>
      </c>
      <c r="S23" s="282"/>
      <c r="T23" s="396">
        <v>0</v>
      </c>
      <c r="U23" s="68" t="s">
        <v>227</v>
      </c>
      <c r="V23" s="68"/>
      <c r="Z23" s="628"/>
      <c r="AA23" s="343" t="s">
        <v>469</v>
      </c>
      <c r="AB23" s="264"/>
      <c r="AC23" s="382">
        <f>AC21*AJ20</f>
        <v>94534.974496165116</v>
      </c>
      <c r="AD23" t="s">
        <v>220</v>
      </c>
      <c r="AE23" s="519">
        <v>7.45</v>
      </c>
      <c r="AF23" s="519" t="s">
        <v>931</v>
      </c>
      <c r="AJ23" s="185"/>
      <c r="AQ23" s="38" t="s">
        <v>280</v>
      </c>
      <c r="AR23" s="35" t="s">
        <v>709</v>
      </c>
      <c r="AS23" s="35" t="s">
        <v>710</v>
      </c>
      <c r="AT23" s="36" t="s">
        <v>711</v>
      </c>
      <c r="AU23" s="35" t="s">
        <v>712</v>
      </c>
      <c r="AV23" s="35" t="s">
        <v>713</v>
      </c>
      <c r="AW23" s="35" t="s">
        <v>714</v>
      </c>
    </row>
    <row r="24" spans="2:49" ht="15.75" thickBot="1">
      <c r="B24" s="665" t="s">
        <v>715</v>
      </c>
      <c r="C24" s="666"/>
      <c r="D24" s="666"/>
      <c r="E24" s="666"/>
      <c r="F24" s="666"/>
      <c r="G24" s="667"/>
      <c r="J24" s="366" t="s">
        <v>494</v>
      </c>
      <c r="K24" s="467"/>
      <c r="L24" s="467">
        <f>1268.3/5706.7</f>
        <v>0.22224753360085514</v>
      </c>
      <c r="M24" s="468"/>
      <c r="R24" s="67" t="s">
        <v>716</v>
      </c>
      <c r="S24" s="282"/>
      <c r="T24" s="396">
        <v>0</v>
      </c>
      <c r="U24" s="68" t="s">
        <v>227</v>
      </c>
      <c r="V24" s="68"/>
      <c r="AA24" s="343" t="s">
        <v>470</v>
      </c>
      <c r="AB24" s="205"/>
      <c r="AC24" s="382">
        <f>AC21*AJ21</f>
        <v>74068.374882898177</v>
      </c>
      <c r="AD24" t="s">
        <v>220</v>
      </c>
      <c r="AE24" s="519">
        <v>6.79</v>
      </c>
      <c r="AF24" s="519" t="s">
        <v>931</v>
      </c>
      <c r="AI24" s="693" t="s">
        <v>717</v>
      </c>
      <c r="AJ24" s="696" t="s">
        <v>315</v>
      </c>
      <c r="AK24" s="692" t="s">
        <v>200</v>
      </c>
      <c r="AQ24" s="41" t="s">
        <v>281</v>
      </c>
      <c r="AR24" s="432">
        <v>1.5</v>
      </c>
      <c r="AS24" s="432">
        <v>7</v>
      </c>
      <c r="AT24" s="430">
        <v>0.08</v>
      </c>
      <c r="AU24" s="432">
        <v>1</v>
      </c>
      <c r="AV24" s="460">
        <f t="shared" ref="AV24:AV26" si="1">AS24/$AS$25</f>
        <v>2.3333333333333335</v>
      </c>
      <c r="AW24" s="476">
        <v>1</v>
      </c>
    </row>
    <row r="25" spans="2:49" ht="25.5">
      <c r="B25" s="465">
        <v>40</v>
      </c>
      <c r="C25" t="s">
        <v>718</v>
      </c>
      <c r="G25" s="116"/>
      <c r="J25" s="366" t="s">
        <v>719</v>
      </c>
      <c r="K25" s="467">
        <f>SUM(534,213.6,1030.6)/5002.9</f>
        <v>0.35543384836794656</v>
      </c>
      <c r="L25" s="467">
        <f>SUM(444.7,1527.8,1485.4,52)/5706.7</f>
        <v>0.61504897751765475</v>
      </c>
      <c r="M25" s="468">
        <v>1</v>
      </c>
      <c r="R25" s="459" t="s">
        <v>384</v>
      </c>
      <c r="S25" s="282"/>
      <c r="T25" s="396">
        <v>552915870.3663671</v>
      </c>
      <c r="U25" s="522" t="s">
        <v>385</v>
      </c>
      <c r="V25" s="522"/>
      <c r="AA25" s="547" t="s">
        <v>932</v>
      </c>
      <c r="AB25" s="205"/>
      <c r="AC25" s="264"/>
      <c r="AE25" s="519">
        <v>41.94</v>
      </c>
      <c r="AF25" s="519" t="s">
        <v>931</v>
      </c>
      <c r="AI25" s="694"/>
      <c r="AJ25" s="697"/>
      <c r="AK25" s="634"/>
      <c r="AQ25" s="557" t="s">
        <v>282</v>
      </c>
      <c r="AR25" s="432">
        <v>1</v>
      </c>
      <c r="AS25" s="432">
        <v>3</v>
      </c>
      <c r="AT25" s="430">
        <v>0.04</v>
      </c>
      <c r="AU25" s="432">
        <v>0</v>
      </c>
      <c r="AV25" s="460">
        <f>AS25/$AS$25</f>
        <v>1</v>
      </c>
      <c r="AW25" s="476">
        <v>1</v>
      </c>
    </row>
    <row r="26" spans="2:49">
      <c r="B26" s="465">
        <v>0.6</v>
      </c>
      <c r="C26" t="s">
        <v>688</v>
      </c>
      <c r="G26" s="116"/>
      <c r="J26" s="367" t="s">
        <v>720</v>
      </c>
      <c r="K26" s="368">
        <f>SUM(K23:K25)</f>
        <v>0.99998001159327587</v>
      </c>
      <c r="L26" s="368">
        <f>SUM(L23:L25)</f>
        <v>0.99994743021360866</v>
      </c>
      <c r="M26" s="369">
        <f>SUM(M23:M25)</f>
        <v>1</v>
      </c>
      <c r="AB26" s="205"/>
      <c r="AC26" s="264"/>
      <c r="AI26" s="695"/>
      <c r="AJ26" s="698"/>
      <c r="AK26" s="634"/>
      <c r="AQ26" s="10" t="s">
        <v>283</v>
      </c>
      <c r="AR26" s="432">
        <v>2</v>
      </c>
      <c r="AS26" s="432">
        <v>8</v>
      </c>
      <c r="AT26" s="430">
        <v>0.55000000000000004</v>
      </c>
      <c r="AU26" s="432">
        <v>1</v>
      </c>
      <c r="AV26" s="460">
        <f t="shared" si="1"/>
        <v>2.6666666666666665</v>
      </c>
      <c r="AW26" s="477">
        <f>'Emissions Factors'!C44/'Emissions Factors'!C45</f>
        <v>12.917528073293617</v>
      </c>
    </row>
    <row r="27" spans="2:49" ht="15.75" thickBot="1">
      <c r="B27" s="466">
        <v>30</v>
      </c>
      <c r="C27" s="158" t="s">
        <v>721</v>
      </c>
      <c r="D27" s="158"/>
      <c r="E27" s="158"/>
      <c r="F27" s="158"/>
      <c r="G27" s="159"/>
      <c r="Z27" s="626" t="s">
        <v>472</v>
      </c>
      <c r="AA27" s="343" t="s">
        <v>722</v>
      </c>
      <c r="AB27" s="264">
        <f>368.561326658323*1000</f>
        <v>368561.326658323</v>
      </c>
      <c r="AC27" s="382">
        <f>AB27*0.969</f>
        <v>357135.92553191498</v>
      </c>
      <c r="AD27" t="s">
        <v>220</v>
      </c>
      <c r="AE27" s="548">
        <v>18.587262344721001</v>
      </c>
      <c r="AF27" s="519" t="s">
        <v>931</v>
      </c>
      <c r="AI27" s="235" t="s">
        <v>696</v>
      </c>
      <c r="AJ27" s="471">
        <v>0.5</v>
      </c>
      <c r="AQ27" s="37" t="s">
        <v>284</v>
      </c>
      <c r="AR27" s="433">
        <v>0.8</v>
      </c>
      <c r="AS27" s="433">
        <v>6.2</v>
      </c>
      <c r="AT27" s="431">
        <v>3.1E-2</v>
      </c>
      <c r="AU27" s="433">
        <v>1</v>
      </c>
      <c r="AV27" s="460">
        <f>AS27/$AS$25</f>
        <v>2.0666666666666669</v>
      </c>
      <c r="AW27" s="478">
        <v>1</v>
      </c>
    </row>
    <row r="28" spans="2:49">
      <c r="T28" t="s">
        <v>911</v>
      </c>
      <c r="V28" t="s">
        <v>930</v>
      </c>
      <c r="Z28" s="627"/>
      <c r="AA28" s="343" t="s">
        <v>469</v>
      </c>
      <c r="AB28" s="264">
        <f>18419</f>
        <v>18419</v>
      </c>
      <c r="AC28" s="382">
        <f>AB28*0.92</f>
        <v>16945.48</v>
      </c>
      <c r="AD28" t="s">
        <v>220</v>
      </c>
      <c r="AE28" s="548">
        <v>0.53263277687259802</v>
      </c>
      <c r="AF28" s="519" t="s">
        <v>931</v>
      </c>
      <c r="AI28" s="235" t="s">
        <v>469</v>
      </c>
      <c r="AJ28" s="471">
        <v>0.5</v>
      </c>
    </row>
    <row r="29" spans="2:49">
      <c r="T29" t="s">
        <v>897</v>
      </c>
      <c r="Z29" s="628"/>
      <c r="AA29" s="343" t="s">
        <v>470</v>
      </c>
      <c r="AB29" s="205">
        <v>5157</v>
      </c>
      <c r="AC29" s="382">
        <f>AB29*0.8</f>
        <v>4125.6000000000004</v>
      </c>
      <c r="AD29" t="s">
        <v>220</v>
      </c>
      <c r="AE29" s="548">
        <v>0.14963175213171201</v>
      </c>
      <c r="AF29" s="519" t="s">
        <v>931</v>
      </c>
      <c r="AI29" s="235" t="s">
        <v>470</v>
      </c>
      <c r="AJ29" s="471">
        <v>0</v>
      </c>
    </row>
    <row r="30" spans="2:49">
      <c r="R30" t="s">
        <v>893</v>
      </c>
      <c r="T30">
        <v>33.5</v>
      </c>
      <c r="AA30" s="343" t="s">
        <v>342</v>
      </c>
      <c r="AB30" s="205"/>
      <c r="AC30" s="264">
        <f>SUM(AC27:AC29)</f>
        <v>378207.00553191494</v>
      </c>
      <c r="AD30" t="s">
        <v>220</v>
      </c>
      <c r="AE30" s="519">
        <f>1.51449508630497+(SUM(AE27:AE29))</f>
        <v>20.78402196003028</v>
      </c>
      <c r="AF30" s="519" t="s">
        <v>931</v>
      </c>
    </row>
    <row r="31" spans="2:49" ht="14.45" customHeight="1">
      <c r="R31" t="s">
        <v>894</v>
      </c>
      <c r="T31">
        <v>9.9</v>
      </c>
      <c r="AB31" s="205"/>
      <c r="AC31" s="264"/>
    </row>
    <row r="32" spans="2:49">
      <c r="R32" t="s">
        <v>895</v>
      </c>
      <c r="T32">
        <v>3.2</v>
      </c>
      <c r="Z32" s="620" t="s">
        <v>490</v>
      </c>
      <c r="AA32" s="690" t="s">
        <v>342</v>
      </c>
      <c r="AB32" s="652"/>
      <c r="AC32" s="652"/>
      <c r="AI32" s="693" t="s">
        <v>723</v>
      </c>
      <c r="AJ32" s="696" t="s">
        <v>315</v>
      </c>
      <c r="AK32" s="692" t="s">
        <v>200</v>
      </c>
    </row>
    <row r="33" spans="18:40">
      <c r="R33" t="s">
        <v>440</v>
      </c>
      <c r="T33">
        <v>0.3</v>
      </c>
      <c r="Z33" s="653"/>
      <c r="AA33" s="343" t="s">
        <v>226</v>
      </c>
      <c r="AB33" s="264">
        <v>6227585.5710199699</v>
      </c>
      <c r="AC33" s="382">
        <f>AB33*AC$2</f>
        <v>6647038.0699615208</v>
      </c>
      <c r="AD33" t="s">
        <v>227</v>
      </c>
      <c r="AE33" s="519">
        <v>1183345.512599678</v>
      </c>
      <c r="AF33" s="550" t="s">
        <v>227</v>
      </c>
      <c r="AI33" s="694"/>
      <c r="AJ33" s="697"/>
      <c r="AK33" s="634"/>
    </row>
    <row r="34" spans="18:40">
      <c r="R34" t="s">
        <v>896</v>
      </c>
      <c r="T34">
        <v>0.4</v>
      </c>
      <c r="Z34" s="653"/>
      <c r="AA34" s="343" t="s">
        <v>230</v>
      </c>
      <c r="AB34" s="264">
        <v>2844830.6881454815</v>
      </c>
      <c r="AC34" s="382">
        <f>AB34*AC$2</f>
        <v>3036441.2774501257</v>
      </c>
      <c r="AD34" t="s">
        <v>227</v>
      </c>
      <c r="AE34" s="519">
        <v>483345.06373619195</v>
      </c>
      <c r="AF34" s="519" t="s">
        <v>227</v>
      </c>
      <c r="AI34" s="695"/>
      <c r="AJ34" s="698"/>
      <c r="AK34" s="634"/>
    </row>
    <row r="35" spans="18:40">
      <c r="R35" t="s">
        <v>813</v>
      </c>
      <c r="T35">
        <v>0.1</v>
      </c>
      <c r="AB35" s="205"/>
      <c r="AC35" s="205"/>
      <c r="AI35" s="235" t="s">
        <v>696</v>
      </c>
      <c r="AJ35" s="471">
        <v>0.40429999999999999</v>
      </c>
    </row>
    <row r="36" spans="18:40">
      <c r="T36">
        <f>SUM(T30:T35)</f>
        <v>47.4</v>
      </c>
      <c r="AA36" s="690" t="s">
        <v>226</v>
      </c>
      <c r="AB36" s="652"/>
      <c r="AC36" s="652"/>
      <c r="AI36" s="235" t="s">
        <v>469</v>
      </c>
      <c r="AJ36" s="471">
        <v>0.19439999999999999</v>
      </c>
    </row>
    <row r="37" spans="18:40">
      <c r="R37">
        <v>2021</v>
      </c>
      <c r="AA37" s="343" t="s">
        <v>228</v>
      </c>
      <c r="AB37" s="205"/>
      <c r="AC37" s="382">
        <f>AC$33*AJ27</f>
        <v>3323519.0349807604</v>
      </c>
      <c r="AD37" t="s">
        <v>227</v>
      </c>
      <c r="AI37" s="235" t="s">
        <v>470</v>
      </c>
      <c r="AJ37" s="471">
        <v>0.40129999999999999</v>
      </c>
    </row>
    <row r="38" spans="18:40">
      <c r="R38" s="276" t="s">
        <v>910</v>
      </c>
      <c r="T38">
        <v>2.5</v>
      </c>
      <c r="AA38" s="343" t="s">
        <v>469</v>
      </c>
      <c r="AB38" s="205"/>
      <c r="AC38" s="382">
        <f>AC$33*AJ28</f>
        <v>3323519.0349807604</v>
      </c>
      <c r="AD38" t="s">
        <v>227</v>
      </c>
    </row>
    <row r="39" spans="18:40" ht="15.75" thickBot="1">
      <c r="T39" s="526">
        <f>T38/T36</f>
        <v>5.2742616033755275E-2</v>
      </c>
      <c r="AA39" s="343" t="s">
        <v>470</v>
      </c>
      <c r="AB39" s="205"/>
      <c r="AC39" s="382">
        <f>AC$33*AJ29</f>
        <v>0</v>
      </c>
      <c r="AD39" t="s">
        <v>227</v>
      </c>
      <c r="AL39" s="185"/>
      <c r="AM39" s="185"/>
      <c r="AN39" s="185"/>
    </row>
    <row r="40" spans="18:40">
      <c r="AB40" s="205"/>
      <c r="AC40" s="205"/>
      <c r="AI40" s="631" t="s">
        <v>724</v>
      </c>
      <c r="AJ40" s="648"/>
      <c r="AK40" s="648"/>
      <c r="AL40" s="649"/>
      <c r="AM40" s="673" t="s">
        <v>200</v>
      </c>
      <c r="AN40" s="185"/>
    </row>
    <row r="41" spans="18:40" ht="15.75" thickBot="1">
      <c r="T41" t="s">
        <v>911</v>
      </c>
      <c r="U41" t="s">
        <v>912</v>
      </c>
      <c r="AA41" s="690" t="s">
        <v>230</v>
      </c>
      <c r="AB41" s="652"/>
      <c r="AC41" s="652"/>
      <c r="AI41" s="419" t="s">
        <v>725</v>
      </c>
      <c r="AJ41" s="158" t="s">
        <v>235</v>
      </c>
      <c r="AK41" s="158" t="s">
        <v>486</v>
      </c>
      <c r="AL41" s="159" t="s">
        <v>223</v>
      </c>
      <c r="AM41" s="674"/>
      <c r="AN41" s="185"/>
    </row>
    <row r="42" spans="18:40">
      <c r="R42" s="525">
        <v>2021</v>
      </c>
      <c r="T42" t="s">
        <v>909</v>
      </c>
      <c r="U42" t="s">
        <v>385</v>
      </c>
      <c r="AA42" s="343" t="s">
        <v>228</v>
      </c>
      <c r="AB42" s="205"/>
      <c r="AC42" s="382">
        <f>AC$34*AJ27</f>
        <v>1518220.6387250628</v>
      </c>
      <c r="AD42" t="s">
        <v>227</v>
      </c>
      <c r="AI42" s="416" t="s">
        <v>494</v>
      </c>
      <c r="AJ42" s="472">
        <v>0.27</v>
      </c>
      <c r="AK42" s="472">
        <v>0.47343295973432997</v>
      </c>
      <c r="AL42" s="473">
        <v>6.24326606680062E-2</v>
      </c>
      <c r="AM42" s="418"/>
      <c r="AN42" s="185"/>
    </row>
    <row r="43" spans="18:40">
      <c r="R43" t="s">
        <v>898</v>
      </c>
      <c r="T43">
        <v>29657.3</v>
      </c>
      <c r="U43">
        <f>(T43*1000000)*$T$39</f>
        <v>1564203586.4978902</v>
      </c>
      <c r="AA43" s="343" t="s">
        <v>469</v>
      </c>
      <c r="AB43" s="205"/>
      <c r="AC43" s="382">
        <f>AC$34*AJ28</f>
        <v>1518220.6387250628</v>
      </c>
      <c r="AD43" t="s">
        <v>227</v>
      </c>
      <c r="AI43" s="416" t="s">
        <v>726</v>
      </c>
      <c r="AJ43" s="472">
        <v>0.17</v>
      </c>
      <c r="AK43" s="472"/>
      <c r="AL43" s="473"/>
      <c r="AM43" s="418"/>
      <c r="AN43" s="185"/>
    </row>
    <row r="44" spans="18:40">
      <c r="R44" t="s">
        <v>899</v>
      </c>
      <c r="T44">
        <v>3572.9</v>
      </c>
      <c r="U44">
        <f t="shared" ref="U44:U53" si="2">(T44*1000000)*$T$39</f>
        <v>188444092.82700422</v>
      </c>
      <c r="AA44" s="343" t="s">
        <v>470</v>
      </c>
      <c r="AB44" s="205"/>
      <c r="AC44" s="382">
        <f>AC$34*AJ29</f>
        <v>0</v>
      </c>
      <c r="AD44" t="s">
        <v>227</v>
      </c>
      <c r="AI44" s="416" t="s">
        <v>727</v>
      </c>
      <c r="AJ44" s="472">
        <v>0.2</v>
      </c>
      <c r="AK44" s="472"/>
      <c r="AL44" s="473"/>
      <c r="AM44" s="418"/>
    </row>
    <row r="45" spans="18:40">
      <c r="R45" t="s">
        <v>900</v>
      </c>
      <c r="T45">
        <v>1334.6</v>
      </c>
      <c r="U45">
        <f t="shared" si="2"/>
        <v>70390295.35864979</v>
      </c>
      <c r="AB45" s="205"/>
      <c r="AC45" s="205"/>
      <c r="AI45" s="416" t="s">
        <v>493</v>
      </c>
      <c r="AJ45" s="472">
        <v>0.15</v>
      </c>
      <c r="AK45" s="472">
        <v>0.375856950576751</v>
      </c>
      <c r="AL45" s="473">
        <v>0.93212195335022296</v>
      </c>
      <c r="AM45" s="418"/>
    </row>
    <row r="46" spans="18:40">
      <c r="R46" t="s">
        <v>901</v>
      </c>
      <c r="T46">
        <v>8528</v>
      </c>
      <c r="U46">
        <f t="shared" si="2"/>
        <v>449789029.53586501</v>
      </c>
      <c r="Z46" s="620" t="s">
        <v>232</v>
      </c>
      <c r="AA46" s="342" t="s">
        <v>342</v>
      </c>
      <c r="AB46" s="463">
        <v>1827</v>
      </c>
      <c r="AC46" s="382">
        <f>AB46*AC$2</f>
        <v>1950.0556701030928</v>
      </c>
      <c r="AD46" t="s">
        <v>217</v>
      </c>
      <c r="AE46">
        <v>3.2694983963956963</v>
      </c>
      <c r="AF46" t="s">
        <v>934</v>
      </c>
      <c r="AI46" s="416" t="s">
        <v>728</v>
      </c>
      <c r="AJ46" s="472">
        <v>0.13</v>
      </c>
      <c r="AK46" s="472"/>
      <c r="AL46" s="473"/>
      <c r="AM46" s="418"/>
      <c r="AN46" s="185"/>
    </row>
    <row r="47" spans="18:40">
      <c r="R47" t="s">
        <v>902</v>
      </c>
      <c r="T47">
        <v>256.60000000000002</v>
      </c>
      <c r="U47">
        <f t="shared" si="2"/>
        <v>13533755.274261605</v>
      </c>
      <c r="Z47" s="653"/>
      <c r="AA47" s="343" t="s">
        <v>342</v>
      </c>
      <c r="AB47" s="264">
        <f>AB46*1.9*1000</f>
        <v>3471299.9999999995</v>
      </c>
      <c r="AC47" s="264">
        <f>AC46*1.9*1000</f>
        <v>3705105.7731958763</v>
      </c>
      <c r="AD47" t="s">
        <v>227</v>
      </c>
      <c r="AI47" s="416" t="s">
        <v>729</v>
      </c>
      <c r="AJ47" s="472">
        <v>0.05</v>
      </c>
      <c r="AK47" s="472">
        <v>0.150710089688919</v>
      </c>
      <c r="AL47" s="473">
        <v>5.4453859817710599E-3</v>
      </c>
      <c r="AM47" s="418"/>
      <c r="AN47" s="185"/>
    </row>
    <row r="48" spans="18:40">
      <c r="R48" t="s">
        <v>903</v>
      </c>
      <c r="T48">
        <v>413.5</v>
      </c>
      <c r="U48">
        <f t="shared" si="2"/>
        <v>21809071.729957808</v>
      </c>
      <c r="Z48" s="653"/>
      <c r="AB48" s="205"/>
      <c r="AC48" s="205"/>
      <c r="AI48" s="416" t="s">
        <v>730</v>
      </c>
      <c r="AJ48" s="472">
        <v>0.03</v>
      </c>
      <c r="AK48" s="472"/>
      <c r="AL48" s="473"/>
      <c r="AM48" s="418"/>
      <c r="AN48" s="185"/>
    </row>
    <row r="49" spans="18:39" ht="15.75" thickBot="1">
      <c r="R49" t="s">
        <v>904</v>
      </c>
      <c r="T49">
        <v>8</v>
      </c>
      <c r="U49">
        <f t="shared" si="2"/>
        <v>421940.92827004218</v>
      </c>
      <c r="AA49" s="343" t="s">
        <v>228</v>
      </c>
      <c r="AB49" s="205"/>
      <c r="AC49" s="382">
        <f>AC$47*AJ35</f>
        <v>1497974.2641030927</v>
      </c>
      <c r="AD49" t="s">
        <v>227</v>
      </c>
      <c r="AI49" s="419" t="s">
        <v>731</v>
      </c>
      <c r="AJ49" s="474">
        <f>AJ42+AJ45+AJ48</f>
        <v>0.45000000000000007</v>
      </c>
      <c r="AK49" s="474">
        <f>AK42+AK45+AK48</f>
        <v>0.84928991031108092</v>
      </c>
      <c r="AL49" s="475">
        <f>AL42+AL45+AL48</f>
        <v>0.9945546140182292</v>
      </c>
      <c r="AM49" s="421"/>
    </row>
    <row r="50" spans="18:39">
      <c r="R50" t="s">
        <v>905</v>
      </c>
      <c r="T50">
        <v>3164.1</v>
      </c>
      <c r="U50">
        <f t="shared" si="2"/>
        <v>166882911.39240506</v>
      </c>
      <c r="AA50" s="343" t="s">
        <v>469</v>
      </c>
      <c r="AB50" s="205"/>
      <c r="AC50" s="382">
        <f>AC$47*AJ36</f>
        <v>720272.56230927829</v>
      </c>
      <c r="AD50" t="s">
        <v>227</v>
      </c>
    </row>
    <row r="51" spans="18:39" ht="15.75" thickBot="1">
      <c r="R51" t="s">
        <v>906</v>
      </c>
      <c r="T51">
        <v>0.7</v>
      </c>
      <c r="U51">
        <f t="shared" si="2"/>
        <v>36919.831223628695</v>
      </c>
      <c r="AA51" s="343" t="s">
        <v>470</v>
      </c>
      <c r="AB51" s="205"/>
      <c r="AC51" s="382">
        <f>AC$47*AJ37</f>
        <v>1486858.9467835051</v>
      </c>
      <c r="AD51" t="s">
        <v>227</v>
      </c>
    </row>
    <row r="52" spans="18:39">
      <c r="R52" t="s">
        <v>907</v>
      </c>
      <c r="T52">
        <v>260</v>
      </c>
      <c r="U52">
        <f t="shared" si="2"/>
        <v>13713080.168776372</v>
      </c>
      <c r="AI52" s="631" t="s">
        <v>732</v>
      </c>
      <c r="AJ52" s="648"/>
      <c r="AK52" s="648"/>
      <c r="AL52" s="649"/>
      <c r="AM52" s="673" t="s">
        <v>200</v>
      </c>
    </row>
    <row r="53" spans="18:39" ht="15.75" thickBot="1">
      <c r="R53" t="s">
        <v>908</v>
      </c>
      <c r="T53">
        <v>4.5</v>
      </c>
      <c r="U53">
        <f t="shared" si="2"/>
        <v>237341.77215189874</v>
      </c>
      <c r="AI53" s="419" t="s">
        <v>725</v>
      </c>
      <c r="AJ53" s="158" t="s">
        <v>235</v>
      </c>
      <c r="AK53" s="158" t="s">
        <v>486</v>
      </c>
      <c r="AL53" s="159" t="s">
        <v>223</v>
      </c>
      <c r="AM53" s="674"/>
    </row>
    <row r="54" spans="18:39">
      <c r="R54" s="276" t="s">
        <v>913</v>
      </c>
      <c r="U54">
        <f>SUM(U43:U53)</f>
        <v>2489462025.3164549</v>
      </c>
      <c r="Z54" s="620" t="s">
        <v>733</v>
      </c>
      <c r="AA54" s="343" t="s">
        <v>734</v>
      </c>
      <c r="AC54" s="381">
        <v>39916</v>
      </c>
      <c r="AD54" t="s">
        <v>552</v>
      </c>
      <c r="AE54" s="548">
        <v>38982.7878099687</v>
      </c>
      <c r="AF54" s="519" t="s">
        <v>552</v>
      </c>
      <c r="AI54" s="248" t="s">
        <v>735</v>
      </c>
      <c r="AJ54" s="417">
        <v>0.11228215941881201</v>
      </c>
      <c r="AK54" s="417"/>
      <c r="AL54" s="418"/>
      <c r="AM54" s="418"/>
    </row>
    <row r="55" spans="18:39" ht="25.5">
      <c r="Z55" s="653"/>
      <c r="AA55" s="343" t="s">
        <v>736</v>
      </c>
      <c r="AC55" s="381">
        <v>98</v>
      </c>
      <c r="AD55" t="s">
        <v>552</v>
      </c>
      <c r="AE55" s="519">
        <v>205</v>
      </c>
      <c r="AF55" s="519" t="s">
        <v>552</v>
      </c>
      <c r="AI55" s="248" t="s">
        <v>737</v>
      </c>
      <c r="AJ55" s="417">
        <v>3.3253345971336536E-2</v>
      </c>
      <c r="AK55" s="417">
        <v>6.7054863987970573E-2</v>
      </c>
      <c r="AL55" s="418"/>
      <c r="AM55" s="418"/>
    </row>
    <row r="56" spans="18:39">
      <c r="Z56" s="653"/>
      <c r="AI56" s="248" t="s">
        <v>738</v>
      </c>
      <c r="AJ56" s="417">
        <v>7.6907848559927532E-3</v>
      </c>
      <c r="AK56" s="417"/>
      <c r="AL56" s="418">
        <v>0.12262653085858072</v>
      </c>
      <c r="AM56" s="418"/>
    </row>
    <row r="57" spans="18:39">
      <c r="AI57" s="248" t="s">
        <v>728</v>
      </c>
      <c r="AJ57" s="417">
        <v>0.23298518834024226</v>
      </c>
      <c r="AK57" s="417"/>
      <c r="AL57" s="418"/>
      <c r="AM57" s="418"/>
    </row>
    <row r="58" spans="18:39">
      <c r="AI58" s="248" t="s">
        <v>739</v>
      </c>
      <c r="AJ58" s="417">
        <v>0.19055719196366977</v>
      </c>
      <c r="AK58" s="417">
        <v>0.84009567011973885</v>
      </c>
      <c r="AL58" s="418">
        <v>0.57150815684162648</v>
      </c>
      <c r="AM58" s="418"/>
    </row>
    <row r="59" spans="18:39" ht="15" customHeight="1" thickBot="1">
      <c r="Z59" s="703" t="s">
        <v>740</v>
      </c>
      <c r="AA59" s="704"/>
      <c r="AB59" s="704"/>
      <c r="AC59" s="704"/>
      <c r="AI59" s="248" t="s">
        <v>741</v>
      </c>
      <c r="AJ59" s="417">
        <v>9.7305825679542615E-2</v>
      </c>
      <c r="AK59" s="417">
        <v>9.2561850025986339E-2</v>
      </c>
      <c r="AL59" s="418">
        <v>0.30586531229979302</v>
      </c>
      <c r="AM59" s="418"/>
    </row>
    <row r="60" spans="18:39">
      <c r="Z60" s="404">
        <f>3400/3</f>
        <v>1133.3333333333333</v>
      </c>
      <c r="AA60" s="272" t="s">
        <v>742</v>
      </c>
      <c r="AB60" s="272"/>
      <c r="AC60" s="273"/>
      <c r="AI60" s="248" t="s">
        <v>726</v>
      </c>
      <c r="AJ60" s="417">
        <v>0.16760871782258405</v>
      </c>
      <c r="AK60" s="417"/>
      <c r="AL60" s="418"/>
      <c r="AM60" s="418"/>
    </row>
    <row r="61" spans="18:39">
      <c r="Z61" s="405">
        <v>400</v>
      </c>
      <c r="AA61" t="s">
        <v>743</v>
      </c>
      <c r="AC61" s="116"/>
      <c r="AI61" s="248" t="s">
        <v>744</v>
      </c>
      <c r="AJ61" s="417">
        <v>7.8087562165177898E-2</v>
      </c>
      <c r="AK61" s="417"/>
      <c r="AL61" s="418"/>
      <c r="AM61" s="418"/>
    </row>
    <row r="62" spans="18:39">
      <c r="Z62" s="405">
        <v>1600</v>
      </c>
      <c r="AA62" t="s">
        <v>745</v>
      </c>
      <c r="AC62" s="116"/>
      <c r="AI62" s="248" t="s">
        <v>746</v>
      </c>
      <c r="AJ62" s="417">
        <v>7.9162892263022436E-2</v>
      </c>
      <c r="AK62" s="417"/>
      <c r="AL62" s="418"/>
      <c r="AM62" s="418"/>
    </row>
    <row r="63" spans="18:39">
      <c r="Z63" s="443">
        <f>Z61/30000</f>
        <v>1.3333333333333334E-2</v>
      </c>
      <c r="AA63" t="s">
        <v>747</v>
      </c>
      <c r="AC63" s="116"/>
      <c r="AI63" s="248" t="s">
        <v>748</v>
      </c>
      <c r="AJ63" s="417">
        <v>1.0663315196199001E-3</v>
      </c>
      <c r="AK63" s="417"/>
      <c r="AL63" s="418"/>
      <c r="AM63" s="418"/>
    </row>
    <row r="64" spans="18:39" ht="15.75" thickBot="1">
      <c r="Z64" s="406">
        <v>4.5</v>
      </c>
      <c r="AA64" s="158" t="s">
        <v>749</v>
      </c>
      <c r="AB64" s="158"/>
      <c r="AC64" s="159"/>
      <c r="AI64" s="248" t="s">
        <v>342</v>
      </c>
      <c r="AJ64" s="417">
        <v>1</v>
      </c>
      <c r="AK64" s="417"/>
      <c r="AL64" s="418"/>
      <c r="AM64" s="418"/>
    </row>
    <row r="65" spans="26:39" ht="15.75" thickBot="1">
      <c r="AI65" s="252" t="s">
        <v>731</v>
      </c>
      <c r="AJ65" s="420">
        <f>AJ56+AJ58+AJ59</f>
        <v>0.29555380249920515</v>
      </c>
      <c r="AK65" s="420">
        <f>AK56+AK58+AK59</f>
        <v>0.93265752014572523</v>
      </c>
      <c r="AL65" s="421">
        <f>AL56+AL58+AL59</f>
        <v>1.0000000000000002</v>
      </c>
      <c r="AM65" s="421"/>
    </row>
    <row r="66" spans="26:39" ht="15.75" thickBot="1">
      <c r="Z66" s="703" t="s">
        <v>750</v>
      </c>
      <c r="AA66" s="704"/>
      <c r="AB66" s="704"/>
      <c r="AC66" s="704"/>
    </row>
    <row r="67" spans="26:39" ht="15.75" thickBot="1">
      <c r="Z67" s="404">
        <v>300</v>
      </c>
      <c r="AA67" s="272" t="s">
        <v>751</v>
      </c>
      <c r="AB67" s="272"/>
      <c r="AC67" s="273"/>
    </row>
    <row r="68" spans="26:39">
      <c r="Z68" s="405">
        <v>3</v>
      </c>
      <c r="AA68" t="s">
        <v>752</v>
      </c>
      <c r="AC68" s="116"/>
      <c r="AI68" s="631" t="s">
        <v>753</v>
      </c>
      <c r="AJ68" s="648"/>
      <c r="AK68" s="648"/>
      <c r="AL68" s="649"/>
      <c r="AM68" s="673" t="s">
        <v>200</v>
      </c>
    </row>
    <row r="69" spans="26:39" ht="15.75" thickBot="1">
      <c r="Z69" s="405">
        <v>0.6</v>
      </c>
      <c r="AA69" t="s">
        <v>754</v>
      </c>
      <c r="AC69" s="116"/>
      <c r="AI69" s="419" t="s">
        <v>725</v>
      </c>
      <c r="AJ69" s="158" t="s">
        <v>235</v>
      </c>
      <c r="AK69" s="158" t="s">
        <v>486</v>
      </c>
      <c r="AL69" s="159" t="s">
        <v>223</v>
      </c>
      <c r="AM69" s="674"/>
    </row>
    <row r="70" spans="26:39">
      <c r="Z70" s="405">
        <f>9/28</f>
        <v>0.32142857142857145</v>
      </c>
      <c r="AA70" s="295" t="s">
        <v>755</v>
      </c>
      <c r="AC70" s="116"/>
      <c r="AI70" s="248" t="s">
        <v>735</v>
      </c>
      <c r="AJ70" s="417">
        <v>1.4219041659911801E-2</v>
      </c>
      <c r="AK70" s="417"/>
      <c r="AL70" s="418"/>
      <c r="AM70" s="418"/>
    </row>
    <row r="71" spans="26:39">
      <c r="Z71" s="405">
        <v>0.5</v>
      </c>
      <c r="AA71" t="s">
        <v>756</v>
      </c>
      <c r="AC71" s="116"/>
      <c r="AI71" s="248" t="s">
        <v>728</v>
      </c>
      <c r="AJ71" s="417">
        <v>3.2107603785628602E-2</v>
      </c>
      <c r="AK71" s="417"/>
      <c r="AL71" s="418"/>
      <c r="AM71" s="418"/>
    </row>
    <row r="72" spans="26:39" ht="15.75" thickBot="1">
      <c r="Z72" s="406">
        <v>0.8</v>
      </c>
      <c r="AA72" s="158" t="s">
        <v>757</v>
      </c>
      <c r="AB72" s="158"/>
      <c r="AC72" s="159"/>
      <c r="AI72" s="248" t="s">
        <v>739</v>
      </c>
      <c r="AJ72" s="417">
        <v>1.5263524441352301E-2</v>
      </c>
      <c r="AK72" s="417">
        <v>1.1250141317535E-2</v>
      </c>
      <c r="AL72" s="418">
        <v>0</v>
      </c>
      <c r="AM72" s="418"/>
    </row>
    <row r="73" spans="26:39" ht="15.75" thickBot="1">
      <c r="AI73" s="248" t="s">
        <v>758</v>
      </c>
      <c r="AJ73" s="417">
        <v>2.5877822475742801E-2</v>
      </c>
      <c r="AK73" s="417">
        <v>3.41562372919679E-2</v>
      </c>
      <c r="AL73" s="418">
        <v>1.3203894034973801E-2</v>
      </c>
      <c r="AM73" s="418"/>
    </row>
    <row r="74" spans="26:39" ht="15.75" thickBot="1">
      <c r="Z74" s="699" t="s">
        <v>759</v>
      </c>
      <c r="AA74" s="700"/>
      <c r="AB74" s="700"/>
      <c r="AC74" s="701"/>
      <c r="AI74" s="248" t="s">
        <v>760</v>
      </c>
      <c r="AJ74" s="417">
        <v>0.16934171674033099</v>
      </c>
      <c r="AK74" s="417">
        <v>0.12410126266162901</v>
      </c>
      <c r="AL74" s="418">
        <v>0.150121387747954</v>
      </c>
      <c r="AM74" s="418"/>
    </row>
    <row r="75" spans="26:39">
      <c r="Z75" s="444">
        <v>250</v>
      </c>
      <c r="AA75" s="371" t="s">
        <v>761</v>
      </c>
      <c r="AC75" s="116"/>
      <c r="AI75" s="248" t="s">
        <v>746</v>
      </c>
      <c r="AJ75" s="417">
        <v>0.48033882839354503</v>
      </c>
      <c r="AK75" s="417"/>
      <c r="AL75" s="418"/>
      <c r="AM75" s="418"/>
    </row>
    <row r="76" spans="26:39">
      <c r="Z76" s="405">
        <v>3</v>
      </c>
      <c r="AA76" t="s">
        <v>762</v>
      </c>
      <c r="AC76" s="116"/>
      <c r="AI76" s="248" t="s">
        <v>738</v>
      </c>
      <c r="AJ76" s="417">
        <v>3.8197327062468298E-2</v>
      </c>
      <c r="AK76" s="417">
        <v>0.721401127503008</v>
      </c>
      <c r="AL76" s="418">
        <v>0.72193013944356699</v>
      </c>
      <c r="AM76" s="418"/>
    </row>
    <row r="77" spans="26:39">
      <c r="Z77" s="405">
        <v>2500000</v>
      </c>
      <c r="AA77" t="s">
        <v>763</v>
      </c>
      <c r="AC77" s="116"/>
      <c r="AI77" s="248" t="s">
        <v>726</v>
      </c>
      <c r="AJ77" s="417">
        <v>0.12918917953654099</v>
      </c>
      <c r="AK77" s="417"/>
      <c r="AL77" s="418"/>
      <c r="AM77" s="418"/>
    </row>
    <row r="78" spans="26:39" ht="15.75" thickBot="1">
      <c r="Z78" s="406">
        <v>1</v>
      </c>
      <c r="AA78" s="158" t="s">
        <v>764</v>
      </c>
      <c r="AB78" s="158"/>
      <c r="AC78" s="159"/>
      <c r="AI78" s="248" t="s">
        <v>748</v>
      </c>
      <c r="AJ78" s="417">
        <v>9.5464955904478996E-2</v>
      </c>
      <c r="AK78" s="417"/>
      <c r="AL78" s="418"/>
      <c r="AM78" s="418"/>
    </row>
    <row r="79" spans="26:39">
      <c r="AI79" s="248" t="s">
        <v>741</v>
      </c>
      <c r="AJ79" s="417"/>
      <c r="AK79" s="417">
        <v>0.10909123122585999</v>
      </c>
      <c r="AL79" s="418">
        <v>0.114744578773505</v>
      </c>
      <c r="AM79" s="418"/>
    </row>
    <row r="80" spans="26:39">
      <c r="AI80" s="248" t="s">
        <v>342</v>
      </c>
      <c r="AJ80" s="381">
        <v>1</v>
      </c>
      <c r="AK80" s="381"/>
      <c r="AL80" s="422"/>
      <c r="AM80" s="422"/>
    </row>
    <row r="81" spans="35:39">
      <c r="AI81" s="248" t="s">
        <v>731</v>
      </c>
      <c r="AJ81" s="417">
        <f>AJ72+AJ73+AJ74+AJ76+AJ79</f>
        <v>0.2486803907198944</v>
      </c>
      <c r="AK81" s="417">
        <f>AK72+AK73+AK74+AK76+AK79</f>
        <v>0.99999999999999989</v>
      </c>
      <c r="AL81" s="418">
        <f>AL72+AL73+AL74+AL76+AL79</f>
        <v>0.99999999999999978</v>
      </c>
      <c r="AM81" s="418"/>
    </row>
    <row r="82" spans="35:39">
      <c r="AI82" s="416" t="s">
        <v>765</v>
      </c>
      <c r="AJ82" s="417">
        <f>1-AJ83</f>
        <v>0.2862443053279129</v>
      </c>
      <c r="AK82" s="417">
        <f>1-AK83</f>
        <v>0.12034137254339505</v>
      </c>
      <c r="AL82" s="418">
        <f>1-AL83</f>
        <v>0.11474457877350519</v>
      </c>
      <c r="AM82" s="418"/>
    </row>
    <row r="83" spans="35:39" ht="15.75" thickBot="1">
      <c r="AI83" s="252" t="s">
        <v>766</v>
      </c>
      <c r="AJ83" s="420">
        <f>SUM(AJ73:AJ76)</f>
        <v>0.7137556946720871</v>
      </c>
      <c r="AK83" s="420">
        <f>SUM(AK73:AK76)</f>
        <v>0.87965862745660495</v>
      </c>
      <c r="AL83" s="421">
        <f>SUM(AL73:AL76)</f>
        <v>0.88525542122649481</v>
      </c>
      <c r="AM83" s="421"/>
    </row>
  </sheetData>
  <protectedRanges>
    <protectedRange sqref="AS12:AT12 AS15:AT16 AR24:AW27" name="Range3"/>
    <protectedRange sqref="C11:C12 B19:B27 K11:L16 L18 S11:T25 K23:M25" name="Range1"/>
    <protectedRange sqref="AB11:AC13 AB15:AC19 AB21:AC24 AB27:AC29 AB33:AC34 AB37:AC39 AB42:AC44 AB46:AC46 AB49:AC51 Z59:AC59 Z60:Z64 Z67:Z72 Z75:Z78 AJ11:AJ13 AJ19:AJ21 AJ27:AJ29 AJ35:AJ37 AJ42:AM49 AJ54:AM65 AC54:AC55" name="Range2"/>
    <protectedRange sqref="D11:D12" name="Range1_1"/>
  </protectedRanges>
  <mergeCells count="67">
    <mergeCell ref="AM52:AM53"/>
    <mergeCell ref="AM68:AM69"/>
    <mergeCell ref="AV8:AV10"/>
    <mergeCell ref="Z74:AC74"/>
    <mergeCell ref="AQ22:AW22"/>
    <mergeCell ref="Z54:Z56"/>
    <mergeCell ref="Z59:AC59"/>
    <mergeCell ref="AI52:AL52"/>
    <mergeCell ref="AI68:AL68"/>
    <mergeCell ref="Z27:Z29"/>
    <mergeCell ref="Z32:Z34"/>
    <mergeCell ref="AI24:AI26"/>
    <mergeCell ref="AJ24:AJ26"/>
    <mergeCell ref="Z66:AC66"/>
    <mergeCell ref="Z46:Z48"/>
    <mergeCell ref="AI32:AI34"/>
    <mergeCell ref="AJ32:AJ34"/>
    <mergeCell ref="AA36:AC36"/>
    <mergeCell ref="AA41:AC41"/>
    <mergeCell ref="Z21:Z23"/>
    <mergeCell ref="AI16:AI18"/>
    <mergeCell ref="AJ16:AJ18"/>
    <mergeCell ref="AA32:AC32"/>
    <mergeCell ref="AI40:AL40"/>
    <mergeCell ref="AK24:AK26"/>
    <mergeCell ref="AK32:AK34"/>
    <mergeCell ref="AU8:AU10"/>
    <mergeCell ref="AB8:AC8"/>
    <mergeCell ref="AQ11:AQ13"/>
    <mergeCell ref="AQ15:AQ17"/>
    <mergeCell ref="AS8:AT8"/>
    <mergeCell ref="AJ8:AJ10"/>
    <mergeCell ref="AK8:AK10"/>
    <mergeCell ref="AK16:AK18"/>
    <mergeCell ref="AD8:AD10"/>
    <mergeCell ref="AI8:AI10"/>
    <mergeCell ref="AG8:AG10"/>
    <mergeCell ref="AM40:AM41"/>
    <mergeCell ref="J5:M6"/>
    <mergeCell ref="K8:K10"/>
    <mergeCell ref="B5:E6"/>
    <mergeCell ref="AA5:AI6"/>
    <mergeCell ref="E8:E10"/>
    <mergeCell ref="F8:F10"/>
    <mergeCell ref="J21:M21"/>
    <mergeCell ref="D8:D10"/>
    <mergeCell ref="B8:B10"/>
    <mergeCell ref="C8:C10"/>
    <mergeCell ref="J8:J10"/>
    <mergeCell ref="L8:L10"/>
    <mergeCell ref="M8:M10"/>
    <mergeCell ref="Z11:Z13"/>
    <mergeCell ref="Z8:Z10"/>
    <mergeCell ref="B24:G24"/>
    <mergeCell ref="B18:G18"/>
    <mergeCell ref="AR5:AT6"/>
    <mergeCell ref="AQ8:AQ10"/>
    <mergeCell ref="AR8:AR10"/>
    <mergeCell ref="R5:U6"/>
    <mergeCell ref="R8:R10"/>
    <mergeCell ref="T8:T10"/>
    <mergeCell ref="U8:U10"/>
    <mergeCell ref="S8:S10"/>
    <mergeCell ref="V8:V10"/>
    <mergeCell ref="AA8:AA10"/>
    <mergeCell ref="O8:O10"/>
    <mergeCell ref="AF8:AF10"/>
  </mergeCell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C7F10-FC1B-47B2-B3A1-7CC1E250718B}">
  <sheetPr codeName="Sheet11">
    <tabColor theme="8" tint="0.39997558519241921"/>
  </sheetPr>
  <dimension ref="B1:AL46"/>
  <sheetViews>
    <sheetView workbookViewId="0">
      <selection activeCell="O34" sqref="O34"/>
    </sheetView>
  </sheetViews>
  <sheetFormatPr defaultRowHeight="15"/>
  <cols>
    <col min="2" max="2" width="16.28515625" customWidth="1"/>
    <col min="3" max="3" width="22.28515625" bestFit="1" customWidth="1"/>
    <col min="4" max="10" width="9.42578125" customWidth="1"/>
    <col min="12" max="12" width="41.28515625" bestFit="1" customWidth="1"/>
    <col min="13" max="13" width="12.7109375" customWidth="1"/>
    <col min="14" max="14" width="18.7109375" bestFit="1" customWidth="1"/>
    <col min="15" max="15" width="19.28515625" customWidth="1"/>
    <col min="20" max="20" width="15.140625" customWidth="1"/>
    <col min="22" max="22" width="10" bestFit="1" customWidth="1"/>
    <col min="30" max="30" width="18.42578125" bestFit="1" customWidth="1"/>
    <col min="31" max="31" width="9.5703125" bestFit="1" customWidth="1"/>
    <col min="32" max="32" width="10" bestFit="1" customWidth="1"/>
    <col min="38" max="38" width="8.85546875" customWidth="1"/>
  </cols>
  <sheetData>
    <row r="1" spans="2:38">
      <c r="B1" s="620" t="s">
        <v>275</v>
      </c>
      <c r="C1" s="620" t="s">
        <v>459</v>
      </c>
      <c r="D1" s="242"/>
      <c r="E1" s="242"/>
      <c r="F1" s="242"/>
      <c r="G1" s="242"/>
      <c r="H1" s="242"/>
      <c r="I1" s="242"/>
      <c r="J1" s="242"/>
      <c r="K1" s="603" t="s">
        <v>202</v>
      </c>
      <c r="N1" s="671" t="s">
        <v>767</v>
      </c>
      <c r="O1" s="708" t="s">
        <v>275</v>
      </c>
      <c r="P1" s="707" t="s">
        <v>768</v>
      </c>
      <c r="Q1" s="707" t="s">
        <v>202</v>
      </c>
      <c r="T1" s="706" t="s">
        <v>769</v>
      </c>
      <c r="U1" s="706"/>
      <c r="V1" s="706"/>
      <c r="W1" s="706"/>
      <c r="X1" s="706"/>
      <c r="Y1" s="706"/>
      <c r="Z1" s="706"/>
      <c r="AA1" s="706"/>
      <c r="AB1" s="706"/>
      <c r="AD1" s="706" t="s">
        <v>770</v>
      </c>
      <c r="AE1" s="706"/>
      <c r="AF1" s="706"/>
      <c r="AG1" s="706"/>
      <c r="AH1" s="706"/>
      <c r="AI1" s="706"/>
      <c r="AJ1" s="706"/>
      <c r="AK1" s="706"/>
      <c r="AL1" s="706"/>
    </row>
    <row r="2" spans="2:38" ht="12" customHeight="1">
      <c r="B2" s="621"/>
      <c r="C2" s="621"/>
      <c r="D2" s="243">
        <f>'Baseline Statistics'!D4</f>
        <v>2022</v>
      </c>
      <c r="E2" s="243">
        <f>'Baseline Statistics'!E4</f>
        <v>2025</v>
      </c>
      <c r="F2" s="243">
        <f>'Baseline Statistics'!F4</f>
        <v>2030</v>
      </c>
      <c r="G2" s="243">
        <f>'Baseline Statistics'!G4</f>
        <v>2035</v>
      </c>
      <c r="H2" s="243">
        <f>'Baseline Statistics'!H4</f>
        <v>2040</v>
      </c>
      <c r="I2" s="243">
        <f>'Baseline Statistics'!I4</f>
        <v>2045</v>
      </c>
      <c r="J2" s="243">
        <f>'Baseline Statistics'!J4</f>
        <v>2051</v>
      </c>
      <c r="K2" s="604"/>
      <c r="N2" s="653"/>
      <c r="O2" s="708"/>
      <c r="P2" s="707"/>
      <c r="Q2" s="707"/>
      <c r="T2" s="241" t="s">
        <v>459</v>
      </c>
      <c r="U2" s="241" t="s">
        <v>202</v>
      </c>
      <c r="V2" s="241">
        <f>'Baseline Statistics'!D4</f>
        <v>2022</v>
      </c>
      <c r="W2" s="77">
        <f>'Baseline Statistics'!E4</f>
        <v>2025</v>
      </c>
      <c r="X2" s="77">
        <f>'Baseline Statistics'!F4</f>
        <v>2030</v>
      </c>
      <c r="Y2" s="77">
        <f>'Baseline Statistics'!G4</f>
        <v>2035</v>
      </c>
      <c r="Z2" s="77">
        <f>'Baseline Statistics'!H4</f>
        <v>2040</v>
      </c>
      <c r="AA2" s="77">
        <f>'Baseline Statistics'!I4</f>
        <v>2045</v>
      </c>
      <c r="AB2" s="77">
        <f>'Baseline Statistics'!J4</f>
        <v>2051</v>
      </c>
      <c r="AD2" s="241" t="s">
        <v>459</v>
      </c>
      <c r="AE2" s="241" t="s">
        <v>202</v>
      </c>
      <c r="AF2" s="241">
        <f>'Baseline Statistics'!D4</f>
        <v>2022</v>
      </c>
      <c r="AG2" s="77">
        <f>'Baseline Statistics'!E4</f>
        <v>2025</v>
      </c>
      <c r="AH2" s="77">
        <f>'Baseline Statistics'!F4</f>
        <v>2030</v>
      </c>
      <c r="AI2" s="77">
        <f>'Baseline Statistics'!G4</f>
        <v>2035</v>
      </c>
      <c r="AJ2" s="77">
        <f>'Baseline Statistics'!H4</f>
        <v>2040</v>
      </c>
      <c r="AK2" s="77">
        <f>'Baseline Statistics'!I4</f>
        <v>2045</v>
      </c>
      <c r="AL2" s="77">
        <f>'Baseline Statistics'!J4</f>
        <v>2051</v>
      </c>
    </row>
    <row r="3" spans="2:38">
      <c r="B3" s="621"/>
      <c r="C3" s="621"/>
      <c r="D3" s="380"/>
      <c r="E3" s="380"/>
      <c r="F3" s="380"/>
      <c r="G3" s="380"/>
      <c r="H3" s="380"/>
      <c r="I3" s="380"/>
      <c r="J3" s="380"/>
      <c r="K3" s="705"/>
      <c r="L3" s="205" t="s">
        <v>771</v>
      </c>
      <c r="N3" s="653"/>
      <c r="O3" s="244" t="s">
        <v>255</v>
      </c>
      <c r="T3" s="240" t="s">
        <v>255</v>
      </c>
      <c r="AD3" s="240" t="s">
        <v>772</v>
      </c>
    </row>
    <row r="4" spans="2:38">
      <c r="B4" s="620" t="s">
        <v>773</v>
      </c>
      <c r="C4" s="239" t="s">
        <v>774</v>
      </c>
      <c r="D4" s="381">
        <v>7400</v>
      </c>
      <c r="E4" s="231">
        <f>$D4-('Landuse b. Housing Growth'!E43-'Landuse b. Housing Growth'!E$41)</f>
        <v>7338.1239999999998</v>
      </c>
      <c r="F4" s="231">
        <f>$D4-('Landuse b. Housing Growth'!F43-'Landuse b. Housing Growth'!F$41)</f>
        <v>7237.53</v>
      </c>
      <c r="G4" s="231">
        <f>$D4-('Landuse b. Housing Growth'!G43-'Landuse b. Housing Growth'!G$41)</f>
        <v>7143.7830000000004</v>
      </c>
      <c r="H4" s="231">
        <f>$D4-('Landuse b. Housing Growth'!H43-'Landuse b. Housing Growth'!H$41)</f>
        <v>7050.0360000000001</v>
      </c>
      <c r="I4" s="231">
        <f>$D4-('Landuse b. Housing Growth'!I43-'Landuse b. Housing Growth'!I$41)</f>
        <v>6956.4</v>
      </c>
      <c r="J4" s="231">
        <f>$D4-('Landuse b. Housing Growth'!J43-'Landuse b. Housing Growth'!J$41)</f>
        <v>6696.9749999999995</v>
      </c>
      <c r="K4" t="s">
        <v>264</v>
      </c>
      <c r="L4" s="205" t="s">
        <v>775</v>
      </c>
      <c r="O4" s="239" t="s">
        <v>774</v>
      </c>
      <c r="P4" s="387">
        <v>83.2</v>
      </c>
      <c r="Q4" t="s">
        <v>776</v>
      </c>
      <c r="T4" s="239" t="s">
        <v>774</v>
      </c>
      <c r="U4" t="s">
        <v>777</v>
      </c>
      <c r="V4" s="231">
        <f>D15*$P4</f>
        <v>587607.53498342959</v>
      </c>
      <c r="W4" s="231">
        <f t="shared" ref="W4:AB10" si="0">E14*$P4</f>
        <v>1498614.4458151676</v>
      </c>
      <c r="X4" s="231">
        <f t="shared" si="0"/>
        <v>1478070.8270970413</v>
      </c>
      <c r="Y4" s="231">
        <f t="shared" si="0"/>
        <v>1458925.5239580055</v>
      </c>
      <c r="Z4" s="231">
        <f t="shared" si="0"/>
        <v>1439780.2208189697</v>
      </c>
      <c r="AA4" s="231">
        <f t="shared" si="0"/>
        <v>1420657.5864442505</v>
      </c>
      <c r="AB4" s="231">
        <f t="shared" si="0"/>
        <v>1367677.0082194072</v>
      </c>
      <c r="AD4" s="239" t="s">
        <v>774</v>
      </c>
      <c r="AE4" t="s">
        <v>778</v>
      </c>
      <c r="AF4" s="231">
        <f t="shared" ref="AF4:AL4" si="1">(D14*$P22*$P$31*$P$39+D14*$P22*$P$32*$P$40)*$P$42*44/28</f>
        <v>32817.308409423254</v>
      </c>
      <c r="AG4" s="231">
        <f t="shared" si="1"/>
        <v>32542.902493863592</v>
      </c>
      <c r="AH4" s="231">
        <f t="shared" si="1"/>
        <v>32096.791098980142</v>
      </c>
      <c r="AI4" s="231">
        <f t="shared" si="1"/>
        <v>31681.044583918228</v>
      </c>
      <c r="AJ4" s="231">
        <f t="shared" si="1"/>
        <v>31265.298068856308</v>
      </c>
      <c r="AK4" s="231">
        <f t="shared" si="1"/>
        <v>30850.043813420525</v>
      </c>
      <c r="AL4" s="231">
        <f t="shared" si="1"/>
        <v>29699.553241242866</v>
      </c>
    </row>
    <row r="5" spans="2:38">
      <c r="B5" s="621"/>
      <c r="C5" s="239" t="s">
        <v>779</v>
      </c>
      <c r="D5" s="381">
        <v>3300</v>
      </c>
      <c r="E5" s="231">
        <f>MAX($D5-'Landuse b. Housing Growth'!E$41*$D5/($D$5+$D$6+$D$8)-'1. Landuse'!D$42*$D5/($D$5+$D$6+$D$8),0)</f>
        <v>3169.0484374999996</v>
      </c>
      <c r="F5" s="231">
        <f>MAX($D5-'Landuse b. Housing Growth'!F$41*$D5/($D$5+$D$6+$D$8)-'1. Landuse'!E$42*$D5/($D$5+$D$6+$D$8),0)</f>
        <v>3025.2406249999995</v>
      </c>
      <c r="G5" s="231">
        <f>MAX($D5-'Landuse b. Housing Growth'!G$41*$D5/($D$5+$D$6+$D$8)-'1. Landuse'!F$42*$D5/($D$5+$D$6+$D$8),0)</f>
        <v>2772.9796875000002</v>
      </c>
      <c r="H5" s="231">
        <f>MAX($D5-'Landuse b. Housing Growth'!H$41*$D5/($D$5+$D$6+$D$8)-'1. Landuse'!G$42*$D5/($D$5+$D$6+$D$8),0)</f>
        <v>2520.71875</v>
      </c>
      <c r="I5" s="231">
        <f>MAX($D5-'Landuse b. Housing Growth'!I$41*$D5/($D$5+$D$6+$D$8)-'1. Landuse'!H$42*$D5/($D$5+$D$6+$D$8),0)</f>
        <v>2268.6468750000004</v>
      </c>
      <c r="J5" s="231">
        <f>MAX($D5-'Landuse b. Housing Growth'!J$41*$D5/($D$5+$D$6+$D$8)-'1. Landuse'!I$42*$D5/($D$5+$D$6+$D$8),0)</f>
        <v>1961.9359374999999</v>
      </c>
      <c r="K5" t="s">
        <v>264</v>
      </c>
      <c r="L5" s="205" t="s">
        <v>780</v>
      </c>
      <c r="O5" s="239" t="s">
        <v>779</v>
      </c>
      <c r="P5" s="387">
        <v>58.7</v>
      </c>
      <c r="Q5" t="s">
        <v>776</v>
      </c>
      <c r="T5" s="239" t="s">
        <v>779</v>
      </c>
      <c r="U5" t="s">
        <v>777</v>
      </c>
      <c r="V5" s="231">
        <f>D14*$P5</f>
        <v>1066231.14215737</v>
      </c>
      <c r="W5" s="231">
        <f t="shared" si="0"/>
        <v>398122.81713783741</v>
      </c>
      <c r="X5" s="231">
        <f t="shared" si="0"/>
        <v>380056.45666147437</v>
      </c>
      <c r="Y5" s="231">
        <f t="shared" si="0"/>
        <v>348365.29224034626</v>
      </c>
      <c r="Z5" s="231">
        <f t="shared" si="0"/>
        <v>316674.12781921803</v>
      </c>
      <c r="AA5" s="231">
        <f t="shared" si="0"/>
        <v>285006.71503729629</v>
      </c>
      <c r="AB5" s="231">
        <f t="shared" si="0"/>
        <v>246475.07852472333</v>
      </c>
      <c r="AD5" s="239" t="s">
        <v>779</v>
      </c>
      <c r="AE5" t="s">
        <v>778</v>
      </c>
      <c r="AF5" s="231">
        <f>(D15*$P23*$P$35*$P$39+D15*$P23*$P$36*$P$40)*$P$42*44/28</f>
        <v>8401.455947470844</v>
      </c>
      <c r="AG5" s="231">
        <f t="shared" ref="AF5:AL10" si="2">(E15*$P23*$P$35*$P$39+E15*$P23*$P$36*$P$40)*$P$42*44/28</f>
        <v>8068.0669221386515</v>
      </c>
      <c r="AH5" s="231">
        <f t="shared" si="2"/>
        <v>7701.947224677775</v>
      </c>
      <c r="AI5" s="231">
        <f t="shared" si="2"/>
        <v>7059.7171781099123</v>
      </c>
      <c r="AJ5" s="231">
        <f t="shared" si="2"/>
        <v>6417.4871315420505</v>
      </c>
      <c r="AK5" s="231">
        <f t="shared" si="2"/>
        <v>5775.7384183878467</v>
      </c>
      <c r="AL5" s="231">
        <f t="shared" si="2"/>
        <v>4994.8843486867163</v>
      </c>
    </row>
    <row r="6" spans="2:38">
      <c r="B6" s="621"/>
      <c r="C6" s="239" t="s">
        <v>781</v>
      </c>
      <c r="D6" s="381">
        <v>6000</v>
      </c>
      <c r="E6" s="231">
        <f>MAX($D6-'Landuse b. Housing Growth'!E$41*$D6/($D$5+$D$6+$D$8)-'1. Landuse'!D$42*$D6/($D$5+$D$6+$D$8),0)</f>
        <v>5761.90625</v>
      </c>
      <c r="F6" s="231">
        <f>MAX($D6-'Landuse b. Housing Growth'!F$41*$D6/($D$5+$D$6+$D$8)-'1. Landuse'!E$42*$D6/($D$5+$D$6+$D$8),0)</f>
        <v>5500.4375</v>
      </c>
      <c r="G6" s="231">
        <f>MAX($D6-'Landuse b. Housing Growth'!G$41*$D6/($D$5+$D$6+$D$8)-'1. Landuse'!F$42*$D6/($D$5+$D$6+$D$8),0)</f>
        <v>5041.78125</v>
      </c>
      <c r="H6" s="231">
        <f>MAX($D6-'Landuse b. Housing Growth'!H$41*$D6/($D$5+$D$6+$D$8)-'1. Landuse'!G$42*$D6/($D$5+$D$6+$D$8),0)</f>
        <v>4583.125</v>
      </c>
      <c r="I6" s="231">
        <f>MAX($D6-'Landuse b. Housing Growth'!I$41*$D6/($D$5+$D$6+$D$8)-'1. Landuse'!H$42*$D6/($D$5+$D$6+$D$8),0)</f>
        <v>4124.8125</v>
      </c>
      <c r="J6" s="231">
        <f>MAX($D6-'Landuse b. Housing Growth'!J$41*$D6/($D$5+$D$6+$D$8)-'1. Landuse'!I$42*$D6/($D$5+$D$6+$D$8),0)</f>
        <v>3567.15625</v>
      </c>
      <c r="K6" t="s">
        <v>264</v>
      </c>
      <c r="L6" s="205" t="s">
        <v>780</v>
      </c>
      <c r="O6" s="239" t="s">
        <v>781</v>
      </c>
      <c r="P6" s="387">
        <v>12</v>
      </c>
      <c r="Q6" t="s">
        <v>776</v>
      </c>
      <c r="T6" s="239" t="s">
        <v>781</v>
      </c>
      <c r="U6" t="s">
        <v>777</v>
      </c>
      <c r="V6" s="231">
        <f>D16*$P6</f>
        <v>602919.07883135334</v>
      </c>
      <c r="W6" s="231">
        <f t="shared" si="0"/>
        <v>578993.86809376953</v>
      </c>
      <c r="X6" s="231">
        <f t="shared" si="0"/>
        <v>552719.78511157213</v>
      </c>
      <c r="Y6" s="231">
        <f t="shared" si="0"/>
        <v>506631.01781986485</v>
      </c>
      <c r="Z6" s="231">
        <f t="shared" si="0"/>
        <v>460542.25052815769</v>
      </c>
      <c r="AA6" s="231">
        <f t="shared" si="0"/>
        <v>414488.02547534188</v>
      </c>
      <c r="AB6" s="231">
        <f t="shared" si="0"/>
        <v>358451.09338291746</v>
      </c>
      <c r="AD6" s="239" t="s">
        <v>781</v>
      </c>
      <c r="AE6" t="s">
        <v>778</v>
      </c>
      <c r="AF6" s="231">
        <f t="shared" si="2"/>
        <v>13264.219734289774</v>
      </c>
      <c r="AG6" s="231">
        <f t="shared" si="2"/>
        <v>12737.86509806293</v>
      </c>
      <c r="AH6" s="231">
        <f t="shared" si="2"/>
        <v>12159.835272454588</v>
      </c>
      <c r="AI6" s="231">
        <f t="shared" si="2"/>
        <v>11145.882392037029</v>
      </c>
      <c r="AJ6" s="231">
        <f t="shared" si="2"/>
        <v>10131.92951161947</v>
      </c>
      <c r="AK6" s="231">
        <f t="shared" si="2"/>
        <v>9118.7365604575207</v>
      </c>
      <c r="AL6" s="231">
        <f t="shared" si="2"/>
        <v>7885.9240544241848</v>
      </c>
    </row>
    <row r="7" spans="2:38">
      <c r="C7" s="239" t="s">
        <v>782</v>
      </c>
      <c r="D7" s="381">
        <v>400</v>
      </c>
      <c r="E7" s="231">
        <f>$D7+'Landuse b. Housing Growth'!E$41/5</f>
        <v>411.77</v>
      </c>
      <c r="F7" s="231">
        <f>$D7+'Landuse b. Housing Growth'!F$41/5</f>
        <v>431.02</v>
      </c>
      <c r="G7" s="231">
        <f>$D7+'Landuse b. Housing Growth'!G$41/5</f>
        <v>448.95</v>
      </c>
      <c r="H7" s="231">
        <f>$D7+'Landuse b. Housing Growth'!H$41/5</f>
        <v>466.88</v>
      </c>
      <c r="I7" s="231">
        <f>$D7+'Landuse b. Housing Growth'!I$41/5</f>
        <v>484.70000000000005</v>
      </c>
      <c r="J7" s="231">
        <f>$D7+'Landuse b. Housing Growth'!J$41/5</f>
        <v>534.30999999999995</v>
      </c>
      <c r="K7" t="s">
        <v>264</v>
      </c>
      <c r="L7" s="205" t="s">
        <v>783</v>
      </c>
      <c r="O7" s="239" t="s">
        <v>782</v>
      </c>
      <c r="P7" s="387">
        <v>18</v>
      </c>
      <c r="Q7" t="s">
        <v>776</v>
      </c>
      <c r="T7" s="239" t="s">
        <v>782</v>
      </c>
      <c r="U7" t="s">
        <v>777</v>
      </c>
      <c r="V7" s="231">
        <f>D17*$P7</f>
        <v>6066</v>
      </c>
      <c r="W7" s="231">
        <f t="shared" si="0"/>
        <v>6244.4920499999998</v>
      </c>
      <c r="X7" s="231">
        <f t="shared" si="0"/>
        <v>6536.4182999999994</v>
      </c>
      <c r="Y7" s="231">
        <f t="shared" si="0"/>
        <v>6808.3267499999993</v>
      </c>
      <c r="Z7" s="231">
        <f t="shared" si="0"/>
        <v>7080.2352000000001</v>
      </c>
      <c r="AA7" s="231">
        <f t="shared" si="0"/>
        <v>7350.4755000000014</v>
      </c>
      <c r="AB7" s="231">
        <f t="shared" si="0"/>
        <v>8102.8111499999986</v>
      </c>
      <c r="AD7" s="239" t="s">
        <v>782</v>
      </c>
      <c r="AE7" t="s">
        <v>778</v>
      </c>
      <c r="AF7" s="231">
        <f t="shared" si="2"/>
        <v>3.177428571428571</v>
      </c>
      <c r="AG7" s="231">
        <f t="shared" si="2"/>
        <v>3.2709244071428567</v>
      </c>
      <c r="AH7" s="231">
        <f t="shared" si="2"/>
        <v>3.4238381571428573</v>
      </c>
      <c r="AI7" s="231">
        <f t="shared" si="2"/>
        <v>3.5662663928571425</v>
      </c>
      <c r="AJ7" s="231">
        <f t="shared" si="2"/>
        <v>3.7086946285714286</v>
      </c>
      <c r="AK7" s="231">
        <f t="shared" si="2"/>
        <v>3.8502490714285718</v>
      </c>
      <c r="AL7" s="231">
        <f t="shared" si="2"/>
        <v>4.2443296499999992</v>
      </c>
    </row>
    <row r="8" spans="2:38">
      <c r="C8" s="239" t="s">
        <v>784</v>
      </c>
      <c r="D8" s="381">
        <v>300</v>
      </c>
      <c r="E8" s="231">
        <f>$D8+'Landuse b. Housing Growth'!E$41/5</f>
        <v>311.77</v>
      </c>
      <c r="F8" s="231">
        <f>$D8+'Landuse b. Housing Growth'!F$41/5</f>
        <v>331.02</v>
      </c>
      <c r="G8" s="231">
        <f>$D8+'Landuse b. Housing Growth'!G$41/5</f>
        <v>348.95</v>
      </c>
      <c r="H8" s="231">
        <f>$D8+'Landuse b. Housing Growth'!H$41/5</f>
        <v>366.88</v>
      </c>
      <c r="I8" s="231">
        <f>$D8+'Landuse b. Housing Growth'!I$41/5</f>
        <v>384.70000000000005</v>
      </c>
      <c r="J8" s="231">
        <f>$D8+'Landuse b. Housing Growth'!J$41/5</f>
        <v>434.31</v>
      </c>
      <c r="K8" t="s">
        <v>264</v>
      </c>
      <c r="L8" s="205" t="s">
        <v>783</v>
      </c>
      <c r="O8" s="239" t="s">
        <v>784</v>
      </c>
      <c r="P8" s="387">
        <v>23.1</v>
      </c>
      <c r="Q8" t="s">
        <v>776</v>
      </c>
      <c r="T8" s="239" t="s">
        <v>784</v>
      </c>
      <c r="U8" t="s">
        <v>777</v>
      </c>
      <c r="V8" s="231">
        <f>D18*$P8</f>
        <v>31298.495387895615</v>
      </c>
      <c r="W8" s="231">
        <f t="shared" si="0"/>
        <v>32526.43969028072</v>
      </c>
      <c r="X8" s="231">
        <f t="shared" si="0"/>
        <v>34534.75981100402</v>
      </c>
      <c r="Y8" s="231">
        <f t="shared" si="0"/>
        <v>36405.366552020583</v>
      </c>
      <c r="Z8" s="231">
        <f t="shared" si="0"/>
        <v>38275.973293037147</v>
      </c>
      <c r="AA8" s="231">
        <f t="shared" si="0"/>
        <v>40135.103919078152</v>
      </c>
      <c r="AB8" s="231">
        <f t="shared" si="0"/>
        <v>45310.831773056481</v>
      </c>
      <c r="AD8" s="239" t="s">
        <v>784</v>
      </c>
      <c r="AE8" t="s">
        <v>778</v>
      </c>
      <c r="AF8" s="231">
        <f t="shared" si="2"/>
        <v>672.81119337245002</v>
      </c>
      <c r="AG8" s="231">
        <f>(E18*$P26*$P$35*$P$39+E18*$P26*$P$36*$P$40)*$P$42*44/28</f>
        <v>699.20781919242916</v>
      </c>
      <c r="AH8" s="231">
        <f t="shared" si="2"/>
        <v>742.37987076716126</v>
      </c>
      <c r="AI8" s="231">
        <f t="shared" si="2"/>
        <v>782.59155309105461</v>
      </c>
      <c r="AJ8" s="231">
        <f t="shared" si="2"/>
        <v>822.80323541494806</v>
      </c>
      <c r="AK8" s="231">
        <f t="shared" si="2"/>
        <v>862.76822030127187</v>
      </c>
      <c r="AL8" s="231">
        <f t="shared" si="2"/>
        <v>974.02876464529561</v>
      </c>
    </row>
    <row r="9" spans="2:38">
      <c r="C9" s="239" t="s">
        <v>785</v>
      </c>
      <c r="D9" s="381">
        <v>40</v>
      </c>
      <c r="E9" s="264">
        <f>$D9+'Landuse b. Housing Growth'!E$41/5</f>
        <v>51.769999999999996</v>
      </c>
      <c r="F9" s="264">
        <f>$D9+'Landuse b. Housing Growth'!F$41/5</f>
        <v>71.02000000000001</v>
      </c>
      <c r="G9" s="264">
        <f>$D9+'Landuse b. Housing Growth'!G$41/5</f>
        <v>88.95</v>
      </c>
      <c r="H9" s="264">
        <f>$D9+'Landuse b. Housing Growth'!H$41/5</f>
        <v>106.88000000000001</v>
      </c>
      <c r="I9" s="264">
        <f>$D9+'Landuse b. Housing Growth'!I$41/5</f>
        <v>124.70000000000002</v>
      </c>
      <c r="J9" s="264">
        <f>$D9+'Landuse b. Housing Growth'!J$41/5</f>
        <v>174.31</v>
      </c>
      <c r="K9" t="s">
        <v>264</v>
      </c>
      <c r="L9" s="205" t="s">
        <v>783</v>
      </c>
      <c r="O9" s="239" t="s">
        <v>785</v>
      </c>
      <c r="P9" s="387">
        <v>8</v>
      </c>
      <c r="Q9" t="s">
        <v>776</v>
      </c>
      <c r="T9" s="239" t="s">
        <v>785</v>
      </c>
      <c r="U9" t="s">
        <v>777</v>
      </c>
      <c r="V9" s="231">
        <f>D19*$P9</f>
        <v>4496</v>
      </c>
      <c r="W9" s="231">
        <f t="shared" si="0"/>
        <v>5818.9479999999994</v>
      </c>
      <c r="X9" s="231">
        <f t="shared" si="0"/>
        <v>7982.648000000001</v>
      </c>
      <c r="Y9" s="231">
        <f t="shared" si="0"/>
        <v>9997.98</v>
      </c>
      <c r="Z9" s="231">
        <f t="shared" si="0"/>
        <v>12013.312000000002</v>
      </c>
      <c r="AA9" s="231">
        <f t="shared" si="0"/>
        <v>14016.280000000002</v>
      </c>
      <c r="AB9" s="231">
        <f t="shared" si="0"/>
        <v>19592.444</v>
      </c>
      <c r="AD9" s="239" t="s">
        <v>785</v>
      </c>
      <c r="AE9" t="s">
        <v>778</v>
      </c>
      <c r="AF9" s="231">
        <f t="shared" si="2"/>
        <v>116.57485714285714</v>
      </c>
      <c r="AG9" s="231">
        <f t="shared" si="2"/>
        <v>150.87700885714281</v>
      </c>
      <c r="AH9" s="231">
        <f t="shared" si="2"/>
        <v>206.97865885714288</v>
      </c>
      <c r="AI9" s="231">
        <f t="shared" si="2"/>
        <v>259.23333857142859</v>
      </c>
      <c r="AJ9" s="231">
        <f t="shared" si="2"/>
        <v>311.48801828571425</v>
      </c>
      <c r="AK9" s="231">
        <f t="shared" si="2"/>
        <v>363.42211714285725</v>
      </c>
      <c r="AL9" s="231">
        <f t="shared" si="2"/>
        <v>508.00408371428568</v>
      </c>
    </row>
    <row r="10" spans="2:38">
      <c r="C10" s="239" t="s">
        <v>786</v>
      </c>
      <c r="D10" s="381">
        <v>15</v>
      </c>
      <c r="E10" s="264">
        <f>$D10+'Landuse b. Housing Growth'!E$41/10</f>
        <v>20.884999999999998</v>
      </c>
      <c r="F10" s="264">
        <f>$D10+'Landuse b. Housing Growth'!F$41/10</f>
        <v>30.51</v>
      </c>
      <c r="G10" s="264">
        <f>$D10+'Landuse b. Housing Growth'!G$41/10</f>
        <v>39.475000000000001</v>
      </c>
      <c r="H10" s="264">
        <f>$D10+'Landuse b. Housing Growth'!H$41/10</f>
        <v>48.440000000000005</v>
      </c>
      <c r="I10" s="264">
        <f>$D10+'Landuse b. Housing Growth'!I$41/10</f>
        <v>57.350000000000009</v>
      </c>
      <c r="J10" s="264">
        <f>$D10+'Landuse b. Housing Growth'!J$41/10</f>
        <v>82.155000000000001</v>
      </c>
      <c r="K10" t="s">
        <v>264</v>
      </c>
      <c r="L10" s="205" t="s">
        <v>787</v>
      </c>
      <c r="O10" s="239" t="s">
        <v>786</v>
      </c>
      <c r="P10" s="387">
        <v>8.1</v>
      </c>
      <c r="Q10" t="s">
        <v>776</v>
      </c>
      <c r="T10" s="239" t="s">
        <v>786</v>
      </c>
      <c r="U10" t="s">
        <v>777</v>
      </c>
      <c r="V10" s="231">
        <f>D20*$P10</f>
        <v>1231.2</v>
      </c>
      <c r="W10" s="231">
        <f t="shared" si="0"/>
        <v>1714.2407999999998</v>
      </c>
      <c r="X10" s="231">
        <f t="shared" si="0"/>
        <v>2504.2608</v>
      </c>
      <c r="Y10" s="231">
        <f t="shared" si="0"/>
        <v>3240.1079999999997</v>
      </c>
      <c r="Z10" s="231">
        <f t="shared" si="0"/>
        <v>3975.9552000000003</v>
      </c>
      <c r="AA10" s="231">
        <f t="shared" si="0"/>
        <v>4707.2880000000005</v>
      </c>
      <c r="AB10" s="231">
        <f t="shared" si="0"/>
        <v>6743.2824000000001</v>
      </c>
      <c r="AD10" s="239" t="s">
        <v>786</v>
      </c>
      <c r="AE10" t="s">
        <v>778</v>
      </c>
      <c r="AF10" s="231">
        <f t="shared" si="2"/>
        <v>27.707428571428576</v>
      </c>
      <c r="AG10" s="231">
        <f t="shared" si="2"/>
        <v>38.577976380952371</v>
      </c>
      <c r="AH10" s="231">
        <f t="shared" si="2"/>
        <v>56.356909714285713</v>
      </c>
      <c r="AI10" s="231">
        <f t="shared" si="2"/>
        <v>72.91671619047618</v>
      </c>
      <c r="AJ10" s="231">
        <f t="shared" si="2"/>
        <v>89.476522666666682</v>
      </c>
      <c r="AK10" s="231">
        <f t="shared" si="2"/>
        <v>105.93473523809526</v>
      </c>
      <c r="AL10" s="231">
        <f t="shared" si="2"/>
        <v>151.75358628571431</v>
      </c>
    </row>
    <row r="11" spans="2:38">
      <c r="C11" s="239" t="s">
        <v>342</v>
      </c>
      <c r="D11">
        <f>SUM(D4:D10)</f>
        <v>17455</v>
      </c>
      <c r="E11" s="231">
        <f t="shared" ref="E11" si="3">SUM(E4:E10)</f>
        <v>17065.273687499997</v>
      </c>
      <c r="F11" s="231">
        <f t="shared" ref="F11" si="4">SUM(F4:F10)</f>
        <v>16626.778124999997</v>
      </c>
      <c r="G11" s="231">
        <f t="shared" ref="G11" si="5">SUM(G4:G10)</f>
        <v>15884.868937500003</v>
      </c>
      <c r="H11" s="231">
        <f t="shared" ref="H11" si="6">SUM(H4:H10)</f>
        <v>15142.959749999998</v>
      </c>
      <c r="I11" s="231">
        <f t="shared" ref="I11" si="7">SUM(I4:I10)</f>
        <v>14401.309375000003</v>
      </c>
      <c r="J11" s="231">
        <f t="shared" ref="J11" si="8">SUM(J4:J10)</f>
        <v>13451.152187499998</v>
      </c>
      <c r="K11" t="s">
        <v>264</v>
      </c>
      <c r="V11" s="231"/>
      <c r="W11" s="231"/>
      <c r="X11" s="231"/>
      <c r="Y11" s="231"/>
      <c r="Z11" s="231"/>
      <c r="AA11" s="231"/>
      <c r="AB11" s="231"/>
    </row>
    <row r="12" spans="2:38">
      <c r="C12" s="239" t="s">
        <v>788</v>
      </c>
      <c r="D12" s="348">
        <f t="shared" ref="D12:J12" si="9">D11/$D11</f>
        <v>1</v>
      </c>
      <c r="E12" s="348">
        <f t="shared" si="9"/>
        <v>0.9776725114580348</v>
      </c>
      <c r="F12" s="348">
        <f t="shared" si="9"/>
        <v>0.9525510240618732</v>
      </c>
      <c r="G12" s="348">
        <f t="shared" si="9"/>
        <v>0.91004691707247221</v>
      </c>
      <c r="H12" s="348">
        <f t="shared" si="9"/>
        <v>0.86754281008307066</v>
      </c>
      <c r="I12" s="348">
        <f t="shared" si="9"/>
        <v>0.82505353050701824</v>
      </c>
      <c r="J12" s="348">
        <f t="shared" si="9"/>
        <v>0.77061885920939543</v>
      </c>
      <c r="O12" s="240" t="s">
        <v>789</v>
      </c>
      <c r="T12" s="240" t="s">
        <v>789</v>
      </c>
      <c r="V12" s="231"/>
      <c r="W12" s="231"/>
      <c r="X12" s="231"/>
      <c r="Y12" s="231"/>
      <c r="Z12" s="231"/>
      <c r="AA12" s="231"/>
      <c r="AB12" s="231"/>
      <c r="AD12" s="240" t="s">
        <v>790</v>
      </c>
    </row>
    <row r="13" spans="2:38">
      <c r="O13" s="239" t="s">
        <v>774</v>
      </c>
      <c r="P13" s="387">
        <v>5.75</v>
      </c>
      <c r="Q13" t="s">
        <v>776</v>
      </c>
      <c r="T13" s="239" t="s">
        <v>774</v>
      </c>
      <c r="U13" t="s">
        <v>777</v>
      </c>
      <c r="V13" s="231">
        <f>D15*$P13</f>
        <v>40609.895747051924</v>
      </c>
      <c r="W13" s="231">
        <f t="shared" ref="W13:AB19" si="10">E14*$P13</f>
        <v>103570.10893554342</v>
      </c>
      <c r="X13" s="231">
        <f t="shared" si="10"/>
        <v>102150.32759384601</v>
      </c>
      <c r="Y13" s="231">
        <f t="shared" si="10"/>
        <v>100827.18464854005</v>
      </c>
      <c r="Z13" s="231">
        <f t="shared" si="10"/>
        <v>99504.041703234077</v>
      </c>
      <c r="AA13" s="231">
        <f t="shared" si="10"/>
        <v>98182.465409308177</v>
      </c>
      <c r="AB13" s="231">
        <f t="shared" si="10"/>
        <v>94520.947082471044</v>
      </c>
      <c r="AD13" s="239" t="s">
        <v>791</v>
      </c>
      <c r="AE13" t="s">
        <v>778</v>
      </c>
      <c r="AF13" s="231">
        <f t="shared" ref="AF13:AL13" si="11">44/28*(D28*$P$44)*1000</f>
        <v>5475.7242571428569</v>
      </c>
      <c r="AG13" s="231">
        <f t="shared" si="11"/>
        <v>5325.4058071479894</v>
      </c>
      <c r="AH13" s="231">
        <f t="shared" si="11"/>
        <v>5128.8103348646337</v>
      </c>
      <c r="AI13" s="231">
        <f t="shared" si="11"/>
        <v>4767.9664954844029</v>
      </c>
      <c r="AJ13" s="231">
        <f t="shared" si="11"/>
        <v>4360.8518010106945</v>
      </c>
      <c r="AK13" s="231">
        <f t="shared" si="11"/>
        <v>3932.961046289724</v>
      </c>
      <c r="AL13" s="231">
        <f t="shared" si="11"/>
        <v>3474.5103284812449</v>
      </c>
    </row>
    <row r="14" spans="2:38">
      <c r="B14" s="620" t="s">
        <v>792</v>
      </c>
      <c r="C14" s="239" t="s">
        <v>774</v>
      </c>
      <c r="D14" s="519">
        <v>18164.073972016526</v>
      </c>
      <c r="E14" s="264">
        <f>$D14*E4/$D4</f>
        <v>18012.192858355378</v>
      </c>
      <c r="F14" s="264">
        <f t="shared" ref="F14:J14" si="12">$D14*F4/$D4</f>
        <v>17765.274364147132</v>
      </c>
      <c r="G14" s="264">
        <f t="shared" si="12"/>
        <v>17535.162547572181</v>
      </c>
      <c r="H14" s="264">
        <f t="shared" si="12"/>
        <v>17305.050730997231</v>
      </c>
      <c r="I14" s="264">
        <f t="shared" si="12"/>
        <v>17075.211375531857</v>
      </c>
      <c r="J14" s="264">
        <f t="shared" si="12"/>
        <v>16438.425579560182</v>
      </c>
      <c r="K14" t="s">
        <v>793</v>
      </c>
      <c r="L14" t="s">
        <v>935</v>
      </c>
      <c r="O14" s="239" t="s">
        <v>779</v>
      </c>
      <c r="P14" s="387">
        <v>0.79</v>
      </c>
      <c r="Q14" t="s">
        <v>776</v>
      </c>
      <c r="T14" s="239" t="s">
        <v>779</v>
      </c>
      <c r="U14" t="s">
        <v>777</v>
      </c>
      <c r="V14" s="231">
        <f>D14*$P14</f>
        <v>14349.618437893056</v>
      </c>
      <c r="W14" s="231">
        <f t="shared" si="10"/>
        <v>5358.0413209351209</v>
      </c>
      <c r="X14" s="231">
        <f t="shared" si="10"/>
        <v>5114.8995019176282</v>
      </c>
      <c r="Y14" s="231">
        <f t="shared" si="10"/>
        <v>4688.3914969314055</v>
      </c>
      <c r="Z14" s="231">
        <f t="shared" si="10"/>
        <v>4261.8834919451829</v>
      </c>
      <c r="AA14" s="231">
        <f t="shared" si="10"/>
        <v>3835.695142750666</v>
      </c>
      <c r="AB14" s="231">
        <f t="shared" si="10"/>
        <v>3317.1262697535167</v>
      </c>
      <c r="AD14" s="239" t="s">
        <v>794</v>
      </c>
      <c r="AE14" t="s">
        <v>778</v>
      </c>
      <c r="AF14" s="231">
        <f t="shared" ref="AF14:AL14" si="13">44/28*(D28*1000*$P$45*$P$42)</f>
        <v>928.08885714285725</v>
      </c>
      <c r="AG14" s="231">
        <f t="shared" si="13"/>
        <v>902.6111537538967</v>
      </c>
      <c r="AH14" s="231">
        <f t="shared" si="13"/>
        <v>869.28988726519219</v>
      </c>
      <c r="AI14" s="231">
        <f t="shared" si="13"/>
        <v>808.12991448888192</v>
      </c>
      <c r="AJ14" s="231">
        <f t="shared" si="13"/>
        <v>739.12742390011783</v>
      </c>
      <c r="AK14" s="231">
        <f t="shared" si="13"/>
        <v>666.60356716774982</v>
      </c>
      <c r="AL14" s="231">
        <f t="shared" si="13"/>
        <v>588.90005567478727</v>
      </c>
    </row>
    <row r="15" spans="2:38">
      <c r="B15" s="621"/>
      <c r="C15" s="239" t="s">
        <v>779</v>
      </c>
      <c r="D15" s="519">
        <v>7062.5905647046829</v>
      </c>
      <c r="E15" s="264">
        <f t="shared" ref="E15:J15" si="14">$D15*E5/$D5</f>
        <v>6782.3307859938232</v>
      </c>
      <c r="F15" s="264">
        <f t="shared" si="14"/>
        <v>6474.556331541301</v>
      </c>
      <c r="G15" s="264">
        <f t="shared" si="14"/>
        <v>5934.67278092583</v>
      </c>
      <c r="H15" s="264">
        <f t="shared" si="14"/>
        <v>5394.7892303103581</v>
      </c>
      <c r="I15" s="264">
        <f t="shared" si="14"/>
        <v>4855.3103072793238</v>
      </c>
      <c r="J15" s="264">
        <f t="shared" si="14"/>
        <v>4198.8940123462235</v>
      </c>
      <c r="K15" t="s">
        <v>793</v>
      </c>
      <c r="L15" t="s">
        <v>935</v>
      </c>
      <c r="O15" s="239" t="s">
        <v>781</v>
      </c>
      <c r="P15" s="387">
        <v>0.12</v>
      </c>
      <c r="Q15" t="s">
        <v>776</v>
      </c>
      <c r="T15" s="239" t="s">
        <v>781</v>
      </c>
      <c r="U15" t="s">
        <v>777</v>
      </c>
      <c r="V15" s="231">
        <f>D16*$P15</f>
        <v>6029.1907883135336</v>
      </c>
      <c r="W15" s="231">
        <f t="shared" si="10"/>
        <v>5789.9386809376956</v>
      </c>
      <c r="X15" s="231">
        <f t="shared" si="10"/>
        <v>5527.1978511157204</v>
      </c>
      <c r="Y15" s="231">
        <f t="shared" si="10"/>
        <v>5066.3101781986479</v>
      </c>
      <c r="Z15" s="231">
        <f t="shared" si="10"/>
        <v>4605.4225052815773</v>
      </c>
      <c r="AA15" s="231">
        <f t="shared" si="10"/>
        <v>4144.8802547534187</v>
      </c>
      <c r="AB15" s="231">
        <f t="shared" si="10"/>
        <v>3584.5109338291745</v>
      </c>
    </row>
    <row r="16" spans="2:38">
      <c r="B16" s="621"/>
      <c r="C16" s="239" t="s">
        <v>781</v>
      </c>
      <c r="D16" s="519">
        <v>50243.256569279445</v>
      </c>
      <c r="E16" s="264">
        <f t="shared" ref="E16:J16" si="15">$D16*E6/$D6</f>
        <v>48249.489007814132</v>
      </c>
      <c r="F16" s="264">
        <f t="shared" si="15"/>
        <v>46059.982092631006</v>
      </c>
      <c r="G16" s="264">
        <f t="shared" si="15"/>
        <v>42219.251484988738</v>
      </c>
      <c r="H16" s="264">
        <f t="shared" si="15"/>
        <v>38378.520877346476</v>
      </c>
      <c r="I16" s="264">
        <f t="shared" si="15"/>
        <v>34540.668789611824</v>
      </c>
      <c r="J16" s="264">
        <f t="shared" si="15"/>
        <v>29870.924448576454</v>
      </c>
      <c r="K16" t="s">
        <v>793</v>
      </c>
      <c r="L16" t="s">
        <v>935</v>
      </c>
      <c r="O16" s="239" t="s">
        <v>782</v>
      </c>
      <c r="P16" s="387">
        <v>2.1</v>
      </c>
      <c r="Q16" t="s">
        <v>776</v>
      </c>
      <c r="T16" s="239" t="s">
        <v>782</v>
      </c>
      <c r="U16" t="s">
        <v>777</v>
      </c>
      <c r="V16" s="231">
        <f>D17*$P16</f>
        <v>707.7</v>
      </c>
      <c r="W16" s="231">
        <f t="shared" si="10"/>
        <v>728.52407249999999</v>
      </c>
      <c r="X16" s="231">
        <f t="shared" si="10"/>
        <v>762.58213499999999</v>
      </c>
      <c r="Y16" s="231">
        <f t="shared" si="10"/>
        <v>794.30478749999997</v>
      </c>
      <c r="Z16" s="231">
        <f t="shared" si="10"/>
        <v>826.02744000000007</v>
      </c>
      <c r="AA16" s="231">
        <f t="shared" si="10"/>
        <v>857.55547500000023</v>
      </c>
      <c r="AB16" s="231">
        <f t="shared" si="10"/>
        <v>945.32796749999989</v>
      </c>
      <c r="AD16" s="240" t="s">
        <v>795</v>
      </c>
    </row>
    <row r="17" spans="2:38">
      <c r="C17" s="239" t="s">
        <v>782</v>
      </c>
      <c r="D17" s="381">
        <v>337</v>
      </c>
      <c r="E17" s="264">
        <f t="shared" ref="E17:J17" si="16">$D17*E7/$D7</f>
        <v>346.916225</v>
      </c>
      <c r="F17" s="264">
        <f t="shared" si="16"/>
        <v>363.13434999999998</v>
      </c>
      <c r="G17" s="264">
        <f t="shared" si="16"/>
        <v>378.24037499999997</v>
      </c>
      <c r="H17" s="264">
        <f t="shared" si="16"/>
        <v>393.34640000000002</v>
      </c>
      <c r="I17" s="264">
        <f t="shared" si="16"/>
        <v>408.35975000000008</v>
      </c>
      <c r="J17" s="264">
        <f t="shared" si="16"/>
        <v>450.15617499999991</v>
      </c>
      <c r="K17" t="s">
        <v>793</v>
      </c>
      <c r="O17" s="239" t="s">
        <v>784</v>
      </c>
      <c r="P17" s="387">
        <v>0.2</v>
      </c>
      <c r="Q17" t="s">
        <v>776</v>
      </c>
      <c r="T17" s="239" t="s">
        <v>784</v>
      </c>
      <c r="U17" t="s">
        <v>777</v>
      </c>
      <c r="V17" s="231">
        <f>D18*$P17</f>
        <v>270.9826440510443</v>
      </c>
      <c r="W17" s="231">
        <f t="shared" si="10"/>
        <v>281.61419645264692</v>
      </c>
      <c r="X17" s="231">
        <f t="shared" si="10"/>
        <v>299.00224944592225</v>
      </c>
      <c r="Y17" s="231">
        <f t="shared" si="10"/>
        <v>315.197978805373</v>
      </c>
      <c r="Z17" s="231">
        <f t="shared" si="10"/>
        <v>331.39370816482375</v>
      </c>
      <c r="AA17" s="231">
        <f t="shared" si="10"/>
        <v>347.49007722145586</v>
      </c>
      <c r="AB17" s="231">
        <f t="shared" si="10"/>
        <v>392.30157379269679</v>
      </c>
      <c r="AD17" s="239" t="s">
        <v>342</v>
      </c>
      <c r="AE17" t="s">
        <v>260</v>
      </c>
      <c r="AF17" s="379">
        <f>SUM(AF4:AF14)/1000</f>
        <v>61.707068113127747</v>
      </c>
      <c r="AG17" s="379">
        <f t="shared" ref="AG17:AL17" si="17">SUM(AG4:AG14)/1000</f>
        <v>60.468785203804728</v>
      </c>
      <c r="AH17" s="379">
        <f t="shared" si="17"/>
        <v>58.965813095738056</v>
      </c>
      <c r="AI17" s="379">
        <f t="shared" si="17"/>
        <v>56.581048438284277</v>
      </c>
      <c r="AJ17" s="379">
        <f t="shared" si="17"/>
        <v>54.142170407924539</v>
      </c>
      <c r="AK17" s="379">
        <f t="shared" si="17"/>
        <v>51.680058727477032</v>
      </c>
      <c r="AL17" s="379">
        <f t="shared" si="17"/>
        <v>48.281802792805088</v>
      </c>
    </row>
    <row r="18" spans="2:38">
      <c r="C18" s="239" t="s">
        <v>784</v>
      </c>
      <c r="D18" s="519">
        <v>1354.9132202552214</v>
      </c>
      <c r="E18" s="264">
        <f t="shared" ref="E18:J18" si="18">$D18*E8/$D8</f>
        <v>1408.0709822632346</v>
      </c>
      <c r="F18" s="264">
        <f t="shared" si="18"/>
        <v>1495.0112472296112</v>
      </c>
      <c r="G18" s="264">
        <f t="shared" si="18"/>
        <v>1575.9898940268649</v>
      </c>
      <c r="H18" s="264">
        <f t="shared" si="18"/>
        <v>1656.9685408241187</v>
      </c>
      <c r="I18" s="264">
        <f t="shared" si="18"/>
        <v>1737.4503861072792</v>
      </c>
      <c r="J18" s="264">
        <f t="shared" si="18"/>
        <v>1961.5078689634838</v>
      </c>
      <c r="K18" t="s">
        <v>793</v>
      </c>
      <c r="L18" t="s">
        <v>935</v>
      </c>
      <c r="O18" s="239" t="s">
        <v>785</v>
      </c>
      <c r="P18" s="387">
        <v>0.12</v>
      </c>
      <c r="Q18" t="s">
        <v>776</v>
      </c>
      <c r="T18" s="239" t="s">
        <v>785</v>
      </c>
      <c r="U18" t="s">
        <v>777</v>
      </c>
      <c r="V18" s="231">
        <f>D19*$P18</f>
        <v>67.44</v>
      </c>
      <c r="W18" s="231">
        <f t="shared" si="10"/>
        <v>87.284219999999991</v>
      </c>
      <c r="X18" s="231">
        <f t="shared" si="10"/>
        <v>119.73972000000001</v>
      </c>
      <c r="Y18" s="231">
        <f t="shared" si="10"/>
        <v>149.96969999999999</v>
      </c>
      <c r="Z18" s="231">
        <f t="shared" si="10"/>
        <v>180.19968000000003</v>
      </c>
      <c r="AA18" s="231">
        <f t="shared" si="10"/>
        <v>210.24420000000003</v>
      </c>
      <c r="AB18" s="231">
        <f t="shared" si="10"/>
        <v>293.88666000000001</v>
      </c>
    </row>
    <row r="19" spans="2:38">
      <c r="C19" s="239" t="s">
        <v>785</v>
      </c>
      <c r="D19" s="381">
        <v>562</v>
      </c>
      <c r="E19" s="264">
        <f t="shared" ref="E19:J19" si="19">$D19*E9/$D9</f>
        <v>727.36849999999993</v>
      </c>
      <c r="F19" s="264">
        <f t="shared" si="19"/>
        <v>997.83100000000013</v>
      </c>
      <c r="G19" s="264">
        <f t="shared" si="19"/>
        <v>1249.7474999999999</v>
      </c>
      <c r="H19" s="264">
        <f t="shared" si="19"/>
        <v>1501.6640000000002</v>
      </c>
      <c r="I19" s="264">
        <f t="shared" si="19"/>
        <v>1752.0350000000003</v>
      </c>
      <c r="J19" s="264">
        <f t="shared" si="19"/>
        <v>2449.0554999999999</v>
      </c>
      <c r="K19" t="s">
        <v>793</v>
      </c>
      <c r="O19" s="239" t="s">
        <v>786</v>
      </c>
      <c r="P19" s="387">
        <v>0.18</v>
      </c>
      <c r="Q19" t="s">
        <v>776</v>
      </c>
      <c r="T19" s="239" t="s">
        <v>786</v>
      </c>
      <c r="U19" t="s">
        <v>777</v>
      </c>
      <c r="V19" s="231">
        <f>D20*$P19</f>
        <v>27.36</v>
      </c>
      <c r="W19" s="231">
        <f t="shared" si="10"/>
        <v>38.094239999999992</v>
      </c>
      <c r="X19" s="231">
        <f t="shared" si="10"/>
        <v>55.650239999999997</v>
      </c>
      <c r="Y19" s="231">
        <f t="shared" si="10"/>
        <v>72.002399999999994</v>
      </c>
      <c r="Z19" s="231">
        <f t="shared" si="10"/>
        <v>88.354560000000006</v>
      </c>
      <c r="AA19" s="231">
        <f t="shared" si="10"/>
        <v>104.60640000000001</v>
      </c>
      <c r="AB19" s="231">
        <f t="shared" si="10"/>
        <v>149.85072</v>
      </c>
    </row>
    <row r="20" spans="2:38">
      <c r="C20" s="239" t="s">
        <v>786</v>
      </c>
      <c r="D20" s="381">
        <v>152</v>
      </c>
      <c r="E20" s="264">
        <f>$D20*E10/$D10</f>
        <v>211.63466666666665</v>
      </c>
      <c r="F20" s="264">
        <f t="shared" ref="F20:J20" si="20">$D20*F10/$D10</f>
        <v>309.16800000000001</v>
      </c>
      <c r="G20" s="264">
        <f t="shared" si="20"/>
        <v>400.01333333333332</v>
      </c>
      <c r="H20" s="264">
        <f t="shared" si="20"/>
        <v>490.85866666666675</v>
      </c>
      <c r="I20" s="264">
        <f t="shared" si="20"/>
        <v>581.14666666666676</v>
      </c>
      <c r="J20" s="264">
        <f t="shared" si="20"/>
        <v>832.50400000000002</v>
      </c>
      <c r="K20" t="s">
        <v>793</v>
      </c>
    </row>
    <row r="21" spans="2:38">
      <c r="C21" s="239" t="s">
        <v>342</v>
      </c>
      <c r="D21">
        <f>SUM(D14:D20)</f>
        <v>77875.834326255877</v>
      </c>
      <c r="E21" s="231">
        <f t="shared" ref="E21:J21" si="21">SUM(E14:E20)</f>
        <v>75738.003026093225</v>
      </c>
      <c r="F21" s="231">
        <f t="shared" si="21"/>
        <v>73464.95738554906</v>
      </c>
      <c r="G21" s="231">
        <f t="shared" si="21"/>
        <v>69293.077915846938</v>
      </c>
      <c r="H21" s="231">
        <f t="shared" si="21"/>
        <v>65121.198446144852</v>
      </c>
      <c r="I21" s="231">
        <f t="shared" si="21"/>
        <v>60950.182275196959</v>
      </c>
      <c r="J21" s="231">
        <f t="shared" si="21"/>
        <v>56201.467584446342</v>
      </c>
      <c r="K21" t="s">
        <v>793</v>
      </c>
      <c r="O21" s="240" t="s">
        <v>796</v>
      </c>
      <c r="T21" s="240" t="s">
        <v>797</v>
      </c>
    </row>
    <row r="22" spans="2:38">
      <c r="C22" s="239" t="s">
        <v>788</v>
      </c>
      <c r="D22" s="348">
        <f t="shared" ref="D22:J22" si="22">D21/$D21</f>
        <v>1</v>
      </c>
      <c r="E22" s="348">
        <f t="shared" si="22"/>
        <v>0.97254820678766218</v>
      </c>
      <c r="F22" s="348">
        <f t="shared" si="22"/>
        <v>0.94336013246127515</v>
      </c>
      <c r="G22" s="348">
        <f t="shared" si="22"/>
        <v>0.88978922043451858</v>
      </c>
      <c r="H22" s="348">
        <f t="shared" si="22"/>
        <v>0.83621830840776246</v>
      </c>
      <c r="I22" s="348">
        <f t="shared" si="22"/>
        <v>0.78265848196052745</v>
      </c>
      <c r="J22" s="348">
        <f t="shared" si="22"/>
        <v>0.72168045544133563</v>
      </c>
      <c r="O22" s="239" t="s">
        <v>774</v>
      </c>
      <c r="P22" s="387">
        <v>120.7</v>
      </c>
      <c r="Q22" t="s">
        <v>798</v>
      </c>
      <c r="T22" s="341" t="s">
        <v>799</v>
      </c>
      <c r="U22" t="s">
        <v>800</v>
      </c>
      <c r="V22" s="185">
        <f>IF(OR('1. Landuse'!$A70=2,'1. Landuse'!$A70=4),'1. Landuse'!C74,0)</f>
        <v>0</v>
      </c>
      <c r="W22" s="185">
        <f>IF(OR('1. Landuse'!$A70=2,'1. Landuse'!$A70=4),'1. Landuse'!D74,0)</f>
        <v>0</v>
      </c>
      <c r="X22" s="185">
        <f>IF(OR('1. Landuse'!$A70=2,'1. Landuse'!$A70=4),'1. Landuse'!E74,0)</f>
        <v>0</v>
      </c>
      <c r="Y22" s="185">
        <f>IF(OR('1. Landuse'!$A70=2,'1. Landuse'!$A70=4),'1. Landuse'!F74,0)</f>
        <v>0</v>
      </c>
      <c r="Z22" s="185">
        <f>IF(OR('1. Landuse'!$A70=2,'1. Landuse'!$A70=4),'1. Landuse'!G74,0)</f>
        <v>0</v>
      </c>
      <c r="AA22" s="185">
        <f>IF(OR('1. Landuse'!$A70=2,'1. Landuse'!$A70=4),'1. Landuse'!H74,0)</f>
        <v>0</v>
      </c>
      <c r="AB22" s="185">
        <f>IF(OR('1. Landuse'!$A70=2,'1. Landuse'!$A70=4),'1. Landuse'!I74,0)</f>
        <v>0</v>
      </c>
    </row>
    <row r="23" spans="2:38">
      <c r="L23" s="346" t="s">
        <v>801</v>
      </c>
      <c r="O23" s="239" t="s">
        <v>779</v>
      </c>
      <c r="P23" s="387">
        <v>75.7</v>
      </c>
      <c r="Q23" t="s">
        <v>798</v>
      </c>
      <c r="T23" s="239" t="s">
        <v>802</v>
      </c>
      <c r="U23" t="s">
        <v>777</v>
      </c>
      <c r="V23" s="231">
        <f>SUM(V4:V10)*(-V22)</f>
        <v>0</v>
      </c>
      <c r="W23" s="231">
        <f t="shared" ref="W23:AB23" si="23">SUM(W4:W10)*(-W22)</f>
        <v>0</v>
      </c>
      <c r="X23" s="231">
        <f t="shared" si="23"/>
        <v>0</v>
      </c>
      <c r="Y23" s="231">
        <f t="shared" si="23"/>
        <v>0</v>
      </c>
      <c r="Z23" s="231">
        <f t="shared" si="23"/>
        <v>0</v>
      </c>
      <c r="AA23" s="231">
        <f t="shared" si="23"/>
        <v>0</v>
      </c>
      <c r="AB23" s="231">
        <f t="shared" si="23"/>
        <v>0</v>
      </c>
    </row>
    <row r="24" spans="2:38">
      <c r="B24" s="620" t="s">
        <v>803</v>
      </c>
      <c r="C24" s="239" t="s">
        <v>804</v>
      </c>
      <c r="D24" s="381">
        <v>951</v>
      </c>
      <c r="E24" s="231">
        <f>$D24*E$22</f>
        <v>924.8933446550667</v>
      </c>
      <c r="F24" s="231">
        <f t="shared" ref="F24:J24" si="24">$D24*F$22</f>
        <v>897.13548597067268</v>
      </c>
      <c r="G24" s="231">
        <f t="shared" si="24"/>
        <v>846.18954863322722</v>
      </c>
      <c r="H24" s="231">
        <f t="shared" si="24"/>
        <v>795.2436112957821</v>
      </c>
      <c r="I24" s="231">
        <f t="shared" si="24"/>
        <v>744.30821634446158</v>
      </c>
      <c r="J24" s="231">
        <f t="shared" si="24"/>
        <v>686.31811312471018</v>
      </c>
      <c r="K24" t="s">
        <v>217</v>
      </c>
      <c r="L24" s="383">
        <v>0.46</v>
      </c>
      <c r="O24" s="239" t="s">
        <v>781</v>
      </c>
      <c r="P24" s="387">
        <v>16.8</v>
      </c>
      <c r="Q24" t="s">
        <v>798</v>
      </c>
      <c r="T24" s="239" t="s">
        <v>342</v>
      </c>
      <c r="U24" t="s">
        <v>257</v>
      </c>
      <c r="V24" s="379">
        <f t="shared" ref="V24:AB24" si="25">SUM(V4:V23)/1000</f>
        <v>2361.9116389773585</v>
      </c>
      <c r="W24" s="379">
        <f t="shared" si="25"/>
        <v>2637.8888572534233</v>
      </c>
      <c r="X24" s="379">
        <f t="shared" si="25"/>
        <v>2576.434555072417</v>
      </c>
      <c r="Y24" s="379">
        <f t="shared" si="25"/>
        <v>2482.2869765102118</v>
      </c>
      <c r="Z24" s="379">
        <f t="shared" si="25"/>
        <v>2388.1393979480076</v>
      </c>
      <c r="AA24" s="379">
        <f t="shared" si="25"/>
        <v>2294.0444113350004</v>
      </c>
      <c r="AB24" s="379">
        <f t="shared" si="25"/>
        <v>2155.5565006574498</v>
      </c>
    </row>
    <row r="25" spans="2:38">
      <c r="B25" s="621"/>
      <c r="C25" s="239" t="s">
        <v>805</v>
      </c>
      <c r="D25" s="381">
        <v>156</v>
      </c>
      <c r="E25" s="231">
        <f>D25*E22</f>
        <v>151.71752025887531</v>
      </c>
      <c r="F25" s="231">
        <f t="shared" ref="F25:J25" si="26">E25*F22</f>
        <v>143.12426000810882</v>
      </c>
      <c r="G25" s="231">
        <f t="shared" si="26"/>
        <v>127.35042373788249</v>
      </c>
      <c r="H25" s="231">
        <f t="shared" si="26"/>
        <v>106.49275591310385</v>
      </c>
      <c r="I25" s="231">
        <f t="shared" si="26"/>
        <v>83.34745868274284</v>
      </c>
      <c r="J25" s="231">
        <f t="shared" si="26"/>
        <v>60.15023194203976</v>
      </c>
      <c r="K25" t="s">
        <v>217</v>
      </c>
      <c r="L25" s="383">
        <v>0.18</v>
      </c>
      <c r="O25" s="239" t="s">
        <v>782</v>
      </c>
      <c r="P25" s="387">
        <v>0.6</v>
      </c>
      <c r="Q25" t="s">
        <v>798</v>
      </c>
    </row>
    <row r="26" spans="2:38">
      <c r="B26" s="621"/>
      <c r="C26" s="239" t="s">
        <v>806</v>
      </c>
      <c r="D26" s="382">
        <v>115</v>
      </c>
      <c r="E26" s="231">
        <f>D26*E22</f>
        <v>111.84304378058116</v>
      </c>
      <c r="F26" s="231">
        <f t="shared" ref="F26:J26" si="27">E26*F22</f>
        <v>105.50826859572123</v>
      </c>
      <c r="G26" s="231">
        <f t="shared" si="27"/>
        <v>93.880120063182588</v>
      </c>
      <c r="H26" s="231">
        <f t="shared" si="27"/>
        <v>78.504275192352182</v>
      </c>
      <c r="I26" s="231">
        <f t="shared" si="27"/>
        <v>61.44203684945785</v>
      </c>
      <c r="J26" s="231">
        <f t="shared" si="27"/>
        <v>44.341517136760068</v>
      </c>
      <c r="K26" t="s">
        <v>217</v>
      </c>
      <c r="L26" s="383">
        <v>0.21</v>
      </c>
      <c r="O26" s="239" t="s">
        <v>784</v>
      </c>
      <c r="P26" s="387">
        <v>31.6</v>
      </c>
      <c r="Q26" t="s">
        <v>798</v>
      </c>
    </row>
    <row r="27" spans="2:38">
      <c r="C27" s="239" t="s">
        <v>807</v>
      </c>
      <c r="D27" s="381">
        <v>742</v>
      </c>
      <c r="E27" s="231">
        <f>D27*E22</f>
        <v>721.63076943644535</v>
      </c>
      <c r="F27" s="231">
        <f t="shared" ref="F27:J27" si="28">E27*F22</f>
        <v>680.75769824369695</v>
      </c>
      <c r="G27" s="231">
        <f t="shared" si="28"/>
        <v>605.73086162505638</v>
      </c>
      <c r="H27" s="231">
        <f t="shared" si="28"/>
        <v>506.52323645848105</v>
      </c>
      <c r="I27" s="231">
        <f t="shared" si="28"/>
        <v>396.43470732432809</v>
      </c>
      <c r="J27" s="231">
        <f t="shared" si="28"/>
        <v>286.09918013457371</v>
      </c>
      <c r="K27" t="s">
        <v>217</v>
      </c>
      <c r="L27" s="384">
        <v>0.13600000000000001</v>
      </c>
      <c r="O27" s="239" t="s">
        <v>785</v>
      </c>
      <c r="P27" s="387">
        <v>13.2</v>
      </c>
      <c r="Q27" t="s">
        <v>798</v>
      </c>
    </row>
    <row r="28" spans="2:38">
      <c r="C28" s="239" t="s">
        <v>808</v>
      </c>
      <c r="D28" s="231">
        <f>SUMPRODUCT(D24:D27,$L24:$L27)</f>
        <v>590.60199999999998</v>
      </c>
      <c r="E28" s="231">
        <f>SUMPRODUCT(E24:E27,$L24:$L27)</f>
        <v>574.38891602520687</v>
      </c>
      <c r="F28" s="231">
        <f t="shared" ref="F28:J28" si="29">SUMPRODUCT(F24:F27,$L24:$L27)</f>
        <v>553.18447371421325</v>
      </c>
      <c r="G28" s="231">
        <f t="shared" si="29"/>
        <v>514.26449103837945</v>
      </c>
      <c r="H28" s="231">
        <f t="shared" si="29"/>
        <v>470.35381520916587</v>
      </c>
      <c r="I28" s="231">
        <f t="shared" si="29"/>
        <v>424.20227001584078</v>
      </c>
      <c r="J28" s="231">
        <f t="shared" si="29"/>
        <v>374.7545808839555</v>
      </c>
      <c r="K28" t="s">
        <v>217</v>
      </c>
      <c r="O28" s="239" t="s">
        <v>786</v>
      </c>
      <c r="P28" s="387">
        <v>11.6</v>
      </c>
      <c r="Q28" t="s">
        <v>798</v>
      </c>
    </row>
    <row r="29" spans="2:38">
      <c r="C29" s="231"/>
      <c r="D29" s="231"/>
    </row>
    <row r="30" spans="2:38">
      <c r="N30" s="671" t="s">
        <v>809</v>
      </c>
      <c r="O30" s="240" t="s">
        <v>774</v>
      </c>
    </row>
    <row r="31" spans="2:38">
      <c r="B31" s="620" t="s">
        <v>810</v>
      </c>
      <c r="C31" s="239" t="s">
        <v>382</v>
      </c>
      <c r="D31" s="385">
        <v>5648525.7968623694</v>
      </c>
      <c r="E31" s="80">
        <f t="shared" ref="E31:J32" si="30">D31*E$22</f>
        <v>5493463.6347323479</v>
      </c>
      <c r="F31" s="80">
        <f t="shared" si="30"/>
        <v>5182314.5821323059</v>
      </c>
      <c r="G31" s="80">
        <f t="shared" si="30"/>
        <v>4611167.6520819422</v>
      </c>
      <c r="H31" s="80">
        <f t="shared" si="30"/>
        <v>3855942.8138085552</v>
      </c>
      <c r="I31" s="80">
        <f t="shared" si="30"/>
        <v>3017886.3491820088</v>
      </c>
      <c r="J31" s="80">
        <f t="shared" si="30"/>
        <v>2177949.594947862</v>
      </c>
      <c r="K31" t="s">
        <v>227</v>
      </c>
      <c r="N31" s="653"/>
      <c r="O31" s="239" t="s">
        <v>811</v>
      </c>
      <c r="P31" s="388">
        <v>7.2999999999999995E-2</v>
      </c>
      <c r="Q31" t="s">
        <v>667</v>
      </c>
    </row>
    <row r="32" spans="2:38">
      <c r="B32" s="620"/>
      <c r="C32" s="239" t="s">
        <v>383</v>
      </c>
      <c r="D32" s="385">
        <v>533194.78349569347</v>
      </c>
      <c r="E32" s="80">
        <f t="shared" si="30"/>
        <v>518557.63055727247</v>
      </c>
      <c r="F32" s="80">
        <f t="shared" si="30"/>
        <v>489186.59505131352</v>
      </c>
      <c r="G32" s="80">
        <f t="shared" si="30"/>
        <v>435272.9590577248</v>
      </c>
      <c r="H32" s="80">
        <f t="shared" si="30"/>
        <v>363983.21751889191</v>
      </c>
      <c r="I32" s="80">
        <f t="shared" si="30"/>
        <v>284874.55248244439</v>
      </c>
      <c r="J32" s="80">
        <f t="shared" si="30"/>
        <v>205588.39677917713</v>
      </c>
      <c r="K32" t="s">
        <v>227</v>
      </c>
      <c r="N32" s="653"/>
      <c r="O32" s="239" t="s">
        <v>812</v>
      </c>
      <c r="P32" s="245">
        <f>1-P31</f>
        <v>0.92700000000000005</v>
      </c>
      <c r="Q32" t="s">
        <v>667</v>
      </c>
    </row>
    <row r="33" spans="2:17">
      <c r="B33" s="620"/>
      <c r="C33" s="263"/>
      <c r="P33" s="245"/>
    </row>
    <row r="34" spans="2:17">
      <c r="O34" s="240" t="s">
        <v>813</v>
      </c>
      <c r="P34" s="245"/>
    </row>
    <row r="35" spans="2:17">
      <c r="B35" s="620" t="s">
        <v>814</v>
      </c>
      <c r="C35" s="239" t="s">
        <v>815</v>
      </c>
      <c r="D35">
        <v>100</v>
      </c>
      <c r="E35">
        <v>100</v>
      </c>
      <c r="F35">
        <v>100</v>
      </c>
      <c r="G35">
        <v>100</v>
      </c>
      <c r="H35">
        <v>100</v>
      </c>
      <c r="I35">
        <v>100</v>
      </c>
      <c r="J35">
        <v>100</v>
      </c>
      <c r="K35" t="s">
        <v>816</v>
      </c>
      <c r="O35" s="239" t="s">
        <v>811</v>
      </c>
      <c r="P35" s="388">
        <v>0</v>
      </c>
      <c r="Q35" t="s">
        <v>667</v>
      </c>
    </row>
    <row r="36" spans="2:17">
      <c r="B36" s="620"/>
      <c r="C36" s="239" t="s">
        <v>817</v>
      </c>
      <c r="D36">
        <f>44.01/12.01</f>
        <v>3.6644462947543714</v>
      </c>
      <c r="E36">
        <f t="shared" ref="E36:J36" si="31">44.01/12.01</f>
        <v>3.6644462947543714</v>
      </c>
      <c r="F36">
        <f t="shared" si="31"/>
        <v>3.6644462947543714</v>
      </c>
      <c r="G36">
        <f t="shared" si="31"/>
        <v>3.6644462947543714</v>
      </c>
      <c r="H36">
        <f t="shared" si="31"/>
        <v>3.6644462947543714</v>
      </c>
      <c r="I36">
        <f t="shared" si="31"/>
        <v>3.6644462947543714</v>
      </c>
      <c r="J36">
        <f t="shared" si="31"/>
        <v>3.6644462947543714</v>
      </c>
      <c r="K36" t="s">
        <v>818</v>
      </c>
      <c r="O36" s="239" t="s">
        <v>812</v>
      </c>
      <c r="P36" s="245">
        <f>1-P35</f>
        <v>1</v>
      </c>
      <c r="Q36" t="s">
        <v>667</v>
      </c>
    </row>
    <row r="37" spans="2:17">
      <c r="B37" s="620"/>
      <c r="C37" s="239" t="s">
        <v>819</v>
      </c>
      <c r="D37" s="245">
        <f>IF(OR('1. Landuse'!$A70=7,'1. Landuse'!$A70=8),'1. Landuse'!C75,0)</f>
        <v>0</v>
      </c>
      <c r="E37" s="245">
        <f>IF(OR('1. Landuse'!$A70=3,'1. Landuse'!$A70=4),'1. Landuse'!D75,0)</f>
        <v>0</v>
      </c>
      <c r="F37" s="245">
        <f>IF(OR('1. Landuse'!$A70=3,'1. Landuse'!$A70=4),'1. Landuse'!E75,0)</f>
        <v>0</v>
      </c>
      <c r="G37" s="245">
        <f>IF(OR('1. Landuse'!$A70=3,'1. Landuse'!$A70=4),'1. Landuse'!F75,0)</f>
        <v>0</v>
      </c>
      <c r="H37" s="245">
        <f>IF(OR('1. Landuse'!$A70=3,'1. Landuse'!$A70=4),'1. Landuse'!G75,0)</f>
        <v>0</v>
      </c>
      <c r="I37" s="245">
        <f>IF(OR('1. Landuse'!$A70=3,'1. Landuse'!$A70=4),'1. Landuse'!H75,0)</f>
        <v>0</v>
      </c>
      <c r="J37" s="245">
        <f>IF(OR('1. Landuse'!$A70=3,'1. Landuse'!$A70=4),'1. Landuse'!I75,0)</f>
        <v>0</v>
      </c>
      <c r="K37" t="s">
        <v>820</v>
      </c>
    </row>
    <row r="38" spans="2:17">
      <c r="C38" s="240" t="s">
        <v>265</v>
      </c>
      <c r="D38" s="378">
        <f>-D35*D37*D11*D36</f>
        <v>0</v>
      </c>
      <c r="E38" s="47">
        <f t="shared" ref="E38:I38" si="32">-E35*E37*E11*E36</f>
        <v>0</v>
      </c>
      <c r="F38" s="47">
        <f t="shared" si="32"/>
        <v>0</v>
      </c>
      <c r="G38" s="47">
        <f t="shared" si="32"/>
        <v>0</v>
      </c>
      <c r="H38" s="47">
        <f t="shared" si="32"/>
        <v>0</v>
      </c>
      <c r="I38" s="47">
        <f t="shared" si="32"/>
        <v>0</v>
      </c>
      <c r="J38" s="47">
        <f>-J35*J37*J11*J36</f>
        <v>0</v>
      </c>
      <c r="K38" s="51" t="s">
        <v>821</v>
      </c>
      <c r="O38" s="240" t="s">
        <v>822</v>
      </c>
    </row>
    <row r="39" spans="2:17">
      <c r="O39" s="239" t="s">
        <v>811</v>
      </c>
      <c r="P39" s="383">
        <v>0.35</v>
      </c>
      <c r="Q39" t="s">
        <v>823</v>
      </c>
    </row>
    <row r="40" spans="2:17">
      <c r="O40" s="239" t="s">
        <v>812</v>
      </c>
      <c r="P40" s="383">
        <v>1</v>
      </c>
      <c r="Q40" t="s">
        <v>823</v>
      </c>
    </row>
    <row r="42" spans="2:17">
      <c r="O42" s="240" t="s">
        <v>824</v>
      </c>
      <c r="P42">
        <v>0.01</v>
      </c>
      <c r="Q42" t="s">
        <v>825</v>
      </c>
    </row>
    <row r="43" spans="2:17">
      <c r="C43" t="b">
        <f>OR('1. Landuse'!$A70=3,'1. Landuse'!$A70=4)</f>
        <v>0</v>
      </c>
    </row>
    <row r="44" spans="2:17">
      <c r="N44" s="671" t="s">
        <v>826</v>
      </c>
      <c r="O44" s="240" t="s">
        <v>827</v>
      </c>
      <c r="P44">
        <v>5.8999999999999999E-3</v>
      </c>
      <c r="Q44" t="s">
        <v>825</v>
      </c>
    </row>
    <row r="45" spans="2:17">
      <c r="N45" s="653"/>
      <c r="O45" s="240" t="s">
        <v>828</v>
      </c>
      <c r="P45">
        <v>0.1</v>
      </c>
      <c r="Q45" t="s">
        <v>829</v>
      </c>
    </row>
    <row r="46" spans="2:17">
      <c r="N46" s="653"/>
    </row>
  </sheetData>
  <protectedRanges>
    <protectedRange sqref="P1:P1048576 L24:L27 D4:D10 D19:D20 D24:D27 D31:D32 D35:J37" name="Range1"/>
    <protectedRange sqref="D14:D18" name="Range1_1"/>
  </protectedRanges>
  <mergeCells count="16">
    <mergeCell ref="C1:C3"/>
    <mergeCell ref="K1:K3"/>
    <mergeCell ref="B35:B37"/>
    <mergeCell ref="N44:N46"/>
    <mergeCell ref="AD1:AL1"/>
    <mergeCell ref="B4:B6"/>
    <mergeCell ref="T1:AB1"/>
    <mergeCell ref="B31:B33"/>
    <mergeCell ref="Q1:Q2"/>
    <mergeCell ref="P1:P2"/>
    <mergeCell ref="O1:O2"/>
    <mergeCell ref="N30:N32"/>
    <mergeCell ref="B14:B16"/>
    <mergeCell ref="B24:B26"/>
    <mergeCell ref="N1:N3"/>
    <mergeCell ref="B1:B3"/>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CDCB7-A1C0-4143-BC0E-DF418D4A55CB}">
  <sheetPr codeName="Sheet12">
    <tabColor theme="8" tint="0.39997558519241921"/>
  </sheetPr>
  <dimension ref="B3:M83"/>
  <sheetViews>
    <sheetView workbookViewId="0">
      <selection activeCell="D35" sqref="D35"/>
    </sheetView>
  </sheetViews>
  <sheetFormatPr defaultColWidth="9.140625" defaultRowHeight="15"/>
  <cols>
    <col min="3" max="3" width="24" bestFit="1" customWidth="1"/>
    <col min="4" max="4" width="10.42578125" customWidth="1"/>
    <col min="5" max="5" width="23.7109375" customWidth="1"/>
    <col min="6" max="10" width="12" bestFit="1" customWidth="1"/>
    <col min="11" max="11" width="12.42578125" customWidth="1"/>
    <col min="12" max="12" width="31.28515625" customWidth="1"/>
    <col min="13" max="16" width="8.85546875" customWidth="1"/>
    <col min="18" max="19" width="8.85546875" customWidth="1"/>
  </cols>
  <sheetData>
    <row r="3" spans="2:11">
      <c r="D3" s="35">
        <f>'Baseline Statistics'!D4</f>
        <v>2022</v>
      </c>
      <c r="E3" s="35">
        <f>'Baseline Statistics'!E4</f>
        <v>2025</v>
      </c>
      <c r="F3" s="35">
        <f>'Baseline Statistics'!F4</f>
        <v>2030</v>
      </c>
      <c r="G3" s="35">
        <f>'Baseline Statistics'!G4</f>
        <v>2035</v>
      </c>
      <c r="H3" s="35">
        <f>'Baseline Statistics'!H4</f>
        <v>2040</v>
      </c>
      <c r="I3" s="35">
        <f>'Baseline Statistics'!I4</f>
        <v>2045</v>
      </c>
      <c r="J3" s="35">
        <f>'Baseline Statistics'!J4</f>
        <v>2051</v>
      </c>
    </row>
    <row r="4" spans="2:11">
      <c r="C4" s="552" t="s">
        <v>936</v>
      </c>
      <c r="D4" s="45">
        <f>'Baseline Statistics'!D29</f>
        <v>0</v>
      </c>
      <c r="E4" s="45">
        <f>'Baseline Statistics'!E29</f>
        <v>977</v>
      </c>
      <c r="F4" s="45">
        <f>'Baseline Statistics'!F29</f>
        <v>2565</v>
      </c>
      <c r="G4" s="45">
        <f>'Baseline Statistics'!G29</f>
        <v>4044</v>
      </c>
      <c r="H4" s="45">
        <f>'Baseline Statistics'!H29</f>
        <v>5523</v>
      </c>
      <c r="I4" s="45">
        <f>'Baseline Statistics'!I29</f>
        <v>7002</v>
      </c>
      <c r="J4" s="45">
        <f>'Baseline Statistics'!J29</f>
        <v>11096</v>
      </c>
    </row>
    <row r="5" spans="2:11">
      <c r="C5" s="35" t="s">
        <v>830</v>
      </c>
      <c r="D5" s="287">
        <f>'Baseline Statistics'!D27</f>
        <v>34340</v>
      </c>
      <c r="E5" s="287">
        <f>'Baseline Statistics'!E27</f>
        <v>35317</v>
      </c>
      <c r="F5" s="287">
        <f>'Baseline Statistics'!F27</f>
        <v>36905</v>
      </c>
      <c r="G5" s="287">
        <f>'Baseline Statistics'!G27</f>
        <v>38384</v>
      </c>
      <c r="H5" s="287">
        <f>'Baseline Statistics'!H27</f>
        <v>39863</v>
      </c>
      <c r="I5" s="287">
        <f>'Baseline Statistics'!I27</f>
        <v>41342</v>
      </c>
      <c r="J5" s="287">
        <f>'Baseline Statistics'!J27</f>
        <v>42821</v>
      </c>
    </row>
    <row r="6" spans="2:11">
      <c r="D6" s="42"/>
      <c r="E6" s="61"/>
      <c r="F6" s="61"/>
      <c r="G6" s="61"/>
      <c r="H6" s="61"/>
      <c r="I6" s="61"/>
      <c r="J6" s="61"/>
    </row>
    <row r="7" spans="2:11">
      <c r="B7" s="62"/>
      <c r="C7" s="63"/>
      <c r="D7" s="639" t="s">
        <v>831</v>
      </c>
      <c r="E7" s="640"/>
      <c r="F7" s="640"/>
      <c r="G7" s="640"/>
      <c r="H7" s="640"/>
      <c r="I7" s="640"/>
      <c r="J7" s="663"/>
    </row>
    <row r="8" spans="2:11">
      <c r="B8" s="213" t="s">
        <v>17</v>
      </c>
      <c r="C8" s="213" t="s">
        <v>280</v>
      </c>
      <c r="D8" s="213">
        <f>'Baseline Statistics'!D4</f>
        <v>2022</v>
      </c>
      <c r="E8" s="213">
        <f>'Baseline Statistics'!E4</f>
        <v>2025</v>
      </c>
      <c r="F8" s="213">
        <f>'Baseline Statistics'!F4</f>
        <v>2030</v>
      </c>
      <c r="G8" s="213">
        <f>'Baseline Statistics'!G4</f>
        <v>2035</v>
      </c>
      <c r="H8" s="213">
        <f>'Baseline Statistics'!H4</f>
        <v>2040</v>
      </c>
      <c r="I8" s="213">
        <f>'Baseline Statistics'!I4</f>
        <v>2045</v>
      </c>
      <c r="J8" s="213">
        <f>'Baseline Statistics'!J4</f>
        <v>2051</v>
      </c>
    </row>
    <row r="9" spans="2:11">
      <c r="B9" s="344" t="s">
        <v>18</v>
      </c>
      <c r="C9" s="138" t="s">
        <v>281</v>
      </c>
      <c r="D9" s="54">
        <f>'1. Landuse'!D10</f>
        <v>73</v>
      </c>
      <c r="E9" s="54">
        <f>'1. Landuse'!E10</f>
        <v>73</v>
      </c>
      <c r="F9" s="54">
        <f>'1. Landuse'!F10</f>
        <v>73</v>
      </c>
      <c r="G9" s="54">
        <f>'1. Landuse'!G10</f>
        <v>73</v>
      </c>
      <c r="H9" s="54">
        <f>'1. Landuse'!H10</f>
        <v>73</v>
      </c>
      <c r="I9" s="54">
        <f>'1. Landuse'!I10</f>
        <v>73</v>
      </c>
      <c r="J9" s="54">
        <f>'1. Landuse'!J10</f>
        <v>73</v>
      </c>
      <c r="K9" t="s">
        <v>832</v>
      </c>
    </row>
    <row r="10" spans="2:11">
      <c r="B10" s="64"/>
      <c r="C10" s="56" t="s">
        <v>282</v>
      </c>
      <c r="D10" s="54">
        <f>'1. Landuse'!D11</f>
        <v>0</v>
      </c>
      <c r="E10" s="54">
        <f>'1. Landuse'!E11</f>
        <v>0</v>
      </c>
      <c r="F10" s="54">
        <f>'1. Landuse'!F11</f>
        <v>0</v>
      </c>
      <c r="G10" s="54">
        <f>'1. Landuse'!G11</f>
        <v>0</v>
      </c>
      <c r="H10" s="54">
        <f>'1. Landuse'!H11</f>
        <v>0</v>
      </c>
      <c r="I10" s="54">
        <f>'1. Landuse'!I11</f>
        <v>0</v>
      </c>
      <c r="J10" s="54">
        <f>'1. Landuse'!J11</f>
        <v>0</v>
      </c>
    </row>
    <row r="11" spans="2:11">
      <c r="B11" s="64"/>
      <c r="C11" s="56" t="s">
        <v>283</v>
      </c>
      <c r="D11" s="54">
        <f>'1. Landuse'!D12</f>
        <v>11</v>
      </c>
      <c r="E11" s="54">
        <f>'1. Landuse'!E12</f>
        <v>11</v>
      </c>
      <c r="F11" s="54">
        <f>'1. Landuse'!F12</f>
        <v>11</v>
      </c>
      <c r="G11" s="54">
        <f>'1. Landuse'!G12</f>
        <v>11</v>
      </c>
      <c r="H11" s="54">
        <f>'1. Landuse'!H12</f>
        <v>11</v>
      </c>
      <c r="I11" s="54">
        <f>'1. Landuse'!I12</f>
        <v>11</v>
      </c>
      <c r="J11" s="54">
        <f>'1. Landuse'!J12</f>
        <v>11</v>
      </c>
    </row>
    <row r="12" spans="2:11">
      <c r="B12" s="64"/>
      <c r="C12" s="60" t="s">
        <v>284</v>
      </c>
      <c r="D12" s="54">
        <f>'1. Landuse'!D13</f>
        <v>16</v>
      </c>
      <c r="E12" s="54">
        <f>'1. Landuse'!E13</f>
        <v>16</v>
      </c>
      <c r="F12" s="54">
        <f>'1. Landuse'!F13</f>
        <v>16</v>
      </c>
      <c r="G12" s="54">
        <f>'1. Landuse'!G13</f>
        <v>16</v>
      </c>
      <c r="H12" s="54">
        <f>'1. Landuse'!H13</f>
        <v>16</v>
      </c>
      <c r="I12" s="54">
        <f>'1. Landuse'!I13</f>
        <v>16</v>
      </c>
      <c r="J12" s="54">
        <f>'1. Landuse'!J13</f>
        <v>16</v>
      </c>
    </row>
    <row r="13" spans="2:11">
      <c r="B13" s="43"/>
      <c r="C13" s="43"/>
    </row>
    <row r="14" spans="2:11">
      <c r="B14" s="52"/>
      <c r="C14" s="712" t="s">
        <v>833</v>
      </c>
      <c r="D14" s="712"/>
      <c r="E14" s="712"/>
      <c r="F14" s="712"/>
      <c r="G14" s="712"/>
      <c r="H14" s="712"/>
      <c r="I14" s="712"/>
      <c r="J14" s="713"/>
    </row>
    <row r="15" spans="2:11">
      <c r="B15" s="53" t="s">
        <v>17</v>
      </c>
      <c r="C15" s="53" t="s">
        <v>280</v>
      </c>
      <c r="D15" s="53">
        <f>'Baseline Statistics'!D4</f>
        <v>2022</v>
      </c>
      <c r="E15" s="53">
        <f>'Baseline Statistics'!E4</f>
        <v>2025</v>
      </c>
      <c r="F15" s="53">
        <f>'Baseline Statistics'!F4</f>
        <v>2030</v>
      </c>
      <c r="G15" s="53">
        <f>'Baseline Statistics'!G4</f>
        <v>2035</v>
      </c>
      <c r="H15" s="53">
        <f>'Baseline Statistics'!H4</f>
        <v>2040</v>
      </c>
      <c r="I15" s="53">
        <f>'Baseline Statistics'!I4</f>
        <v>2045</v>
      </c>
      <c r="J15" s="53">
        <f>'Baseline Statistics'!J4</f>
        <v>2051</v>
      </c>
    </row>
    <row r="16" spans="2:11">
      <c r="B16" s="344" t="s">
        <v>18</v>
      </c>
      <c r="C16" s="139" t="s">
        <v>281</v>
      </c>
      <c r="D16" s="39">
        <f t="shared" ref="D16:J19" si="0">ROUND(D9/100*D$4,0)</f>
        <v>0</v>
      </c>
      <c r="E16" s="39">
        <f t="shared" si="0"/>
        <v>713</v>
      </c>
      <c r="F16" s="39">
        <f t="shared" si="0"/>
        <v>1872</v>
      </c>
      <c r="G16" s="39">
        <f t="shared" si="0"/>
        <v>2952</v>
      </c>
      <c r="H16" s="39">
        <f t="shared" si="0"/>
        <v>4032</v>
      </c>
      <c r="I16" s="39">
        <f t="shared" si="0"/>
        <v>5111</v>
      </c>
      <c r="J16" s="39">
        <f>ROUND(J9/100*J$4,0)</f>
        <v>8100</v>
      </c>
    </row>
    <row r="17" spans="2:11">
      <c r="C17" s="140" t="s">
        <v>282</v>
      </c>
      <c r="D17" s="39">
        <f t="shared" si="0"/>
        <v>0</v>
      </c>
      <c r="E17" s="39">
        <f t="shared" si="0"/>
        <v>0</v>
      </c>
      <c r="F17" s="39">
        <f t="shared" si="0"/>
        <v>0</v>
      </c>
      <c r="G17" s="39">
        <f t="shared" si="0"/>
        <v>0</v>
      </c>
      <c r="H17" s="39">
        <f t="shared" si="0"/>
        <v>0</v>
      </c>
      <c r="I17" s="39">
        <f t="shared" si="0"/>
        <v>0</v>
      </c>
      <c r="J17" s="46">
        <f t="shared" si="0"/>
        <v>0</v>
      </c>
    </row>
    <row r="18" spans="2:11">
      <c r="C18" s="140" t="s">
        <v>283</v>
      </c>
      <c r="D18" s="39">
        <f t="shared" si="0"/>
        <v>0</v>
      </c>
      <c r="E18" s="39">
        <f t="shared" si="0"/>
        <v>107</v>
      </c>
      <c r="F18" s="39">
        <f t="shared" si="0"/>
        <v>282</v>
      </c>
      <c r="G18" s="39">
        <f t="shared" si="0"/>
        <v>445</v>
      </c>
      <c r="H18" s="39">
        <f t="shared" si="0"/>
        <v>608</v>
      </c>
      <c r="I18" s="39">
        <f t="shared" si="0"/>
        <v>770</v>
      </c>
      <c r="J18" s="46">
        <f t="shared" si="0"/>
        <v>1221</v>
      </c>
    </row>
    <row r="19" spans="2:11">
      <c r="C19" s="141" t="s">
        <v>284</v>
      </c>
      <c r="D19" s="39">
        <f t="shared" si="0"/>
        <v>0</v>
      </c>
      <c r="E19" s="39">
        <f t="shared" si="0"/>
        <v>156</v>
      </c>
      <c r="F19" s="39">
        <f t="shared" si="0"/>
        <v>410</v>
      </c>
      <c r="G19" s="39">
        <f t="shared" si="0"/>
        <v>647</v>
      </c>
      <c r="H19" s="39">
        <f t="shared" si="0"/>
        <v>884</v>
      </c>
      <c r="I19" s="39">
        <f t="shared" si="0"/>
        <v>1120</v>
      </c>
      <c r="J19" s="46">
        <f t="shared" si="0"/>
        <v>1775</v>
      </c>
    </row>
    <row r="20" spans="2:11">
      <c r="B20" s="43"/>
      <c r="D20" s="40"/>
      <c r="E20" s="40"/>
      <c r="F20" s="40"/>
      <c r="G20" s="40"/>
      <c r="H20" s="40"/>
      <c r="I20" s="40"/>
      <c r="J20" s="40"/>
    </row>
    <row r="21" spans="2:11">
      <c r="C21" s="709" t="s">
        <v>834</v>
      </c>
      <c r="D21" s="710"/>
      <c r="E21" s="710"/>
      <c r="F21" s="710"/>
      <c r="G21" s="710"/>
      <c r="H21" s="710"/>
      <c r="I21" s="710"/>
      <c r="J21" s="711"/>
    </row>
    <row r="22" spans="2:11">
      <c r="B22" s="53" t="s">
        <v>17</v>
      </c>
      <c r="C22" s="50" t="s">
        <v>280</v>
      </c>
      <c r="D22" s="50">
        <f>'Baseline Statistics'!D4</f>
        <v>2022</v>
      </c>
      <c r="E22" s="50">
        <f>'Baseline Statistics'!E4</f>
        <v>2025</v>
      </c>
      <c r="F22" s="50">
        <f>'Baseline Statistics'!F4</f>
        <v>2030</v>
      </c>
      <c r="G22" s="50">
        <f>'Baseline Statistics'!G4</f>
        <v>2035</v>
      </c>
      <c r="H22" s="50">
        <f>'Baseline Statistics'!H4</f>
        <v>2040</v>
      </c>
      <c r="I22" s="50">
        <f>'Baseline Statistics'!I4</f>
        <v>2045</v>
      </c>
      <c r="J22" s="50">
        <f>'Baseline Statistics'!J4</f>
        <v>2051</v>
      </c>
    </row>
    <row r="23" spans="2:11">
      <c r="B23" s="344" t="s">
        <v>18</v>
      </c>
      <c r="C23" s="10" t="s">
        <v>281</v>
      </c>
      <c r="D23" s="44">
        <f>'Baseline Usage'!$AR$24*D16</f>
        <v>0</v>
      </c>
      <c r="E23" s="44">
        <f>'Baseline Usage'!$AR$24*E16</f>
        <v>1069.5</v>
      </c>
      <c r="F23" s="44">
        <f>'Baseline Usage'!$AR$24*F16</f>
        <v>2808</v>
      </c>
      <c r="G23" s="44">
        <f>'Baseline Usage'!$AR$24*G16</f>
        <v>4428</v>
      </c>
      <c r="H23" s="44">
        <f>'Baseline Usage'!$AR$24*H16</f>
        <v>6048</v>
      </c>
      <c r="I23" s="44">
        <f>'Baseline Usage'!$AR$24*I16</f>
        <v>7666.5</v>
      </c>
      <c r="J23" s="44">
        <f>'Baseline Usage'!$AR$24*J16</f>
        <v>12150</v>
      </c>
      <c r="K23" t="s">
        <v>835</v>
      </c>
    </row>
    <row r="24" spans="2:11">
      <c r="C24" s="10" t="s">
        <v>282</v>
      </c>
      <c r="D24" s="44">
        <f>'Baseline Usage'!$AR$25*D17</f>
        <v>0</v>
      </c>
      <c r="E24" s="44">
        <f>'Baseline Usage'!$AR$25*E17</f>
        <v>0</v>
      </c>
      <c r="F24" s="44">
        <f>'Baseline Usage'!$AR$25*F17</f>
        <v>0</v>
      </c>
      <c r="G24" s="44">
        <f>'Baseline Usage'!$AR$25*G17</f>
        <v>0</v>
      </c>
      <c r="H24" s="44">
        <f>'Baseline Usage'!$AR$25*H17</f>
        <v>0</v>
      </c>
      <c r="I24" s="44">
        <f>'Baseline Usage'!$AR$25*I17</f>
        <v>0</v>
      </c>
      <c r="J24" s="44">
        <f>'Baseline Usage'!$AR$25*J17</f>
        <v>0</v>
      </c>
      <c r="K24" t="s">
        <v>835</v>
      </c>
    </row>
    <row r="25" spans="2:11">
      <c r="C25" s="10" t="s">
        <v>283</v>
      </c>
      <c r="D25" s="44">
        <f>'Baseline Usage'!$AR$26*D18</f>
        <v>0</v>
      </c>
      <c r="E25" s="44">
        <f>'Baseline Usage'!$AR$26*E18</f>
        <v>214</v>
      </c>
      <c r="F25" s="44">
        <f>'Baseline Usage'!$AR$26*F18</f>
        <v>564</v>
      </c>
      <c r="G25" s="44">
        <f>'Baseline Usage'!$AR$26*G18</f>
        <v>890</v>
      </c>
      <c r="H25" s="44">
        <f>'Baseline Usage'!$AR$26*H18</f>
        <v>1216</v>
      </c>
      <c r="I25" s="44">
        <f>'Baseline Usage'!$AR$26*I18</f>
        <v>1540</v>
      </c>
      <c r="J25" s="44">
        <f>'Baseline Usage'!$AR$26*J18</f>
        <v>2442</v>
      </c>
      <c r="K25" t="s">
        <v>835</v>
      </c>
    </row>
    <row r="26" spans="2:11">
      <c r="C26" s="37" t="s">
        <v>284</v>
      </c>
      <c r="D26" s="44">
        <f>'Baseline Usage'!$AR$27*D19</f>
        <v>0</v>
      </c>
      <c r="E26" s="44">
        <f>'Baseline Usage'!$AR$27*E19</f>
        <v>124.80000000000001</v>
      </c>
      <c r="F26" s="44">
        <f>'Baseline Usage'!$AR$27*F19</f>
        <v>328</v>
      </c>
      <c r="G26" s="44">
        <f>'Baseline Usage'!$AR$27*G19</f>
        <v>517.6</v>
      </c>
      <c r="H26" s="44">
        <f>'Baseline Usage'!$AR$27*H19</f>
        <v>707.2</v>
      </c>
      <c r="I26" s="44">
        <f>'Baseline Usage'!$AR$27*I19</f>
        <v>896</v>
      </c>
      <c r="J26" s="44">
        <f>'Baseline Usage'!$AR$27*J19</f>
        <v>1420</v>
      </c>
      <c r="K26" t="s">
        <v>835</v>
      </c>
    </row>
    <row r="27" spans="2:11">
      <c r="C27" s="411" t="s">
        <v>836</v>
      </c>
      <c r="D27" s="412">
        <f>SUM(D23:D26,$D$5)/$D$5</f>
        <v>1</v>
      </c>
      <c r="E27" s="412">
        <f t="shared" ref="E27:J27" si="1">SUM(E23:E26,$D$5)/$D$5</f>
        <v>1.0410104834012814</v>
      </c>
      <c r="F27" s="412">
        <f t="shared" si="1"/>
        <v>1.1077460687245195</v>
      </c>
      <c r="G27" s="412">
        <f t="shared" si="1"/>
        <v>1.1699359347699476</v>
      </c>
      <c r="H27" s="412">
        <f t="shared" si="1"/>
        <v>1.2321258008153755</v>
      </c>
      <c r="I27" s="412">
        <f t="shared" si="1"/>
        <v>1.2941904484566105</v>
      </c>
      <c r="J27" s="412">
        <f t="shared" si="1"/>
        <v>1.4662783925451368</v>
      </c>
      <c r="K27" t="s">
        <v>837</v>
      </c>
    </row>
    <row r="29" spans="2:11">
      <c r="C29" s="709" t="s">
        <v>838</v>
      </c>
      <c r="D29" s="710"/>
      <c r="E29" s="710"/>
      <c r="F29" s="710"/>
      <c r="G29" s="710"/>
      <c r="H29" s="710"/>
      <c r="I29" s="710"/>
      <c r="J29" s="711"/>
    </row>
    <row r="30" spans="2:11">
      <c r="B30" s="53" t="s">
        <v>17</v>
      </c>
      <c r="C30" s="50" t="s">
        <v>280</v>
      </c>
      <c r="D30" s="50">
        <f>'Baseline Statistics'!D4</f>
        <v>2022</v>
      </c>
      <c r="E30" s="50">
        <f>'Baseline Statistics'!E4</f>
        <v>2025</v>
      </c>
      <c r="F30" s="50">
        <f>'Baseline Statistics'!F4</f>
        <v>2030</v>
      </c>
      <c r="G30" s="50">
        <f>'Baseline Statistics'!G4</f>
        <v>2035</v>
      </c>
      <c r="H30" s="50">
        <f>'Baseline Statistics'!H4</f>
        <v>2040</v>
      </c>
      <c r="I30" s="50">
        <f>'Baseline Statistics'!I4</f>
        <v>2045</v>
      </c>
      <c r="J30" s="50">
        <f>'Baseline Statistics'!J4</f>
        <v>2051</v>
      </c>
    </row>
    <row r="31" spans="2:11">
      <c r="B31" s="344" t="s">
        <v>18</v>
      </c>
      <c r="C31" s="10" t="s">
        <v>281</v>
      </c>
      <c r="D31" s="44">
        <f>D16*VLOOKUP($C31,'Baseline Usage'!$AQ$24:$AV$27,6,FALSE)*'Baseline Statistics'!D$28</f>
        <v>0</v>
      </c>
      <c r="E31" s="44">
        <f>E16*VLOOKUP($C31,'Baseline Usage'!$AQ$24:$AV$27,6,FALSE)*'Baseline Statistics'!E$28</f>
        <v>4517.5778520259373</v>
      </c>
      <c r="F31" s="44">
        <f>F16*VLOOKUP($C31,'Baseline Usage'!$AQ$24:$AV$27,6,FALSE)*'Baseline Statistics'!F$28</f>
        <v>11876.036309443165</v>
      </c>
      <c r="G31" s="44">
        <f>G16*VLOOKUP($C31,'Baseline Usage'!$AQ$24:$AV$27,6,FALSE)*'Baseline Statistics'!G$28</f>
        <v>18662.776156731972</v>
      </c>
      <c r="H31" s="44">
        <f>H16*VLOOKUP($C31,'Baseline Usage'!$AQ$24:$AV$27,6,FALSE)*'Baseline Statistics'!H$28</f>
        <v>25408.656649022902</v>
      </c>
      <c r="I31" s="44">
        <f>I16*VLOOKUP($C31,'Baseline Usage'!$AQ$24:$AV$27,6,FALSE)*'Baseline Statistics'!I$28</f>
        <v>32111.78011062197</v>
      </c>
      <c r="J31" s="44">
        <f>J16*VLOOKUP($C31,'Baseline Usage'!$AQ$24:$AV$27,6,TRUE)*'Baseline Statistics'!J$28</f>
        <v>50748.97830503725</v>
      </c>
    </row>
    <row r="32" spans="2:11">
      <c r="C32" s="10" t="s">
        <v>282</v>
      </c>
      <c r="D32" s="44">
        <f>D17*VLOOKUP($C32,'Baseline Usage'!$AQ$24:$AV$27,6,FALSE)*'Baseline Statistics'!D$28</f>
        <v>0</v>
      </c>
      <c r="E32" s="44">
        <f>E17*VLOOKUP($C32,'Baseline Usage'!$AQ$24:$AV$27,6,FALSE)*'Baseline Statistics'!E$28</f>
        <v>0</v>
      </c>
      <c r="F32" s="44">
        <f>F17*VLOOKUP($C32,'Baseline Usage'!$AQ$24:$AV$27,6,FALSE)*'Baseline Statistics'!F$28</f>
        <v>0</v>
      </c>
      <c r="G32" s="44">
        <f>G17*VLOOKUP($C32,'Baseline Usage'!$AQ$24:$AV$27,6,FALSE)*'Baseline Statistics'!G$28</f>
        <v>0</v>
      </c>
      <c r="H32" s="44">
        <f>H17*VLOOKUP($C32,'Baseline Usage'!$AQ$24:$AV$27,6,FALSE)*'Baseline Statistics'!H$28</f>
        <v>0</v>
      </c>
      <c r="I32" s="44">
        <f>I17*VLOOKUP($C32,'Baseline Usage'!$AQ$24:$AV$27,6,FALSE)*'Baseline Statistics'!I$28</f>
        <v>0</v>
      </c>
      <c r="J32" s="44">
        <f>J17*VLOOKUP($C32,'Baseline Usage'!$AQ$24:$AV$27,6,FALSE)*'Baseline Statistics'!J$28</f>
        <v>0</v>
      </c>
    </row>
    <row r="33" spans="2:13">
      <c r="C33" s="10" t="s">
        <v>283</v>
      </c>
      <c r="D33" s="44">
        <f>D18*VLOOKUP($C33,'Baseline Usage'!$AQ$24:$AV$27,6,FALSE)*'Baseline Statistics'!D$28</f>
        <v>0</v>
      </c>
      <c r="E33" s="44">
        <f>E18*VLOOKUP($C33,'Baseline Usage'!$AQ$24:$AV$27,6,FALSE)*'Baseline Statistics'!E$28</f>
        <v>774.80397542260096</v>
      </c>
      <c r="F33" s="44">
        <f>F18*VLOOKUP($C33,'Baseline Usage'!$AQ$24:$AV$27,6,FALSE)*'Baseline Statistics'!F$28</f>
        <v>2044.5923316623762</v>
      </c>
      <c r="G33" s="44">
        <f>G18*VLOOKUP($C33,'Baseline Usage'!$AQ$24:$AV$27,6,FALSE)*'Baseline Statistics'!G$28</f>
        <v>3215.2285674586633</v>
      </c>
      <c r="H33" s="44">
        <f>H18*VLOOKUP($C33,'Baseline Usage'!$AQ$24:$AV$27,6,FALSE)*'Baseline Statistics'!H$28</f>
        <v>4378.8161118497519</v>
      </c>
      <c r="I33" s="44">
        <f>I18*VLOOKUP($C33,'Baseline Usage'!$AQ$24:$AV$27,6,FALSE)*'Baseline Statistics'!I$28</f>
        <v>5528.9310305903591</v>
      </c>
      <c r="J33" s="44">
        <f>J18*VLOOKUP($C33,'Baseline Usage'!$AQ$24:$AV$27,6,FALSE)*'Baseline Statistics'!J$28</f>
        <v>8742.786950328109</v>
      </c>
    </row>
    <row r="34" spans="2:13" ht="15.75" thickBot="1">
      <c r="C34" s="37" t="s">
        <v>284</v>
      </c>
      <c r="D34" s="44">
        <f>D19*VLOOKUP($C34,'Baseline Usage'!$AQ$24:$AV$27,6,FALSE)*'Baseline Statistics'!D$28</f>
        <v>0</v>
      </c>
      <c r="E34" s="44">
        <f>E19*VLOOKUP($C34,'Baseline Usage'!$AQ$24:$AV$27,6,FALSE)*'Baseline Statistics'!E$28</f>
        <v>875.45608064105124</v>
      </c>
      <c r="F34" s="44">
        <f>F19*VLOOKUP($C34,'Baseline Usage'!$AQ$24:$AV$27,6,FALSE)*'Baseline Statistics'!F$28</f>
        <v>2303.7915368287945</v>
      </c>
      <c r="G34" s="44">
        <f>G19*VLOOKUP($C34,'Baseline Usage'!$AQ$24:$AV$27,6,FALSE)*'Baseline Statistics'!G$28</f>
        <v>3622.9123245796864</v>
      </c>
      <c r="H34" s="44">
        <f>H19*VLOOKUP($C34,'Baseline Usage'!$AQ$24:$AV$27,6,FALSE)*'Baseline Statistics'!H$28</f>
        <v>4934.0903260333316</v>
      </c>
      <c r="I34" s="44">
        <f>I19*VLOOKUP($C34,'Baseline Usage'!$AQ$24:$AV$27,6,FALSE)*'Baseline Statistics'!I$28</f>
        <v>6232.613161756407</v>
      </c>
      <c r="J34" s="44">
        <f>J19*VLOOKUP($C34,'Baseline Usage'!$AQ$24:$AV$27,6,FALSE)*'Baseline Statistics'!J$28</f>
        <v>9849.9560184644615</v>
      </c>
    </row>
    <row r="35" spans="2:13">
      <c r="C35" s="413" t="s">
        <v>839</v>
      </c>
      <c r="D35" s="142">
        <f t="shared" ref="D35:J35" si="2">SUM(D31:D34)</f>
        <v>0</v>
      </c>
      <c r="E35" s="142">
        <f t="shared" si="2"/>
        <v>6167.8379080895893</v>
      </c>
      <c r="F35" s="142">
        <f t="shared" si="2"/>
        <v>16224.420177934335</v>
      </c>
      <c r="G35" s="142">
        <f t="shared" si="2"/>
        <v>25500.917048770323</v>
      </c>
      <c r="H35" s="142">
        <f t="shared" si="2"/>
        <v>34721.563086905982</v>
      </c>
      <c r="I35" s="142">
        <f t="shared" si="2"/>
        <v>43873.324302968736</v>
      </c>
      <c r="J35" s="143">
        <f t="shared" si="2"/>
        <v>69341.721273829826</v>
      </c>
    </row>
    <row r="37" spans="2:13">
      <c r="B37" s="53" t="s">
        <v>17</v>
      </c>
      <c r="C37" s="709" t="s">
        <v>840</v>
      </c>
      <c r="D37" s="710"/>
      <c r="E37" s="710"/>
      <c r="F37" s="710"/>
      <c r="G37" s="710"/>
      <c r="H37" s="710"/>
      <c r="I37" s="710"/>
      <c r="J37" s="711"/>
    </row>
    <row r="38" spans="2:13">
      <c r="B38" s="344" t="s">
        <v>18</v>
      </c>
      <c r="C38" s="50" t="s">
        <v>280</v>
      </c>
      <c r="D38" s="50">
        <f>'Baseline Statistics'!D4</f>
        <v>2022</v>
      </c>
      <c r="E38" s="50">
        <f>'Baseline Statistics'!E4</f>
        <v>2025</v>
      </c>
      <c r="F38" s="50">
        <f>'Baseline Statistics'!F4</f>
        <v>2030</v>
      </c>
      <c r="G38" s="50">
        <f>'Baseline Statistics'!G4</f>
        <v>2035</v>
      </c>
      <c r="H38" s="50">
        <f>'Baseline Statistics'!H4</f>
        <v>2040</v>
      </c>
      <c r="I38" s="50">
        <f>'Baseline Statistics'!I4</f>
        <v>2045</v>
      </c>
      <c r="J38" s="50">
        <f>'Baseline Statistics'!J4</f>
        <v>2051</v>
      </c>
    </row>
    <row r="39" spans="2:13">
      <c r="C39" s="10" t="s">
        <v>281</v>
      </c>
      <c r="D39" s="44">
        <f>D16*'Baseline Usage'!$AT24*'Baseline Usage'!$AU24</f>
        <v>0</v>
      </c>
      <c r="E39" s="44">
        <f>E16*'Baseline Usage'!$AT24*'Baseline Usage'!$AU24</f>
        <v>57.04</v>
      </c>
      <c r="F39" s="44">
        <f>F16*'Baseline Usage'!$AT24*'Baseline Usage'!$AU24</f>
        <v>149.76</v>
      </c>
      <c r="G39" s="44">
        <f>G16*'Baseline Usage'!$AT24*'Baseline Usage'!$AU24</f>
        <v>236.16</v>
      </c>
      <c r="H39" s="44">
        <f>H16*'Baseline Usage'!$AT24*'Baseline Usage'!$AU24</f>
        <v>322.56</v>
      </c>
      <c r="I39" s="44">
        <f>I16*'Baseline Usage'!$AT24*'Baseline Usage'!$AU24</f>
        <v>408.88</v>
      </c>
      <c r="J39" s="44">
        <f>J16*'Baseline Usage'!$AT24*'Baseline Usage'!$AU24</f>
        <v>648</v>
      </c>
      <c r="M39" s="40"/>
    </row>
    <row r="40" spans="2:13">
      <c r="C40" s="10" t="s">
        <v>282</v>
      </c>
      <c r="D40" s="44">
        <f>D17*'Baseline Usage'!$AT25*'Baseline Usage'!$AU25</f>
        <v>0</v>
      </c>
      <c r="E40" s="44">
        <f>E17*'Baseline Usage'!$AT25*'Baseline Usage'!$AU25</f>
        <v>0</v>
      </c>
      <c r="F40" s="44">
        <f>F17*'Baseline Usage'!$AT25*'Baseline Usage'!$AU25</f>
        <v>0</v>
      </c>
      <c r="G40" s="44">
        <f>G17*'Baseline Usage'!$AT25*'Baseline Usage'!$AU25</f>
        <v>0</v>
      </c>
      <c r="H40" s="44">
        <f>H17*'Baseline Usage'!$AT25*'Baseline Usage'!$AU25</f>
        <v>0</v>
      </c>
      <c r="I40" s="44">
        <f>I17*'Baseline Usage'!$AT25*'Baseline Usage'!$AU25</f>
        <v>0</v>
      </c>
      <c r="J40" s="44">
        <f>J17*'Baseline Usage'!$AT25*'Baseline Usage'!$AU25</f>
        <v>0</v>
      </c>
    </row>
    <row r="41" spans="2:13">
      <c r="C41" s="10" t="s">
        <v>283</v>
      </c>
      <c r="D41" s="44">
        <f>D18*'Baseline Usage'!$AT26*'Baseline Usage'!$AU26</f>
        <v>0</v>
      </c>
      <c r="E41" s="44">
        <f>E18*'Baseline Usage'!$AT26*'Baseline Usage'!$AU26</f>
        <v>58.85</v>
      </c>
      <c r="F41" s="44">
        <f>F18*'Baseline Usage'!$AT26*'Baseline Usage'!$AU26</f>
        <v>155.10000000000002</v>
      </c>
      <c r="G41" s="44">
        <f>G18*'Baseline Usage'!$AT26*'Baseline Usage'!$AU26</f>
        <v>244.75000000000003</v>
      </c>
      <c r="H41" s="44">
        <f>H18*'Baseline Usage'!$AT26*'Baseline Usage'!$AU26</f>
        <v>334.40000000000003</v>
      </c>
      <c r="I41" s="44">
        <f>I18*'Baseline Usage'!$AT26*'Baseline Usage'!$AU26</f>
        <v>423.50000000000006</v>
      </c>
      <c r="J41" s="44">
        <f>J18*'Baseline Usage'!$AT26*'Baseline Usage'!$AU26</f>
        <v>671.55000000000007</v>
      </c>
    </row>
    <row r="42" spans="2:13">
      <c r="C42" s="37" t="s">
        <v>284</v>
      </c>
      <c r="D42" s="44">
        <f>D19*'Baseline Usage'!$AT27*'Baseline Usage'!$AU27</f>
        <v>0</v>
      </c>
      <c r="E42" s="44">
        <f>E19*'Baseline Usage'!$AT27*'Baseline Usage'!$AU27</f>
        <v>4.8360000000000003</v>
      </c>
      <c r="F42" s="44">
        <f>F19*'Baseline Usage'!$AT27*'Baseline Usage'!$AU27</f>
        <v>12.709999999999999</v>
      </c>
      <c r="G42" s="44">
        <f>G19*'Baseline Usage'!$AT27*'Baseline Usage'!$AU27</f>
        <v>20.056999999999999</v>
      </c>
      <c r="H42" s="44">
        <f>H19*'Baseline Usage'!$AT27*'Baseline Usage'!$AU27</f>
        <v>27.404</v>
      </c>
      <c r="I42" s="44">
        <f>I19*'Baseline Usage'!$AT27*'Baseline Usage'!$AU27</f>
        <v>34.72</v>
      </c>
      <c r="J42" s="44">
        <f>J19*'Baseline Usage'!$AT27*'Baseline Usage'!$AU27</f>
        <v>55.024999999999999</v>
      </c>
    </row>
    <row r="43" spans="2:13">
      <c r="C43" s="10" t="s">
        <v>839</v>
      </c>
      <c r="D43" s="231">
        <f t="shared" ref="D43:I43" si="3">SUM(D39:D42)</f>
        <v>0</v>
      </c>
      <c r="E43" s="231">
        <f t="shared" si="3"/>
        <v>120.726</v>
      </c>
      <c r="F43" s="231">
        <f t="shared" si="3"/>
        <v>317.57</v>
      </c>
      <c r="G43" s="231">
        <f t="shared" si="3"/>
        <v>500.96700000000004</v>
      </c>
      <c r="H43" s="231">
        <f t="shared" si="3"/>
        <v>684.36400000000003</v>
      </c>
      <c r="I43" s="231">
        <f t="shared" si="3"/>
        <v>867.10000000000014</v>
      </c>
      <c r="J43" s="231">
        <f>SUM(J39:J42)</f>
        <v>1374.5750000000003</v>
      </c>
    </row>
    <row r="48" spans="2:13" ht="13.9" customHeight="1"/>
    <row r="83" spans="12:12">
      <c r="L83" s="347"/>
    </row>
  </sheetData>
  <mergeCells count="5">
    <mergeCell ref="D7:J7"/>
    <mergeCell ref="C21:J21"/>
    <mergeCell ref="C14:J14"/>
    <mergeCell ref="C29:J29"/>
    <mergeCell ref="C37:J37"/>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D5F5B-95AF-440F-AE38-24DBC8FB6233}">
  <sheetPr codeName="Sheet13">
    <tabColor theme="8" tint="0.39997558519241921"/>
  </sheetPr>
  <dimension ref="A2:S140"/>
  <sheetViews>
    <sheetView workbookViewId="0">
      <selection activeCell="G31" sqref="G31"/>
    </sheetView>
  </sheetViews>
  <sheetFormatPr defaultRowHeight="15"/>
  <cols>
    <col min="2" max="2" width="41.140625" customWidth="1"/>
    <col min="3" max="4" width="9.5703125" bestFit="1" customWidth="1"/>
    <col min="5" max="5" width="9.28515625" bestFit="1" customWidth="1"/>
    <col min="9" max="9" width="10.85546875" customWidth="1"/>
    <col min="10" max="10" width="9.85546875" customWidth="1"/>
    <col min="12" max="12" width="11.85546875" customWidth="1"/>
    <col min="13" max="13" width="8.85546875" bestFit="1" customWidth="1"/>
    <col min="14" max="14" width="10.42578125" bestFit="1" customWidth="1"/>
    <col min="15" max="15" width="7.28515625" bestFit="1" customWidth="1"/>
    <col min="16" max="16" width="8.5703125" bestFit="1" customWidth="1"/>
    <col min="17" max="17" width="7" bestFit="1" customWidth="1"/>
    <col min="18" max="19" width="6" bestFit="1" customWidth="1"/>
  </cols>
  <sheetData>
    <row r="2" spans="1:19">
      <c r="E2" s="80"/>
    </row>
    <row r="4" spans="1:19">
      <c r="L4" s="434"/>
      <c r="M4" s="714" t="s">
        <v>548</v>
      </c>
      <c r="N4" s="715"/>
      <c r="O4" s="715"/>
      <c r="P4" s="715"/>
      <c r="Q4" s="715"/>
      <c r="R4" s="715"/>
      <c r="S4" s="716"/>
    </row>
    <row r="5" spans="1:19">
      <c r="A5" s="177" t="s">
        <v>17</v>
      </c>
      <c r="C5" s="178">
        <v>2015</v>
      </c>
      <c r="D5" s="178">
        <f>'Baseline Statistics'!D4</f>
        <v>2022</v>
      </c>
      <c r="E5" s="178">
        <f>'Baseline Statistics'!E4</f>
        <v>2025</v>
      </c>
      <c r="F5" s="178">
        <f>'Baseline Statistics'!F4</f>
        <v>2030</v>
      </c>
      <c r="G5" s="178">
        <f>'Baseline Statistics'!G4</f>
        <v>2035</v>
      </c>
      <c r="H5" s="178">
        <f>'Baseline Statistics'!H4</f>
        <v>2040</v>
      </c>
      <c r="I5" s="178">
        <f>'Baseline Statistics'!I4</f>
        <v>2045</v>
      </c>
      <c r="J5" s="178">
        <f>'Baseline Statistics'!J4</f>
        <v>2051</v>
      </c>
      <c r="L5" s="435" t="s">
        <v>17</v>
      </c>
      <c r="M5" s="436">
        <f>'Baseline Statistics'!D4</f>
        <v>2022</v>
      </c>
      <c r="N5" s="436">
        <f>'Baseline Statistics'!E4</f>
        <v>2025</v>
      </c>
      <c r="O5" s="436">
        <f>'Baseline Statistics'!F4</f>
        <v>2030</v>
      </c>
      <c r="P5" s="436">
        <f>'Baseline Statistics'!G4</f>
        <v>2035</v>
      </c>
      <c r="Q5" s="436">
        <f>'Baseline Statistics'!H4</f>
        <v>2040</v>
      </c>
      <c r="R5" s="436">
        <f>'Baseline Statistics'!I4</f>
        <v>2045</v>
      </c>
      <c r="S5" s="436">
        <f>'Baseline Statistics'!J4</f>
        <v>2051</v>
      </c>
    </row>
    <row r="6" spans="1:19">
      <c r="A6" s="179" t="s">
        <v>18</v>
      </c>
      <c r="B6" s="180" t="s">
        <v>841</v>
      </c>
      <c r="C6" s="181">
        <f>SUM(C8:C16)</f>
        <v>43284.484756570506</v>
      </c>
      <c r="D6" s="181">
        <f>SUM(D8:D16)</f>
        <v>43458.419505659316</v>
      </c>
      <c r="E6" s="183">
        <f t="shared" ref="E6:J6" si="0">E27</f>
        <v>41711.416926590784</v>
      </c>
      <c r="F6" s="183">
        <f t="shared" si="0"/>
        <v>43924.745277377595</v>
      </c>
      <c r="G6" s="183">
        <f t="shared" si="0"/>
        <v>45405.712968286876</v>
      </c>
      <c r="H6" s="183">
        <f t="shared" si="0"/>
        <v>47013.360176379567</v>
      </c>
      <c r="I6" s="183">
        <f t="shared" si="0"/>
        <v>48411.066893746633</v>
      </c>
      <c r="J6" s="183">
        <f t="shared" si="0"/>
        <v>51244.894422315381</v>
      </c>
      <c r="L6" s="437">
        <v>1</v>
      </c>
      <c r="M6" s="438">
        <v>0.82</v>
      </c>
      <c r="N6" s="438">
        <v>0.82</v>
      </c>
      <c r="O6" s="438">
        <v>0.82</v>
      </c>
      <c r="P6" s="438">
        <v>0.82</v>
      </c>
      <c r="Q6" s="438">
        <v>0.82</v>
      </c>
      <c r="R6" s="438">
        <v>0.82</v>
      </c>
      <c r="S6" s="438">
        <v>0.82</v>
      </c>
    </row>
    <row r="7" spans="1:19">
      <c r="B7" s="180" t="s">
        <v>842</v>
      </c>
      <c r="C7" s="181">
        <f t="shared" ref="C7:J7" si="1">C6*C17</f>
        <v>35133.128743419526</v>
      </c>
      <c r="D7" s="181">
        <f t="shared" si="1"/>
        <v>37850.08103491785</v>
      </c>
      <c r="E7" s="181">
        <f t="shared" si="1"/>
        <v>35454.704387602163</v>
      </c>
      <c r="F7" s="181">
        <f t="shared" si="1"/>
        <v>41728.508013508712</v>
      </c>
      <c r="G7" s="181">
        <f>G6*G17</f>
        <v>45405.712968286876</v>
      </c>
      <c r="H7" s="181">
        <f t="shared" si="1"/>
        <v>47013.360176379567</v>
      </c>
      <c r="I7" s="181">
        <f t="shared" si="1"/>
        <v>48411.066893746633</v>
      </c>
      <c r="J7" s="181">
        <f t="shared" si="1"/>
        <v>51244.894422315381</v>
      </c>
      <c r="L7" s="437">
        <v>2</v>
      </c>
      <c r="M7" s="438">
        <v>0.82</v>
      </c>
      <c r="N7" s="438">
        <v>0.83</v>
      </c>
      <c r="O7" s="438">
        <v>0.84</v>
      </c>
      <c r="P7" s="438">
        <v>0.85</v>
      </c>
      <c r="Q7" s="438">
        <v>0.86</v>
      </c>
      <c r="R7" s="438">
        <v>0.87</v>
      </c>
      <c r="S7" s="438">
        <v>0.88</v>
      </c>
    </row>
    <row r="8" spans="1:19">
      <c r="B8" s="182" t="s">
        <v>843</v>
      </c>
      <c r="C8" s="551">
        <v>24284.645398775501</v>
      </c>
      <c r="D8" s="551">
        <v>26001.207754577899</v>
      </c>
      <c r="E8" s="206">
        <v>26000</v>
      </c>
      <c r="F8" s="206">
        <v>26000</v>
      </c>
      <c r="G8" s="206">
        <v>26000</v>
      </c>
      <c r="H8" s="206">
        <v>26000</v>
      </c>
      <c r="I8" s="206">
        <v>26000</v>
      </c>
      <c r="J8" s="206">
        <v>26000</v>
      </c>
      <c r="L8" s="437">
        <v>3</v>
      </c>
      <c r="M8" s="438">
        <v>0.82</v>
      </c>
      <c r="N8" s="438">
        <v>0.84</v>
      </c>
      <c r="O8" s="438">
        <v>0.87</v>
      </c>
      <c r="P8" s="438">
        <v>0.9</v>
      </c>
      <c r="Q8" s="438">
        <v>0.92</v>
      </c>
      <c r="R8" s="438">
        <v>0.93</v>
      </c>
      <c r="S8" s="438">
        <v>0.94</v>
      </c>
    </row>
    <row r="9" spans="1:19">
      <c r="B9" s="182" t="s">
        <v>844</v>
      </c>
      <c r="C9" s="551">
        <v>7748.6307629000003</v>
      </c>
      <c r="D9" s="551">
        <v>8059.9817655714496</v>
      </c>
      <c r="E9" s="184">
        <f t="shared" ref="E9:J9" si="2">MIN(E$13*$D9/($D$9+$D$11),$D9*3)</f>
        <v>6694.5903982390691</v>
      </c>
      <c r="F9" s="184">
        <f t="shared" si="2"/>
        <v>11180.471153515344</v>
      </c>
      <c r="G9" s="184">
        <f t="shared" si="2"/>
        <v>13697.836227111484</v>
      </c>
      <c r="H9" s="184">
        <f t="shared" si="2"/>
        <v>14428.571132075982</v>
      </c>
      <c r="I9" s="184">
        <f t="shared" si="2"/>
        <v>14973.848275483762</v>
      </c>
      <c r="J9" s="184">
        <f t="shared" si="2"/>
        <v>16114.712802794502</v>
      </c>
      <c r="L9" s="437">
        <v>4</v>
      </c>
      <c r="M9" s="438">
        <v>0.82</v>
      </c>
      <c r="N9" s="438">
        <v>0.85</v>
      </c>
      <c r="O9" s="438">
        <v>0.95</v>
      </c>
      <c r="P9" s="438">
        <v>1</v>
      </c>
      <c r="Q9" s="438">
        <v>1</v>
      </c>
      <c r="R9" s="438">
        <v>1</v>
      </c>
      <c r="S9" s="438">
        <v>1</v>
      </c>
    </row>
    <row r="10" spans="1:19">
      <c r="B10" s="182" t="s">
        <v>845</v>
      </c>
      <c r="C10" s="552">
        <v>243.9769017925</v>
      </c>
      <c r="D10" s="552">
        <v>257.07147311</v>
      </c>
      <c r="E10" s="184">
        <v>270</v>
      </c>
      <c r="F10" s="184">
        <v>320</v>
      </c>
      <c r="G10" s="184">
        <v>370</v>
      </c>
      <c r="H10" s="184">
        <v>420</v>
      </c>
      <c r="I10" s="184">
        <v>470</v>
      </c>
      <c r="J10" s="184">
        <v>520</v>
      </c>
      <c r="R10" s="185"/>
    </row>
    <row r="11" spans="1:19">
      <c r="B11" s="182" t="s">
        <v>846</v>
      </c>
      <c r="C11" s="551">
        <v>2340.4886331156999</v>
      </c>
      <c r="D11" s="551">
        <v>2836.8570418875502</v>
      </c>
      <c r="E11" s="183">
        <f t="shared" ref="E11:J11" si="3">E$13-E9</f>
        <v>2356.2827393630951</v>
      </c>
      <c r="F11" s="183">
        <f t="shared" si="3"/>
        <v>3935.1699849933684</v>
      </c>
      <c r="G11" s="183">
        <f t="shared" si="3"/>
        <v>4821.2023661753938</v>
      </c>
      <c r="H11" s="183">
        <f t="shared" si="3"/>
        <v>5078.3977943035843</v>
      </c>
      <c r="I11" s="183">
        <f t="shared" si="3"/>
        <v>5270.3179932628718</v>
      </c>
      <c r="J11" s="183">
        <f t="shared" si="3"/>
        <v>5671.8659945208801</v>
      </c>
    </row>
    <row r="12" spans="1:19">
      <c r="B12" s="182" t="s">
        <v>847</v>
      </c>
      <c r="C12" s="552">
        <v>36.359966851675601</v>
      </c>
      <c r="D12" s="552">
        <v>275.63679996692002</v>
      </c>
      <c r="E12" s="184">
        <f>'5. Energy'!D79</f>
        <v>133.83125000000001</v>
      </c>
      <c r="F12" s="184">
        <f>'5. Energy'!E79</f>
        <v>292.86687499999999</v>
      </c>
      <c r="G12" s="184">
        <f>'5. Energy'!F79</f>
        <v>516.67437500000005</v>
      </c>
      <c r="H12" s="184">
        <f>'5. Energy'!G79</f>
        <v>1086.3912499999999</v>
      </c>
      <c r="I12" s="184">
        <f>'5. Energy'!H79</f>
        <v>1696.900625</v>
      </c>
      <c r="J12" s="184">
        <f>'5. Energy'!I79</f>
        <v>2938.3156250000002</v>
      </c>
      <c r="L12" s="35" t="s">
        <v>202</v>
      </c>
      <c r="M12" s="186" t="s">
        <v>848</v>
      </c>
      <c r="N12" s="186" t="s">
        <v>849</v>
      </c>
      <c r="O12" s="186" t="s">
        <v>850</v>
      </c>
      <c r="P12" s="186" t="s">
        <v>851</v>
      </c>
      <c r="Q12" s="36" t="s">
        <v>218</v>
      </c>
    </row>
    <row r="13" spans="1:19">
      <c r="B13" s="187" t="s">
        <v>852</v>
      </c>
      <c r="C13" s="552">
        <v>518.80874670451306</v>
      </c>
      <c r="D13" s="552">
        <v>458.30166245255703</v>
      </c>
      <c r="E13" s="181">
        <f t="shared" ref="E13:J13" si="4">E7-E8-E10-E12</f>
        <v>9050.8731376021642</v>
      </c>
      <c r="F13" s="181">
        <f t="shared" si="4"/>
        <v>15115.641138508712</v>
      </c>
      <c r="G13" s="181">
        <f t="shared" si="4"/>
        <v>18519.038593286878</v>
      </c>
      <c r="H13" s="181">
        <f t="shared" si="4"/>
        <v>19506.968926379566</v>
      </c>
      <c r="I13" s="181">
        <f t="shared" si="4"/>
        <v>20244.166268746634</v>
      </c>
      <c r="J13" s="181">
        <f t="shared" si="4"/>
        <v>21786.578797315382</v>
      </c>
      <c r="L13" s="10" t="s">
        <v>853</v>
      </c>
      <c r="M13" s="80">
        <v>94600</v>
      </c>
      <c r="N13" s="80">
        <v>101000</v>
      </c>
      <c r="O13" s="80">
        <v>77400</v>
      </c>
      <c r="P13" s="80">
        <v>74100</v>
      </c>
      <c r="Q13" s="188">
        <v>56100</v>
      </c>
    </row>
    <row r="14" spans="1:19">
      <c r="B14" s="189" t="s">
        <v>854</v>
      </c>
      <c r="C14" s="552">
        <v>1.4472711740355699</v>
      </c>
      <c r="D14" s="552">
        <v>5.2121887814415997</v>
      </c>
      <c r="E14" s="35">
        <v>10</v>
      </c>
      <c r="F14" s="35">
        <v>10</v>
      </c>
      <c r="G14" s="35">
        <v>10</v>
      </c>
      <c r="H14" s="35">
        <v>10</v>
      </c>
      <c r="I14" s="35">
        <v>10</v>
      </c>
      <c r="J14" s="35">
        <v>10</v>
      </c>
      <c r="L14" s="10" t="s">
        <v>855</v>
      </c>
      <c r="M14">
        <f>M13*$M16</f>
        <v>340.56</v>
      </c>
      <c r="N14">
        <f t="shared" ref="N14:Q14" si="5">N13*$M16</f>
        <v>363.59999999999997</v>
      </c>
      <c r="O14">
        <f t="shared" si="5"/>
        <v>278.64</v>
      </c>
      <c r="P14">
        <f t="shared" si="5"/>
        <v>266.76</v>
      </c>
      <c r="Q14" s="190">
        <f t="shared" si="5"/>
        <v>201.96</v>
      </c>
    </row>
    <row r="15" spans="1:19">
      <c r="B15" s="191" t="s">
        <v>223</v>
      </c>
      <c r="C15" s="551">
        <v>1753.0159758192699</v>
      </c>
      <c r="D15" s="551">
        <v>1253.92124667128</v>
      </c>
      <c r="E15" s="181">
        <f>MAX((E6-E7-E14)*($D15/($D15+$D16)),0)</f>
        <v>1407.741419822793</v>
      </c>
      <c r="F15" s="181">
        <f t="shared" ref="F15:J15" si="6">MAX((F6-F7-F14)*($D15/($D15+$D16)),0)</f>
        <v>492.68422881622951</v>
      </c>
      <c r="G15" s="181">
        <f t="shared" si="6"/>
        <v>0</v>
      </c>
      <c r="H15" s="181">
        <f t="shared" si="6"/>
        <v>0</v>
      </c>
      <c r="I15" s="181">
        <f t="shared" si="6"/>
        <v>0</v>
      </c>
      <c r="J15" s="181">
        <f t="shared" si="6"/>
        <v>0</v>
      </c>
      <c r="K15" s="80"/>
      <c r="L15" s="10"/>
      <c r="Q15" s="190"/>
    </row>
    <row r="16" spans="1:19">
      <c r="B16" s="191" t="s">
        <v>218</v>
      </c>
      <c r="C16" s="551">
        <v>6357.1110994373103</v>
      </c>
      <c r="D16" s="551">
        <v>4310.2295726402199</v>
      </c>
      <c r="E16" s="181">
        <f>MAX((E6-E7-E14)*($D16/($D15+$D16)),0)</f>
        <v>4838.971119165828</v>
      </c>
      <c r="F16" s="181">
        <f t="shared" ref="F16:J16" si="7">MAX((F6-F7-F14)*($D16/($D15+$D16)),0)</f>
        <v>1693.5530350526535</v>
      </c>
      <c r="G16" s="181">
        <f t="shared" si="7"/>
        <v>0</v>
      </c>
      <c r="H16" s="181">
        <f t="shared" si="7"/>
        <v>0</v>
      </c>
      <c r="I16" s="181">
        <f t="shared" si="7"/>
        <v>0</v>
      </c>
      <c r="J16" s="181">
        <f t="shared" si="7"/>
        <v>0</v>
      </c>
      <c r="L16" s="37" t="s">
        <v>856</v>
      </c>
      <c r="M16" s="192">
        <v>3.5999999999999999E-3</v>
      </c>
      <c r="N16" s="192"/>
      <c r="O16" s="192"/>
      <c r="P16" s="192"/>
      <c r="Q16" s="193"/>
    </row>
    <row r="17" spans="2:19">
      <c r="B17" s="194" t="s">
        <v>857</v>
      </c>
      <c r="C17" s="553">
        <v>0.81167949534356831</v>
      </c>
      <c r="D17" s="553">
        <v>0.87094932271959113</v>
      </c>
      <c r="E17" s="197">
        <f>'5. Energy'!D4</f>
        <v>0.85</v>
      </c>
      <c r="F17" s="197">
        <f>'5. Energy'!E4</f>
        <v>0.95</v>
      </c>
      <c r="G17" s="197">
        <f>'5. Energy'!F4</f>
        <v>1</v>
      </c>
      <c r="H17" s="197">
        <f>'5. Energy'!G4</f>
        <v>1</v>
      </c>
      <c r="I17" s="197">
        <f>'5. Energy'!H4</f>
        <v>1</v>
      </c>
      <c r="J17" s="197">
        <f>'5. Energy'!I4</f>
        <v>1</v>
      </c>
    </row>
    <row r="18" spans="2:19" ht="15.75" thickBot="1">
      <c r="M18" s="80"/>
      <c r="N18" s="80"/>
    </row>
    <row r="19" spans="2:19" ht="16.149999999999999" customHeight="1">
      <c r="B19" s="214" t="s">
        <v>858</v>
      </c>
      <c r="C19" s="554">
        <v>40892.854559196523</v>
      </c>
      <c r="D19" s="198">
        <f>'5. Energy'!E18</f>
        <v>39916</v>
      </c>
      <c r="E19" s="198">
        <f>'5. Energy'!F18</f>
        <v>41711.346926590784</v>
      </c>
      <c r="F19" s="198">
        <f>'5. Energy'!G18</f>
        <v>43924.675277377595</v>
      </c>
      <c r="G19" s="198">
        <f>'5. Energy'!H18</f>
        <v>45405.642968286877</v>
      </c>
      <c r="H19" s="198">
        <f>'5. Energy'!I18</f>
        <v>47013.290176379567</v>
      </c>
      <c r="I19" s="198">
        <f>'5. Energy'!J18</f>
        <v>48410.996893746633</v>
      </c>
      <c r="J19" s="198">
        <f>'5. Energy'!K18</f>
        <v>51244.824422315382</v>
      </c>
      <c r="L19" s="717" t="s">
        <v>859</v>
      </c>
      <c r="M19" s="718"/>
      <c r="N19" s="718"/>
      <c r="O19" s="718"/>
      <c r="P19" s="718"/>
      <c r="Q19" s="718"/>
      <c r="R19" s="718"/>
      <c r="S19" s="719"/>
    </row>
    <row r="20" spans="2:19">
      <c r="B20" s="201" t="s">
        <v>860</v>
      </c>
      <c r="C20" s="554">
        <v>2844.1455199799202</v>
      </c>
      <c r="D20" s="554">
        <v>2421.9264836678199</v>
      </c>
      <c r="E20" s="289" t="s">
        <v>861</v>
      </c>
      <c r="F20" s="289" t="s">
        <v>861</v>
      </c>
      <c r="G20" s="289" t="s">
        <v>861</v>
      </c>
      <c r="H20" s="289" t="s">
        <v>861</v>
      </c>
      <c r="I20" s="289" t="s">
        <v>861</v>
      </c>
      <c r="J20" s="289" t="s">
        <v>861</v>
      </c>
      <c r="L20" s="248" t="s">
        <v>202</v>
      </c>
      <c r="M20" s="178">
        <f>'Baseline Statistics'!D4</f>
        <v>2022</v>
      </c>
      <c r="N20" s="178">
        <f>'Baseline Statistics'!E4</f>
        <v>2025</v>
      </c>
      <c r="O20" s="178">
        <f>'Baseline Statistics'!F4</f>
        <v>2030</v>
      </c>
      <c r="P20" s="178">
        <f>'Baseline Statistics'!G4</f>
        <v>2035</v>
      </c>
      <c r="Q20" s="178">
        <f>'Baseline Statistics'!H4</f>
        <v>2040</v>
      </c>
      <c r="R20" s="178">
        <f>'Baseline Statistics'!I4</f>
        <v>2045</v>
      </c>
      <c r="S20" s="274">
        <f>'Baseline Statistics'!J4</f>
        <v>2051</v>
      </c>
    </row>
    <row r="21" spans="2:19" ht="15.75" thickBot="1">
      <c r="B21" s="201" t="s">
        <v>228</v>
      </c>
      <c r="C21" s="554">
        <v>14591.002195270519</v>
      </c>
      <c r="D21" s="554">
        <v>13499.689265919271</v>
      </c>
      <c r="E21" s="289" t="s">
        <v>861</v>
      </c>
      <c r="F21" s="289" t="s">
        <v>861</v>
      </c>
      <c r="G21" s="289" t="s">
        <v>861</v>
      </c>
      <c r="H21" s="289" t="s">
        <v>861</v>
      </c>
      <c r="I21" s="289" t="s">
        <v>861</v>
      </c>
      <c r="J21" s="289" t="s">
        <v>861</v>
      </c>
      <c r="L21" s="252" t="s">
        <v>862</v>
      </c>
      <c r="M21" s="364">
        <f>SUMPRODUCT('Emissions Factors'!C4:C12,D8:D16)/D19</f>
        <v>90.175470226872264</v>
      </c>
      <c r="N21" s="364">
        <f>SUMPRODUCT('Emissions Factors'!D4:D12,E8:E16)/E19</f>
        <v>91.002939927705285</v>
      </c>
      <c r="O21" s="364">
        <f>SUMPRODUCT('Emissions Factors'!E4:E12,F8:F16)/F19</f>
        <v>51.443104624098517</v>
      </c>
      <c r="P21" s="364">
        <f>SUMPRODUCT('Emissions Factors'!F4:F12,G8:G16)/G19</f>
        <v>31.784657357560082</v>
      </c>
      <c r="Q21" s="364">
        <f>SUMPRODUCT('Emissions Factors'!G4:G12,H8:H16)/H19</f>
        <v>32.329793621456041</v>
      </c>
      <c r="R21" s="364">
        <f>SUMPRODUCT('Emissions Factors'!H4:H12,I8:I16)/I19</f>
        <v>32.579045467446754</v>
      </c>
      <c r="S21" s="364">
        <f>SUMPRODUCT('Emissions Factors'!I4:I12,J8:J16)/J19</f>
        <v>33.115048464376194</v>
      </c>
    </row>
    <row r="22" spans="2:19">
      <c r="B22" s="201" t="s">
        <v>469</v>
      </c>
      <c r="C22" s="554">
        <v>9491.1594548946905</v>
      </c>
      <c r="D22" s="554">
        <v>9386.5563373331297</v>
      </c>
      <c r="E22" s="289" t="s">
        <v>861</v>
      </c>
      <c r="F22" s="289" t="s">
        <v>861</v>
      </c>
      <c r="G22" s="289" t="s">
        <v>861</v>
      </c>
      <c r="H22" s="289" t="s">
        <v>861</v>
      </c>
      <c r="I22" s="289" t="s">
        <v>861</v>
      </c>
      <c r="J22" s="289" t="s">
        <v>861</v>
      </c>
    </row>
    <row r="23" spans="2:19">
      <c r="B23" s="201" t="s">
        <v>470</v>
      </c>
      <c r="C23" s="554">
        <v>12573.7673664264</v>
      </c>
      <c r="D23" s="554">
        <v>13027.372179923501</v>
      </c>
      <c r="E23" s="289" t="s">
        <v>861</v>
      </c>
      <c r="F23" s="289" t="s">
        <v>861</v>
      </c>
      <c r="G23" s="289" t="s">
        <v>861</v>
      </c>
      <c r="H23" s="289" t="s">
        <v>861</v>
      </c>
      <c r="I23" s="289" t="s">
        <v>861</v>
      </c>
      <c r="J23" s="289" t="s">
        <v>861</v>
      </c>
    </row>
    <row r="24" spans="2:19">
      <c r="B24" s="201" t="s">
        <v>197</v>
      </c>
      <c r="C24" s="555">
        <v>83.440262425</v>
      </c>
      <c r="D24" s="555">
        <v>94.558139424999993</v>
      </c>
      <c r="E24" s="289" t="s">
        <v>861</v>
      </c>
      <c r="F24" s="289" t="s">
        <v>861</v>
      </c>
      <c r="G24" s="289" t="s">
        <v>861</v>
      </c>
      <c r="H24" s="289" t="s">
        <v>861</v>
      </c>
      <c r="I24" s="289" t="s">
        <v>861</v>
      </c>
      <c r="J24" s="289" t="s">
        <v>861</v>
      </c>
    </row>
    <row r="25" spans="2:19">
      <c r="B25" s="201" t="s">
        <v>863</v>
      </c>
      <c r="C25" s="556">
        <v>2896.55751948344</v>
      </c>
      <c r="D25" s="556">
        <v>3274.59376330341</v>
      </c>
      <c r="E25" s="308">
        <f>E19*E26</f>
        <v>2919.7942848613552</v>
      </c>
      <c r="F25" s="308">
        <f t="shared" ref="F25:J25" si="8">F19*F26</f>
        <v>3074.7272694164321</v>
      </c>
      <c r="G25" s="308">
        <f t="shared" si="8"/>
        <v>3178.3950077800819</v>
      </c>
      <c r="H25" s="308">
        <f t="shared" si="8"/>
        <v>3290.9303123465702</v>
      </c>
      <c r="I25" s="308">
        <f t="shared" si="8"/>
        <v>3388.7697825622645</v>
      </c>
      <c r="J25" s="308">
        <f t="shared" si="8"/>
        <v>3587.1377095620769</v>
      </c>
    </row>
    <row r="26" spans="2:19">
      <c r="B26" s="199" t="s">
        <v>864</v>
      </c>
      <c r="C26" s="310">
        <f>C25/C19</f>
        <v>7.0832852113329028E-2</v>
      </c>
      <c r="D26" s="310">
        <f>D25/D19</f>
        <v>8.2037122038866872E-2</v>
      </c>
      <c r="E26" s="309">
        <v>7.0000000000000007E-2</v>
      </c>
      <c r="F26" s="309">
        <v>7.0000000000000007E-2</v>
      </c>
      <c r="G26" s="309">
        <v>7.0000000000000007E-2</v>
      </c>
      <c r="H26" s="309">
        <v>7.0000000000000007E-2</v>
      </c>
      <c r="I26" s="309">
        <v>7.0000000000000007E-2</v>
      </c>
      <c r="J26" s="309">
        <v>7.0000000000000007E-2</v>
      </c>
    </row>
    <row r="27" spans="2:19">
      <c r="B27" s="203" t="s">
        <v>865</v>
      </c>
      <c r="C27" s="204">
        <f>C19+C25</f>
        <v>43789.412078679961</v>
      </c>
      <c r="D27" s="204">
        <f>D19+D25</f>
        <v>43190.593763303412</v>
      </c>
      <c r="E27" s="290">
        <f t="shared" ref="E27:J27" si="9">E19+E26</f>
        <v>41711.416926590784</v>
      </c>
      <c r="F27" s="290">
        <f t="shared" si="9"/>
        <v>43924.745277377595</v>
      </c>
      <c r="G27" s="290">
        <f t="shared" si="9"/>
        <v>45405.712968286876</v>
      </c>
      <c r="H27" s="290">
        <f t="shared" si="9"/>
        <v>47013.360176379567</v>
      </c>
      <c r="I27" s="290">
        <f t="shared" si="9"/>
        <v>48411.066893746633</v>
      </c>
      <c r="J27" s="290">
        <f t="shared" si="9"/>
        <v>51244.894422315381</v>
      </c>
    </row>
    <row r="28" spans="2:19">
      <c r="C28" s="205"/>
      <c r="D28" s="205"/>
      <c r="E28" s="205"/>
      <c r="F28" s="205"/>
      <c r="G28" s="205"/>
      <c r="H28" s="205"/>
      <c r="I28" s="205"/>
      <c r="J28" s="205"/>
    </row>
    <row r="29" spans="2:19">
      <c r="C29" s="205"/>
      <c r="D29" s="205"/>
      <c r="E29" s="205"/>
      <c r="F29" s="205"/>
      <c r="G29" s="205"/>
      <c r="H29" s="205"/>
      <c r="I29" s="205"/>
      <c r="J29" s="205"/>
    </row>
    <row r="30" spans="2:19">
      <c r="C30" s="205"/>
      <c r="D30" s="205"/>
      <c r="E30" s="205"/>
      <c r="F30" s="205"/>
      <c r="G30" s="205"/>
      <c r="H30" s="205"/>
      <c r="I30" s="205"/>
      <c r="J30" s="205"/>
    </row>
    <row r="31" spans="2:19">
      <c r="C31" s="205"/>
      <c r="D31" s="205"/>
      <c r="E31" s="205"/>
      <c r="F31" s="205"/>
      <c r="G31" s="205"/>
      <c r="H31" s="205"/>
      <c r="I31" s="205"/>
      <c r="J31" s="205"/>
    </row>
    <row r="32" spans="2:19">
      <c r="C32" s="205"/>
      <c r="D32" s="205"/>
      <c r="E32" s="205"/>
      <c r="F32" s="205"/>
      <c r="G32" s="205"/>
      <c r="H32" s="205"/>
      <c r="I32" s="205"/>
      <c r="J32" s="205"/>
    </row>
    <row r="33" spans="3:10">
      <c r="C33" s="205"/>
      <c r="D33" s="205"/>
      <c r="E33" s="205"/>
      <c r="F33" s="205"/>
      <c r="G33" s="205"/>
      <c r="H33" s="205"/>
      <c r="I33" s="205"/>
      <c r="J33" s="205"/>
    </row>
    <row r="34" spans="3:10">
      <c r="C34" s="205"/>
      <c r="D34" s="205"/>
      <c r="E34" s="205"/>
      <c r="F34" s="205"/>
      <c r="G34" s="205"/>
      <c r="H34" s="205"/>
      <c r="I34" s="205"/>
      <c r="J34" s="205"/>
    </row>
    <row r="35" spans="3:10">
      <c r="C35" s="205"/>
      <c r="D35" s="205"/>
      <c r="E35" s="205"/>
      <c r="F35" s="205"/>
      <c r="G35" s="205"/>
      <c r="H35" s="205"/>
      <c r="I35" s="205"/>
      <c r="J35" s="205"/>
    </row>
    <row r="36" spans="3:10">
      <c r="C36" s="205"/>
      <c r="D36" s="205"/>
      <c r="E36" s="205"/>
      <c r="F36" s="205"/>
      <c r="G36" s="205"/>
      <c r="H36" s="205"/>
      <c r="I36" s="205"/>
      <c r="J36" s="205"/>
    </row>
    <row r="37" spans="3:10">
      <c r="C37" s="205"/>
      <c r="D37" s="205"/>
      <c r="E37" s="205"/>
      <c r="F37" s="205"/>
      <c r="G37" s="205"/>
      <c r="H37" s="205"/>
      <c r="I37" s="205"/>
      <c r="J37" s="205"/>
    </row>
    <row r="38" spans="3:10">
      <c r="C38" s="205"/>
      <c r="D38" s="205"/>
      <c r="E38" s="205"/>
      <c r="F38" s="205"/>
      <c r="G38" s="205"/>
      <c r="H38" s="205"/>
      <c r="I38" s="205"/>
      <c r="J38" s="205"/>
    </row>
    <row r="39" spans="3:10">
      <c r="C39" s="205"/>
      <c r="D39" s="205"/>
      <c r="E39" s="205"/>
      <c r="F39" s="205"/>
      <c r="G39" s="205"/>
      <c r="H39" s="205"/>
      <c r="I39" s="205"/>
      <c r="J39" s="205"/>
    </row>
    <row r="40" spans="3:10">
      <c r="C40" s="205"/>
      <c r="D40" s="205"/>
      <c r="E40" s="205"/>
      <c r="F40" s="205"/>
      <c r="G40" s="205"/>
      <c r="H40" s="205"/>
      <c r="I40" s="205"/>
      <c r="J40" s="205"/>
    </row>
    <row r="41" spans="3:10">
      <c r="C41" s="205"/>
      <c r="D41" s="205"/>
      <c r="E41" s="205"/>
      <c r="F41" s="205"/>
      <c r="G41" s="205"/>
      <c r="H41" s="205"/>
      <c r="I41" s="205"/>
      <c r="J41" s="205"/>
    </row>
    <row r="42" spans="3:10">
      <c r="C42" s="205"/>
      <c r="D42" s="205"/>
      <c r="E42" s="205"/>
      <c r="F42" s="205"/>
      <c r="G42" s="205"/>
      <c r="H42" s="205"/>
      <c r="I42" s="205"/>
      <c r="J42" s="205"/>
    </row>
    <row r="43" spans="3:10">
      <c r="C43" s="205"/>
      <c r="D43" s="205"/>
      <c r="E43" s="205"/>
      <c r="F43" s="205"/>
      <c r="G43" s="205"/>
      <c r="H43" s="205"/>
      <c r="I43" s="205"/>
      <c r="J43" s="205"/>
    </row>
    <row r="44" spans="3:10">
      <c r="C44" s="205"/>
      <c r="D44" s="205"/>
      <c r="E44" s="205"/>
      <c r="F44" s="205"/>
      <c r="G44" s="205"/>
      <c r="H44" s="205"/>
      <c r="I44" s="205"/>
      <c r="J44" s="205"/>
    </row>
    <row r="45" spans="3:10">
      <c r="C45" s="205"/>
      <c r="D45" s="205"/>
      <c r="E45" s="205"/>
      <c r="F45" s="205"/>
      <c r="G45" s="205"/>
      <c r="H45" s="205"/>
      <c r="I45" s="205"/>
      <c r="J45" s="205"/>
    </row>
    <row r="46" spans="3:10">
      <c r="C46" s="205"/>
      <c r="D46" s="205"/>
      <c r="E46" s="205"/>
      <c r="F46" s="205"/>
      <c r="G46" s="205"/>
      <c r="H46" s="205"/>
      <c r="I46" s="205"/>
      <c r="J46" s="205"/>
    </row>
    <row r="47" spans="3:10">
      <c r="C47" s="205"/>
      <c r="D47" s="205"/>
      <c r="E47" s="205"/>
      <c r="F47" s="205"/>
      <c r="G47" s="205"/>
      <c r="H47" s="205"/>
      <c r="I47" s="205"/>
      <c r="J47" s="205"/>
    </row>
    <row r="48" spans="3:10">
      <c r="C48" s="205"/>
      <c r="D48" s="205"/>
      <c r="E48" s="205"/>
      <c r="F48" s="205"/>
      <c r="G48" s="205"/>
      <c r="H48" s="205"/>
      <c r="I48" s="205"/>
      <c r="J48" s="205"/>
    </row>
    <row r="49" spans="3:10">
      <c r="C49" s="205"/>
      <c r="D49" s="205"/>
      <c r="E49" s="205"/>
      <c r="F49" s="205"/>
      <c r="G49" s="205"/>
      <c r="H49" s="205"/>
      <c r="I49" s="205"/>
      <c r="J49" s="205"/>
    </row>
    <row r="50" spans="3:10">
      <c r="C50" s="205"/>
      <c r="D50" s="205"/>
      <c r="E50" s="205"/>
      <c r="F50" s="205"/>
      <c r="G50" s="205"/>
      <c r="H50" s="205"/>
      <c r="I50" s="205"/>
      <c r="J50" s="205"/>
    </row>
    <row r="51" spans="3:10">
      <c r="C51" s="205"/>
      <c r="D51" s="205"/>
      <c r="E51" s="205"/>
      <c r="F51" s="205"/>
      <c r="G51" s="205"/>
      <c r="H51" s="205"/>
      <c r="I51" s="205"/>
      <c r="J51" s="205"/>
    </row>
    <row r="52" spans="3:10">
      <c r="C52" s="205"/>
      <c r="D52" s="205"/>
      <c r="E52" s="205"/>
      <c r="F52" s="205"/>
      <c r="G52" s="205"/>
      <c r="H52" s="205"/>
      <c r="I52" s="205"/>
      <c r="J52" s="205"/>
    </row>
    <row r="53" spans="3:10">
      <c r="C53" s="205"/>
      <c r="D53" s="205"/>
      <c r="E53" s="205"/>
      <c r="F53" s="205"/>
      <c r="G53" s="205"/>
      <c r="H53" s="205"/>
      <c r="I53" s="205"/>
      <c r="J53" s="205"/>
    </row>
    <row r="54" spans="3:10">
      <c r="C54" s="205"/>
      <c r="D54" s="205"/>
      <c r="E54" s="205"/>
      <c r="F54" s="205"/>
      <c r="G54" s="205"/>
      <c r="H54" s="205"/>
      <c r="I54" s="205"/>
      <c r="J54" s="205"/>
    </row>
    <row r="55" spans="3:10">
      <c r="C55" s="205"/>
      <c r="D55" s="205"/>
      <c r="E55" s="205"/>
      <c r="F55" s="205"/>
      <c r="G55" s="205"/>
      <c r="H55" s="205"/>
      <c r="I55" s="205"/>
      <c r="J55" s="205"/>
    </row>
    <row r="56" spans="3:10">
      <c r="C56" s="205"/>
      <c r="D56" s="205"/>
      <c r="E56" s="205"/>
      <c r="F56" s="205"/>
      <c r="G56" s="205"/>
      <c r="H56" s="205"/>
      <c r="I56" s="205"/>
      <c r="J56" s="205"/>
    </row>
    <row r="57" spans="3:10">
      <c r="C57" s="205"/>
      <c r="D57" s="205"/>
      <c r="E57" s="205"/>
      <c r="F57" s="205"/>
      <c r="G57" s="205"/>
      <c r="H57" s="205"/>
      <c r="I57" s="205"/>
      <c r="J57" s="205"/>
    </row>
    <row r="58" spans="3:10">
      <c r="C58" s="205"/>
      <c r="D58" s="205"/>
      <c r="E58" s="205"/>
      <c r="F58" s="205"/>
      <c r="G58" s="205"/>
      <c r="H58" s="205"/>
      <c r="I58" s="205"/>
      <c r="J58" s="205"/>
    </row>
    <row r="59" spans="3:10">
      <c r="C59" s="205"/>
      <c r="D59" s="205"/>
      <c r="E59" s="205"/>
      <c r="F59" s="205"/>
      <c r="G59" s="205"/>
      <c r="H59" s="205"/>
      <c r="I59" s="205"/>
      <c r="J59" s="205"/>
    </row>
    <row r="60" spans="3:10">
      <c r="C60" s="205"/>
      <c r="D60" s="205"/>
      <c r="E60" s="205"/>
      <c r="F60" s="205"/>
      <c r="G60" s="205"/>
      <c r="H60" s="205"/>
      <c r="I60" s="205"/>
      <c r="J60" s="205"/>
    </row>
    <row r="61" spans="3:10">
      <c r="C61" s="205"/>
      <c r="D61" s="205"/>
      <c r="E61" s="205"/>
      <c r="F61" s="205"/>
      <c r="G61" s="205"/>
      <c r="H61" s="205"/>
      <c r="I61" s="205"/>
      <c r="J61" s="205"/>
    </row>
    <row r="62" spans="3:10">
      <c r="C62" s="205"/>
      <c r="D62" s="205"/>
      <c r="E62" s="205"/>
      <c r="F62" s="205"/>
      <c r="G62" s="205"/>
      <c r="H62" s="205"/>
      <c r="I62" s="205"/>
      <c r="J62" s="205"/>
    </row>
    <row r="63" spans="3:10">
      <c r="C63" s="205"/>
      <c r="D63" s="205"/>
      <c r="E63" s="205"/>
      <c r="F63" s="205"/>
      <c r="G63" s="205"/>
      <c r="H63" s="205"/>
      <c r="I63" s="205"/>
      <c r="J63" s="205"/>
    </row>
    <row r="64" spans="3:10">
      <c r="C64" s="205"/>
      <c r="D64" s="205"/>
      <c r="E64" s="205"/>
      <c r="F64" s="205"/>
      <c r="G64" s="205"/>
      <c r="H64" s="205"/>
      <c r="I64" s="205"/>
      <c r="J64" s="205"/>
    </row>
    <row r="65" spans="1:10">
      <c r="C65" s="205"/>
      <c r="D65" s="205"/>
      <c r="E65" s="205"/>
      <c r="F65" s="205"/>
      <c r="G65" s="205"/>
      <c r="H65" s="205"/>
      <c r="I65" s="205"/>
      <c r="J65" s="205"/>
    </row>
    <row r="66" spans="1:10">
      <c r="C66" s="205"/>
      <c r="D66" s="205"/>
      <c r="E66" s="205"/>
      <c r="F66" s="205"/>
      <c r="G66" s="205"/>
      <c r="H66" s="205"/>
      <c r="I66" s="205"/>
      <c r="J66" s="205"/>
    </row>
    <row r="67" spans="1:10">
      <c r="C67" s="205"/>
      <c r="D67" s="205"/>
      <c r="E67" s="205"/>
      <c r="F67" s="205"/>
      <c r="G67" s="205"/>
      <c r="H67" s="205"/>
      <c r="I67" s="205"/>
      <c r="J67" s="205"/>
    </row>
    <row r="68" spans="1:10">
      <c r="C68" s="178" t="s">
        <v>552</v>
      </c>
      <c r="D68" s="205"/>
      <c r="E68" s="205"/>
      <c r="F68" s="205"/>
      <c r="G68" s="205"/>
      <c r="H68" s="205"/>
      <c r="I68" s="205"/>
      <c r="J68" s="205"/>
    </row>
    <row r="69" spans="1:10">
      <c r="C69" s="178">
        <v>2015</v>
      </c>
      <c r="D69" s="178">
        <v>2018</v>
      </c>
      <c r="E69" s="178">
        <v>2023</v>
      </c>
      <c r="F69" s="178">
        <v>2028</v>
      </c>
      <c r="G69" s="178">
        <v>2033</v>
      </c>
      <c r="H69" s="178">
        <v>2038</v>
      </c>
      <c r="I69" s="178">
        <v>2043</v>
      </c>
      <c r="J69" s="178">
        <v>2050</v>
      </c>
    </row>
    <row r="70" spans="1:10" ht="17.25">
      <c r="A70" s="179">
        <v>2</v>
      </c>
      <c r="B70" s="180" t="s">
        <v>866</v>
      </c>
      <c r="C70" s="206">
        <v>42895</v>
      </c>
      <c r="D70" s="206">
        <v>43126</v>
      </c>
      <c r="E70" s="202" t="e">
        <f t="shared" ref="E70:J70" si="10">E90</f>
        <v>#REF!</v>
      </c>
      <c r="F70" s="202" t="e">
        <f t="shared" si="10"/>
        <v>#REF!</v>
      </c>
      <c r="G70" s="202" t="e">
        <f t="shared" si="10"/>
        <v>#REF!</v>
      </c>
      <c r="H70" s="202" t="e">
        <f t="shared" si="10"/>
        <v>#REF!</v>
      </c>
      <c r="I70" s="202" t="e">
        <f t="shared" si="10"/>
        <v>#REF!</v>
      </c>
      <c r="J70" s="202" t="e">
        <f t="shared" si="10"/>
        <v>#REF!</v>
      </c>
    </row>
    <row r="71" spans="1:10">
      <c r="B71" s="180" t="s">
        <v>842</v>
      </c>
      <c r="C71" s="206"/>
      <c r="D71" s="206"/>
      <c r="E71" s="206" t="e">
        <f t="shared" ref="E71:J71" si="11">E70*E81</f>
        <v>#REF!</v>
      </c>
      <c r="F71" s="206" t="e">
        <f t="shared" si="11"/>
        <v>#REF!</v>
      </c>
      <c r="G71" s="206" t="e">
        <f t="shared" si="11"/>
        <v>#REF!</v>
      </c>
      <c r="H71" s="206" t="e">
        <f t="shared" si="11"/>
        <v>#REF!</v>
      </c>
      <c r="I71" s="206" t="e">
        <f t="shared" si="11"/>
        <v>#REF!</v>
      </c>
      <c r="J71" s="206" t="e">
        <f t="shared" si="11"/>
        <v>#REF!</v>
      </c>
    </row>
    <row r="72" spans="1:10">
      <c r="B72" s="187" t="s">
        <v>843</v>
      </c>
      <c r="C72" s="206">
        <v>24285</v>
      </c>
      <c r="D72" s="206">
        <v>26027</v>
      </c>
      <c r="E72" s="206">
        <f>AVERAGE(C72:D72)</f>
        <v>25156</v>
      </c>
      <c r="F72" s="202">
        <v>25156</v>
      </c>
      <c r="G72" s="202">
        <v>25156</v>
      </c>
      <c r="H72" s="202">
        <v>25156</v>
      </c>
      <c r="I72" s="202">
        <v>25156</v>
      </c>
      <c r="J72" s="202">
        <v>25156</v>
      </c>
    </row>
    <row r="73" spans="1:10">
      <c r="B73" s="187" t="s">
        <v>844</v>
      </c>
      <c r="C73" s="206">
        <v>7410</v>
      </c>
      <c r="D73" s="206">
        <v>7510</v>
      </c>
      <c r="E73" s="184">
        <f t="shared" ref="E73:J73" si="12">E$13*$D73/($D$9+$D$11)</f>
        <v>6237.7776219709394</v>
      </c>
      <c r="F73" s="184">
        <f t="shared" si="12"/>
        <v>10417.559345054811</v>
      </c>
      <c r="G73" s="184">
        <f t="shared" si="12"/>
        <v>12763.149230066992</v>
      </c>
      <c r="H73" s="184">
        <f t="shared" si="12"/>
        <v>13444.021631010231</v>
      </c>
      <c r="I73" s="184">
        <f t="shared" si="12"/>
        <v>13952.09118576835</v>
      </c>
      <c r="J73" s="184">
        <f t="shared" si="12"/>
        <v>15015.107560904802</v>
      </c>
    </row>
    <row r="74" spans="1:10">
      <c r="B74" s="187" t="s">
        <v>845</v>
      </c>
      <c r="C74" s="202">
        <v>244</v>
      </c>
      <c r="D74" s="202">
        <v>261</v>
      </c>
      <c r="E74" s="184">
        <v>270</v>
      </c>
      <c r="F74" s="184">
        <v>320</v>
      </c>
      <c r="G74" s="184">
        <v>370</v>
      </c>
      <c r="H74" s="184">
        <v>420</v>
      </c>
      <c r="I74" s="184">
        <v>470</v>
      </c>
      <c r="J74" s="184">
        <v>520</v>
      </c>
    </row>
    <row r="75" spans="1:10">
      <c r="B75" s="187" t="s">
        <v>846</v>
      </c>
      <c r="C75" s="206">
        <v>2340</v>
      </c>
      <c r="D75" s="206">
        <v>2047</v>
      </c>
      <c r="E75" s="184">
        <f t="shared" ref="E75:J75" si="13">E$13*$D75/($D$9+$D$11)</f>
        <v>1700.2304650032643</v>
      </c>
      <c r="F75" s="184">
        <f t="shared" si="13"/>
        <v>2839.5131796707319</v>
      </c>
      <c r="G75" s="184">
        <f t="shared" si="13"/>
        <v>3478.8503959982868</v>
      </c>
      <c r="H75" s="184">
        <f t="shared" si="13"/>
        <v>3664.4357228599129</v>
      </c>
      <c r="I75" s="184">
        <f t="shared" si="13"/>
        <v>3802.9201940436506</v>
      </c>
      <c r="J75" s="184">
        <f t="shared" si="13"/>
        <v>4092.6664683318418</v>
      </c>
    </row>
    <row r="76" spans="1:10" ht="17.25">
      <c r="B76" s="187" t="s">
        <v>867</v>
      </c>
      <c r="C76" s="202">
        <v>36</v>
      </c>
      <c r="D76" s="202">
        <v>98</v>
      </c>
      <c r="E76" s="184">
        <f>'5. Energy'!D57</f>
        <v>133.83125000000001</v>
      </c>
      <c r="F76" s="184">
        <f>'5. Energy'!E57</f>
        <v>292.86687499999999</v>
      </c>
      <c r="G76" s="184">
        <f>'5. Energy'!F57</f>
        <v>516.67437500000005</v>
      </c>
      <c r="H76" s="184">
        <f>'5. Energy'!G57</f>
        <v>1086.3912499999999</v>
      </c>
      <c r="I76" s="184">
        <f>'5. Energy'!H57</f>
        <v>1696.900625</v>
      </c>
      <c r="J76" s="184">
        <f>'5. Energy'!I57</f>
        <v>2938.3156250000002</v>
      </c>
    </row>
    <row r="77" spans="1:10">
      <c r="B77" s="187" t="s">
        <v>868</v>
      </c>
      <c r="C77" s="202"/>
      <c r="D77" s="202"/>
      <c r="E77" s="206" t="e">
        <f>E71-E72-E74-E76</f>
        <v>#REF!</v>
      </c>
      <c r="F77" s="206" t="e">
        <f t="shared" ref="F77:J77" si="14">F71-F72-F74-F76</f>
        <v>#REF!</v>
      </c>
      <c r="G77" s="206" t="e">
        <f t="shared" si="14"/>
        <v>#REF!</v>
      </c>
      <c r="H77" s="206" t="e">
        <f t="shared" si="14"/>
        <v>#REF!</v>
      </c>
      <c r="I77" s="206" t="e">
        <f t="shared" si="14"/>
        <v>#REF!</v>
      </c>
      <c r="J77" s="206" t="e">
        <f t="shared" si="14"/>
        <v>#REF!</v>
      </c>
    </row>
    <row r="78" spans="1:10">
      <c r="B78" s="191" t="s">
        <v>854</v>
      </c>
      <c r="C78" s="202">
        <v>1</v>
      </c>
      <c r="D78" s="202">
        <v>11</v>
      </c>
      <c r="E78" s="202">
        <v>5</v>
      </c>
      <c r="F78" s="202">
        <v>5</v>
      </c>
      <c r="G78" s="202">
        <v>5</v>
      </c>
      <c r="H78" s="202">
        <v>5</v>
      </c>
      <c r="I78" s="202">
        <v>5</v>
      </c>
      <c r="J78" s="202">
        <v>5</v>
      </c>
    </row>
    <row r="79" spans="1:10">
      <c r="B79" s="191" t="s">
        <v>223</v>
      </c>
      <c r="C79" s="206">
        <v>1753</v>
      </c>
      <c r="D79" s="206">
        <v>1479</v>
      </c>
      <c r="E79" s="181" t="e">
        <f t="shared" ref="E79:J79" si="15">(E70-E71-E78)*($D79/($D79+$D80))</f>
        <v>#REF!</v>
      </c>
      <c r="F79" s="181" t="e">
        <f t="shared" si="15"/>
        <v>#REF!</v>
      </c>
      <c r="G79" s="181" t="e">
        <f t="shared" si="15"/>
        <v>#REF!</v>
      </c>
      <c r="H79" s="181" t="e">
        <f t="shared" si="15"/>
        <v>#REF!</v>
      </c>
      <c r="I79" s="181" t="e">
        <f t="shared" si="15"/>
        <v>#REF!</v>
      </c>
      <c r="J79" s="181" t="e">
        <f t="shared" si="15"/>
        <v>#REF!</v>
      </c>
    </row>
    <row r="80" spans="1:10">
      <c r="B80" s="191" t="s">
        <v>218</v>
      </c>
      <c r="C80" s="206">
        <v>6428</v>
      </c>
      <c r="D80" s="206">
        <v>5356</v>
      </c>
      <c r="E80" s="181" t="e">
        <f t="shared" ref="E80:J80" si="16">(E70-E71-E78)*($D80/($D79+$D80))</f>
        <v>#REF!</v>
      </c>
      <c r="F80" s="181" t="e">
        <f t="shared" si="16"/>
        <v>#REF!</v>
      </c>
      <c r="G80" s="181" t="e">
        <f t="shared" si="16"/>
        <v>#REF!</v>
      </c>
      <c r="H80" s="181" t="e">
        <f t="shared" si="16"/>
        <v>#REF!</v>
      </c>
      <c r="I80" s="181" t="e">
        <f t="shared" si="16"/>
        <v>#REF!</v>
      </c>
      <c r="J80" s="181" t="e">
        <f t="shared" si="16"/>
        <v>#REF!</v>
      </c>
    </row>
    <row r="81" spans="1:11">
      <c r="B81" s="207" t="s">
        <v>857</v>
      </c>
      <c r="C81" s="196">
        <v>0.80800000000000005</v>
      </c>
      <c r="D81" s="196">
        <v>0.84</v>
      </c>
      <c r="E81" s="197">
        <f>N$7</f>
        <v>0.83</v>
      </c>
      <c r="F81" s="197">
        <f t="shared" ref="F81:J81" si="17">O$7</f>
        <v>0.84</v>
      </c>
      <c r="G81" s="197">
        <f t="shared" si="17"/>
        <v>0.85</v>
      </c>
      <c r="H81" s="197">
        <f t="shared" si="17"/>
        <v>0.86</v>
      </c>
      <c r="I81" s="197">
        <f t="shared" si="17"/>
        <v>0.87</v>
      </c>
      <c r="J81" s="197">
        <f t="shared" si="17"/>
        <v>0.88</v>
      </c>
      <c r="K81" s="208"/>
    </row>
    <row r="82" spans="1:11">
      <c r="C82" s="205"/>
      <c r="D82" s="205"/>
      <c r="E82" s="205"/>
      <c r="F82" s="205"/>
      <c r="G82" s="205"/>
      <c r="H82" s="205"/>
      <c r="I82" s="205"/>
      <c r="J82" s="205"/>
      <c r="K82" s="208"/>
    </row>
    <row r="83" spans="1:11" ht="17.25">
      <c r="B83" s="1" t="s">
        <v>869</v>
      </c>
      <c r="C83" s="198">
        <v>40447.392688444903</v>
      </c>
      <c r="D83" s="198">
        <v>39916.258384385052</v>
      </c>
      <c r="E83" s="178">
        <v>40000</v>
      </c>
      <c r="F83" s="178">
        <v>45000</v>
      </c>
      <c r="G83" s="178">
        <v>50000</v>
      </c>
      <c r="H83" s="178">
        <v>55000</v>
      </c>
      <c r="I83" s="178">
        <v>60000</v>
      </c>
      <c r="J83" s="178">
        <v>65000</v>
      </c>
      <c r="K83" s="208"/>
    </row>
    <row r="84" spans="1:11">
      <c r="B84" s="199" t="s">
        <v>870</v>
      </c>
      <c r="C84" s="209">
        <v>2847.4450078054201</v>
      </c>
      <c r="D84" s="209">
        <v>2343.4500510615899</v>
      </c>
      <c r="E84" s="202"/>
      <c r="F84" s="202"/>
      <c r="G84" s="202"/>
      <c r="H84" s="202"/>
      <c r="I84" s="202"/>
      <c r="J84" s="202"/>
      <c r="K84" s="208"/>
    </row>
    <row r="85" spans="1:11">
      <c r="B85" s="199" t="s">
        <v>82</v>
      </c>
      <c r="C85" s="209">
        <v>14590.752958919798</v>
      </c>
      <c r="D85" s="209">
        <v>14662.635368008476</v>
      </c>
      <c r="E85" s="210"/>
      <c r="F85" s="202"/>
      <c r="G85" s="202"/>
      <c r="H85" s="202"/>
      <c r="I85" s="202"/>
      <c r="J85" s="202"/>
      <c r="K85" s="208"/>
    </row>
    <row r="86" spans="1:11">
      <c r="B86" s="199" t="s">
        <v>871</v>
      </c>
      <c r="C86" s="209">
        <v>9573.6463847364703</v>
      </c>
      <c r="D86" s="209">
        <v>9566.6612470750806</v>
      </c>
      <c r="E86" s="202"/>
      <c r="F86" s="202"/>
      <c r="G86" s="202"/>
      <c r="H86" s="202"/>
      <c r="I86" s="202"/>
      <c r="J86" s="202"/>
    </row>
    <row r="87" spans="1:11">
      <c r="B87" s="199" t="s">
        <v>470</v>
      </c>
      <c r="C87" s="209">
        <v>12570.947951083201</v>
      </c>
      <c r="D87" s="209">
        <v>12702.6470626399</v>
      </c>
      <c r="E87" s="202"/>
      <c r="F87" s="202"/>
      <c r="G87" s="202"/>
      <c r="H87" s="202"/>
      <c r="I87" s="202"/>
      <c r="J87" s="202"/>
    </row>
    <row r="88" spans="1:11">
      <c r="B88" s="199" t="s">
        <v>872</v>
      </c>
      <c r="C88" s="210">
        <f>C70-C83</f>
        <v>2447.6073115550971</v>
      </c>
      <c r="D88" s="210">
        <f>D70-D83</f>
        <v>3209.7416156149484</v>
      </c>
      <c r="E88" s="202"/>
      <c r="F88" s="202"/>
      <c r="G88" s="202"/>
      <c r="H88" s="206"/>
      <c r="I88" s="202"/>
      <c r="J88" s="202"/>
    </row>
    <row r="89" spans="1:11">
      <c r="B89" s="199" t="s">
        <v>864</v>
      </c>
      <c r="C89" s="202">
        <f>C88/C83</f>
        <v>6.0513352007837445E-2</v>
      </c>
      <c r="D89" s="202">
        <f>D88/D83</f>
        <v>8.0411885921416321E-2</v>
      </c>
      <c r="E89" s="202" t="e">
        <f>E83*#REF!</f>
        <v>#REF!</v>
      </c>
      <c r="F89" s="202" t="e">
        <f>F83*#REF!</f>
        <v>#REF!</v>
      </c>
      <c r="G89" s="202" t="e">
        <f>G83*#REF!</f>
        <v>#REF!</v>
      </c>
      <c r="H89" s="202" t="e">
        <f>H83*#REF!</f>
        <v>#REF!</v>
      </c>
      <c r="I89" s="202" t="e">
        <f>I83*#REF!</f>
        <v>#REF!</v>
      </c>
      <c r="J89" s="202" t="e">
        <f>J83*#REF!</f>
        <v>#REF!</v>
      </c>
    </row>
    <row r="90" spans="1:11">
      <c r="B90" s="203" t="s">
        <v>865</v>
      </c>
      <c r="C90" s="195">
        <f t="shared" ref="C90:J90" si="18">C83+C89</f>
        <v>40447.45320179691</v>
      </c>
      <c r="D90" s="195">
        <f t="shared" si="18"/>
        <v>39916.338796270975</v>
      </c>
      <c r="E90" s="195" t="e">
        <f t="shared" si="18"/>
        <v>#REF!</v>
      </c>
      <c r="F90" s="195" t="e">
        <f t="shared" si="18"/>
        <v>#REF!</v>
      </c>
      <c r="G90" s="195" t="e">
        <f t="shared" si="18"/>
        <v>#REF!</v>
      </c>
      <c r="H90" s="195" t="e">
        <f t="shared" si="18"/>
        <v>#REF!</v>
      </c>
      <c r="I90" s="195" t="e">
        <f t="shared" si="18"/>
        <v>#REF!</v>
      </c>
      <c r="J90" s="195" t="e">
        <f t="shared" si="18"/>
        <v>#REF!</v>
      </c>
    </row>
    <row r="91" spans="1:11">
      <c r="B91" s="211"/>
      <c r="C91" s="205"/>
      <c r="D91" s="205"/>
      <c r="E91" s="205"/>
      <c r="F91" s="205"/>
      <c r="G91" s="205"/>
      <c r="H91" s="205"/>
      <c r="I91" s="205"/>
      <c r="J91" s="205"/>
    </row>
    <row r="93" spans="1:11">
      <c r="C93" s="178" t="s">
        <v>552</v>
      </c>
    </row>
    <row r="94" spans="1:11">
      <c r="C94" s="178">
        <v>2015</v>
      </c>
      <c r="D94" s="178">
        <v>2018</v>
      </c>
      <c r="E94" s="178">
        <v>2023</v>
      </c>
      <c r="F94" s="178">
        <v>2028</v>
      </c>
      <c r="G94" s="178">
        <v>2033</v>
      </c>
      <c r="H94" s="178">
        <v>2038</v>
      </c>
      <c r="I94" s="178">
        <v>2043</v>
      </c>
      <c r="J94" s="178">
        <v>2050</v>
      </c>
    </row>
    <row r="95" spans="1:11" ht="17.25">
      <c r="A95" s="179">
        <v>3</v>
      </c>
      <c r="B95" s="180" t="s">
        <v>866</v>
      </c>
      <c r="C95" s="181">
        <v>42895</v>
      </c>
      <c r="D95" s="181">
        <v>43126</v>
      </c>
      <c r="E95" s="35" t="e">
        <f t="shared" ref="E95:J95" si="19">E115</f>
        <v>#REF!</v>
      </c>
      <c r="F95" s="35" t="e">
        <f t="shared" si="19"/>
        <v>#REF!</v>
      </c>
      <c r="G95" s="35" t="e">
        <f t="shared" si="19"/>
        <v>#REF!</v>
      </c>
      <c r="H95" s="35" t="e">
        <f t="shared" si="19"/>
        <v>#REF!</v>
      </c>
      <c r="I95" s="35" t="e">
        <f t="shared" si="19"/>
        <v>#REF!</v>
      </c>
      <c r="J95" s="35" t="e">
        <f t="shared" si="19"/>
        <v>#REF!</v>
      </c>
    </row>
    <row r="96" spans="1:11">
      <c r="B96" s="180" t="s">
        <v>842</v>
      </c>
      <c r="C96" s="181"/>
      <c r="D96" s="181"/>
      <c r="E96" s="181" t="e">
        <f t="shared" ref="E96:J96" si="20">E95*E106</f>
        <v>#REF!</v>
      </c>
      <c r="F96" s="181" t="e">
        <f t="shared" si="20"/>
        <v>#REF!</v>
      </c>
      <c r="G96" s="181" t="e">
        <f t="shared" si="20"/>
        <v>#REF!</v>
      </c>
      <c r="H96" s="181" t="e">
        <f t="shared" si="20"/>
        <v>#REF!</v>
      </c>
      <c r="I96" s="181" t="e">
        <f t="shared" si="20"/>
        <v>#REF!</v>
      </c>
      <c r="J96" s="181" t="e">
        <f t="shared" si="20"/>
        <v>#REF!</v>
      </c>
    </row>
    <row r="97" spans="2:10">
      <c r="B97" s="187" t="s">
        <v>843</v>
      </c>
      <c r="C97" s="206">
        <v>24285</v>
      </c>
      <c r="D97" s="206">
        <v>26027</v>
      </c>
      <c r="E97" s="206">
        <f>AVERAGE(C97:D97)</f>
        <v>25156</v>
      </c>
      <c r="F97" s="202">
        <v>25156</v>
      </c>
      <c r="G97" s="202">
        <v>25156</v>
      </c>
      <c r="H97" s="202">
        <v>25156</v>
      </c>
      <c r="I97" s="202">
        <v>25156</v>
      </c>
      <c r="J97" s="202">
        <v>25156</v>
      </c>
    </row>
    <row r="98" spans="2:10">
      <c r="B98" s="187" t="s">
        <v>844</v>
      </c>
      <c r="C98" s="206">
        <v>7410</v>
      </c>
      <c r="D98" s="206">
        <v>7510</v>
      </c>
      <c r="E98" s="184">
        <f t="shared" ref="E98:J98" si="21">E$13*$D98/($D$9+$D$11)</f>
        <v>6237.7776219709394</v>
      </c>
      <c r="F98" s="184">
        <f t="shared" si="21"/>
        <v>10417.559345054811</v>
      </c>
      <c r="G98" s="184">
        <f t="shared" si="21"/>
        <v>12763.149230066992</v>
      </c>
      <c r="H98" s="184">
        <f t="shared" si="21"/>
        <v>13444.021631010231</v>
      </c>
      <c r="I98" s="184">
        <f t="shared" si="21"/>
        <v>13952.09118576835</v>
      </c>
      <c r="J98" s="184">
        <f t="shared" si="21"/>
        <v>15015.107560904802</v>
      </c>
    </row>
    <row r="99" spans="2:10">
      <c r="B99" s="187" t="s">
        <v>845</v>
      </c>
      <c r="C99" s="202">
        <v>244</v>
      </c>
      <c r="D99" s="202">
        <v>261</v>
      </c>
      <c r="E99" s="184">
        <v>270</v>
      </c>
      <c r="F99" s="184">
        <v>320</v>
      </c>
      <c r="G99" s="184">
        <v>370</v>
      </c>
      <c r="H99" s="184">
        <v>420</v>
      </c>
      <c r="I99" s="184">
        <v>470</v>
      </c>
      <c r="J99" s="184">
        <v>520</v>
      </c>
    </row>
    <row r="100" spans="2:10">
      <c r="B100" s="187" t="s">
        <v>846</v>
      </c>
      <c r="C100" s="206">
        <v>2340</v>
      </c>
      <c r="D100" s="206">
        <v>2047</v>
      </c>
      <c r="E100" s="184">
        <f t="shared" ref="E100:J100" si="22">E$13*$D100/($D$9+$D$11)</f>
        <v>1700.2304650032643</v>
      </c>
      <c r="F100" s="184">
        <f t="shared" si="22"/>
        <v>2839.5131796707319</v>
      </c>
      <c r="G100" s="184">
        <f t="shared" si="22"/>
        <v>3478.8503959982868</v>
      </c>
      <c r="H100" s="184">
        <f t="shared" si="22"/>
        <v>3664.4357228599129</v>
      </c>
      <c r="I100" s="184">
        <f t="shared" si="22"/>
        <v>3802.9201940436506</v>
      </c>
      <c r="J100" s="184">
        <f t="shared" si="22"/>
        <v>4092.6664683318418</v>
      </c>
    </row>
    <row r="101" spans="2:10" ht="17.25">
      <c r="B101" s="187" t="s">
        <v>867</v>
      </c>
      <c r="C101" s="202">
        <v>36</v>
      </c>
      <c r="D101" s="202">
        <v>98</v>
      </c>
      <c r="E101" s="184">
        <f>'5. Energy'!D57</f>
        <v>133.83125000000001</v>
      </c>
      <c r="F101" s="184">
        <f>'5. Energy'!E57</f>
        <v>292.86687499999999</v>
      </c>
      <c r="G101" s="184">
        <f>'5. Energy'!F57</f>
        <v>516.67437500000005</v>
      </c>
      <c r="H101" s="184">
        <f>'5. Energy'!G57</f>
        <v>1086.3912499999999</v>
      </c>
      <c r="I101" s="184">
        <f>'5. Energy'!H57</f>
        <v>1696.900625</v>
      </c>
      <c r="J101" s="184">
        <f>'5. Energy'!I57</f>
        <v>2938.3156250000002</v>
      </c>
    </row>
    <row r="102" spans="2:10">
      <c r="B102" s="187" t="s">
        <v>868</v>
      </c>
      <c r="C102" s="202"/>
      <c r="D102" s="202"/>
      <c r="E102" s="206" t="e">
        <f>E96-E97-E99-E101</f>
        <v>#REF!</v>
      </c>
      <c r="F102" s="206" t="e">
        <f t="shared" ref="F102:J102" si="23">F96-F97-F99-F101</f>
        <v>#REF!</v>
      </c>
      <c r="G102" s="206" t="e">
        <f t="shared" si="23"/>
        <v>#REF!</v>
      </c>
      <c r="H102" s="206" t="e">
        <f t="shared" si="23"/>
        <v>#REF!</v>
      </c>
      <c r="I102" s="206" t="e">
        <f t="shared" si="23"/>
        <v>#REF!</v>
      </c>
      <c r="J102" s="206" t="e">
        <f t="shared" si="23"/>
        <v>#REF!</v>
      </c>
    </row>
    <row r="103" spans="2:10">
      <c r="B103" s="191" t="s">
        <v>854</v>
      </c>
      <c r="C103" s="202">
        <v>1</v>
      </c>
      <c r="D103" s="202">
        <v>11</v>
      </c>
      <c r="E103" s="202">
        <v>5</v>
      </c>
      <c r="F103" s="202">
        <v>5</v>
      </c>
      <c r="G103" s="202">
        <v>5</v>
      </c>
      <c r="H103" s="202">
        <v>5</v>
      </c>
      <c r="I103" s="202">
        <v>5</v>
      </c>
      <c r="J103" s="202">
        <v>5</v>
      </c>
    </row>
    <row r="104" spans="2:10">
      <c r="B104" s="191" t="s">
        <v>223</v>
      </c>
      <c r="C104" s="206">
        <v>1753</v>
      </c>
      <c r="D104" s="206">
        <v>1479</v>
      </c>
      <c r="E104" s="181" t="e">
        <f t="shared" ref="E104:J104" si="24">(E95-E96-E103)*($D104/($D104+$D105))</f>
        <v>#REF!</v>
      </c>
      <c r="F104" s="181" t="e">
        <f t="shared" si="24"/>
        <v>#REF!</v>
      </c>
      <c r="G104" s="181" t="e">
        <f t="shared" si="24"/>
        <v>#REF!</v>
      </c>
      <c r="H104" s="181" t="e">
        <f t="shared" si="24"/>
        <v>#REF!</v>
      </c>
      <c r="I104" s="181" t="e">
        <f t="shared" si="24"/>
        <v>#REF!</v>
      </c>
      <c r="J104" s="181" t="e">
        <f t="shared" si="24"/>
        <v>#REF!</v>
      </c>
    </row>
    <row r="105" spans="2:10">
      <c r="B105" s="191" t="s">
        <v>218</v>
      </c>
      <c r="C105" s="206">
        <v>6428</v>
      </c>
      <c r="D105" s="206">
        <v>5356</v>
      </c>
      <c r="E105" s="181" t="e">
        <f t="shared" ref="E105:J105" si="25">(E95-E96-E103)*($D105/($D104+$D105))</f>
        <v>#REF!</v>
      </c>
      <c r="F105" s="181" t="e">
        <f t="shared" si="25"/>
        <v>#REF!</v>
      </c>
      <c r="G105" s="181" t="e">
        <f t="shared" si="25"/>
        <v>#REF!</v>
      </c>
      <c r="H105" s="181" t="e">
        <f t="shared" si="25"/>
        <v>#REF!</v>
      </c>
      <c r="I105" s="181" t="e">
        <f t="shared" si="25"/>
        <v>#REF!</v>
      </c>
      <c r="J105" s="181" t="e">
        <f t="shared" si="25"/>
        <v>#REF!</v>
      </c>
    </row>
    <row r="106" spans="2:10">
      <c r="B106" s="194" t="s">
        <v>857</v>
      </c>
      <c r="C106" s="196">
        <v>0.80800000000000005</v>
      </c>
      <c r="D106" s="196">
        <v>0.84</v>
      </c>
      <c r="E106" s="197">
        <f>N$8</f>
        <v>0.84</v>
      </c>
      <c r="F106" s="197">
        <f t="shared" ref="F106:J106" si="26">O$8</f>
        <v>0.87</v>
      </c>
      <c r="G106" s="197">
        <f t="shared" si="26"/>
        <v>0.9</v>
      </c>
      <c r="H106" s="197">
        <f t="shared" si="26"/>
        <v>0.92</v>
      </c>
      <c r="I106" s="197">
        <f t="shared" si="26"/>
        <v>0.93</v>
      </c>
      <c r="J106" s="197">
        <f t="shared" si="26"/>
        <v>0.94</v>
      </c>
    </row>
    <row r="107" spans="2:10">
      <c r="C107" s="205"/>
      <c r="D107" s="205"/>
      <c r="E107" s="205"/>
      <c r="F107" s="205"/>
      <c r="G107" s="205"/>
      <c r="H107" s="205"/>
      <c r="I107" s="205"/>
      <c r="J107" s="205"/>
    </row>
    <row r="108" spans="2:10" ht="17.25">
      <c r="B108" s="1" t="s">
        <v>873</v>
      </c>
      <c r="C108" s="198">
        <v>40447.392688444903</v>
      </c>
      <c r="D108" s="198">
        <v>39916.258384385052</v>
      </c>
      <c r="E108" s="178">
        <v>40000</v>
      </c>
      <c r="F108" s="178">
        <v>45000</v>
      </c>
      <c r="G108" s="178">
        <v>50000</v>
      </c>
      <c r="H108" s="178">
        <v>55000</v>
      </c>
      <c r="I108" s="178">
        <v>60000</v>
      </c>
      <c r="J108" s="178">
        <v>65000</v>
      </c>
    </row>
    <row r="109" spans="2:10">
      <c r="B109" s="199" t="s">
        <v>870</v>
      </c>
      <c r="C109" s="200">
        <v>2847.4450078054201</v>
      </c>
      <c r="D109" s="200">
        <v>2343.4500510615899</v>
      </c>
      <c r="E109" s="35"/>
      <c r="F109" s="35"/>
      <c r="G109" s="35"/>
      <c r="H109" s="35"/>
      <c r="I109" s="35"/>
      <c r="J109" s="35"/>
    </row>
    <row r="110" spans="2:10">
      <c r="B110" s="199" t="s">
        <v>82</v>
      </c>
      <c r="C110" s="200">
        <v>14590.752958919798</v>
      </c>
      <c r="D110" s="200">
        <v>14662.635368008476</v>
      </c>
      <c r="E110" s="45"/>
      <c r="F110" s="35"/>
      <c r="G110" s="35"/>
      <c r="H110" s="35"/>
      <c r="I110" s="35"/>
      <c r="J110" s="35"/>
    </row>
    <row r="111" spans="2:10">
      <c r="B111" s="199" t="s">
        <v>871</v>
      </c>
      <c r="C111" s="200">
        <v>9573.6463847364703</v>
      </c>
      <c r="D111" s="200">
        <v>9566.6612470750806</v>
      </c>
      <c r="E111" s="35"/>
      <c r="F111" s="35"/>
      <c r="G111" s="35"/>
      <c r="H111" s="35"/>
      <c r="I111" s="35"/>
      <c r="J111" s="35"/>
    </row>
    <row r="112" spans="2:10">
      <c r="B112" s="199" t="s">
        <v>470</v>
      </c>
      <c r="C112" s="200">
        <v>12570.947951083201</v>
      </c>
      <c r="D112" s="200">
        <v>12702.6470626399</v>
      </c>
      <c r="E112" s="35"/>
      <c r="F112" s="35"/>
      <c r="G112" s="35"/>
      <c r="H112" s="35"/>
      <c r="I112" s="35"/>
      <c r="J112" s="35"/>
    </row>
    <row r="113" spans="1:10">
      <c r="B113" s="199" t="s">
        <v>872</v>
      </c>
      <c r="C113" s="45">
        <f>C95-C108</f>
        <v>2447.6073115550971</v>
      </c>
      <c r="D113" s="45">
        <f>D95-D108</f>
        <v>3209.7416156149484</v>
      </c>
      <c r="E113" s="35"/>
      <c r="F113" s="35"/>
      <c r="G113" s="35"/>
      <c r="H113" s="181"/>
      <c r="I113" s="35"/>
      <c r="J113" s="35"/>
    </row>
    <row r="114" spans="1:10">
      <c r="B114" s="199" t="s">
        <v>864</v>
      </c>
      <c r="C114" s="202">
        <f>C113/C108</f>
        <v>6.0513352007837445E-2</v>
      </c>
      <c r="D114" s="202">
        <f>D113/D108</f>
        <v>8.0411885921416321E-2</v>
      </c>
      <c r="E114" s="202" t="e">
        <f>E108*#REF!</f>
        <v>#REF!</v>
      </c>
      <c r="F114" s="202" t="e">
        <f>F108*#REF!</f>
        <v>#REF!</v>
      </c>
      <c r="G114" s="202" t="e">
        <f>G108*#REF!</f>
        <v>#REF!</v>
      </c>
      <c r="H114" s="202" t="e">
        <f>H108*#REF!</f>
        <v>#REF!</v>
      </c>
      <c r="I114" s="202" t="e">
        <f>I108*#REF!</f>
        <v>#REF!</v>
      </c>
      <c r="J114" s="202" t="e">
        <f>J108*#REF!</f>
        <v>#REF!</v>
      </c>
    </row>
    <row r="115" spans="1:10">
      <c r="B115" s="199" t="s">
        <v>865</v>
      </c>
      <c r="C115" s="202">
        <f t="shared" ref="C115:J115" si="27">C108+C114</f>
        <v>40447.45320179691</v>
      </c>
      <c r="D115" s="202">
        <f t="shared" si="27"/>
        <v>39916.338796270975</v>
      </c>
      <c r="E115" s="202" t="e">
        <f t="shared" si="27"/>
        <v>#REF!</v>
      </c>
      <c r="F115" s="202" t="e">
        <f t="shared" si="27"/>
        <v>#REF!</v>
      </c>
      <c r="G115" s="202" t="e">
        <f t="shared" si="27"/>
        <v>#REF!</v>
      </c>
      <c r="H115" s="202" t="e">
        <f t="shared" si="27"/>
        <v>#REF!</v>
      </c>
      <c r="I115" s="202" t="e">
        <f t="shared" si="27"/>
        <v>#REF!</v>
      </c>
      <c r="J115" s="202" t="e">
        <f t="shared" si="27"/>
        <v>#REF!</v>
      </c>
    </row>
    <row r="116" spans="1:10">
      <c r="B116" s="211"/>
      <c r="C116" s="205"/>
      <c r="D116" s="205"/>
      <c r="E116" s="205"/>
      <c r="F116" s="205"/>
      <c r="G116" s="205"/>
      <c r="H116" s="205"/>
      <c r="I116" s="205"/>
      <c r="J116" s="205"/>
    </row>
    <row r="117" spans="1:10">
      <c r="C117" s="205"/>
      <c r="D117" s="205"/>
      <c r="E117" s="205"/>
      <c r="F117" s="205"/>
      <c r="G117" s="205"/>
      <c r="H117" s="205"/>
      <c r="I117" s="205"/>
      <c r="J117" s="205"/>
    </row>
    <row r="118" spans="1:10">
      <c r="C118" s="178" t="s">
        <v>552</v>
      </c>
      <c r="D118" s="205"/>
      <c r="E118" s="205"/>
      <c r="F118" s="205"/>
      <c r="G118" s="205"/>
      <c r="H118" s="205"/>
      <c r="I118" s="205"/>
      <c r="J118" s="205"/>
    </row>
    <row r="119" spans="1:10">
      <c r="A119" s="177"/>
      <c r="C119" s="178">
        <v>2015</v>
      </c>
      <c r="D119" s="178">
        <v>2018</v>
      </c>
      <c r="E119" s="178">
        <v>2023</v>
      </c>
      <c r="F119" s="178">
        <v>2028</v>
      </c>
      <c r="G119" s="178">
        <v>2033</v>
      </c>
      <c r="H119" s="178">
        <v>2038</v>
      </c>
      <c r="I119" s="178">
        <v>2043</v>
      </c>
      <c r="J119" s="178">
        <v>2050</v>
      </c>
    </row>
    <row r="120" spans="1:10" ht="17.25">
      <c r="A120" s="179">
        <v>4</v>
      </c>
      <c r="B120" s="180" t="s">
        <v>866</v>
      </c>
      <c r="C120" s="206">
        <v>42895</v>
      </c>
      <c r="D120" s="206">
        <v>43126</v>
      </c>
      <c r="E120" s="202" t="e">
        <f t="shared" ref="E120:J120" si="28">E140</f>
        <v>#REF!</v>
      </c>
      <c r="F120" s="202" t="e">
        <f t="shared" si="28"/>
        <v>#REF!</v>
      </c>
      <c r="G120" s="202" t="e">
        <f t="shared" si="28"/>
        <v>#REF!</v>
      </c>
      <c r="H120" s="202" t="e">
        <f t="shared" si="28"/>
        <v>#REF!</v>
      </c>
      <c r="I120" s="202" t="e">
        <f t="shared" si="28"/>
        <v>#REF!</v>
      </c>
      <c r="J120" s="202" t="e">
        <f t="shared" si="28"/>
        <v>#REF!</v>
      </c>
    </row>
    <row r="121" spans="1:10">
      <c r="B121" s="180" t="s">
        <v>842</v>
      </c>
      <c r="C121" s="206"/>
      <c r="D121" s="206"/>
      <c r="E121" s="206" t="e">
        <f t="shared" ref="E121:J121" si="29">E120*E131</f>
        <v>#REF!</v>
      </c>
      <c r="F121" s="206" t="e">
        <f t="shared" si="29"/>
        <v>#REF!</v>
      </c>
      <c r="G121" s="206" t="e">
        <f t="shared" si="29"/>
        <v>#REF!</v>
      </c>
      <c r="H121" s="206" t="e">
        <f t="shared" si="29"/>
        <v>#REF!</v>
      </c>
      <c r="I121" s="206" t="e">
        <f t="shared" si="29"/>
        <v>#REF!</v>
      </c>
      <c r="J121" s="206" t="e">
        <f t="shared" si="29"/>
        <v>#REF!</v>
      </c>
    </row>
    <row r="122" spans="1:10">
      <c r="B122" s="187" t="s">
        <v>843</v>
      </c>
      <c r="C122" s="206">
        <v>24285</v>
      </c>
      <c r="D122" s="206">
        <v>26027</v>
      </c>
      <c r="E122" s="206">
        <f>AVERAGE(C122:D122)</f>
        <v>25156</v>
      </c>
      <c r="F122" s="202">
        <v>25156</v>
      </c>
      <c r="G122" s="202">
        <v>25156</v>
      </c>
      <c r="H122" s="202">
        <v>25156</v>
      </c>
      <c r="I122" s="202">
        <v>25156</v>
      </c>
      <c r="J122" s="202">
        <v>25156</v>
      </c>
    </row>
    <row r="123" spans="1:10">
      <c r="B123" s="187" t="s">
        <v>844</v>
      </c>
      <c r="C123" s="206">
        <v>7410</v>
      </c>
      <c r="D123" s="206">
        <v>7510</v>
      </c>
      <c r="E123" s="184">
        <f t="shared" ref="E123:J123" si="30">E$13*$D123/($D$9+$D$11)</f>
        <v>6237.7776219709394</v>
      </c>
      <c r="F123" s="184">
        <f t="shared" si="30"/>
        <v>10417.559345054811</v>
      </c>
      <c r="G123" s="184">
        <f t="shared" si="30"/>
        <v>12763.149230066992</v>
      </c>
      <c r="H123" s="184">
        <f t="shared" si="30"/>
        <v>13444.021631010231</v>
      </c>
      <c r="I123" s="184">
        <f t="shared" si="30"/>
        <v>13952.09118576835</v>
      </c>
      <c r="J123" s="184">
        <f t="shared" si="30"/>
        <v>15015.107560904802</v>
      </c>
    </row>
    <row r="124" spans="1:10">
      <c r="B124" s="187" t="s">
        <v>845</v>
      </c>
      <c r="C124" s="202">
        <v>244</v>
      </c>
      <c r="D124" s="202">
        <v>261</v>
      </c>
      <c r="E124" s="184">
        <v>270</v>
      </c>
      <c r="F124" s="184">
        <v>320</v>
      </c>
      <c r="G124" s="184">
        <v>370</v>
      </c>
      <c r="H124" s="184">
        <v>420</v>
      </c>
      <c r="I124" s="184">
        <v>470</v>
      </c>
      <c r="J124" s="184">
        <v>520</v>
      </c>
    </row>
    <row r="125" spans="1:10">
      <c r="B125" s="187" t="s">
        <v>846</v>
      </c>
      <c r="C125" s="206">
        <v>2340</v>
      </c>
      <c r="D125" s="206">
        <v>2047</v>
      </c>
      <c r="E125" s="184">
        <f t="shared" ref="E125:J125" si="31">E$13*$D125/($D$9+$D$11)</f>
        <v>1700.2304650032643</v>
      </c>
      <c r="F125" s="184">
        <f t="shared" si="31"/>
        <v>2839.5131796707319</v>
      </c>
      <c r="G125" s="184">
        <f t="shared" si="31"/>
        <v>3478.8503959982868</v>
      </c>
      <c r="H125" s="184">
        <f t="shared" si="31"/>
        <v>3664.4357228599129</v>
      </c>
      <c r="I125" s="184">
        <f t="shared" si="31"/>
        <v>3802.9201940436506</v>
      </c>
      <c r="J125" s="184">
        <f t="shared" si="31"/>
        <v>4092.6664683318418</v>
      </c>
    </row>
    <row r="126" spans="1:10" ht="17.25">
      <c r="B126" s="187" t="s">
        <v>867</v>
      </c>
      <c r="C126" s="202">
        <v>36</v>
      </c>
      <c r="D126" s="202">
        <v>98</v>
      </c>
      <c r="E126" s="184">
        <f>'5. Energy'!D57</f>
        <v>133.83125000000001</v>
      </c>
      <c r="F126" s="184">
        <f>'5. Energy'!E57</f>
        <v>292.86687499999999</v>
      </c>
      <c r="G126" s="184">
        <f>'5. Energy'!F57</f>
        <v>516.67437500000005</v>
      </c>
      <c r="H126" s="184">
        <f>'5. Energy'!G57</f>
        <v>1086.3912499999999</v>
      </c>
      <c r="I126" s="184">
        <f>'5. Energy'!H57</f>
        <v>1696.900625</v>
      </c>
      <c r="J126" s="184">
        <f>'5. Energy'!I57</f>
        <v>2938.3156250000002</v>
      </c>
    </row>
    <row r="127" spans="1:10">
      <c r="B127" s="187" t="s">
        <v>868</v>
      </c>
      <c r="C127" s="202"/>
      <c r="D127" s="202"/>
      <c r="E127" s="206" t="e">
        <f>E121-E122-E124-E126</f>
        <v>#REF!</v>
      </c>
      <c r="F127" s="206" t="e">
        <f t="shared" ref="F127:J127" si="32">F121-F122-F124-F126</f>
        <v>#REF!</v>
      </c>
      <c r="G127" s="206" t="e">
        <f t="shared" si="32"/>
        <v>#REF!</v>
      </c>
      <c r="H127" s="206" t="e">
        <f t="shared" si="32"/>
        <v>#REF!</v>
      </c>
      <c r="I127" s="206" t="e">
        <f t="shared" si="32"/>
        <v>#REF!</v>
      </c>
      <c r="J127" s="206" t="e">
        <f t="shared" si="32"/>
        <v>#REF!</v>
      </c>
    </row>
    <row r="128" spans="1:10">
      <c r="B128" s="191" t="s">
        <v>854</v>
      </c>
      <c r="C128" s="202">
        <v>1</v>
      </c>
      <c r="D128" s="202">
        <v>11</v>
      </c>
      <c r="E128" s="202">
        <v>5</v>
      </c>
      <c r="F128" s="202">
        <v>5</v>
      </c>
      <c r="G128" s="202">
        <v>5</v>
      </c>
      <c r="H128" s="202">
        <v>5</v>
      </c>
      <c r="I128" s="202">
        <v>5</v>
      </c>
      <c r="J128" s="202">
        <v>5</v>
      </c>
    </row>
    <row r="129" spans="2:10">
      <c r="B129" s="191" t="s">
        <v>223</v>
      </c>
      <c r="C129" s="206">
        <v>1753</v>
      </c>
      <c r="D129" s="206">
        <v>1479</v>
      </c>
      <c r="E129" s="181" t="e">
        <f t="shared" ref="E129:J129" si="33">MAX((E120-E121-E128)*($D129/($D129+$D130)),0)</f>
        <v>#REF!</v>
      </c>
      <c r="F129" s="181" t="e">
        <f t="shared" si="33"/>
        <v>#REF!</v>
      </c>
      <c r="G129" s="181" t="e">
        <f t="shared" si="33"/>
        <v>#REF!</v>
      </c>
      <c r="H129" s="181" t="e">
        <f t="shared" si="33"/>
        <v>#REF!</v>
      </c>
      <c r="I129" s="181" t="e">
        <f t="shared" si="33"/>
        <v>#REF!</v>
      </c>
      <c r="J129" s="181" t="e">
        <f t="shared" si="33"/>
        <v>#REF!</v>
      </c>
    </row>
    <row r="130" spans="2:10">
      <c r="B130" s="191" t="s">
        <v>218</v>
      </c>
      <c r="C130" s="206">
        <v>6428</v>
      </c>
      <c r="D130" s="206">
        <v>5356</v>
      </c>
      <c r="E130" s="181" t="e">
        <f t="shared" ref="E130:J130" si="34">MAX((E120-E121-E128)*($D130/($D129+$D130)),0)</f>
        <v>#REF!</v>
      </c>
      <c r="F130" s="181" t="e">
        <f t="shared" si="34"/>
        <v>#REF!</v>
      </c>
      <c r="G130" s="181" t="e">
        <f t="shared" si="34"/>
        <v>#REF!</v>
      </c>
      <c r="H130" s="181" t="e">
        <f t="shared" si="34"/>
        <v>#REF!</v>
      </c>
      <c r="I130" s="181" t="e">
        <f t="shared" si="34"/>
        <v>#REF!</v>
      </c>
      <c r="J130" s="181" t="e">
        <f t="shared" si="34"/>
        <v>#REF!</v>
      </c>
    </row>
    <row r="131" spans="2:10">
      <c r="B131" s="194" t="s">
        <v>857</v>
      </c>
      <c r="C131" s="196">
        <v>0.80800000000000005</v>
      </c>
      <c r="D131" s="196">
        <v>0.84</v>
      </c>
      <c r="E131" s="197">
        <f>N$9</f>
        <v>0.85</v>
      </c>
      <c r="F131" s="197">
        <f t="shared" ref="F131:J131" si="35">O$9</f>
        <v>0.95</v>
      </c>
      <c r="G131" s="197">
        <f t="shared" si="35"/>
        <v>1</v>
      </c>
      <c r="H131" s="197">
        <f t="shared" si="35"/>
        <v>1</v>
      </c>
      <c r="I131" s="197">
        <f t="shared" si="35"/>
        <v>1</v>
      </c>
      <c r="J131" s="197">
        <f t="shared" si="35"/>
        <v>1</v>
      </c>
    </row>
    <row r="132" spans="2:10">
      <c r="C132" s="205"/>
      <c r="D132" s="205"/>
      <c r="E132" s="205"/>
      <c r="F132" s="205"/>
      <c r="G132" s="205"/>
      <c r="H132" s="205"/>
      <c r="I132" s="205"/>
      <c r="J132" s="205"/>
    </row>
    <row r="133" spans="2:10" ht="17.25">
      <c r="B133" s="1" t="s">
        <v>873</v>
      </c>
      <c r="C133" s="198">
        <v>40447.392688444903</v>
      </c>
      <c r="D133" s="198">
        <v>39916.258384385052</v>
      </c>
      <c r="E133" s="178">
        <v>40000</v>
      </c>
      <c r="F133" s="178">
        <v>45000</v>
      </c>
      <c r="G133" s="178">
        <v>50000</v>
      </c>
      <c r="H133" s="178">
        <v>55000</v>
      </c>
      <c r="I133" s="178">
        <v>60000</v>
      </c>
      <c r="J133" s="178">
        <v>65000</v>
      </c>
    </row>
    <row r="134" spans="2:10">
      <c r="B134" s="199" t="s">
        <v>870</v>
      </c>
      <c r="C134" s="209">
        <v>2847.4450078054201</v>
      </c>
      <c r="D134" s="209">
        <v>2343.4500510615899</v>
      </c>
      <c r="E134" s="202"/>
      <c r="F134" s="202"/>
      <c r="G134" s="202"/>
      <c r="H134" s="202"/>
      <c r="I134" s="202"/>
      <c r="J134" s="202"/>
    </row>
    <row r="135" spans="2:10">
      <c r="B135" s="199" t="s">
        <v>82</v>
      </c>
      <c r="C135" s="209">
        <v>14590.752958919798</v>
      </c>
      <c r="D135" s="209">
        <v>14662.635368008476</v>
      </c>
      <c r="E135" s="210"/>
      <c r="F135" s="202"/>
      <c r="G135" s="202"/>
      <c r="H135" s="202"/>
      <c r="I135" s="202"/>
      <c r="J135" s="202"/>
    </row>
    <row r="136" spans="2:10">
      <c r="B136" s="199" t="s">
        <v>871</v>
      </c>
      <c r="C136" s="209">
        <v>9573.6463847364703</v>
      </c>
      <c r="D136" s="209">
        <v>9566.6612470750806</v>
      </c>
      <c r="E136" s="202"/>
      <c r="F136" s="202"/>
      <c r="G136" s="202"/>
      <c r="H136" s="202"/>
      <c r="I136" s="202"/>
      <c r="J136" s="202"/>
    </row>
    <row r="137" spans="2:10">
      <c r="B137" s="199" t="s">
        <v>470</v>
      </c>
      <c r="C137" s="209">
        <v>12570.947951083201</v>
      </c>
      <c r="D137" s="209">
        <v>12702.6470626399</v>
      </c>
      <c r="E137" s="202"/>
      <c r="F137" s="202"/>
      <c r="G137" s="202"/>
      <c r="H137" s="202"/>
      <c r="I137" s="202"/>
      <c r="J137" s="202"/>
    </row>
    <row r="138" spans="2:10">
      <c r="B138" s="199" t="s">
        <v>872</v>
      </c>
      <c r="C138" s="210">
        <f>C120-C133</f>
        <v>2447.6073115550971</v>
      </c>
      <c r="D138" s="210">
        <f>D120-D133</f>
        <v>3209.7416156149484</v>
      </c>
      <c r="E138" s="202"/>
      <c r="F138" s="202"/>
      <c r="G138" s="202"/>
      <c r="H138" s="206"/>
      <c r="I138" s="202"/>
      <c r="J138" s="202"/>
    </row>
    <row r="139" spans="2:10">
      <c r="B139" s="199" t="s">
        <v>864</v>
      </c>
      <c r="C139" s="202">
        <f>C138/C133</f>
        <v>6.0513352007837445E-2</v>
      </c>
      <c r="D139" s="202">
        <f>D138/D133</f>
        <v>8.0411885921416321E-2</v>
      </c>
      <c r="E139" s="202" t="e">
        <f>E133*#REF!</f>
        <v>#REF!</v>
      </c>
      <c r="F139" s="202" t="e">
        <f>F133*#REF!</f>
        <v>#REF!</v>
      </c>
      <c r="G139" s="202" t="e">
        <f>G133*#REF!</f>
        <v>#REF!</v>
      </c>
      <c r="H139" s="202" t="e">
        <f>H133*#REF!</f>
        <v>#REF!</v>
      </c>
      <c r="I139" s="202" t="e">
        <f>I133*#REF!</f>
        <v>#REF!</v>
      </c>
      <c r="J139" s="202" t="e">
        <f>J133*#REF!</f>
        <v>#REF!</v>
      </c>
    </row>
    <row r="140" spans="2:10">
      <c r="B140" s="203" t="s">
        <v>865</v>
      </c>
      <c r="C140" s="195">
        <f t="shared" ref="C140:J140" si="36">C133+C139</f>
        <v>40447.45320179691</v>
      </c>
      <c r="D140" s="195">
        <f t="shared" si="36"/>
        <v>39916.338796270975</v>
      </c>
      <c r="E140" s="195" t="e">
        <f t="shared" si="36"/>
        <v>#REF!</v>
      </c>
      <c r="F140" s="195" t="e">
        <f t="shared" si="36"/>
        <v>#REF!</v>
      </c>
      <c r="G140" s="195" t="e">
        <f t="shared" si="36"/>
        <v>#REF!</v>
      </c>
      <c r="H140" s="195" t="e">
        <f t="shared" si="36"/>
        <v>#REF!</v>
      </c>
      <c r="I140" s="195" t="e">
        <f t="shared" si="36"/>
        <v>#REF!</v>
      </c>
      <c r="J140" s="195" t="e">
        <f t="shared" si="36"/>
        <v>#REF!</v>
      </c>
    </row>
  </sheetData>
  <mergeCells count="2">
    <mergeCell ref="M4:S4"/>
    <mergeCell ref="L19:S19"/>
  </mergeCell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82F9A-5C7C-478A-917C-E298718B1C0A}">
  <sheetPr codeName="Sheet14">
    <tabColor theme="8" tint="0.39997558519241921"/>
  </sheetPr>
  <dimension ref="B3:L54"/>
  <sheetViews>
    <sheetView topLeftCell="A13" workbookViewId="0">
      <selection activeCell="I20" sqref="I20"/>
    </sheetView>
  </sheetViews>
  <sheetFormatPr defaultRowHeight="15"/>
  <cols>
    <col min="2" max="2" width="28.85546875" bestFit="1" customWidth="1"/>
    <col min="3" max="3" width="12" bestFit="1" customWidth="1"/>
    <col min="4" max="9" width="12" customWidth="1"/>
    <col min="10" max="10" width="9.7109375" customWidth="1"/>
    <col min="12" max="12" width="18.28515625" bestFit="1" customWidth="1"/>
  </cols>
  <sheetData>
    <row r="3" spans="2:12" ht="14.45" customHeight="1">
      <c r="B3" s="180" t="s">
        <v>874</v>
      </c>
      <c r="C3" s="445">
        <f>'Baseline Statistics'!D4</f>
        <v>2022</v>
      </c>
      <c r="D3" s="445">
        <f>'Baseline Statistics'!E4</f>
        <v>2025</v>
      </c>
      <c r="E3" s="445">
        <f>'Baseline Statistics'!F4</f>
        <v>2030</v>
      </c>
      <c r="F3" s="445">
        <f>'Baseline Statistics'!G4</f>
        <v>2035</v>
      </c>
      <c r="G3" s="445">
        <f>'Baseline Statistics'!H4</f>
        <v>2040</v>
      </c>
      <c r="H3" s="445">
        <f>'Baseline Statistics'!I4</f>
        <v>2045</v>
      </c>
      <c r="I3" s="445">
        <f>'Baseline Statistics'!J4</f>
        <v>2051</v>
      </c>
      <c r="J3" s="178" t="s">
        <v>875</v>
      </c>
    </row>
    <row r="4" spans="2:12">
      <c r="B4" s="182" t="s">
        <v>843</v>
      </c>
      <c r="C4" s="386">
        <v>0</v>
      </c>
      <c r="D4" s="386">
        <v>0</v>
      </c>
      <c r="E4" s="386">
        <v>0</v>
      </c>
      <c r="F4" s="386">
        <v>0</v>
      </c>
      <c r="G4" s="386">
        <v>0</v>
      </c>
      <c r="H4" s="386">
        <v>0</v>
      </c>
      <c r="I4" s="386">
        <v>0</v>
      </c>
      <c r="J4" t="s">
        <v>552</v>
      </c>
      <c r="L4" t="str">
        <f t="shared" ref="L4:L31" si="0">B4&amp;": { tCO2e: " &amp; C4&amp; ", unit: '" &amp; J4&amp; "' },"</f>
        <v>Hydro: { tCO2e: 0, unit: 'GWh' },</v>
      </c>
    </row>
    <row r="5" spans="2:12">
      <c r="B5" s="182" t="s">
        <v>844</v>
      </c>
      <c r="C5" s="386">
        <v>105</v>
      </c>
      <c r="D5" s="386">
        <v>105</v>
      </c>
      <c r="E5" s="386">
        <v>105</v>
      </c>
      <c r="F5" s="386">
        <v>105</v>
      </c>
      <c r="G5" s="386">
        <v>105</v>
      </c>
      <c r="H5" s="386">
        <v>105</v>
      </c>
      <c r="I5" s="386">
        <v>105</v>
      </c>
      <c r="J5" t="s">
        <v>552</v>
      </c>
      <c r="L5" t="str">
        <f t="shared" si="0"/>
        <v>Geothermal: { tCO2e: 105, unit: 'GWh' },</v>
      </c>
    </row>
    <row r="6" spans="2:12">
      <c r="B6" s="182" t="s">
        <v>845</v>
      </c>
      <c r="C6" s="386">
        <v>0</v>
      </c>
      <c r="D6" s="386">
        <v>0</v>
      </c>
      <c r="E6" s="386">
        <v>0</v>
      </c>
      <c r="F6" s="386">
        <v>0</v>
      </c>
      <c r="G6" s="386">
        <v>0</v>
      </c>
      <c r="H6" s="386">
        <v>0</v>
      </c>
      <c r="I6" s="386">
        <v>0</v>
      </c>
      <c r="J6" t="s">
        <v>552</v>
      </c>
      <c r="L6" t="str">
        <f t="shared" si="0"/>
        <v>Biogas: { tCO2e: 0, unit: 'GWh' },</v>
      </c>
    </row>
    <row r="7" spans="2:12">
      <c r="B7" s="182" t="s">
        <v>876</v>
      </c>
      <c r="C7" s="386">
        <v>0</v>
      </c>
      <c r="D7" s="386">
        <v>0</v>
      </c>
      <c r="E7" s="386">
        <v>0</v>
      </c>
      <c r="F7" s="386">
        <v>0</v>
      </c>
      <c r="G7" s="386">
        <v>0</v>
      </c>
      <c r="H7" s="386">
        <v>0</v>
      </c>
      <c r="I7" s="386">
        <v>0</v>
      </c>
      <c r="J7" t="s">
        <v>552</v>
      </c>
      <c r="L7" t="str">
        <f t="shared" si="0"/>
        <v>Wood: { tCO2e: 0, unit: 'GWh' },</v>
      </c>
    </row>
    <row r="8" spans="2:12">
      <c r="B8" s="182" t="s">
        <v>846</v>
      </c>
      <c r="C8" s="386">
        <v>0</v>
      </c>
      <c r="D8" s="386">
        <v>0</v>
      </c>
      <c r="E8" s="386">
        <v>0</v>
      </c>
      <c r="F8" s="386">
        <v>0</v>
      </c>
      <c r="G8" s="386">
        <v>0</v>
      </c>
      <c r="H8" s="386">
        <v>0</v>
      </c>
      <c r="I8" s="386">
        <v>0</v>
      </c>
      <c r="J8" t="s">
        <v>552</v>
      </c>
      <c r="L8" t="str">
        <f t="shared" si="0"/>
        <v>Wind: { tCO2e: 0, unit: 'GWh' },</v>
      </c>
    </row>
    <row r="9" spans="2:12">
      <c r="B9" s="182" t="s">
        <v>847</v>
      </c>
      <c r="C9" s="386">
        <v>0</v>
      </c>
      <c r="D9" s="386">
        <v>0</v>
      </c>
      <c r="E9" s="386">
        <v>0</v>
      </c>
      <c r="F9" s="386">
        <v>0</v>
      </c>
      <c r="G9" s="386">
        <v>0</v>
      </c>
      <c r="H9" s="386">
        <v>0</v>
      </c>
      <c r="I9" s="386">
        <v>0</v>
      </c>
      <c r="J9" t="s">
        <v>552</v>
      </c>
      <c r="L9" t="str">
        <f t="shared" si="0"/>
        <v>Solar: { tCO2e: 0, unit: 'GWh' },</v>
      </c>
    </row>
    <row r="10" spans="2:12">
      <c r="B10" s="189" t="s">
        <v>854</v>
      </c>
      <c r="C10" s="386">
        <v>493</v>
      </c>
      <c r="D10" s="386">
        <v>493</v>
      </c>
      <c r="E10" s="386">
        <v>493</v>
      </c>
      <c r="F10" s="386">
        <v>493</v>
      </c>
      <c r="G10" s="386">
        <v>493</v>
      </c>
      <c r="H10" s="386">
        <v>493</v>
      </c>
      <c r="I10" s="386">
        <v>493</v>
      </c>
      <c r="J10" t="s">
        <v>552</v>
      </c>
      <c r="L10" t="str">
        <f t="shared" si="0"/>
        <v>Oil: { tCO2e: 493, unit: 'GWh' },</v>
      </c>
    </row>
    <row r="11" spans="2:12" ht="14.45" customHeight="1">
      <c r="B11" s="189" t="s">
        <v>223</v>
      </c>
      <c r="C11" s="386">
        <v>633</v>
      </c>
      <c r="D11" s="386">
        <v>633</v>
      </c>
      <c r="E11" s="386">
        <v>633</v>
      </c>
      <c r="F11" s="386">
        <v>633</v>
      </c>
      <c r="G11" s="386">
        <v>633</v>
      </c>
      <c r="H11" s="386">
        <v>633</v>
      </c>
      <c r="I11" s="386">
        <v>633</v>
      </c>
      <c r="J11" t="s">
        <v>552</v>
      </c>
      <c r="L11" t="str">
        <f t="shared" si="0"/>
        <v>Coal: { tCO2e: 633, unit: 'GWh' },</v>
      </c>
    </row>
    <row r="12" spans="2:12">
      <c r="B12" s="191" t="s">
        <v>218</v>
      </c>
      <c r="C12" s="386">
        <v>454</v>
      </c>
      <c r="D12" s="386">
        <v>454</v>
      </c>
      <c r="E12" s="386">
        <v>454</v>
      </c>
      <c r="F12" s="386">
        <v>454</v>
      </c>
      <c r="G12" s="386">
        <v>454</v>
      </c>
      <c r="H12" s="386">
        <v>454</v>
      </c>
      <c r="I12" s="386">
        <v>454</v>
      </c>
      <c r="J12" t="s">
        <v>552</v>
      </c>
      <c r="L12" t="str">
        <f t="shared" si="0"/>
        <v>Gas: { tCO2e: 454, unit: 'GWh' },</v>
      </c>
    </row>
    <row r="13" spans="2:12">
      <c r="L13" t="str">
        <f t="shared" si="0"/>
        <v>: { tCO2e: , unit: '' },</v>
      </c>
    </row>
    <row r="14" spans="2:12" ht="14.45" customHeight="1">
      <c r="B14" s="180" t="s">
        <v>877</v>
      </c>
      <c r="C14" s="445">
        <f>C3</f>
        <v>2022</v>
      </c>
      <c r="D14" s="445">
        <f t="shared" ref="D14:I14" si="1">D3</f>
        <v>2025</v>
      </c>
      <c r="E14" s="445">
        <f t="shared" si="1"/>
        <v>2030</v>
      </c>
      <c r="F14" s="445">
        <f t="shared" si="1"/>
        <v>2035</v>
      </c>
      <c r="G14" s="445">
        <f t="shared" si="1"/>
        <v>2040</v>
      </c>
      <c r="H14" s="445">
        <f t="shared" si="1"/>
        <v>2045</v>
      </c>
      <c r="I14" s="445">
        <f t="shared" si="1"/>
        <v>2051</v>
      </c>
      <c r="J14" s="178" t="s">
        <v>875</v>
      </c>
      <c r="L14" t="str">
        <f t="shared" si="0"/>
        <v>Stationary Combustion: { tCO2e: 2022, unit: 'tCO2e per' },</v>
      </c>
    </row>
    <row r="15" spans="2:12">
      <c r="B15" s="182" t="s">
        <v>878</v>
      </c>
      <c r="C15" s="386">
        <v>1.8799999999999999E-3</v>
      </c>
      <c r="D15" s="386">
        <v>1.8799999999999999E-3</v>
      </c>
      <c r="E15" s="386">
        <v>1.8799999999999999E-3</v>
      </c>
      <c r="F15" s="386">
        <v>1.8799999999999999E-3</v>
      </c>
      <c r="G15" s="386">
        <v>1.8799999999999999E-3</v>
      </c>
      <c r="H15" s="386">
        <v>1.8799999999999999E-3</v>
      </c>
      <c r="I15" s="386">
        <v>1.8799999999999999E-3</v>
      </c>
      <c r="J15" t="s">
        <v>879</v>
      </c>
      <c r="L15" t="str">
        <f t="shared" si="0"/>
        <v>Coal (by weight): { tCO2e: 0.00188, unit: 'kg' },</v>
      </c>
    </row>
    <row r="16" spans="2:12">
      <c r="B16" s="182" t="s">
        <v>223</v>
      </c>
      <c r="C16" s="386">
        <v>8.2819383259911894E-2</v>
      </c>
      <c r="D16" s="386">
        <v>8.2819383259911894E-2</v>
      </c>
      <c r="E16" s="386">
        <v>8.2819383259911894E-2</v>
      </c>
      <c r="F16" s="386">
        <v>8.2819383259911894E-2</v>
      </c>
      <c r="G16" s="386">
        <v>8.2819383259911894E-2</v>
      </c>
      <c r="H16" s="386">
        <v>8.2819383259911894E-2</v>
      </c>
      <c r="I16" s="386">
        <v>8.2819383259911894E-2</v>
      </c>
      <c r="J16" t="s">
        <v>220</v>
      </c>
      <c r="L16" t="str">
        <f t="shared" si="0"/>
        <v>Coal: { tCO2e: 0.0828193832599119, unit: 'GJ' },</v>
      </c>
    </row>
    <row r="17" spans="2:12">
      <c r="B17" s="182" t="s">
        <v>226</v>
      </c>
      <c r="C17" s="386">
        <v>2.66E-3</v>
      </c>
      <c r="D17" s="386">
        <v>2.66E-3</v>
      </c>
      <c r="E17" s="386">
        <v>2.66E-3</v>
      </c>
      <c r="F17" s="386">
        <v>2.66E-3</v>
      </c>
      <c r="G17" s="386">
        <v>2.66E-3</v>
      </c>
      <c r="H17" s="386">
        <v>2.66E-3</v>
      </c>
      <c r="I17" s="386">
        <v>2.66E-3</v>
      </c>
      <c r="J17" t="s">
        <v>227</v>
      </c>
      <c r="L17" t="str">
        <f t="shared" si="0"/>
        <v>Diesel: { tCO2e: 0.00266, unit: 'L' },</v>
      </c>
    </row>
    <row r="18" spans="2:12">
      <c r="B18" s="182" t="s">
        <v>230</v>
      </c>
      <c r="C18" s="386">
        <v>2.4500000000000004E-3</v>
      </c>
      <c r="D18" s="386">
        <v>2.4500000000000004E-3</v>
      </c>
      <c r="E18" s="386">
        <v>2.4500000000000004E-3</v>
      </c>
      <c r="F18" s="386">
        <v>2.4500000000000004E-3</v>
      </c>
      <c r="G18" s="386">
        <v>2.4500000000000004E-3</v>
      </c>
      <c r="H18" s="386">
        <v>2.4500000000000004E-3</v>
      </c>
      <c r="I18" s="386">
        <v>2.4500000000000004E-3</v>
      </c>
      <c r="J18" t="s">
        <v>227</v>
      </c>
      <c r="L18" t="str">
        <f t="shared" si="0"/>
        <v>Petrol: { tCO2e: 0.00245, unit: 'L' },</v>
      </c>
    </row>
    <row r="19" spans="2:12">
      <c r="B19" s="182" t="s">
        <v>233</v>
      </c>
      <c r="C19" s="386">
        <v>3.0299999999999997E-3</v>
      </c>
      <c r="D19" s="386">
        <v>3.0299999999999997E-3</v>
      </c>
      <c r="E19" s="386">
        <v>3.0299999999999997E-3</v>
      </c>
      <c r="F19" s="386">
        <v>3.0299999999999997E-3</v>
      </c>
      <c r="G19" s="386">
        <v>3.0299999999999997E-3</v>
      </c>
      <c r="H19" s="386">
        <v>3.0299999999999997E-3</v>
      </c>
      <c r="I19" s="386">
        <v>3.0299999999999997E-3</v>
      </c>
      <c r="J19" t="s">
        <v>227</v>
      </c>
      <c r="L19" t="str">
        <f t="shared" si="0"/>
        <v>LPG: { tCO2e: 0.00303, unit: 'L' },</v>
      </c>
    </row>
    <row r="20" spans="2:12">
      <c r="B20" s="182" t="s">
        <v>880</v>
      </c>
      <c r="C20" s="386">
        <v>5.4100000000000002E-2</v>
      </c>
      <c r="D20" s="386">
        <v>5.4100000000000002E-2</v>
      </c>
      <c r="E20" s="386">
        <v>5.4100000000000002E-2</v>
      </c>
      <c r="F20" s="386">
        <v>5.4100000000000002E-2</v>
      </c>
      <c r="G20" s="386">
        <v>5.4100000000000002E-2</v>
      </c>
      <c r="H20" s="386">
        <v>5.4100000000000002E-2</v>
      </c>
      <c r="I20" s="386">
        <v>5.4100000000000002E-2</v>
      </c>
      <c r="J20" t="s">
        <v>220</v>
      </c>
      <c r="L20" t="str">
        <f t="shared" si="0"/>
        <v>Natural Gas Direct: { tCO2e: 0.0541, unit: 'GJ' },</v>
      </c>
    </row>
    <row r="21" spans="2:12">
      <c r="B21" s="182" t="s">
        <v>881</v>
      </c>
      <c r="C21" s="386">
        <v>6.3400000000000001E-3</v>
      </c>
      <c r="D21" s="386">
        <v>6.3400000000000001E-3</v>
      </c>
      <c r="E21" s="386">
        <v>6.3400000000000001E-3</v>
      </c>
      <c r="F21" s="386">
        <v>6.3400000000000001E-3</v>
      </c>
      <c r="G21" s="386">
        <v>6.3400000000000001E-3</v>
      </c>
      <c r="H21" s="386">
        <v>6.3400000000000001E-3</v>
      </c>
      <c r="I21" s="386">
        <v>6.3400000000000001E-3</v>
      </c>
      <c r="J21" t="s">
        <v>220</v>
      </c>
      <c r="L21" t="str">
        <f t="shared" si="0"/>
        <v>Natural Gas Transmission Loss: { tCO2e: 0.00634, unit: 'GJ' },</v>
      </c>
    </row>
    <row r="22" spans="2:12">
      <c r="B22" s="182" t="s">
        <v>219</v>
      </c>
      <c r="C22" s="386">
        <v>6.0440000000000001E-2</v>
      </c>
      <c r="D22" s="386">
        <v>6.0440000000000001E-2</v>
      </c>
      <c r="E22" s="386">
        <v>6.0440000000000001E-2</v>
      </c>
      <c r="F22" s="386">
        <v>6.0440000000000001E-2</v>
      </c>
      <c r="G22" s="386">
        <v>6.0440000000000001E-2</v>
      </c>
      <c r="H22" s="386">
        <v>6.0440000000000001E-2</v>
      </c>
      <c r="I22" s="386">
        <v>6.0440000000000001E-2</v>
      </c>
      <c r="J22" t="s">
        <v>220</v>
      </c>
      <c r="L22" t="str">
        <f t="shared" si="0"/>
        <v>Natural Gas Total: { tCO2e: 0.06044, unit: 'GJ' },</v>
      </c>
    </row>
    <row r="23" spans="2:12">
      <c r="L23" t="str">
        <f t="shared" si="0"/>
        <v>: { tCO2e: , unit: '' },</v>
      </c>
    </row>
    <row r="24" spans="2:12">
      <c r="B24" s="180" t="s">
        <v>882</v>
      </c>
      <c r="C24" s="445">
        <f>C3</f>
        <v>2022</v>
      </c>
      <c r="D24" s="445">
        <f t="shared" ref="D24:I24" si="2">D3</f>
        <v>2025</v>
      </c>
      <c r="E24" s="445">
        <f t="shared" si="2"/>
        <v>2030</v>
      </c>
      <c r="F24" s="445">
        <f t="shared" si="2"/>
        <v>2035</v>
      </c>
      <c r="G24" s="445">
        <f t="shared" si="2"/>
        <v>2040</v>
      </c>
      <c r="H24" s="445">
        <f t="shared" si="2"/>
        <v>2045</v>
      </c>
      <c r="I24" s="445">
        <f t="shared" si="2"/>
        <v>2051</v>
      </c>
      <c r="J24" s="178" t="s">
        <v>875</v>
      </c>
      <c r="L24" t="str">
        <f t="shared" si="0"/>
        <v>Transport Fuels: { tCO2e: 2022, unit: 'tCO2e per' },</v>
      </c>
    </row>
    <row r="25" spans="2:12">
      <c r="B25" s="182" t="s">
        <v>230</v>
      </c>
      <c r="C25" s="386">
        <v>2.4500000000000004E-3</v>
      </c>
      <c r="D25" s="386">
        <v>2.4500000000000004E-3</v>
      </c>
      <c r="E25" s="386">
        <v>2.4500000000000004E-3</v>
      </c>
      <c r="F25" s="386">
        <v>2.4500000000000004E-3</v>
      </c>
      <c r="G25" s="386">
        <v>2.4500000000000004E-3</v>
      </c>
      <c r="H25" s="386">
        <v>2.4500000000000004E-3</v>
      </c>
      <c r="I25" s="386">
        <v>2.4500000000000004E-3</v>
      </c>
      <c r="J25" t="s">
        <v>227</v>
      </c>
      <c r="L25" t="str">
        <f t="shared" si="0"/>
        <v>Petrol: { tCO2e: 0.00245, unit: 'L' },</v>
      </c>
    </row>
    <row r="26" spans="2:12">
      <c r="B26" s="182" t="s">
        <v>226</v>
      </c>
      <c r="C26" s="386">
        <v>2.6900000000000001E-3</v>
      </c>
      <c r="D26" s="386">
        <v>2.6900000000000001E-3</v>
      </c>
      <c r="E26" s="386">
        <v>2.6900000000000001E-3</v>
      </c>
      <c r="F26" s="386">
        <v>2.6900000000000001E-3</v>
      </c>
      <c r="G26" s="386">
        <v>2.6900000000000001E-3</v>
      </c>
      <c r="H26" s="386">
        <v>2.6900000000000001E-3</v>
      </c>
      <c r="I26" s="386">
        <v>2.6900000000000001E-3</v>
      </c>
      <c r="J26" t="s">
        <v>227</v>
      </c>
      <c r="L26" t="str">
        <f t="shared" si="0"/>
        <v>Diesel: { tCO2e: 0.00269, unit: 'L' },</v>
      </c>
    </row>
    <row r="27" spans="2:12">
      <c r="B27" s="182" t="s">
        <v>233</v>
      </c>
      <c r="C27" s="386">
        <v>1.64E-3</v>
      </c>
      <c r="D27" s="386">
        <v>1.64E-3</v>
      </c>
      <c r="E27" s="386">
        <v>1.64E-3</v>
      </c>
      <c r="F27" s="386">
        <v>1.64E-3</v>
      </c>
      <c r="G27" s="386">
        <v>1.64E-3</v>
      </c>
      <c r="H27" s="386">
        <v>1.64E-3</v>
      </c>
      <c r="I27" s="386">
        <v>1.64E-3</v>
      </c>
      <c r="J27" t="s">
        <v>227</v>
      </c>
      <c r="L27" t="str">
        <f t="shared" si="0"/>
        <v>LPG: { tCO2e: 0.00164, unit: 'L' },</v>
      </c>
    </row>
    <row r="28" spans="2:12">
      <c r="B28" s="182" t="s">
        <v>239</v>
      </c>
      <c r="C28" s="386">
        <f>0.00263*1.9</f>
        <v>4.9969999999999997E-3</v>
      </c>
      <c r="D28" s="386">
        <f t="shared" ref="D28:I28" si="3">0.00263</f>
        <v>2.63E-3</v>
      </c>
      <c r="E28" s="386">
        <f t="shared" si="3"/>
        <v>2.63E-3</v>
      </c>
      <c r="F28" s="386">
        <f t="shared" si="3"/>
        <v>2.63E-3</v>
      </c>
      <c r="G28" s="386">
        <f t="shared" si="3"/>
        <v>2.63E-3</v>
      </c>
      <c r="H28" s="386">
        <f t="shared" si="3"/>
        <v>2.63E-3</v>
      </c>
      <c r="I28" s="386">
        <f t="shared" si="3"/>
        <v>2.63E-3</v>
      </c>
      <c r="J28" t="s">
        <v>227</v>
      </c>
      <c r="L28" t="str">
        <f t="shared" si="0"/>
        <v>Jet Kerosene: { tCO2e: 0.004997, unit: 'L' },</v>
      </c>
    </row>
    <row r="29" spans="2:12">
      <c r="B29" s="182" t="s">
        <v>243</v>
      </c>
      <c r="C29" s="386">
        <f>0.00231*1.9</f>
        <v>4.3889999999999997E-3</v>
      </c>
      <c r="D29" s="386">
        <f t="shared" ref="D29:I29" si="4">0.00231</f>
        <v>2.31E-3</v>
      </c>
      <c r="E29" s="386">
        <f t="shared" si="4"/>
        <v>2.31E-3</v>
      </c>
      <c r="F29" s="386">
        <f t="shared" si="4"/>
        <v>2.31E-3</v>
      </c>
      <c r="G29" s="386">
        <f t="shared" si="4"/>
        <v>2.31E-3</v>
      </c>
      <c r="H29" s="386">
        <f t="shared" si="4"/>
        <v>2.31E-3</v>
      </c>
      <c r="I29" s="386">
        <f t="shared" si="4"/>
        <v>2.31E-3</v>
      </c>
      <c r="J29" t="s">
        <v>227</v>
      </c>
      <c r="L29" t="str">
        <f t="shared" si="0"/>
        <v>Aviation Gas: { tCO2e: 0.004389, unit: 'L' },</v>
      </c>
    </row>
    <row r="30" spans="2:12">
      <c r="B30" s="182" t="s">
        <v>245</v>
      </c>
      <c r="C30" s="386">
        <v>8.0700000000000001E-8</v>
      </c>
      <c r="D30" s="386">
        <v>8.0700000000000001E-8</v>
      </c>
      <c r="E30" s="386">
        <v>8.0700000000000001E-8</v>
      </c>
      <c r="F30" s="386">
        <v>8.0700000000000001E-8</v>
      </c>
      <c r="G30" s="386">
        <v>8.0700000000000001E-8</v>
      </c>
      <c r="H30" s="386">
        <v>8.0700000000000001E-8</v>
      </c>
      <c r="I30" s="386">
        <v>8.0700000000000001E-8</v>
      </c>
      <c r="J30" t="s">
        <v>227</v>
      </c>
      <c r="L30" t="str">
        <f t="shared" si="0"/>
        <v>Bioethanol: { tCO2e: 0.0000000807, unit: 'L' },</v>
      </c>
    </row>
    <row r="31" spans="2:12">
      <c r="B31" s="182" t="s">
        <v>247</v>
      </c>
      <c r="C31" s="386">
        <v>1.2499999999999999E-7</v>
      </c>
      <c r="D31" s="386">
        <v>1.2499999999999999E-7</v>
      </c>
      <c r="E31" s="386">
        <v>1.2499999999999999E-7</v>
      </c>
      <c r="F31" s="386">
        <v>1.2499999999999999E-7</v>
      </c>
      <c r="G31" s="386">
        <v>1.2499999999999999E-7</v>
      </c>
      <c r="H31" s="386">
        <v>1.2499999999999999E-7</v>
      </c>
      <c r="I31" s="386">
        <v>1.2499999999999999E-7</v>
      </c>
      <c r="J31" t="s">
        <v>227</v>
      </c>
      <c r="L31" t="str">
        <f t="shared" si="0"/>
        <v>Biodiesel: { tCO2e: 0.000000125, unit: 'L' },</v>
      </c>
    </row>
    <row r="32" spans="2:12">
      <c r="B32" s="238" t="s">
        <v>883</v>
      </c>
      <c r="C32" s="389">
        <v>3.4199999999999999E-3</v>
      </c>
      <c r="D32" s="389">
        <v>3.4199999999999999E-3</v>
      </c>
      <c r="E32" s="389">
        <v>3.4199999999999999E-3</v>
      </c>
      <c r="F32" s="389">
        <v>3.4199999999999999E-3</v>
      </c>
      <c r="G32" s="389">
        <v>3.4199999999999999E-3</v>
      </c>
      <c r="H32" s="389">
        <v>3.4199999999999999E-3</v>
      </c>
      <c r="I32" s="389">
        <v>3.4199999999999999E-3</v>
      </c>
      <c r="J32" t="s">
        <v>220</v>
      </c>
    </row>
    <row r="33" spans="2:10">
      <c r="B33" s="237" t="s">
        <v>248</v>
      </c>
      <c r="C33" s="387">
        <v>2.9399999999999999E-3</v>
      </c>
      <c r="D33" s="387">
        <v>2.9399999999999999E-3</v>
      </c>
      <c r="E33" s="387">
        <v>2.9399999999999999E-3</v>
      </c>
      <c r="F33" s="387">
        <v>2.9399999999999999E-3</v>
      </c>
      <c r="G33" s="387">
        <v>2.9399999999999999E-3</v>
      </c>
      <c r="H33" s="387">
        <v>2.9399999999999999E-3</v>
      </c>
      <c r="I33" s="387">
        <v>2.9399999999999999E-3</v>
      </c>
      <c r="J33" t="s">
        <v>227</v>
      </c>
    </row>
    <row r="34" spans="2:10">
      <c r="B34" s="237" t="s">
        <v>252</v>
      </c>
      <c r="C34" s="387">
        <v>3.0400000000000002E-3</v>
      </c>
      <c r="D34" s="387">
        <v>3.0400000000000002E-3</v>
      </c>
      <c r="E34" s="387">
        <v>3.0400000000000002E-3</v>
      </c>
      <c r="F34" s="387">
        <v>3.0400000000000002E-3</v>
      </c>
      <c r="G34" s="387">
        <v>3.0400000000000002E-3</v>
      </c>
      <c r="H34" s="387">
        <v>3.0400000000000002E-3</v>
      </c>
      <c r="I34" s="387">
        <v>3.0400000000000002E-3</v>
      </c>
      <c r="J34" t="s">
        <v>227</v>
      </c>
    </row>
    <row r="36" spans="2:10">
      <c r="B36" s="180" t="s">
        <v>294</v>
      </c>
      <c r="C36" s="445">
        <f>C24</f>
        <v>2022</v>
      </c>
      <c r="D36" s="445">
        <f t="shared" ref="D36:I36" si="5">D24</f>
        <v>2025</v>
      </c>
      <c r="E36" s="445">
        <f t="shared" si="5"/>
        <v>2030</v>
      </c>
      <c r="F36" s="445">
        <f t="shared" si="5"/>
        <v>2035</v>
      </c>
      <c r="G36" s="445">
        <f t="shared" si="5"/>
        <v>2040</v>
      </c>
      <c r="H36" s="445">
        <f t="shared" si="5"/>
        <v>2045</v>
      </c>
      <c r="I36" s="445">
        <f t="shared" si="5"/>
        <v>2051</v>
      </c>
      <c r="J36" s="178" t="s">
        <v>875</v>
      </c>
    </row>
    <row r="37" spans="2:10">
      <c r="B37" s="237" t="s">
        <v>263</v>
      </c>
      <c r="C37" s="387">
        <v>-5.0999999999999996</v>
      </c>
      <c r="D37" s="387">
        <v>-5.0999999999999996</v>
      </c>
      <c r="E37" s="387">
        <v>-5.0999999999999996</v>
      </c>
      <c r="F37" s="387">
        <v>-5.0999999999999996</v>
      </c>
      <c r="G37" s="387">
        <v>-5.0999999999999996</v>
      </c>
      <c r="H37" s="387">
        <v>-5.0999999999999996</v>
      </c>
      <c r="I37" s="387">
        <v>-5.0999999999999996</v>
      </c>
      <c r="J37" t="s">
        <v>884</v>
      </c>
    </row>
    <row r="38" spans="2:10">
      <c r="B38" s="237" t="s">
        <v>267</v>
      </c>
      <c r="C38" s="387">
        <v>-17</v>
      </c>
      <c r="D38" s="387">
        <v>-17</v>
      </c>
      <c r="E38" s="387">
        <v>-17</v>
      </c>
      <c r="F38" s="387">
        <v>-17</v>
      </c>
      <c r="G38" s="387">
        <v>-17</v>
      </c>
      <c r="H38" s="387">
        <v>-17</v>
      </c>
      <c r="I38" s="387">
        <v>-17</v>
      </c>
      <c r="J38" t="s">
        <v>884</v>
      </c>
    </row>
    <row r="40" spans="2:10">
      <c r="B40" s="180" t="s">
        <v>211</v>
      </c>
      <c r="C40" s="445">
        <f>C36</f>
        <v>2022</v>
      </c>
      <c r="D40" s="445">
        <f t="shared" ref="D40:I40" si="6">D36</f>
        <v>2025</v>
      </c>
      <c r="E40" s="445">
        <f t="shared" si="6"/>
        <v>2030</v>
      </c>
      <c r="F40" s="445">
        <f t="shared" si="6"/>
        <v>2035</v>
      </c>
      <c r="G40" s="445">
        <f t="shared" si="6"/>
        <v>2040</v>
      </c>
      <c r="H40" s="445">
        <f t="shared" si="6"/>
        <v>2045</v>
      </c>
      <c r="I40" s="445">
        <f t="shared" si="6"/>
        <v>2051</v>
      </c>
      <c r="J40" s="178" t="s">
        <v>875</v>
      </c>
    </row>
    <row r="41" spans="2:10">
      <c r="B41" s="237" t="s">
        <v>214</v>
      </c>
      <c r="C41" s="387">
        <v>0.20699999999999999</v>
      </c>
      <c r="D41" s="387">
        <v>0.20699999999999999</v>
      </c>
      <c r="E41" s="387">
        <v>0.20699999999999999</v>
      </c>
      <c r="F41" s="387">
        <v>0.20699999999999999</v>
      </c>
      <c r="G41" s="387">
        <v>0.20699999999999999</v>
      </c>
      <c r="H41" s="387">
        <v>0.20699999999999999</v>
      </c>
      <c r="I41" s="387">
        <v>0.20699999999999999</v>
      </c>
      <c r="J41" t="s">
        <v>217</v>
      </c>
    </row>
    <row r="42" spans="2:10">
      <c r="B42" s="237" t="s">
        <v>885</v>
      </c>
      <c r="C42" s="387">
        <v>0.64700000000000002</v>
      </c>
      <c r="D42" s="387">
        <v>0.64700000000000002</v>
      </c>
      <c r="E42" s="387">
        <v>0.64700000000000002</v>
      </c>
      <c r="F42" s="387">
        <v>0.64700000000000002</v>
      </c>
      <c r="G42" s="387">
        <v>0.64700000000000002</v>
      </c>
      <c r="H42" s="387">
        <v>0.64700000000000002</v>
      </c>
      <c r="I42" s="387">
        <v>0.64700000000000002</v>
      </c>
      <c r="J42" t="s">
        <v>217</v>
      </c>
    </row>
    <row r="43" spans="2:10">
      <c r="B43" s="237" t="s">
        <v>216</v>
      </c>
      <c r="C43" s="387">
        <v>0.17199999999999999</v>
      </c>
      <c r="D43" s="387">
        <v>0.17199999999999999</v>
      </c>
      <c r="E43" s="387">
        <v>0.17199999999999999</v>
      </c>
      <c r="F43" s="387">
        <v>0.17199999999999999</v>
      </c>
      <c r="G43" s="387">
        <v>0.17199999999999999</v>
      </c>
      <c r="H43" s="387">
        <v>0.17199999999999999</v>
      </c>
      <c r="I43" s="387">
        <v>0.17199999999999999</v>
      </c>
      <c r="J43" t="s">
        <v>217</v>
      </c>
    </row>
    <row r="44" spans="2:10">
      <c r="B44" s="237" t="s">
        <v>886</v>
      </c>
      <c r="C44" s="387">
        <v>0.27622120896300151</v>
      </c>
      <c r="D44" s="387">
        <v>0.27622120896300151</v>
      </c>
      <c r="E44" s="387">
        <v>0.27622120896300151</v>
      </c>
      <c r="F44" s="387">
        <v>0.27622120896300151</v>
      </c>
      <c r="G44" s="387">
        <v>0.27622120896300151</v>
      </c>
      <c r="H44" s="387">
        <v>0.27622120896300151</v>
      </c>
      <c r="I44" s="387">
        <v>0.27622120896300151</v>
      </c>
      <c r="J44" t="s">
        <v>887</v>
      </c>
    </row>
    <row r="45" spans="2:10">
      <c r="B45" s="237" t="s">
        <v>888</v>
      </c>
      <c r="C45" s="387">
        <v>2.1383441738677223E-2</v>
      </c>
      <c r="D45" s="387">
        <v>2.1383441738677223E-2</v>
      </c>
      <c r="E45" s="387">
        <v>2.1383441738677223E-2</v>
      </c>
      <c r="F45" s="387">
        <v>2.1383441738677223E-2</v>
      </c>
      <c r="G45" s="387">
        <v>2.1383441738677223E-2</v>
      </c>
      <c r="H45" s="387">
        <v>2.1383441738677223E-2</v>
      </c>
      <c r="I45" s="387">
        <v>2.1383441738677223E-2</v>
      </c>
      <c r="J45" t="s">
        <v>887</v>
      </c>
    </row>
    <row r="46" spans="2:10">
      <c r="B46" s="237" t="s">
        <v>886</v>
      </c>
      <c r="C46" s="387">
        <f>C44*'Baseline Statistics'!D$28</f>
        <v>0.74951346101259408</v>
      </c>
      <c r="D46" s="387">
        <f>D44*'Baseline Statistics'!E$28</f>
        <v>0.75006059860013052</v>
      </c>
      <c r="E46" s="387">
        <f>E44*'Baseline Statistics'!F$28</f>
        <v>0.75101032671311663</v>
      </c>
      <c r="F46" s="387">
        <f>F44*'Baseline Statistics'!G$28</f>
        <v>0.74841094550208831</v>
      </c>
      <c r="G46" s="387">
        <f>G44*'Baseline Statistics'!H$28</f>
        <v>0.74600444916229935</v>
      </c>
      <c r="H46" s="387">
        <f>H44*'Baseline Statistics'!I$28</f>
        <v>0.74377013646561196</v>
      </c>
      <c r="I46" s="387">
        <f>I44*'Baseline Statistics'!J$28</f>
        <v>0.74169016619336103</v>
      </c>
      <c r="J46" t="s">
        <v>889</v>
      </c>
    </row>
    <row r="47" spans="2:10">
      <c r="B47" s="237" t="s">
        <v>888</v>
      </c>
      <c r="C47" s="387">
        <f>C45*'Baseline Statistics'!D$28</f>
        <v>5.8022979068431672E-2</v>
      </c>
      <c r="D47" s="387">
        <f>D45*'Baseline Statistics'!E$28</f>
        <v>5.8065335282750076E-2</v>
      </c>
      <c r="E47" s="387">
        <f>E45*'Baseline Statistics'!F$28</f>
        <v>5.8138857717351916E-2</v>
      </c>
      <c r="F47" s="387">
        <f>F45*'Baseline Statistics'!G$28</f>
        <v>5.7937628720884517E-2</v>
      </c>
      <c r="G47" s="387">
        <f>G45*'Baseline Statistics'!H$28</f>
        <v>5.7751331750896563E-2</v>
      </c>
      <c r="H47" s="387">
        <f>H45*'Baseline Statistics'!I$28</f>
        <v>5.7578364238535837E-2</v>
      </c>
      <c r="I47" s="387">
        <f>I45*'Baseline Statistics'!J$28</f>
        <v>5.7417345020272931E-2</v>
      </c>
      <c r="J47" t="s">
        <v>889</v>
      </c>
    </row>
    <row r="49" spans="2:10">
      <c r="B49" s="180" t="s">
        <v>890</v>
      </c>
      <c r="C49" s="445">
        <f>C40</f>
        <v>2022</v>
      </c>
      <c r="D49" s="445">
        <f t="shared" ref="D49:I49" si="7">D40</f>
        <v>2025</v>
      </c>
      <c r="E49" s="445">
        <f t="shared" si="7"/>
        <v>2030</v>
      </c>
      <c r="F49" s="445">
        <f t="shared" si="7"/>
        <v>2035</v>
      </c>
      <c r="G49" s="445">
        <f t="shared" si="7"/>
        <v>2040</v>
      </c>
      <c r="H49" s="445">
        <f t="shared" si="7"/>
        <v>2045</v>
      </c>
      <c r="I49" s="445">
        <f t="shared" si="7"/>
        <v>2051</v>
      </c>
      <c r="J49" s="178" t="s">
        <v>875</v>
      </c>
    </row>
    <row r="50" spans="2:10">
      <c r="B50" s="237" t="s">
        <v>256</v>
      </c>
      <c r="C50" s="387">
        <v>25</v>
      </c>
      <c r="D50" s="387">
        <v>25</v>
      </c>
      <c r="E50" s="387">
        <v>25</v>
      </c>
      <c r="F50" s="387">
        <v>25</v>
      </c>
      <c r="G50" s="387">
        <v>25</v>
      </c>
      <c r="H50" s="387">
        <v>25</v>
      </c>
      <c r="I50" s="387">
        <v>25</v>
      </c>
      <c r="J50" t="s">
        <v>257</v>
      </c>
    </row>
    <row r="51" spans="2:10">
      <c r="B51" s="237" t="s">
        <v>259</v>
      </c>
      <c r="C51" s="387">
        <v>298</v>
      </c>
      <c r="D51" s="387">
        <v>298</v>
      </c>
      <c r="E51" s="387">
        <v>298</v>
      </c>
      <c r="F51" s="387">
        <v>298</v>
      </c>
      <c r="G51" s="387">
        <v>298</v>
      </c>
      <c r="H51" s="387">
        <v>298</v>
      </c>
      <c r="I51" s="387">
        <v>298</v>
      </c>
      <c r="J51" t="s">
        <v>260</v>
      </c>
    </row>
    <row r="52" spans="2:10">
      <c r="B52" s="237" t="s">
        <v>208</v>
      </c>
      <c r="C52" s="387">
        <v>1</v>
      </c>
      <c r="D52" s="387">
        <v>1</v>
      </c>
      <c r="E52" s="387">
        <v>1</v>
      </c>
      <c r="F52" s="387">
        <v>1</v>
      </c>
      <c r="G52" s="387">
        <v>1</v>
      </c>
      <c r="H52" s="387">
        <v>1</v>
      </c>
      <c r="I52" s="387">
        <v>1</v>
      </c>
      <c r="J52" t="s">
        <v>209</v>
      </c>
    </row>
    <row r="53" spans="2:10">
      <c r="B53" s="237"/>
    </row>
    <row r="54" spans="2:10">
      <c r="B54" s="237"/>
    </row>
  </sheetData>
  <protectedRanges>
    <protectedRange sqref="C4:I12 C15:I22 C37:I38 C50:I52 C25:I34 C41:I48" name="Range1"/>
  </protectedRange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92512-BE9A-4593-809E-EE9069B10A83}">
  <sheetPr codeName="Sheet15"/>
  <dimension ref="F3:F15"/>
  <sheetViews>
    <sheetView workbookViewId="0">
      <selection activeCell="AB31" sqref="AB31"/>
    </sheetView>
  </sheetViews>
  <sheetFormatPr defaultRowHeight="15"/>
  <sheetData>
    <row r="3" spans="6:6">
      <c r="F3" s="80"/>
    </row>
    <row r="4" spans="6:6">
      <c r="F4" s="80"/>
    </row>
    <row r="5" spans="6:6">
      <c r="F5" s="80"/>
    </row>
    <row r="6" spans="6:6">
      <c r="F6" s="80"/>
    </row>
    <row r="7" spans="6:6">
      <c r="F7" s="80"/>
    </row>
    <row r="8" spans="6:6">
      <c r="F8" s="80"/>
    </row>
    <row r="9" spans="6:6">
      <c r="F9" s="80"/>
    </row>
    <row r="10" spans="6:6">
      <c r="F10" s="80"/>
    </row>
    <row r="11" spans="6:6">
      <c r="F11" s="80"/>
    </row>
    <row r="12" spans="6:6">
      <c r="F12" s="80"/>
    </row>
    <row r="13" spans="6:6">
      <c r="F13" s="80"/>
    </row>
    <row r="14" spans="6:6">
      <c r="F14" s="80"/>
    </row>
    <row r="15" spans="6:6">
      <c r="F15" s="80"/>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ECEB1-414C-4DDF-8F97-7C71B801E269}">
  <sheetPr codeName="Sheet16"/>
  <dimension ref="C1:N42"/>
  <sheetViews>
    <sheetView zoomScale="85" zoomScaleNormal="85" workbookViewId="0">
      <selection activeCell="D11" sqref="D11"/>
    </sheetView>
  </sheetViews>
  <sheetFormatPr defaultRowHeight="15"/>
  <cols>
    <col min="2" max="2" width="21.42578125" customWidth="1"/>
  </cols>
  <sheetData>
    <row r="1" spans="3:14">
      <c r="C1" s="231"/>
      <c r="D1" s="231"/>
      <c r="E1" s="231"/>
      <c r="F1" s="231"/>
      <c r="G1" s="231"/>
      <c r="H1" s="231"/>
      <c r="I1" s="231"/>
    </row>
    <row r="2" spans="3:14">
      <c r="C2" s="231"/>
      <c r="D2" s="231"/>
      <c r="E2" s="231"/>
      <c r="F2" s="231"/>
      <c r="G2" s="231"/>
      <c r="H2" s="231"/>
      <c r="I2" s="231"/>
    </row>
    <row r="3" spans="3:14">
      <c r="C3" s="231"/>
      <c r="D3" s="231"/>
      <c r="E3" s="231"/>
      <c r="F3" s="231"/>
      <c r="G3" s="231"/>
      <c r="H3" s="231"/>
      <c r="I3" s="231"/>
    </row>
    <row r="4" spans="3:14">
      <c r="C4" s="231"/>
      <c r="D4" s="231"/>
      <c r="E4" s="231"/>
      <c r="F4" s="231"/>
      <c r="G4" s="231"/>
      <c r="H4" s="231"/>
      <c r="I4" s="231"/>
    </row>
    <row r="5" spans="3:14">
      <c r="C5" s="231"/>
      <c r="D5" s="231"/>
      <c r="E5" s="231"/>
      <c r="F5" s="231"/>
      <c r="G5" s="231"/>
      <c r="H5" s="231"/>
      <c r="I5" s="231"/>
    </row>
    <row r="6" spans="3:14">
      <c r="C6" s="231"/>
      <c r="D6" s="231"/>
      <c r="E6" s="231"/>
      <c r="F6" s="231"/>
      <c r="G6" s="231"/>
      <c r="H6" s="231"/>
      <c r="I6" s="231"/>
    </row>
    <row r="7" spans="3:14">
      <c r="C7" s="231"/>
      <c r="D7" s="231"/>
      <c r="E7" s="231"/>
      <c r="F7" s="231"/>
      <c r="G7" s="231"/>
      <c r="H7" s="231"/>
      <c r="I7" s="231"/>
    </row>
    <row r="8" spans="3:14">
      <c r="C8" s="231"/>
      <c r="D8" s="231"/>
      <c r="E8" s="231"/>
      <c r="F8" s="231"/>
      <c r="G8" s="231"/>
      <c r="H8" s="231"/>
      <c r="I8" s="231"/>
    </row>
    <row r="9" spans="3:14">
      <c r="C9" s="231"/>
      <c r="D9" s="231"/>
      <c r="E9" s="231"/>
      <c r="F9" s="231"/>
      <c r="G9" s="231"/>
      <c r="H9" s="231"/>
      <c r="I9" s="231"/>
    </row>
    <row r="10" spans="3:14">
      <c r="C10" s="231"/>
      <c r="D10" s="231"/>
      <c r="E10" s="231"/>
      <c r="F10" s="231"/>
      <c r="G10" s="231"/>
      <c r="H10" s="231"/>
      <c r="I10" s="231"/>
    </row>
    <row r="11" spans="3:14">
      <c r="C11" s="231"/>
      <c r="D11" s="231"/>
      <c r="E11" s="231"/>
      <c r="F11" s="231"/>
      <c r="G11" s="231"/>
      <c r="H11" s="231"/>
      <c r="I11" s="231"/>
    </row>
    <row r="12" spans="3:14">
      <c r="C12" s="231"/>
      <c r="D12" s="231"/>
      <c r="E12" s="231"/>
      <c r="F12" s="231"/>
      <c r="G12" s="231"/>
      <c r="H12" s="231"/>
      <c r="I12" s="231"/>
      <c r="N12" s="231"/>
    </row>
    <row r="13" spans="3:14">
      <c r="C13" s="231"/>
      <c r="D13" s="231"/>
      <c r="E13" s="231"/>
      <c r="F13" s="231"/>
      <c r="G13" s="231"/>
      <c r="H13" s="231"/>
      <c r="I13" s="231"/>
    </row>
    <row r="14" spans="3:14">
      <c r="C14" s="231"/>
      <c r="D14" s="231"/>
      <c r="E14" s="231"/>
      <c r="F14" s="231"/>
      <c r="G14" s="231"/>
      <c r="H14" s="231"/>
      <c r="I14" s="231"/>
    </row>
    <row r="15" spans="3:14">
      <c r="C15" s="231"/>
      <c r="D15" s="231"/>
      <c r="E15" s="231"/>
      <c r="F15" s="231"/>
      <c r="G15" s="231"/>
      <c r="H15" s="231"/>
      <c r="I15" s="231"/>
    </row>
    <row r="17" spans="3:9">
      <c r="C17" s="231"/>
      <c r="D17" s="231"/>
      <c r="E17" s="231"/>
      <c r="F17" s="231"/>
      <c r="G17" s="231"/>
      <c r="H17" s="231"/>
      <c r="I17" s="231"/>
    </row>
    <row r="18" spans="3:9">
      <c r="C18" s="231"/>
      <c r="D18" s="231"/>
      <c r="E18" s="231"/>
      <c r="F18" s="231"/>
      <c r="G18" s="231"/>
      <c r="H18" s="231"/>
      <c r="I18" s="231"/>
    </row>
    <row r="19" spans="3:9">
      <c r="C19" s="231"/>
      <c r="D19" s="231"/>
      <c r="E19" s="231"/>
      <c r="F19" s="231"/>
      <c r="G19" s="231"/>
      <c r="H19" s="231"/>
      <c r="I19" s="231"/>
    </row>
    <row r="20" spans="3:9">
      <c r="C20" s="231"/>
      <c r="D20" s="231"/>
      <c r="E20" s="231"/>
      <c r="F20" s="231"/>
      <c r="G20" s="231"/>
      <c r="H20" s="231"/>
      <c r="I20" s="231"/>
    </row>
    <row r="21" spans="3:9">
      <c r="C21" s="231"/>
      <c r="D21" s="231"/>
      <c r="E21" s="231"/>
      <c r="F21" s="231"/>
      <c r="G21" s="231"/>
      <c r="H21" s="231"/>
      <c r="I21" s="231"/>
    </row>
    <row r="22" spans="3:9">
      <c r="C22" s="231"/>
      <c r="D22" s="231"/>
      <c r="E22" s="231"/>
      <c r="F22" s="231"/>
      <c r="G22" s="231"/>
      <c r="H22" s="231"/>
      <c r="I22" s="231"/>
    </row>
    <row r="23" spans="3:9">
      <c r="C23" s="231"/>
      <c r="D23" s="231"/>
      <c r="E23" s="231"/>
      <c r="F23" s="231"/>
      <c r="G23" s="231"/>
      <c r="H23" s="231"/>
      <c r="I23" s="231"/>
    </row>
    <row r="24" spans="3:9">
      <c r="C24" s="231"/>
      <c r="D24" s="231"/>
      <c r="E24" s="231"/>
      <c r="F24" s="231"/>
      <c r="G24" s="231"/>
      <c r="H24" s="231"/>
      <c r="I24" s="231"/>
    </row>
    <row r="25" spans="3:9">
      <c r="C25" s="231"/>
      <c r="D25" s="231"/>
      <c r="E25" s="231"/>
      <c r="F25" s="231"/>
      <c r="G25" s="231"/>
      <c r="H25" s="231"/>
      <c r="I25" s="231"/>
    </row>
    <row r="26" spans="3:9">
      <c r="C26" s="231"/>
      <c r="D26" s="231"/>
      <c r="E26" s="231"/>
      <c r="F26" s="231"/>
      <c r="G26" s="231"/>
      <c r="H26" s="231"/>
      <c r="I26" s="231"/>
    </row>
    <row r="27" spans="3:9">
      <c r="C27" s="231"/>
      <c r="D27" s="231"/>
      <c r="E27" s="231"/>
      <c r="F27" s="231"/>
      <c r="G27" s="231"/>
      <c r="H27" s="231"/>
      <c r="I27" s="231"/>
    </row>
    <row r="28" spans="3:9">
      <c r="C28" s="231"/>
      <c r="D28" s="231"/>
      <c r="E28" s="231"/>
      <c r="F28" s="231"/>
      <c r="G28" s="231"/>
      <c r="H28" s="231"/>
      <c r="I28" s="231"/>
    </row>
    <row r="29" spans="3:9">
      <c r="C29" s="231"/>
      <c r="D29" s="231"/>
      <c r="E29" s="231"/>
      <c r="F29" s="231"/>
      <c r="G29" s="231"/>
      <c r="H29" s="231"/>
      <c r="I29" s="231"/>
    </row>
    <row r="30" spans="3:9">
      <c r="C30" s="231"/>
      <c r="D30" s="231"/>
      <c r="E30" s="231"/>
      <c r="F30" s="231"/>
      <c r="G30" s="231"/>
      <c r="H30" s="231"/>
      <c r="I30" s="231"/>
    </row>
    <row r="31" spans="3:9">
      <c r="C31" s="231"/>
      <c r="D31" s="231"/>
      <c r="E31" s="231"/>
      <c r="F31" s="231"/>
      <c r="G31" s="231"/>
      <c r="H31" s="231"/>
      <c r="I31" s="231"/>
    </row>
    <row r="32" spans="3:9">
      <c r="C32" s="231"/>
      <c r="D32" s="231"/>
      <c r="E32" s="231"/>
      <c r="F32" s="231"/>
      <c r="G32" s="231"/>
      <c r="H32" s="231"/>
      <c r="I32" s="231"/>
    </row>
    <row r="33" spans="3:11">
      <c r="C33" s="231"/>
      <c r="D33" s="231"/>
      <c r="E33" s="231"/>
      <c r="F33" s="231"/>
      <c r="G33" s="231"/>
      <c r="H33" s="231"/>
      <c r="I33" s="231"/>
    </row>
    <row r="34" spans="3:11">
      <c r="C34" s="231"/>
      <c r="D34" s="231"/>
      <c r="E34" s="231"/>
      <c r="F34" s="231"/>
      <c r="G34" s="231"/>
      <c r="H34" s="231"/>
      <c r="I34" s="231"/>
    </row>
    <row r="35" spans="3:11">
      <c r="C35" s="231"/>
      <c r="D35" s="231"/>
      <c r="E35" s="231"/>
      <c r="F35" s="231"/>
      <c r="G35" s="231"/>
      <c r="H35" s="231"/>
      <c r="I35" s="231"/>
      <c r="K35" s="231"/>
    </row>
    <row r="36" spans="3:11">
      <c r="C36" s="231"/>
      <c r="D36" s="231"/>
      <c r="E36" s="231"/>
      <c r="F36" s="231"/>
      <c r="G36" s="231"/>
      <c r="H36" s="231"/>
      <c r="I36" s="231"/>
    </row>
    <row r="37" spans="3:11">
      <c r="I37" s="231"/>
    </row>
    <row r="38" spans="3:11">
      <c r="I38" s="231"/>
    </row>
    <row r="39" spans="3:11">
      <c r="I39" s="231"/>
    </row>
    <row r="40" spans="3:11">
      <c r="I40" s="231"/>
    </row>
    <row r="41" spans="3:11">
      <c r="I41" s="231"/>
    </row>
    <row r="42" spans="3:11">
      <c r="I42" s="231"/>
      <c r="K42" s="23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9F359-90B3-4B98-9C85-33FA31060E0F}">
  <sheetPr codeName="Sheet3"/>
  <dimension ref="B3:F125"/>
  <sheetViews>
    <sheetView topLeftCell="A103" workbookViewId="0">
      <selection activeCell="D118" sqref="D118"/>
    </sheetView>
  </sheetViews>
  <sheetFormatPr defaultRowHeight="15"/>
  <cols>
    <col min="1" max="1" width="6.85546875" customWidth="1"/>
    <col min="4" max="4" width="26" customWidth="1"/>
    <col min="16" max="16" width="11.28515625" customWidth="1"/>
  </cols>
  <sheetData>
    <row r="3" spans="2:5">
      <c r="B3" t="s">
        <v>38</v>
      </c>
      <c r="C3" t="s">
        <v>39</v>
      </c>
    </row>
    <row r="4" spans="2:5">
      <c r="B4" t="s">
        <v>40</v>
      </c>
      <c r="C4" t="s">
        <v>41</v>
      </c>
      <c r="D4" t="s">
        <v>42</v>
      </c>
      <c r="E4" t="s">
        <v>43</v>
      </c>
    </row>
    <row r="5" spans="2:5">
      <c r="D5" t="s">
        <v>44</v>
      </c>
      <c r="E5" t="s">
        <v>45</v>
      </c>
    </row>
    <row r="6" spans="2:5">
      <c r="D6" t="s">
        <v>46</v>
      </c>
      <c r="E6" t="s">
        <v>47</v>
      </c>
    </row>
    <row r="7" spans="2:5">
      <c r="D7" t="s">
        <v>48</v>
      </c>
      <c r="E7" t="s">
        <v>49</v>
      </c>
    </row>
    <row r="8" spans="2:5">
      <c r="D8" t="s">
        <v>50</v>
      </c>
      <c r="E8" t="s">
        <v>51</v>
      </c>
    </row>
    <row r="9" spans="2:5">
      <c r="D9" t="s">
        <v>52</v>
      </c>
      <c r="E9" t="s">
        <v>53</v>
      </c>
    </row>
    <row r="10" spans="2:5">
      <c r="C10" t="s">
        <v>54</v>
      </c>
    </row>
    <row r="11" spans="2:5">
      <c r="B11" t="s">
        <v>55</v>
      </c>
      <c r="C11" t="s">
        <v>56</v>
      </c>
    </row>
    <row r="12" spans="2:5">
      <c r="B12" t="s">
        <v>57</v>
      </c>
      <c r="C12" t="s">
        <v>41</v>
      </c>
      <c r="D12" t="s">
        <v>58</v>
      </c>
      <c r="E12" t="s">
        <v>59</v>
      </c>
    </row>
    <row r="13" spans="2:5">
      <c r="D13" t="s">
        <v>52</v>
      </c>
      <c r="E13" t="s">
        <v>59</v>
      </c>
    </row>
    <row r="14" spans="2:5">
      <c r="E14" t="s">
        <v>60</v>
      </c>
    </row>
    <row r="15" spans="2:5">
      <c r="B15" t="s">
        <v>61</v>
      </c>
      <c r="C15" t="s">
        <v>62</v>
      </c>
    </row>
    <row r="16" spans="2:5">
      <c r="C16" t="s">
        <v>63</v>
      </c>
      <c r="D16" t="s">
        <v>46</v>
      </c>
      <c r="E16" t="s">
        <v>64</v>
      </c>
    </row>
    <row r="17" spans="2:5">
      <c r="E17" t="s">
        <v>65</v>
      </c>
    </row>
    <row r="18" spans="2:5">
      <c r="E18" t="s">
        <v>66</v>
      </c>
    </row>
    <row r="19" spans="2:5">
      <c r="D19" t="s">
        <v>67</v>
      </c>
      <c r="E19" t="s">
        <v>68</v>
      </c>
    </row>
    <row r="20" spans="2:5">
      <c r="D20" t="s">
        <v>46</v>
      </c>
      <c r="E20" t="s">
        <v>69</v>
      </c>
    </row>
    <row r="21" spans="2:5">
      <c r="E21" t="s">
        <v>70</v>
      </c>
    </row>
    <row r="22" spans="2:5">
      <c r="E22" t="s">
        <v>71</v>
      </c>
    </row>
    <row r="23" spans="2:5">
      <c r="B23" t="s">
        <v>72</v>
      </c>
      <c r="D23" t="s">
        <v>58</v>
      </c>
      <c r="E23" t="s">
        <v>73</v>
      </c>
    </row>
    <row r="24" spans="2:5">
      <c r="D24" t="s">
        <v>46</v>
      </c>
      <c r="E24" t="s">
        <v>74</v>
      </c>
    </row>
    <row r="25" spans="2:5">
      <c r="B25" t="s">
        <v>75</v>
      </c>
      <c r="D25" t="s">
        <v>48</v>
      </c>
      <c r="E25" t="s">
        <v>76</v>
      </c>
    </row>
    <row r="26" spans="2:5">
      <c r="E26" t="s">
        <v>77</v>
      </c>
    </row>
    <row r="27" spans="2:5">
      <c r="B27" t="s">
        <v>78</v>
      </c>
      <c r="D27" t="s">
        <v>67</v>
      </c>
      <c r="E27" t="s">
        <v>79</v>
      </c>
    </row>
    <row r="28" spans="2:5">
      <c r="D28" t="s">
        <v>42</v>
      </c>
      <c r="E28" t="s">
        <v>80</v>
      </c>
    </row>
    <row r="29" spans="2:5">
      <c r="E29" t="s">
        <v>81</v>
      </c>
    </row>
    <row r="30" spans="2:5">
      <c r="D30" t="s">
        <v>82</v>
      </c>
      <c r="E30" t="s">
        <v>83</v>
      </c>
    </row>
    <row r="31" spans="2:5">
      <c r="D31" t="s">
        <v>67</v>
      </c>
      <c r="E31" t="s">
        <v>84</v>
      </c>
    </row>
    <row r="32" spans="2:5">
      <c r="B32" t="s">
        <v>85</v>
      </c>
      <c r="D32" t="s">
        <v>86</v>
      </c>
      <c r="E32" t="s">
        <v>87</v>
      </c>
    </row>
    <row r="33" spans="2:5">
      <c r="E33" t="s">
        <v>88</v>
      </c>
    </row>
    <row r="34" spans="2:5">
      <c r="B34" t="s">
        <v>89</v>
      </c>
      <c r="D34" t="s">
        <v>42</v>
      </c>
      <c r="E34" t="s">
        <v>90</v>
      </c>
    </row>
    <row r="35" spans="2:5">
      <c r="E35" t="s">
        <v>91</v>
      </c>
    </row>
    <row r="36" spans="2:5">
      <c r="B36" t="s">
        <v>92</v>
      </c>
      <c r="D36" t="s">
        <v>67</v>
      </c>
      <c r="E36" t="s">
        <v>93</v>
      </c>
    </row>
    <row r="37" spans="2:5">
      <c r="D37" t="s">
        <v>44</v>
      </c>
      <c r="E37" t="s">
        <v>94</v>
      </c>
    </row>
    <row r="38" spans="2:5">
      <c r="D38" t="s">
        <v>95</v>
      </c>
      <c r="E38" s="414" t="s">
        <v>96</v>
      </c>
    </row>
    <row r="39" spans="2:5">
      <c r="B39" t="s">
        <v>97</v>
      </c>
      <c r="D39" t="s">
        <v>42</v>
      </c>
      <c r="E39" t="s">
        <v>98</v>
      </c>
    </row>
    <row r="40" spans="2:5">
      <c r="D40" t="s">
        <v>95</v>
      </c>
      <c r="E40" t="s">
        <v>99</v>
      </c>
    </row>
    <row r="41" spans="2:5">
      <c r="D41" t="s">
        <v>67</v>
      </c>
      <c r="E41" t="s">
        <v>100</v>
      </c>
    </row>
    <row r="42" spans="2:5">
      <c r="D42" t="s">
        <v>42</v>
      </c>
      <c r="E42" t="s">
        <v>101</v>
      </c>
    </row>
    <row r="43" spans="2:5">
      <c r="E43" t="s">
        <v>102</v>
      </c>
    </row>
    <row r="44" spans="2:5">
      <c r="D44" t="s">
        <v>44</v>
      </c>
      <c r="E44" t="s">
        <v>103</v>
      </c>
    </row>
    <row r="45" spans="2:5">
      <c r="E45" t="s">
        <v>104</v>
      </c>
    </row>
    <row r="46" spans="2:5">
      <c r="D46" t="s">
        <v>42</v>
      </c>
      <c r="E46" t="s">
        <v>105</v>
      </c>
    </row>
    <row r="47" spans="2:5">
      <c r="D47" t="s">
        <v>95</v>
      </c>
      <c r="E47" t="s">
        <v>106</v>
      </c>
    </row>
    <row r="48" spans="2:5">
      <c r="B48" t="s">
        <v>107</v>
      </c>
      <c r="D48" t="s">
        <v>44</v>
      </c>
      <c r="E48" t="s">
        <v>108</v>
      </c>
    </row>
    <row r="49" spans="2:5">
      <c r="E49" t="s">
        <v>109</v>
      </c>
    </row>
    <row r="50" spans="2:5">
      <c r="B50" t="s">
        <v>110</v>
      </c>
      <c r="D50" t="s">
        <v>58</v>
      </c>
      <c r="E50" t="s">
        <v>111</v>
      </c>
    </row>
    <row r="51" spans="2:5">
      <c r="D51" t="s">
        <v>46</v>
      </c>
      <c r="E51" t="s">
        <v>112</v>
      </c>
    </row>
    <row r="52" spans="2:5">
      <c r="D52" t="s">
        <v>42</v>
      </c>
      <c r="E52" t="s">
        <v>113</v>
      </c>
    </row>
    <row r="53" spans="2:5">
      <c r="B53" t="s">
        <v>114</v>
      </c>
      <c r="D53" t="s">
        <v>67</v>
      </c>
      <c r="E53" t="s">
        <v>115</v>
      </c>
    </row>
    <row r="54" spans="2:5">
      <c r="D54" t="s">
        <v>58</v>
      </c>
      <c r="E54" t="s">
        <v>116</v>
      </c>
    </row>
    <row r="55" spans="2:5">
      <c r="B55" t="s">
        <v>117</v>
      </c>
      <c r="D55" t="s">
        <v>118</v>
      </c>
      <c r="E55" t="s">
        <v>119</v>
      </c>
    </row>
    <row r="56" spans="2:5">
      <c r="D56" t="s">
        <v>95</v>
      </c>
      <c r="E56" t="s">
        <v>120</v>
      </c>
    </row>
    <row r="57" spans="2:5">
      <c r="B57" t="s">
        <v>121</v>
      </c>
      <c r="D57" t="s">
        <v>122</v>
      </c>
      <c r="E57" t="s">
        <v>123</v>
      </c>
    </row>
    <row r="58" spans="2:5">
      <c r="D58" t="s">
        <v>46</v>
      </c>
      <c r="E58" t="s">
        <v>124</v>
      </c>
    </row>
    <row r="59" spans="2:5">
      <c r="D59" t="s">
        <v>58</v>
      </c>
      <c r="E59" t="s">
        <v>125</v>
      </c>
    </row>
    <row r="60" spans="2:5">
      <c r="B60" t="s">
        <v>126</v>
      </c>
      <c r="D60" t="s">
        <v>95</v>
      </c>
      <c r="E60" t="s">
        <v>127</v>
      </c>
    </row>
    <row r="61" spans="2:5">
      <c r="E61" s="295" t="s">
        <v>128</v>
      </c>
    </row>
    <row r="62" spans="2:5">
      <c r="E62" t="s">
        <v>129</v>
      </c>
    </row>
    <row r="63" spans="2:5">
      <c r="E63" t="s">
        <v>130</v>
      </c>
    </row>
    <row r="64" spans="2:5">
      <c r="D64" t="s">
        <v>122</v>
      </c>
      <c r="E64" t="s">
        <v>131</v>
      </c>
    </row>
    <row r="65" spans="2:5">
      <c r="D65" t="s">
        <v>67</v>
      </c>
      <c r="E65" t="s">
        <v>132</v>
      </c>
    </row>
    <row r="66" spans="2:5">
      <c r="E66" t="s">
        <v>133</v>
      </c>
    </row>
    <row r="67" spans="2:5">
      <c r="B67" t="s">
        <v>134</v>
      </c>
      <c r="D67" t="s">
        <v>95</v>
      </c>
      <c r="E67" t="s">
        <v>135</v>
      </c>
    </row>
    <row r="68" spans="2:5">
      <c r="D68" t="s">
        <v>58</v>
      </c>
      <c r="E68" t="s">
        <v>136</v>
      </c>
    </row>
    <row r="69" spans="2:5">
      <c r="D69" t="s">
        <v>52</v>
      </c>
      <c r="E69" t="s">
        <v>137</v>
      </c>
    </row>
    <row r="70" spans="2:5">
      <c r="E70" t="s">
        <v>138</v>
      </c>
    </row>
    <row r="71" spans="2:5">
      <c r="D71" t="s">
        <v>46</v>
      </c>
      <c r="E71" t="s">
        <v>139</v>
      </c>
    </row>
    <row r="72" spans="2:5">
      <c r="B72" t="s">
        <v>140</v>
      </c>
      <c r="D72" t="s">
        <v>48</v>
      </c>
      <c r="E72" t="s">
        <v>141</v>
      </c>
    </row>
    <row r="73" spans="2:5">
      <c r="D73" t="s">
        <v>42</v>
      </c>
      <c r="E73" t="s">
        <v>142</v>
      </c>
    </row>
    <row r="74" spans="2:5">
      <c r="D74" t="s">
        <v>122</v>
      </c>
      <c r="E74" t="s">
        <v>143</v>
      </c>
    </row>
    <row r="75" spans="2:5">
      <c r="D75" t="s">
        <v>46</v>
      </c>
      <c r="E75" t="s">
        <v>144</v>
      </c>
    </row>
    <row r="76" spans="2:5">
      <c r="E76" t="s">
        <v>145</v>
      </c>
    </row>
    <row r="77" spans="2:5">
      <c r="D77" t="s">
        <v>58</v>
      </c>
      <c r="E77" t="s">
        <v>146</v>
      </c>
    </row>
    <row r="78" spans="2:5">
      <c r="D78" t="s">
        <v>67</v>
      </c>
      <c r="E78" t="s">
        <v>147</v>
      </c>
    </row>
    <row r="79" spans="2:5">
      <c r="B79" t="s">
        <v>148</v>
      </c>
      <c r="D79" t="s">
        <v>46</v>
      </c>
      <c r="E79" t="s">
        <v>149</v>
      </c>
    </row>
    <row r="80" spans="2:5">
      <c r="E80" t="s">
        <v>150</v>
      </c>
    </row>
    <row r="81" spans="2:5">
      <c r="D81" t="s">
        <v>42</v>
      </c>
      <c r="E81" t="s">
        <v>151</v>
      </c>
    </row>
    <row r="82" spans="2:5">
      <c r="E82" t="s">
        <v>152</v>
      </c>
    </row>
    <row r="83" spans="2:5">
      <c r="E83" t="s">
        <v>153</v>
      </c>
    </row>
    <row r="84" spans="2:5">
      <c r="B84" t="s">
        <v>154</v>
      </c>
      <c r="D84" t="s">
        <v>122</v>
      </c>
      <c r="E84" t="s">
        <v>155</v>
      </c>
    </row>
    <row r="85" spans="2:5">
      <c r="D85" t="s">
        <v>156</v>
      </c>
      <c r="E85" t="s">
        <v>157</v>
      </c>
    </row>
    <row r="86" spans="2:5">
      <c r="E86" s="205" t="s">
        <v>158</v>
      </c>
    </row>
    <row r="87" spans="2:5">
      <c r="D87" t="s">
        <v>52</v>
      </c>
      <c r="E87" t="s">
        <v>159</v>
      </c>
    </row>
    <row r="88" spans="2:5">
      <c r="D88" t="s">
        <v>160</v>
      </c>
      <c r="E88" t="s">
        <v>161</v>
      </c>
    </row>
    <row r="89" spans="2:5">
      <c r="D89" t="s">
        <v>95</v>
      </c>
      <c r="E89" t="s">
        <v>162</v>
      </c>
    </row>
    <row r="90" spans="2:5">
      <c r="B90" t="s">
        <v>163</v>
      </c>
      <c r="D90" t="s">
        <v>46</v>
      </c>
      <c r="E90" t="s">
        <v>164</v>
      </c>
    </row>
    <row r="91" spans="2:5">
      <c r="E91" t="s">
        <v>165</v>
      </c>
    </row>
    <row r="92" spans="2:5">
      <c r="E92" t="s">
        <v>166</v>
      </c>
    </row>
    <row r="93" spans="2:5">
      <c r="B93" t="s">
        <v>167</v>
      </c>
      <c r="D93" t="s">
        <v>46</v>
      </c>
      <c r="E93" t="s">
        <v>168</v>
      </c>
    </row>
    <row r="94" spans="2:5">
      <c r="D94" t="s">
        <v>169</v>
      </c>
      <c r="E94" t="s">
        <v>170</v>
      </c>
    </row>
    <row r="95" spans="2:5">
      <c r="D95" t="s">
        <v>122</v>
      </c>
      <c r="E95" t="s">
        <v>171</v>
      </c>
    </row>
    <row r="96" spans="2:5">
      <c r="E96" t="s">
        <v>172</v>
      </c>
    </row>
    <row r="97" spans="2:5">
      <c r="B97" t="s">
        <v>173</v>
      </c>
      <c r="D97" t="s">
        <v>174</v>
      </c>
      <c r="E97" t="s">
        <v>175</v>
      </c>
    </row>
    <row r="98" spans="2:5">
      <c r="D98" t="s">
        <v>58</v>
      </c>
      <c r="E98" t="s">
        <v>176</v>
      </c>
    </row>
    <row r="99" spans="2:5">
      <c r="B99" t="s">
        <v>177</v>
      </c>
      <c r="D99" t="s">
        <v>58</v>
      </c>
      <c r="E99" t="s">
        <v>178</v>
      </c>
    </row>
    <row r="100" spans="2:5">
      <c r="D100" t="s">
        <v>46</v>
      </c>
      <c r="E100" t="s">
        <v>179</v>
      </c>
    </row>
    <row r="102" spans="2:5">
      <c r="B102" t="s">
        <v>180</v>
      </c>
      <c r="D102" t="s">
        <v>181</v>
      </c>
      <c r="E102" t="s">
        <v>182</v>
      </c>
    </row>
    <row r="103" spans="2:5">
      <c r="D103" t="s">
        <v>183</v>
      </c>
      <c r="E103" t="s">
        <v>184</v>
      </c>
    </row>
    <row r="104" spans="2:5">
      <c r="D104" t="s">
        <v>185</v>
      </c>
      <c r="E104" t="s">
        <v>186</v>
      </c>
    </row>
    <row r="105" spans="2:5">
      <c r="B105" t="s">
        <v>187</v>
      </c>
      <c r="D105" t="s">
        <v>181</v>
      </c>
      <c r="E105" t="s">
        <v>188</v>
      </c>
    </row>
    <row r="106" spans="2:5">
      <c r="D106" t="s">
        <v>189</v>
      </c>
      <c r="E106" t="s">
        <v>190</v>
      </c>
    </row>
    <row r="107" spans="2:5">
      <c r="D107" t="s">
        <v>191</v>
      </c>
      <c r="E107" t="s">
        <v>192</v>
      </c>
    </row>
    <row r="108" spans="2:5">
      <c r="D108" t="s">
        <v>193</v>
      </c>
      <c r="E108" t="s">
        <v>194</v>
      </c>
    </row>
    <row r="109" spans="2:5">
      <c r="D109" t="s">
        <v>195</v>
      </c>
      <c r="E109" t="s">
        <v>196</v>
      </c>
    </row>
    <row r="110" spans="2:5">
      <c r="D110" t="s">
        <v>197</v>
      </c>
      <c r="E110" s="295" t="s">
        <v>198</v>
      </c>
    </row>
    <row r="111" spans="2:5">
      <c r="E111" s="320" t="s">
        <v>199</v>
      </c>
    </row>
    <row r="112" spans="2:5">
      <c r="B112" t="s">
        <v>947</v>
      </c>
      <c r="D112" t="s">
        <v>948</v>
      </c>
      <c r="E112" t="s">
        <v>949</v>
      </c>
    </row>
    <row r="114" spans="5:6" ht="18">
      <c r="E114" s="725" t="s">
        <v>950</v>
      </c>
    </row>
    <row r="115" spans="5:6">
      <c r="E115" s="722"/>
    </row>
    <row r="116" spans="5:6">
      <c r="E116" s="723" t="s">
        <v>951</v>
      </c>
    </row>
    <row r="117" spans="5:6">
      <c r="E117" s="723" t="s">
        <v>952</v>
      </c>
    </row>
    <row r="118" spans="5:6">
      <c r="E118" s="722" t="s">
        <v>953</v>
      </c>
    </row>
    <row r="120" spans="5:6" ht="18">
      <c r="E120" s="725" t="s">
        <v>956</v>
      </c>
    </row>
    <row r="121" spans="5:6">
      <c r="F121" s="722"/>
    </row>
    <row r="122" spans="5:6">
      <c r="E122" s="724" t="s">
        <v>957</v>
      </c>
    </row>
    <row r="123" spans="5:6">
      <c r="E123" s="726" t="s">
        <v>958</v>
      </c>
      <c r="F123" s="722"/>
    </row>
    <row r="125" spans="5:6">
      <c r="E125" t="s">
        <v>959</v>
      </c>
    </row>
  </sheetData>
  <sheetProtection algorithmName="SHA-512" hashValue="QhsR0mpkJRVpkgYkrdG5OhEDER/FazfFT1C8R0JfzinOjmgwcy3uXNqAJ9RqL/eg9wzcqgPDoWKC1trfCCEvOA==" saltValue="+wpZ/3u+sFN3WT2yMeKnCA==" spinCount="100000" sheet="1" objects="1" scenarios="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AE921-32F2-4EC1-89C4-818162C97E20}">
  <sheetPr codeName="Sheet4">
    <tabColor theme="7" tint="0.39997558519241921"/>
  </sheetPr>
  <dimension ref="B1:AA79"/>
  <sheetViews>
    <sheetView workbookViewId="0">
      <selection activeCell="Q5" sqref="Q5"/>
    </sheetView>
  </sheetViews>
  <sheetFormatPr defaultRowHeight="15"/>
  <cols>
    <col min="2" max="2" width="18.28515625" customWidth="1"/>
    <col min="3" max="9" width="10" bestFit="1" customWidth="1"/>
    <col min="16" max="16" width="26" customWidth="1"/>
    <col min="17" max="22" width="10" bestFit="1" customWidth="1"/>
    <col min="23" max="23" width="9" bestFit="1" customWidth="1"/>
  </cols>
  <sheetData>
    <row r="1" spans="2:27">
      <c r="Q1">
        <v>2</v>
      </c>
      <c r="R1">
        <v>3</v>
      </c>
      <c r="S1">
        <v>4</v>
      </c>
      <c r="T1">
        <v>5</v>
      </c>
      <c r="U1">
        <v>6</v>
      </c>
      <c r="V1">
        <v>7</v>
      </c>
      <c r="W1">
        <v>8</v>
      </c>
    </row>
    <row r="2" spans="2:27" ht="43.9" customHeight="1">
      <c r="B2" s="249" t="s">
        <v>200</v>
      </c>
      <c r="C2" s="247">
        <f>'Baseline Statistics'!D4</f>
        <v>2022</v>
      </c>
      <c r="D2" s="247">
        <f>'Baseline Statistics'!E4</f>
        <v>2025</v>
      </c>
      <c r="E2" s="247">
        <f>'Baseline Statistics'!F4</f>
        <v>2030</v>
      </c>
      <c r="F2" s="247">
        <f>'Baseline Statistics'!G4</f>
        <v>2035</v>
      </c>
      <c r="G2" s="247">
        <f>'Baseline Statistics'!H4</f>
        <v>2040</v>
      </c>
      <c r="H2" s="247">
        <f>'Baseline Statistics'!I4</f>
        <v>2045</v>
      </c>
      <c r="I2" s="250">
        <f>'Baseline Statistics'!J4</f>
        <v>2051</v>
      </c>
      <c r="J2" s="250" t="s">
        <v>201</v>
      </c>
      <c r="K2" s="278" t="s">
        <v>202</v>
      </c>
      <c r="L2" s="278" t="s">
        <v>203</v>
      </c>
      <c r="M2" s="278" t="s">
        <v>204</v>
      </c>
      <c r="N2" s="278" t="s">
        <v>205</v>
      </c>
      <c r="P2" s="249" t="s">
        <v>206</v>
      </c>
      <c r="Q2" s="247">
        <f>'Baseline Statistics'!D4</f>
        <v>2022</v>
      </c>
      <c r="R2" s="247">
        <f>'Baseline Statistics'!E4</f>
        <v>2025</v>
      </c>
      <c r="S2" s="247">
        <f>'Baseline Statistics'!F4</f>
        <v>2030</v>
      </c>
      <c r="T2" s="247">
        <f>'Baseline Statistics'!G4</f>
        <v>2035</v>
      </c>
      <c r="U2" s="247">
        <f>'Baseline Statistics'!H4</f>
        <v>2040</v>
      </c>
      <c r="V2" s="247">
        <f>'Baseline Statistics'!I4</f>
        <v>2045</v>
      </c>
      <c r="W2" s="250">
        <f>'Baseline Statistics'!J4</f>
        <v>2051</v>
      </c>
      <c r="X2" s="278" t="s">
        <v>202</v>
      </c>
    </row>
    <row r="3" spans="2:27">
      <c r="B3" t="s">
        <v>207</v>
      </c>
      <c r="C3" s="231">
        <f>'4. Buildings'!C170</f>
        <v>2514.4811271524195</v>
      </c>
      <c r="D3" s="231">
        <f>'4. Buildings'!D170</f>
        <v>2603.0697810082611</v>
      </c>
      <c r="E3" s="231">
        <f>'4. Buildings'!E170</f>
        <v>2747.7599407059911</v>
      </c>
      <c r="F3" s="231">
        <f>'4. Buildings'!F170</f>
        <v>2881.203552872591</v>
      </c>
      <c r="G3" s="231">
        <f>'4. Buildings'!G170</f>
        <v>3013.8437173844532</v>
      </c>
      <c r="H3" s="231">
        <f>'4. Buildings'!H170</f>
        <v>3145.3077759705047</v>
      </c>
      <c r="I3" s="231">
        <f>'4. Buildings'!I170</f>
        <v>3511.6650803105081</v>
      </c>
      <c r="J3" t="s">
        <v>208</v>
      </c>
      <c r="K3" t="s">
        <v>209</v>
      </c>
      <c r="L3" t="s">
        <v>210</v>
      </c>
      <c r="M3" t="s">
        <v>211</v>
      </c>
      <c r="N3" t="s">
        <v>212</v>
      </c>
      <c r="P3" t="s">
        <v>212</v>
      </c>
      <c r="Q3" s="231">
        <f>C3*VLOOKUP($J3,'Emissions Factors'!$B$14:$I$56,Q$1,FALSE)</f>
        <v>2514.4811271524195</v>
      </c>
      <c r="R3" s="231">
        <f>D3*VLOOKUP($J3,'Emissions Factors'!$B$14:$I$56,R$1,FALSE)</f>
        <v>2603.0697810082611</v>
      </c>
      <c r="S3" s="231">
        <f>E3*VLOOKUP($J3,'Emissions Factors'!$B$14:$I$56,S$1,FALSE)</f>
        <v>2747.7599407059911</v>
      </c>
      <c r="T3" s="231">
        <f>F3*VLOOKUP($J3,'Emissions Factors'!$B$14:$I$56,T$1,FALSE)</f>
        <v>2881.203552872591</v>
      </c>
      <c r="U3" s="231">
        <f>G3*VLOOKUP($J3,'Emissions Factors'!$B$14:$I$56,U$1,FALSE)</f>
        <v>3013.8437173844532</v>
      </c>
      <c r="V3" s="231">
        <f>H3*VLOOKUP($J3,'Emissions Factors'!$B$14:$I$56,V$1,FALSE)</f>
        <v>3145.3077759705047</v>
      </c>
      <c r="W3" s="231">
        <f>I3*VLOOKUP($J3,'Emissions Factors'!$B$14:$I$56,W$1,FALSE)</f>
        <v>3511.6650803105081</v>
      </c>
      <c r="X3" t="s">
        <v>209</v>
      </c>
    </row>
    <row r="4" spans="2:27">
      <c r="B4" t="s">
        <v>213</v>
      </c>
      <c r="C4" s="231">
        <f>'4. Buildings'!C203</f>
        <v>32653.931923307573</v>
      </c>
      <c r="D4" s="231">
        <f>'4. Buildings'!D203</f>
        <v>37739.559716965276</v>
      </c>
      <c r="E4" s="231">
        <f>'4. Buildings'!E203</f>
        <v>42567.582535532965</v>
      </c>
      <c r="F4" s="231">
        <f>'4. Buildings'!F203</f>
        <v>47405.789048512146</v>
      </c>
      <c r="G4" s="231">
        <f>'4. Buildings'!G203</f>
        <v>50000.034732219188</v>
      </c>
      <c r="H4" s="231">
        <f>'4. Buildings'!H203</f>
        <v>52178.533710083502</v>
      </c>
      <c r="I4" s="231">
        <f>'4. Buildings'!I203</f>
        <v>54388.51040709106</v>
      </c>
      <c r="J4" t="s">
        <v>214</v>
      </c>
      <c r="K4" t="s">
        <v>215</v>
      </c>
      <c r="L4" t="s">
        <v>210</v>
      </c>
      <c r="M4" t="s">
        <v>211</v>
      </c>
      <c r="N4" t="s">
        <v>214</v>
      </c>
      <c r="P4" t="s">
        <v>214</v>
      </c>
      <c r="Q4" s="231">
        <f>C4*VLOOKUP($J4,'Emissions Factors'!$B$14:$I$56,Q$1,FALSE)</f>
        <v>6759.3639081246674</v>
      </c>
      <c r="R4" s="231">
        <f>D4*VLOOKUP($J4,'Emissions Factors'!$B$14:$I$56,R$1,FALSE)</f>
        <v>7812.0888614118121</v>
      </c>
      <c r="S4" s="231">
        <f>E4*VLOOKUP($J4,'Emissions Factors'!$B$14:$I$56,S$1,FALSE)</f>
        <v>8811.4895848553242</v>
      </c>
      <c r="T4" s="231">
        <f>F4*VLOOKUP($J4,'Emissions Factors'!$B$14:$I$56,T$1,FALSE)</f>
        <v>9812.9983330420146</v>
      </c>
      <c r="U4" s="231">
        <f>G4*VLOOKUP($J4,'Emissions Factors'!$B$14:$I$56,U$1,FALSE)</f>
        <v>10350.007189569371</v>
      </c>
      <c r="V4" s="231">
        <f>H4*VLOOKUP($J4,'Emissions Factors'!$B$14:$I$56,V$1,FALSE)</f>
        <v>10800.956477987285</v>
      </c>
      <c r="W4" s="231">
        <f>I4*VLOOKUP($J4,'Emissions Factors'!$B$14:$I$56,W$1,FALSE)</f>
        <v>11258.42165426785</v>
      </c>
      <c r="X4" t="s">
        <v>209</v>
      </c>
    </row>
    <row r="5" spans="2:27">
      <c r="B5" t="s">
        <v>216</v>
      </c>
      <c r="C5" s="231">
        <f>'4. Buildings'!C204</f>
        <v>0</v>
      </c>
      <c r="D5" s="231">
        <f>'4. Buildings'!D204</f>
        <v>0</v>
      </c>
      <c r="E5" s="231">
        <f>'4. Buildings'!E204</f>
        <v>0</v>
      </c>
      <c r="F5" s="231">
        <f>'4. Buildings'!F204</f>
        <v>0</v>
      </c>
      <c r="G5" s="231">
        <f>'4. Buildings'!G204</f>
        <v>0</v>
      </c>
      <c r="H5" s="231">
        <f>'4. Buildings'!H204</f>
        <v>0</v>
      </c>
      <c r="I5" s="231">
        <f>'4. Buildings'!I204</f>
        <v>0</v>
      </c>
      <c r="J5" t="s">
        <v>216</v>
      </c>
      <c r="K5" t="s">
        <v>217</v>
      </c>
      <c r="L5" t="s">
        <v>210</v>
      </c>
      <c r="M5" t="s">
        <v>211</v>
      </c>
      <c r="N5" t="s">
        <v>214</v>
      </c>
      <c r="P5" t="s">
        <v>216</v>
      </c>
      <c r="Q5" s="231">
        <f>C5*VLOOKUP($J5,'Emissions Factors'!$B$14:$I$56,Q$1,FALSE)</f>
        <v>0</v>
      </c>
      <c r="R5" s="231">
        <f>D5*VLOOKUP($J5,'Emissions Factors'!$B$14:$I$56,R$1,FALSE)</f>
        <v>0</v>
      </c>
      <c r="S5" s="231">
        <f>E5*VLOOKUP($J5,'Emissions Factors'!$B$14:$I$56,S$1,FALSE)</f>
        <v>0</v>
      </c>
      <c r="T5" s="231">
        <f>F5*VLOOKUP($J5,'Emissions Factors'!$B$14:$I$56,T$1,FALSE)</f>
        <v>0</v>
      </c>
      <c r="U5" s="231">
        <f>G5*VLOOKUP($J5,'Emissions Factors'!$B$14:$I$56,U$1,FALSE)</f>
        <v>0</v>
      </c>
      <c r="V5" s="231">
        <f>H5*VLOOKUP($J5,'Emissions Factors'!$B$14:$I$56,V$1,FALSE)</f>
        <v>0</v>
      </c>
      <c r="W5" s="231">
        <f>I5*VLOOKUP($J5,'Emissions Factors'!$B$14:$I$56,W$1,FALSE)</f>
        <v>0</v>
      </c>
      <c r="X5" t="s">
        <v>209</v>
      </c>
      <c r="Y5" s="231">
        <v>11555</v>
      </c>
    </row>
    <row r="6" spans="2:27">
      <c r="B6" t="s">
        <v>218</v>
      </c>
      <c r="C6" s="231">
        <f>'4. Buildings'!C154</f>
        <v>952892.18637525791</v>
      </c>
      <c r="D6" s="231">
        <f>'4. Buildings'!D154</f>
        <v>999441.13608936756</v>
      </c>
      <c r="E6" s="231">
        <f>'4. Buildings'!E154</f>
        <v>1046236.7675610341</v>
      </c>
      <c r="F6" s="231">
        <f>'4. Buildings'!F154</f>
        <v>1065642.8564629219</v>
      </c>
      <c r="G6" s="231">
        <f>'4. Buildings'!G154</f>
        <v>1097604.3729612338</v>
      </c>
      <c r="H6" s="231">
        <f>'4. Buildings'!H154</f>
        <v>1126659.007679939</v>
      </c>
      <c r="I6" s="231">
        <f>'4. Buildings'!I154</f>
        <v>1164206.1030950532</v>
      </c>
      <c r="J6" t="s">
        <v>219</v>
      </c>
      <c r="K6" t="s">
        <v>220</v>
      </c>
      <c r="L6" t="s">
        <v>210</v>
      </c>
      <c r="M6" t="s">
        <v>221</v>
      </c>
      <c r="N6" t="s">
        <v>218</v>
      </c>
      <c r="P6" t="s">
        <v>222</v>
      </c>
      <c r="Q6" s="231">
        <f>C6*VLOOKUP($J6,'Emissions Factors'!$B$14:$I$56,Q$1,FALSE)</f>
        <v>57592.803744520592</v>
      </c>
      <c r="R6" s="231">
        <f>D6*VLOOKUP($J6,'Emissions Factors'!$B$14:$I$56,R$1,FALSE)</f>
        <v>60406.222265241377</v>
      </c>
      <c r="S6" s="231">
        <f>E6*VLOOKUP($J6,'Emissions Factors'!$B$14:$I$56,S$1,FALSE)</f>
        <v>63234.550231388901</v>
      </c>
      <c r="T6" s="231">
        <f>F6*VLOOKUP($J6,'Emissions Factors'!$B$14:$I$56,T$1,FALSE)</f>
        <v>64407.454244619003</v>
      </c>
      <c r="U6" s="231">
        <f>G6*VLOOKUP($J6,'Emissions Factors'!$B$14:$I$56,U$1,FALSE)</f>
        <v>66339.208301776976</v>
      </c>
      <c r="V6" s="231">
        <f>H6*VLOOKUP($J6,'Emissions Factors'!$B$14:$I$56,V$1,FALSE)</f>
        <v>68095.270424175513</v>
      </c>
      <c r="W6" s="231">
        <f>I6*VLOOKUP($J6,'Emissions Factors'!$B$14:$I$56,W$1,FALSE)</f>
        <v>70364.616871065024</v>
      </c>
      <c r="X6" t="s">
        <v>209</v>
      </c>
    </row>
    <row r="7" spans="2:27">
      <c r="B7" t="s">
        <v>223</v>
      </c>
      <c r="C7" s="231">
        <f>'4. Buildings'!C155</f>
        <v>378207.00553191494</v>
      </c>
      <c r="D7" s="231">
        <f>'4. Buildings'!D155</f>
        <v>397263.08496508904</v>
      </c>
      <c r="E7" s="231">
        <f>'4. Buildings'!E155</f>
        <v>415204.01341236191</v>
      </c>
      <c r="F7" s="231">
        <f>'4. Buildings'!F155</f>
        <v>421020.06118763413</v>
      </c>
      <c r="G7" s="231">
        <f>'4. Buildings'!G155</f>
        <v>432541.8792124709</v>
      </c>
      <c r="H7" s="231">
        <f>'4. Buildings'!H155</f>
        <v>442735.32327665348</v>
      </c>
      <c r="I7" s="231">
        <f>'4. Buildings'!I155</f>
        <v>453444.20109230018</v>
      </c>
      <c r="J7" t="s">
        <v>223</v>
      </c>
      <c r="K7" t="s">
        <v>220</v>
      </c>
      <c r="L7" t="s">
        <v>210</v>
      </c>
      <c r="M7" t="s">
        <v>221</v>
      </c>
      <c r="N7" t="s">
        <v>223</v>
      </c>
      <c r="P7" t="s">
        <v>223</v>
      </c>
      <c r="Q7" s="231">
        <f>C7*VLOOKUP($J7,'Emissions Factors'!$B$14:$I$56,Q$1,FALSE)</f>
        <v>31322.870942731282</v>
      </c>
      <c r="R7" s="231">
        <f>D7*VLOOKUP($J7,'Emissions Factors'!$B$14:$I$56,R$1,FALSE)</f>
        <v>32901.083688738654</v>
      </c>
      <c r="S7" s="231">
        <f>E7*VLOOKUP($J7,'Emissions Factors'!$B$14:$I$56,S$1,FALSE)</f>
        <v>34386.940317852001</v>
      </c>
      <c r="T7" s="231">
        <f>F7*VLOOKUP($J7,'Emissions Factors'!$B$14:$I$56,T$1,FALSE)</f>
        <v>34868.62180761023</v>
      </c>
      <c r="U7" s="231">
        <f>G7*VLOOKUP($J7,'Emissions Factors'!$B$14:$I$56,U$1,FALSE)</f>
        <v>35822.851670460142</v>
      </c>
      <c r="V7" s="231">
        <f>H7*VLOOKUP($J7,'Emissions Factors'!$B$14:$I$56,V$1,FALSE)</f>
        <v>36667.066421150157</v>
      </c>
      <c r="W7" s="231">
        <f>I7*VLOOKUP($J7,'Emissions Factors'!$B$14:$I$56,W$1,FALSE)</f>
        <v>37553.96907724777</v>
      </c>
      <c r="X7" t="s">
        <v>209</v>
      </c>
      <c r="Z7" s="231">
        <f>SUM(W3:W7)</f>
        <v>122688.67268289116</v>
      </c>
      <c r="AA7" t="s">
        <v>224</v>
      </c>
    </row>
    <row r="8" spans="2:27">
      <c r="B8" t="s">
        <v>225</v>
      </c>
      <c r="C8" s="231">
        <f>'4. Buildings'!C129</f>
        <v>6647038.0699615199</v>
      </c>
      <c r="D8" s="231">
        <f>'4. Buildings'!D129</f>
        <v>6846689.8784710793</v>
      </c>
      <c r="E8" s="231">
        <f>'4. Buildings'!E129</f>
        <v>7036529.8774563558</v>
      </c>
      <c r="F8" s="231">
        <f>'4. Buildings'!F129</f>
        <v>7128828.7655817922</v>
      </c>
      <c r="G8" s="231">
        <f>'4. Buildings'!G129</f>
        <v>7268058.4948513452</v>
      </c>
      <c r="H8" s="231">
        <f>'4. Buildings'!H129</f>
        <v>7398702.8907871526</v>
      </c>
      <c r="I8" s="231">
        <f>'4. Buildings'!I129</f>
        <v>7549824.810277503</v>
      </c>
      <c r="J8" t="s">
        <v>226</v>
      </c>
      <c r="K8" t="s">
        <v>227</v>
      </c>
      <c r="L8" t="s">
        <v>228</v>
      </c>
      <c r="M8" t="s">
        <v>221</v>
      </c>
      <c r="N8" t="s">
        <v>226</v>
      </c>
      <c r="P8" t="s">
        <v>225</v>
      </c>
      <c r="Q8" s="231">
        <f>C8*VLOOKUP($J8,'Emissions Factors'!$B$14:$I$56,Q$1,FALSE)</f>
        <v>17681.121266097642</v>
      </c>
      <c r="R8" s="231">
        <f>D8*VLOOKUP($J8,'Emissions Factors'!$B$14:$I$56,R$1,FALSE)</f>
        <v>18212.195076733071</v>
      </c>
      <c r="S8" s="231">
        <f>E8*VLOOKUP($J8,'Emissions Factors'!$B$14:$I$56,S$1,FALSE)</f>
        <v>18717.169474033908</v>
      </c>
      <c r="T8" s="231">
        <f>F8*VLOOKUP($J8,'Emissions Factors'!$B$14:$I$56,T$1,FALSE)</f>
        <v>18962.684516447567</v>
      </c>
      <c r="U8" s="231">
        <f>G8*VLOOKUP($J8,'Emissions Factors'!$B$14:$I$56,U$1,FALSE)</f>
        <v>19333.035596304577</v>
      </c>
      <c r="V8" s="231">
        <f>H8*VLOOKUP($J8,'Emissions Factors'!$B$14:$I$56,V$1,FALSE)</f>
        <v>19680.549689493826</v>
      </c>
      <c r="W8" s="231">
        <f>I8*VLOOKUP($J8,'Emissions Factors'!$B$14:$I$56,W$1,FALSE)</f>
        <v>20082.533995338159</v>
      </c>
      <c r="X8" t="s">
        <v>209</v>
      </c>
    </row>
    <row r="9" spans="2:27">
      <c r="B9" t="s">
        <v>229</v>
      </c>
      <c r="C9" s="231">
        <f>'4. Buildings'!C130</f>
        <v>3036441.2774501257</v>
      </c>
      <c r="D9" s="231">
        <f>'4. Buildings'!D130</f>
        <v>2240966.6272402368</v>
      </c>
      <c r="E9" s="231">
        <f>'4. Buildings'!E130</f>
        <v>2270494.6229527695</v>
      </c>
      <c r="F9" s="231">
        <f>'4. Buildings'!F130</f>
        <v>2275737.9119110699</v>
      </c>
      <c r="G9" s="231">
        <f>'4. Buildings'!G130</f>
        <v>2292502.6384487934</v>
      </c>
      <c r="H9" s="231">
        <f>'4. Buildings'!H130</f>
        <v>2306369.7579306136</v>
      </c>
      <c r="I9" s="231">
        <f>'4. Buildings'!I130</f>
        <v>2318512.11130773</v>
      </c>
      <c r="J9" t="s">
        <v>230</v>
      </c>
      <c r="K9" t="s">
        <v>227</v>
      </c>
      <c r="L9" t="s">
        <v>228</v>
      </c>
      <c r="M9" t="s">
        <v>221</v>
      </c>
      <c r="N9" t="s">
        <v>230</v>
      </c>
      <c r="P9" t="s">
        <v>229</v>
      </c>
      <c r="Q9" s="231">
        <f>C9*VLOOKUP($J9,'Emissions Factors'!$B$14:$I$56,Q$1,FALSE)</f>
        <v>7439.2811297528087</v>
      </c>
      <c r="R9" s="231">
        <f>D9*VLOOKUP($J9,'Emissions Factors'!$B$14:$I$56,R$1,FALSE)</f>
        <v>5490.3682367385809</v>
      </c>
      <c r="S9" s="231">
        <f>E9*VLOOKUP($J9,'Emissions Factors'!$B$14:$I$56,S$1,FALSE)</f>
        <v>5562.7118262342865</v>
      </c>
      <c r="T9" s="231">
        <f>F9*VLOOKUP($J9,'Emissions Factors'!$B$14:$I$56,T$1,FALSE)</f>
        <v>5575.5578841821216</v>
      </c>
      <c r="U9" s="231">
        <f>G9*VLOOKUP($J9,'Emissions Factors'!$B$14:$I$56,U$1,FALSE)</f>
        <v>5616.631464199545</v>
      </c>
      <c r="V9" s="231">
        <f>H9*VLOOKUP($J9,'Emissions Factors'!$B$14:$I$56,V$1,FALSE)</f>
        <v>5650.6059069300045</v>
      </c>
      <c r="W9" s="231">
        <f>I9*VLOOKUP($J9,'Emissions Factors'!$B$14:$I$56,W$1,FALSE)</f>
        <v>5680.3546727039393</v>
      </c>
      <c r="X9" t="s">
        <v>209</v>
      </c>
      <c r="Z9" s="231">
        <f>SUM(W8:W10,W24)</f>
        <v>63349.80981463311</v>
      </c>
      <c r="AA9" t="s">
        <v>231</v>
      </c>
    </row>
    <row r="10" spans="2:27">
      <c r="B10" t="s">
        <v>232</v>
      </c>
      <c r="C10" s="231">
        <f>'4. Buildings'!C131</f>
        <v>3705105.7731958758</v>
      </c>
      <c r="D10" s="231">
        <f>'4. Buildings'!D131</f>
        <v>2538337.0733601861</v>
      </c>
      <c r="E10" s="231">
        <f>'4. Buildings'!E131</f>
        <v>2551868.5721675977</v>
      </c>
      <c r="F10" s="231">
        <f>'4. Buildings'!F131</f>
        <v>2554271.3616754562</v>
      </c>
      <c r="G10" s="231">
        <f>'4. Buildings'!G131</f>
        <v>2561953.9649703186</v>
      </c>
      <c r="H10" s="231">
        <f>'4. Buildings'!H131</f>
        <v>2568308.7109055752</v>
      </c>
      <c r="I10" s="231">
        <f>'4. Buildings'!I131</f>
        <v>2573873.0655553518</v>
      </c>
      <c r="J10" t="s">
        <v>233</v>
      </c>
      <c r="K10" t="s">
        <v>227</v>
      </c>
      <c r="L10" t="s">
        <v>228</v>
      </c>
      <c r="M10" t="s">
        <v>221</v>
      </c>
      <c r="N10" t="s">
        <v>233</v>
      </c>
      <c r="P10" t="s">
        <v>232</v>
      </c>
      <c r="Q10" s="231">
        <f>C10*VLOOKUP($J10,'Emissions Factors'!$B$14:$I$56,Q$1,FALSE)</f>
        <v>11226.470492783503</v>
      </c>
      <c r="R10" s="231">
        <f>D10*VLOOKUP($J10,'Emissions Factors'!$B$14:$I$56,R$1,FALSE)</f>
        <v>7691.1613322813628</v>
      </c>
      <c r="S10" s="231">
        <f>E10*VLOOKUP($J10,'Emissions Factors'!$B$14:$I$56,S$1,FALSE)</f>
        <v>7732.1617736678199</v>
      </c>
      <c r="T10" s="231">
        <f>F10*VLOOKUP($J10,'Emissions Factors'!$B$14:$I$56,T$1,FALSE)</f>
        <v>7739.4422258766317</v>
      </c>
      <c r="U10" s="231">
        <f>G10*VLOOKUP($J10,'Emissions Factors'!$B$14:$I$56,U$1,FALSE)</f>
        <v>7762.7205138600648</v>
      </c>
      <c r="V10" s="231">
        <f>H10*VLOOKUP($J10,'Emissions Factors'!$B$14:$I$56,V$1,FALSE)</f>
        <v>7781.9753940438923</v>
      </c>
      <c r="W10" s="231">
        <f>I10*VLOOKUP($J10,'Emissions Factors'!$B$14:$I$56,W$1,FALSE)</f>
        <v>7798.835388632715</v>
      </c>
      <c r="X10" t="s">
        <v>209</v>
      </c>
    </row>
    <row r="11" spans="2:27">
      <c r="B11" t="s">
        <v>234</v>
      </c>
      <c r="C11" s="231">
        <f>'5. Energy'!E22</f>
        <v>19070.910649675156</v>
      </c>
      <c r="D11" s="231">
        <f>'5. Energy'!F22</f>
        <v>20310.850578009671</v>
      </c>
      <c r="E11" s="231">
        <f>'5. Energy'!G22</f>
        <v>12034.747064254228</v>
      </c>
      <c r="F11" s="231">
        <f>'5. Energy'!H22</f>
        <v>7557.3603778026491</v>
      </c>
      <c r="G11" s="231">
        <f>'5. Energy'!I22</f>
        <v>7876.7977151558252</v>
      </c>
      <c r="H11" s="231">
        <f>'5. Energy'!J22</f>
        <v>8068.5999325199746</v>
      </c>
      <c r="I11" s="231">
        <f>'5. Energy'!K22</f>
        <v>8347.119120116442</v>
      </c>
      <c r="J11" t="s">
        <v>208</v>
      </c>
      <c r="K11" t="s">
        <v>209</v>
      </c>
      <c r="L11" t="s">
        <v>221</v>
      </c>
      <c r="M11" t="s">
        <v>221</v>
      </c>
      <c r="N11" t="s">
        <v>235</v>
      </c>
      <c r="P11" t="s">
        <v>234</v>
      </c>
      <c r="Q11" s="231">
        <f>C11*VLOOKUP($J11,'Emissions Factors'!$B$14:$I$56,Q$1,FALSE)</f>
        <v>19070.910649675156</v>
      </c>
      <c r="R11" s="231">
        <f>D11*VLOOKUP($J11,'Emissions Factors'!$B$14:$I$56,R$1,FALSE)</f>
        <v>20310.850578009671</v>
      </c>
      <c r="S11" s="231">
        <f>E11*VLOOKUP($J11,'Emissions Factors'!$B$14:$I$56,S$1,FALSE)</f>
        <v>12034.747064254228</v>
      </c>
      <c r="T11" s="231">
        <f>F11*VLOOKUP($J11,'Emissions Factors'!$B$14:$I$56,T$1,FALSE)</f>
        <v>7557.3603778026491</v>
      </c>
      <c r="U11" s="231">
        <f>G11*VLOOKUP($J11,'Emissions Factors'!$B$14:$I$56,U$1,FALSE)</f>
        <v>7876.7977151558252</v>
      </c>
      <c r="V11" s="231">
        <f>H11*VLOOKUP($J11,'Emissions Factors'!$B$14:$I$56,V$1,FALSE)</f>
        <v>8068.5999325199746</v>
      </c>
      <c r="W11" s="231">
        <f>I11*VLOOKUP($J11,'Emissions Factors'!$B$14:$I$56,W$1,FALSE)</f>
        <v>8347.119120116442</v>
      </c>
      <c r="X11" t="s">
        <v>209</v>
      </c>
    </row>
    <row r="12" spans="2:27">
      <c r="B12" t="s">
        <v>236</v>
      </c>
      <c r="C12" s="231">
        <f>'5. Energy'!E23</f>
        <v>11022.982043808996</v>
      </c>
      <c r="D12" s="231">
        <f>'5. Energy'!F23</f>
        <v>11474.658594858596</v>
      </c>
      <c r="E12" s="231">
        <f>'5. Energy'!G23</f>
        <v>6788.1462778234454</v>
      </c>
      <c r="F12" s="231">
        <f>'5. Energy'!H23</f>
        <v>4336.4653007945244</v>
      </c>
      <c r="G12" s="231">
        <f>'5. Energy'!I23</f>
        <v>4539.3285725353544</v>
      </c>
      <c r="H12" s="231">
        <f>'5. Energy'!J23</f>
        <v>4680.2836684682379</v>
      </c>
      <c r="I12" s="231">
        <f>'5. Energy'!K23</f>
        <v>4863.5271672595536</v>
      </c>
      <c r="J12" t="s">
        <v>208</v>
      </c>
      <c r="K12" t="s">
        <v>209</v>
      </c>
      <c r="L12" t="s">
        <v>221</v>
      </c>
      <c r="M12" t="s">
        <v>221</v>
      </c>
      <c r="N12" t="s">
        <v>235</v>
      </c>
      <c r="P12" t="s">
        <v>236</v>
      </c>
      <c r="Q12" s="231">
        <f>C12*VLOOKUP($J12,'Emissions Factors'!$B$14:$I$56,Q$1,FALSE)</f>
        <v>11022.982043808996</v>
      </c>
      <c r="R12" s="231">
        <f>D12*VLOOKUP($J12,'Emissions Factors'!$B$14:$I$56,R$1,FALSE)</f>
        <v>11474.658594858596</v>
      </c>
      <c r="S12" s="231">
        <f>E12*VLOOKUP($J12,'Emissions Factors'!$B$14:$I$56,S$1,FALSE)</f>
        <v>6788.1462778234454</v>
      </c>
      <c r="T12" s="231">
        <f>F12*VLOOKUP($J12,'Emissions Factors'!$B$14:$I$56,T$1,FALSE)</f>
        <v>4336.4653007945244</v>
      </c>
      <c r="U12" s="231">
        <f>G12*VLOOKUP($J12,'Emissions Factors'!$B$14:$I$56,U$1,FALSE)</f>
        <v>4539.3285725353544</v>
      </c>
      <c r="V12" s="231">
        <f>H12*VLOOKUP($J12,'Emissions Factors'!$B$14:$I$56,V$1,FALSE)</f>
        <v>4680.2836684682379</v>
      </c>
      <c r="W12" s="231">
        <f>I12*VLOOKUP($J12,'Emissions Factors'!$B$14:$I$56,W$1,FALSE)</f>
        <v>4863.5271672595536</v>
      </c>
      <c r="X12" t="s">
        <v>209</v>
      </c>
      <c r="Z12" s="231">
        <f>SUM(W11:W13,W20:W21)</f>
        <v>20878.100820238193</v>
      </c>
      <c r="AA12" t="s">
        <v>237</v>
      </c>
    </row>
    <row r="13" spans="2:27">
      <c r="B13" t="s">
        <v>27</v>
      </c>
      <c r="C13" s="231">
        <f>'5. Energy'!E24</f>
        <v>14239.600178122424</v>
      </c>
      <c r="D13" s="231">
        <f>'5. Energy'!F24</f>
        <v>14959.597390978201</v>
      </c>
      <c r="E13" s="231">
        <f>'5. Energy'!G24</f>
        <v>8998.6377199170656</v>
      </c>
      <c r="F13" s="231">
        <f>'5. Energy'!H24</f>
        <v>5872.0398507469599</v>
      </c>
      <c r="G13" s="231">
        <f>'5. Energy'!I24</f>
        <v>6290.2421400084941</v>
      </c>
      <c r="H13" s="231">
        <f>'5. Energy'!J24</f>
        <v>6658.0327285071235</v>
      </c>
      <c r="I13" s="231">
        <f>'5. Energy'!K24</f>
        <v>7667.4545328621989</v>
      </c>
      <c r="J13" t="s">
        <v>208</v>
      </c>
      <c r="K13" t="s">
        <v>209</v>
      </c>
      <c r="L13" t="s">
        <v>221</v>
      </c>
      <c r="M13" t="s">
        <v>221</v>
      </c>
      <c r="N13" t="s">
        <v>235</v>
      </c>
      <c r="P13" t="s">
        <v>27</v>
      </c>
      <c r="Q13" s="231">
        <f>C13*VLOOKUP($J13,'Emissions Factors'!$B$14:$I$56,Q$1,FALSE)</f>
        <v>14239.600178122424</v>
      </c>
      <c r="R13" s="231">
        <f>D13*VLOOKUP($J13,'Emissions Factors'!$B$14:$I$56,R$1,FALSE)</f>
        <v>14959.597390978201</v>
      </c>
      <c r="S13" s="231">
        <f>E13*VLOOKUP($J13,'Emissions Factors'!$B$14:$I$56,S$1,FALSE)</f>
        <v>8998.6377199170656</v>
      </c>
      <c r="T13" s="231">
        <f>F13*VLOOKUP($J13,'Emissions Factors'!$B$14:$I$56,T$1,FALSE)</f>
        <v>5872.0398507469599</v>
      </c>
      <c r="U13" s="231">
        <f>G13*VLOOKUP($J13,'Emissions Factors'!$B$14:$I$56,U$1,FALSE)</f>
        <v>6290.2421400084941</v>
      </c>
      <c r="V13" s="231">
        <f>H13*VLOOKUP($J13,'Emissions Factors'!$B$14:$I$56,V$1,FALSE)</f>
        <v>6658.0327285071235</v>
      </c>
      <c r="W13" s="231">
        <f>I13*VLOOKUP($J13,'Emissions Factors'!$B$14:$I$56,W$1,FALSE)</f>
        <v>7667.4545328621989</v>
      </c>
      <c r="X13" t="s">
        <v>209</v>
      </c>
    </row>
    <row r="14" spans="2:27">
      <c r="B14" t="s">
        <v>238</v>
      </c>
      <c r="C14" s="231">
        <f>'5. Energy'!E25</f>
        <v>0</v>
      </c>
      <c r="D14" s="231">
        <f>'5. Energy'!F25</f>
        <v>7.5352716083451199</v>
      </c>
      <c r="E14" s="231">
        <f>'5. Energy'!G25</f>
        <v>9.6892820802445083</v>
      </c>
      <c r="F14" s="231">
        <f>'5. Energy'!H25</f>
        <v>9.718694183019954</v>
      </c>
      <c r="G14" s="231">
        <f>'5. Energy'!I25</f>
        <v>14.245960980183698</v>
      </c>
      <c r="H14" s="231">
        <f>'5. Energy'!J25</f>
        <v>18.883134357141156</v>
      </c>
      <c r="I14" s="231">
        <f>'5. Energy'!K25</f>
        <v>23.133011586212582</v>
      </c>
      <c r="J14" t="s">
        <v>208</v>
      </c>
      <c r="K14" t="s">
        <v>209</v>
      </c>
      <c r="L14" t="s">
        <v>197</v>
      </c>
      <c r="M14" t="s">
        <v>197</v>
      </c>
      <c r="N14" t="s">
        <v>235</v>
      </c>
      <c r="P14" t="s">
        <v>238</v>
      </c>
      <c r="Q14" s="231">
        <f>C14*VLOOKUP($J14,'Emissions Factors'!$B$14:$I$56,Q$1,FALSE)</f>
        <v>0</v>
      </c>
      <c r="R14" s="231">
        <f>D14*VLOOKUP($J14,'Emissions Factors'!$B$14:$I$56,R$1,FALSE)</f>
        <v>7.5352716083451199</v>
      </c>
      <c r="S14" s="231">
        <f>E14*VLOOKUP($J14,'Emissions Factors'!$B$14:$I$56,S$1,FALSE)</f>
        <v>9.6892820802445083</v>
      </c>
      <c r="T14" s="231">
        <f>F14*VLOOKUP($J14,'Emissions Factors'!$B$14:$I$56,T$1,FALSE)</f>
        <v>9.718694183019954</v>
      </c>
      <c r="U14" s="231">
        <f>G14*VLOOKUP($J14,'Emissions Factors'!$B$14:$I$56,U$1,FALSE)</f>
        <v>14.245960980183698</v>
      </c>
      <c r="V14" s="231">
        <f>H14*VLOOKUP($J14,'Emissions Factors'!$B$14:$I$56,V$1,FALSE)</f>
        <v>18.883134357141156</v>
      </c>
      <c r="W14" s="231">
        <f>I14*VLOOKUP($J14,'Emissions Factors'!$B$14:$I$56,W$1,FALSE)</f>
        <v>23.133011586212582</v>
      </c>
      <c r="X14" t="s">
        <v>209</v>
      </c>
    </row>
    <row r="15" spans="2:27">
      <c r="B15" t="s">
        <v>230</v>
      </c>
      <c r="C15" s="231">
        <f>'5. Energy'!C115</f>
        <v>40727878.462401815</v>
      </c>
      <c r="D15" s="231">
        <f>'5. Energy'!D115</f>
        <v>43988109.078636624</v>
      </c>
      <c r="E15" s="231">
        <f>'5. Energy'!E115</f>
        <v>48946164.868831865</v>
      </c>
      <c r="F15" s="231">
        <f>'5. Energy'!F115</f>
        <v>53324610.895780526</v>
      </c>
      <c r="G15" s="231">
        <f>'5. Energy'!G115</f>
        <v>57686677.08284048</v>
      </c>
      <c r="H15" s="231">
        <f>'5. Energy'!H115</f>
        <v>61514509.751423441</v>
      </c>
      <c r="I15" s="231">
        <f>'5. Energy'!I115</f>
        <v>72566969.912231132</v>
      </c>
      <c r="J15" t="s">
        <v>230</v>
      </c>
      <c r="K15" t="s">
        <v>227</v>
      </c>
      <c r="L15" t="s">
        <v>197</v>
      </c>
      <c r="M15" t="s">
        <v>197</v>
      </c>
      <c r="N15" t="s">
        <v>230</v>
      </c>
      <c r="P15" t="s">
        <v>230</v>
      </c>
      <c r="Q15" s="231">
        <f>C15*VLOOKUP($J15,'Emissions Factors'!$B$14:$I$56,Q$1,FALSE)</f>
        <v>99783.302232884467</v>
      </c>
      <c r="R15" s="231">
        <f>D15*VLOOKUP($J15,'Emissions Factors'!$B$14:$I$56,R$1,FALSE)</f>
        <v>107770.86724265975</v>
      </c>
      <c r="S15" s="231">
        <f>E15*VLOOKUP($J15,'Emissions Factors'!$B$14:$I$56,S$1,FALSE)</f>
        <v>119918.10392863808</v>
      </c>
      <c r="T15" s="231">
        <f>F15*VLOOKUP($J15,'Emissions Factors'!$B$14:$I$56,T$1,FALSE)</f>
        <v>130645.29669466231</v>
      </c>
      <c r="U15" s="231">
        <f>G15*VLOOKUP($J15,'Emissions Factors'!$B$14:$I$56,U$1,FALSE)</f>
        <v>141332.35885295921</v>
      </c>
      <c r="V15" s="231">
        <f>H15*VLOOKUP($J15,'Emissions Factors'!$B$14:$I$56,V$1,FALSE)</f>
        <v>150710.54889098744</v>
      </c>
      <c r="W15" s="231">
        <f>I15*VLOOKUP($J15,'Emissions Factors'!$B$14:$I$56,W$1,FALSE)</f>
        <v>177789.07628496629</v>
      </c>
      <c r="X15" t="s">
        <v>209</v>
      </c>
    </row>
    <row r="16" spans="2:27">
      <c r="B16" t="s">
        <v>226</v>
      </c>
      <c r="C16" s="231">
        <f>'5. Energy'!C116</f>
        <v>34017696.22923813</v>
      </c>
      <c r="D16" s="231">
        <f>'5. Energy'!D116</f>
        <v>36207033.707383811</v>
      </c>
      <c r="E16" s="231">
        <f>'5. Energy'!E116</f>
        <v>39210083.990509182</v>
      </c>
      <c r="F16" s="231">
        <f>'5. Energy'!F116</f>
        <v>41823527.43982444</v>
      </c>
      <c r="G16" s="231">
        <f>'5. Energy'!G116</f>
        <v>44474918.527253032</v>
      </c>
      <c r="H16" s="231">
        <f>'5. Energy'!H116</f>
        <v>46787644.285079144</v>
      </c>
      <c r="I16" s="231">
        <f>'5. Energy'!I116</f>
        <v>51098880.183646016</v>
      </c>
      <c r="J16" t="s">
        <v>226</v>
      </c>
      <c r="K16" t="s">
        <v>227</v>
      </c>
      <c r="L16" t="s">
        <v>197</v>
      </c>
      <c r="M16" t="s">
        <v>197</v>
      </c>
      <c r="N16" t="s">
        <v>226</v>
      </c>
      <c r="P16" t="s">
        <v>226</v>
      </c>
      <c r="Q16" s="231">
        <f>C16*VLOOKUP($J16,'Emissions Factors'!$B$14:$I$56,Q$1,FALSE)</f>
        <v>90487.071969773431</v>
      </c>
      <c r="R16" s="231">
        <f>D16*VLOOKUP($J16,'Emissions Factors'!$B$14:$I$56,R$1,FALSE)</f>
        <v>96310.70966164094</v>
      </c>
      <c r="S16" s="231">
        <f>E16*VLOOKUP($J16,'Emissions Factors'!$B$14:$I$56,S$1,FALSE)</f>
        <v>104298.82341475443</v>
      </c>
      <c r="T16" s="231">
        <f>F16*VLOOKUP($J16,'Emissions Factors'!$B$14:$I$56,T$1,FALSE)</f>
        <v>111250.58298993301</v>
      </c>
      <c r="U16" s="231">
        <f>G16*VLOOKUP($J16,'Emissions Factors'!$B$14:$I$56,U$1,FALSE)</f>
        <v>118303.28328249307</v>
      </c>
      <c r="V16" s="231">
        <f>H16*VLOOKUP($J16,'Emissions Factors'!$B$14:$I$56,V$1,FALSE)</f>
        <v>124455.13379831052</v>
      </c>
      <c r="W16" s="231">
        <f>I16*VLOOKUP($J16,'Emissions Factors'!$B$14:$I$56,W$1,FALSE)</f>
        <v>135923.02128849839</v>
      </c>
      <c r="X16" t="s">
        <v>209</v>
      </c>
    </row>
    <row r="17" spans="2:27">
      <c r="B17" t="s">
        <v>239</v>
      </c>
      <c r="C17" s="231">
        <f>'5. Energy'!C117</f>
        <v>4350044.3909544628</v>
      </c>
      <c r="D17" s="231">
        <f>'5. Energy'!D117</f>
        <v>4887964.6813748134</v>
      </c>
      <c r="E17" s="231">
        <f>'5. Energy'!E117</f>
        <v>5613239.6850871164</v>
      </c>
      <c r="F17" s="231">
        <f>'5. Energy'!F117</f>
        <v>6261052.1103504375</v>
      </c>
      <c r="G17" s="231">
        <f>'5. Energy'!G117</f>
        <v>7024231.328462299</v>
      </c>
      <c r="H17" s="231">
        <f>'5. Energy'!H117</f>
        <v>7782497.8651539646</v>
      </c>
      <c r="I17" s="231">
        <f>'5. Energy'!I117</f>
        <v>8743127.5952077676</v>
      </c>
      <c r="J17" t="s">
        <v>239</v>
      </c>
      <c r="K17" t="s">
        <v>227</v>
      </c>
      <c r="L17" t="s">
        <v>197</v>
      </c>
      <c r="M17" t="s">
        <v>240</v>
      </c>
      <c r="N17" t="s">
        <v>241</v>
      </c>
      <c r="P17" t="s">
        <v>239</v>
      </c>
      <c r="Q17" s="231">
        <f>C17*VLOOKUP($J17,'Emissions Factors'!$B$14:$I$56,Q$1,FALSE)</f>
        <v>21737.171821599448</v>
      </c>
      <c r="R17" s="231">
        <f>D17*VLOOKUP($J17,'Emissions Factors'!$B$14:$I$56,R$1,FALSE)</f>
        <v>12855.347112015759</v>
      </c>
      <c r="S17" s="231">
        <f>E17*VLOOKUP($J17,'Emissions Factors'!$B$14:$I$56,S$1,FALSE)</f>
        <v>14762.820371779117</v>
      </c>
      <c r="T17" s="231">
        <f>F17*VLOOKUP($J17,'Emissions Factors'!$B$14:$I$56,T$1,FALSE)</f>
        <v>16466.567050221649</v>
      </c>
      <c r="U17" s="231">
        <f>G17*VLOOKUP($J17,'Emissions Factors'!$B$14:$I$56,U$1,FALSE)</f>
        <v>18473.728393855847</v>
      </c>
      <c r="V17" s="231">
        <f>H17*VLOOKUP($J17,'Emissions Factors'!$B$14:$I$56,V$1,FALSE)</f>
        <v>20467.969385354925</v>
      </c>
      <c r="W17" s="231">
        <f>I17*VLOOKUP($J17,'Emissions Factors'!$B$14:$I$56,W$1,FALSE)</f>
        <v>22994.425575396428</v>
      </c>
      <c r="X17" t="s">
        <v>209</v>
      </c>
    </row>
    <row r="18" spans="2:27">
      <c r="B18" t="s">
        <v>242</v>
      </c>
      <c r="C18" s="231">
        <f>'5. Energy'!C118</f>
        <v>578623.93901467754</v>
      </c>
      <c r="D18" s="231">
        <f>'5. Energy'!D118</f>
        <v>595520.65223703149</v>
      </c>
      <c r="E18" s="231">
        <f>'5. Energy'!E118</f>
        <v>623085.70552406891</v>
      </c>
      <c r="F18" s="231">
        <f>'5. Energy'!F118</f>
        <v>645813.36829283612</v>
      </c>
      <c r="G18" s="231">
        <f>'5. Energy'!G118</f>
        <v>668541.03106160311</v>
      </c>
      <c r="H18" s="231">
        <f>'5. Energy'!H118</f>
        <v>691268.69383037032</v>
      </c>
      <c r="I18" s="231">
        <f>'5. Energy'!I118</f>
        <v>713996.35659913742</v>
      </c>
      <c r="J18" t="s">
        <v>243</v>
      </c>
      <c r="K18" t="s">
        <v>227</v>
      </c>
      <c r="L18" t="s">
        <v>197</v>
      </c>
      <c r="M18" t="s">
        <v>240</v>
      </c>
      <c r="N18" t="s">
        <v>241</v>
      </c>
      <c r="P18" t="s">
        <v>243</v>
      </c>
      <c r="Q18" s="231">
        <f>C18*VLOOKUP($J18,'Emissions Factors'!$B$14:$I$56,Q$1,FALSE)</f>
        <v>2539.5804683354195</v>
      </c>
      <c r="R18" s="231">
        <f>D18*VLOOKUP($J18,'Emissions Factors'!$B$14:$I$56,R$1,FALSE)</f>
        <v>1375.6527066675428</v>
      </c>
      <c r="S18" s="231">
        <f>E18*VLOOKUP($J18,'Emissions Factors'!$B$14:$I$56,S$1,FALSE)</f>
        <v>1439.3279797605992</v>
      </c>
      <c r="T18" s="231">
        <f>F18*VLOOKUP($J18,'Emissions Factors'!$B$14:$I$56,T$1,FALSE)</f>
        <v>1491.8288807564513</v>
      </c>
      <c r="U18" s="231">
        <f>G18*VLOOKUP($J18,'Emissions Factors'!$B$14:$I$56,U$1,FALSE)</f>
        <v>1544.3297817523032</v>
      </c>
      <c r="V18" s="231">
        <f>H18*VLOOKUP($J18,'Emissions Factors'!$B$14:$I$56,V$1,FALSE)</f>
        <v>1596.8306827481554</v>
      </c>
      <c r="W18" s="231">
        <f>I18*VLOOKUP($J18,'Emissions Factors'!$B$14:$I$56,W$1,FALSE)</f>
        <v>1649.3315837440075</v>
      </c>
      <c r="X18" t="s">
        <v>209</v>
      </c>
      <c r="Z18" s="231">
        <f>SUM(W14:W19)</f>
        <v>341506.74580200855</v>
      </c>
      <c r="AA18" t="s">
        <v>244</v>
      </c>
    </row>
    <row r="19" spans="2:27">
      <c r="B19" t="s">
        <v>233</v>
      </c>
      <c r="C19" s="231">
        <f>'5. Energy'!C119</f>
        <v>538033.26885880088</v>
      </c>
      <c r="D19" s="231">
        <f>'5. Energy'!D119</f>
        <v>585120.09898496035</v>
      </c>
      <c r="E19" s="231">
        <f>'5. Energy'!E119</f>
        <v>656983.75755068904</v>
      </c>
      <c r="F19" s="231">
        <f>'5. Energy'!F119</f>
        <v>726395.5640262363</v>
      </c>
      <c r="G19" s="231">
        <f>'5. Energy'!G119</f>
        <v>797601.62874202651</v>
      </c>
      <c r="H19" s="231">
        <f>'5. Energy'!H119</f>
        <v>862586.18169278663</v>
      </c>
      <c r="I19" s="231">
        <f>'5. Energy'!I119</f>
        <v>1032263.3854182158</v>
      </c>
      <c r="J19" t="s">
        <v>233</v>
      </c>
      <c r="K19" t="s">
        <v>227</v>
      </c>
      <c r="L19" t="s">
        <v>197</v>
      </c>
      <c r="M19" t="s">
        <v>197</v>
      </c>
      <c r="N19" t="s">
        <v>233</v>
      </c>
      <c r="P19" t="s">
        <v>233</v>
      </c>
      <c r="Q19" s="231">
        <f>C19*VLOOKUP($J19,'Emissions Factors'!$B$14:$I$56,Q$1,FALSE)</f>
        <v>1630.2408046421665</v>
      </c>
      <c r="R19" s="231">
        <f>D19*VLOOKUP($J19,'Emissions Factors'!$B$14:$I$56,R$1,FALSE)</f>
        <v>1772.9138999244296</v>
      </c>
      <c r="S19" s="231">
        <f>E19*VLOOKUP($J19,'Emissions Factors'!$B$14:$I$56,S$1,FALSE)</f>
        <v>1990.6607853785877</v>
      </c>
      <c r="T19" s="231">
        <f>F19*VLOOKUP($J19,'Emissions Factors'!$B$14:$I$56,T$1,FALSE)</f>
        <v>2200.9785589994958</v>
      </c>
      <c r="U19" s="231">
        <f>G19*VLOOKUP($J19,'Emissions Factors'!$B$14:$I$56,U$1,FALSE)</f>
        <v>2416.7329350883401</v>
      </c>
      <c r="V19" s="231">
        <f>H19*VLOOKUP($J19,'Emissions Factors'!$B$14:$I$56,V$1,FALSE)</f>
        <v>2613.6361305291434</v>
      </c>
      <c r="W19" s="231">
        <f>I19*VLOOKUP($J19,'Emissions Factors'!$B$14:$I$56,W$1,FALSE)</f>
        <v>3127.7580578171933</v>
      </c>
      <c r="X19" t="s">
        <v>209</v>
      </c>
    </row>
    <row r="20" spans="2:27">
      <c r="B20" t="s">
        <v>245</v>
      </c>
      <c r="C20" s="231">
        <f>'5. Energy'!C120</f>
        <v>0</v>
      </c>
      <c r="D20" s="231">
        <f>'5. Energy'!D120</f>
        <v>0</v>
      </c>
      <c r="E20" s="231">
        <f>'5. Energy'!E120</f>
        <v>0</v>
      </c>
      <c r="F20" s="231">
        <f>'5. Energy'!F120</f>
        <v>0</v>
      </c>
      <c r="G20" s="231">
        <f>'5. Energy'!G120</f>
        <v>0</v>
      </c>
      <c r="H20" s="231">
        <f>'5. Energy'!H120</f>
        <v>0</v>
      </c>
      <c r="I20" s="231">
        <f>'5. Energy'!I120</f>
        <v>0</v>
      </c>
      <c r="J20" t="s">
        <v>245</v>
      </c>
      <c r="K20" t="s">
        <v>227</v>
      </c>
      <c r="L20" t="s">
        <v>221</v>
      </c>
      <c r="M20" t="s">
        <v>197</v>
      </c>
      <c r="N20" t="s">
        <v>246</v>
      </c>
      <c r="P20" t="s">
        <v>245</v>
      </c>
      <c r="Q20" s="231">
        <f>C20*VLOOKUP($J20,'Emissions Factors'!$B$14:$I$56,Q$1,FALSE)</f>
        <v>0</v>
      </c>
      <c r="R20" s="231">
        <f>D20*VLOOKUP($J20,'Emissions Factors'!$B$14:$I$56,R$1,FALSE)</f>
        <v>0</v>
      </c>
      <c r="S20" s="231">
        <f>E20*VLOOKUP($J20,'Emissions Factors'!$B$14:$I$56,S$1,FALSE)</f>
        <v>0</v>
      </c>
      <c r="T20" s="231">
        <f>F20*VLOOKUP($J20,'Emissions Factors'!$B$14:$I$56,T$1,FALSE)</f>
        <v>0</v>
      </c>
      <c r="U20" s="231">
        <f>G20*VLOOKUP($J20,'Emissions Factors'!$B$14:$I$56,U$1,FALSE)</f>
        <v>0</v>
      </c>
      <c r="V20" s="231">
        <f>H20*VLOOKUP($J20,'Emissions Factors'!$B$14:$I$56,V$1,FALSE)</f>
        <v>0</v>
      </c>
      <c r="W20" s="231">
        <f>I20*VLOOKUP($J20,'Emissions Factors'!$B$14:$I$56,W$1,FALSE)</f>
        <v>0</v>
      </c>
      <c r="X20" t="s">
        <v>209</v>
      </c>
    </row>
    <row r="21" spans="2:27">
      <c r="B21" t="s">
        <v>247</v>
      </c>
      <c r="C21" s="231">
        <f>'5. Energy'!C121</f>
        <v>0</v>
      </c>
      <c r="D21" s="231">
        <f>'5. Energy'!D121</f>
        <v>0</v>
      </c>
      <c r="E21" s="231">
        <f>'5. Energy'!E121</f>
        <v>0</v>
      </c>
      <c r="F21" s="231">
        <f>'5. Energy'!F121</f>
        <v>0</v>
      </c>
      <c r="G21" s="231">
        <f>'5. Energy'!G121</f>
        <v>0</v>
      </c>
      <c r="H21" s="231">
        <f>'5. Energy'!H121</f>
        <v>0</v>
      </c>
      <c r="I21" s="231">
        <f>'5. Energy'!I121</f>
        <v>0</v>
      </c>
      <c r="J21" t="s">
        <v>247</v>
      </c>
      <c r="K21" t="s">
        <v>227</v>
      </c>
      <c r="L21" t="s">
        <v>221</v>
      </c>
      <c r="M21" t="s">
        <v>197</v>
      </c>
      <c r="N21" t="s">
        <v>246</v>
      </c>
      <c r="P21" t="s">
        <v>247</v>
      </c>
      <c r="Q21" s="231">
        <f>C21*VLOOKUP($J21,'Emissions Factors'!$B$14:$I$56,Q$1,FALSE)</f>
        <v>0</v>
      </c>
      <c r="R21" s="231">
        <f>D21*VLOOKUP($J21,'Emissions Factors'!$B$14:$I$56,R$1,FALSE)</f>
        <v>0</v>
      </c>
      <c r="S21" s="231">
        <f>E21*VLOOKUP($J21,'Emissions Factors'!$B$14:$I$56,S$1,FALSE)</f>
        <v>0</v>
      </c>
      <c r="T21" s="231">
        <f>F21*VLOOKUP($J21,'Emissions Factors'!$B$14:$I$56,T$1,FALSE)</f>
        <v>0</v>
      </c>
      <c r="U21" s="231">
        <f>G21*VLOOKUP($J21,'Emissions Factors'!$B$14:$I$56,U$1,FALSE)</f>
        <v>0</v>
      </c>
      <c r="V21" s="231">
        <f>H21*VLOOKUP($J21,'Emissions Factors'!$B$14:$I$56,V$1,FALSE)</f>
        <v>0</v>
      </c>
      <c r="W21" s="231">
        <f>I21*VLOOKUP($J21,'Emissions Factors'!$B$14:$I$56,W$1,FALSE)</f>
        <v>0</v>
      </c>
      <c r="X21" t="s">
        <v>209</v>
      </c>
    </row>
    <row r="22" spans="2:27">
      <c r="B22" t="s">
        <v>248</v>
      </c>
      <c r="C22" s="231">
        <f>'3. Transport'!C300</f>
        <v>0</v>
      </c>
      <c r="D22" s="231">
        <f>'3. Transport'!D300</f>
        <v>0</v>
      </c>
      <c r="E22" s="231">
        <f>'3. Transport'!E300</f>
        <v>0</v>
      </c>
      <c r="F22" s="231">
        <f>'3. Transport'!F300</f>
        <v>0</v>
      </c>
      <c r="G22" s="231">
        <f>'3. Transport'!G300</f>
        <v>0</v>
      </c>
      <c r="H22" s="231">
        <f>'3. Transport'!H300</f>
        <v>0</v>
      </c>
      <c r="I22" s="231">
        <f>'3. Transport'!I300</f>
        <v>0</v>
      </c>
      <c r="J22" t="s">
        <v>248</v>
      </c>
      <c r="K22" t="s">
        <v>227</v>
      </c>
      <c r="L22" t="s">
        <v>197</v>
      </c>
      <c r="M22" t="s">
        <v>249</v>
      </c>
      <c r="N22" t="s">
        <v>250</v>
      </c>
      <c r="P22" t="s">
        <v>251</v>
      </c>
      <c r="Q22" s="231">
        <f>C22*VLOOKUP($J22,'Emissions Factors'!$B$14:$I$56,Q$1,FALSE)</f>
        <v>0</v>
      </c>
      <c r="R22" s="231">
        <f>D22*VLOOKUP($J22,'Emissions Factors'!$B$14:$I$56,R$1,FALSE)</f>
        <v>0</v>
      </c>
      <c r="S22" s="231">
        <f>E22*VLOOKUP($J22,'Emissions Factors'!$B$14:$I$56,S$1,FALSE)</f>
        <v>0</v>
      </c>
      <c r="T22" s="231">
        <f>F22*VLOOKUP($J22,'Emissions Factors'!$B$14:$I$56,T$1,FALSE)</f>
        <v>0</v>
      </c>
      <c r="U22" s="231">
        <f>G22*VLOOKUP($J22,'Emissions Factors'!$B$14:$I$56,U$1,FALSE)</f>
        <v>0</v>
      </c>
      <c r="V22" s="231">
        <f>H22*VLOOKUP($J22,'Emissions Factors'!$B$14:$I$56,V$1,FALSE)</f>
        <v>0</v>
      </c>
      <c r="W22" s="231">
        <f>I22*VLOOKUP($J22,'Emissions Factors'!$B$14:$I$56,W$1,FALSE)</f>
        <v>0</v>
      </c>
      <c r="X22" t="s">
        <v>209</v>
      </c>
    </row>
    <row r="23" spans="2:27">
      <c r="B23" t="s">
        <v>252</v>
      </c>
      <c r="C23" s="231">
        <f>'3. Transport'!C301</f>
        <v>0</v>
      </c>
      <c r="D23" s="231">
        <f>'3. Transport'!D301</f>
        <v>0</v>
      </c>
      <c r="E23" s="231">
        <f>'3. Transport'!E301</f>
        <v>0</v>
      </c>
      <c r="F23" s="231">
        <f>'3. Transport'!F301</f>
        <v>0</v>
      </c>
      <c r="G23" s="231">
        <f>'3. Transport'!G301</f>
        <v>0</v>
      </c>
      <c r="H23" s="231">
        <f>'3. Transport'!H301</f>
        <v>0</v>
      </c>
      <c r="I23" s="231">
        <f>'3. Transport'!I301</f>
        <v>0</v>
      </c>
      <c r="J23" t="s">
        <v>252</v>
      </c>
      <c r="K23" t="s">
        <v>227</v>
      </c>
      <c r="L23" t="s">
        <v>197</v>
      </c>
      <c r="M23" t="s">
        <v>249</v>
      </c>
      <c r="N23" t="s">
        <v>250</v>
      </c>
      <c r="P23" t="s">
        <v>253</v>
      </c>
      <c r="Q23" s="231">
        <f>C23*VLOOKUP($J23,'Emissions Factors'!$B$14:$I$56,Q$1,FALSE)</f>
        <v>0</v>
      </c>
      <c r="R23" s="231">
        <f>D23*VLOOKUP($J23,'Emissions Factors'!$B$14:$I$56,R$1,FALSE)</f>
        <v>0</v>
      </c>
      <c r="S23" s="231">
        <f>E23*VLOOKUP($J23,'Emissions Factors'!$B$14:$I$56,S$1,FALSE)</f>
        <v>0</v>
      </c>
      <c r="T23" s="231">
        <f>F23*VLOOKUP($J23,'Emissions Factors'!$B$14:$I$56,T$1,FALSE)</f>
        <v>0</v>
      </c>
      <c r="U23" s="231">
        <f>G23*VLOOKUP($J23,'Emissions Factors'!$B$14:$I$56,U$1,FALSE)</f>
        <v>0</v>
      </c>
      <c r="V23" s="231">
        <f>H23*VLOOKUP($J23,'Emissions Factors'!$B$14:$I$56,V$1,FALSE)</f>
        <v>0</v>
      </c>
      <c r="W23" s="231">
        <f>I23*VLOOKUP($J23,'Emissions Factors'!$B$14:$I$56,W$1,FALSE)</f>
        <v>0</v>
      </c>
      <c r="X23" t="s">
        <v>209</v>
      </c>
    </row>
    <row r="24" spans="2:27">
      <c r="B24" t="s">
        <v>254</v>
      </c>
      <c r="C24" s="231">
        <f>'2. Industry'!C48</f>
        <v>25679.38427410198</v>
      </c>
      <c r="D24" s="231">
        <f>'2. Industry'!D48</f>
        <v>26901.722965549234</v>
      </c>
      <c r="E24" s="231">
        <f>'2. Industry'!E48</f>
        <v>28000.800612480794</v>
      </c>
      <c r="F24" s="231">
        <f>'2. Industry'!F48</f>
        <v>28195.963932963972</v>
      </c>
      <c r="G24" s="231">
        <f>'2. Industry'!G48</f>
        <v>28819.972970824656</v>
      </c>
      <c r="H24" s="231">
        <f>'2. Industry'!H48</f>
        <v>29336.128594734106</v>
      </c>
      <c r="I24" s="231">
        <f>'2. Industry'!I48</f>
        <v>29788.085757958295</v>
      </c>
      <c r="J24" t="s">
        <v>208</v>
      </c>
      <c r="K24" t="s">
        <v>209</v>
      </c>
      <c r="L24" t="s">
        <v>228</v>
      </c>
      <c r="M24" t="s">
        <v>254</v>
      </c>
      <c r="N24" t="s">
        <v>254</v>
      </c>
      <c r="P24" t="s">
        <v>254</v>
      </c>
      <c r="Q24" s="231">
        <f>C24*VLOOKUP($J24,'Emissions Factors'!$B$14:$I$56,Q$1,FALSE)</f>
        <v>25679.38427410198</v>
      </c>
      <c r="R24" s="231">
        <f>D24*VLOOKUP($J24,'Emissions Factors'!$B$14:$I$56,R$1,FALSE)</f>
        <v>26901.722965549234</v>
      </c>
      <c r="S24" s="231">
        <f>E24*VLOOKUP($J24,'Emissions Factors'!$B$14:$I$56,S$1,FALSE)</f>
        <v>28000.800612480794</v>
      </c>
      <c r="T24" s="231">
        <f>F24*VLOOKUP($J24,'Emissions Factors'!$B$14:$I$56,T$1,FALSE)</f>
        <v>28195.963932963972</v>
      </c>
      <c r="U24" s="231">
        <f>G24*VLOOKUP($J24,'Emissions Factors'!$B$14:$I$56,U$1,FALSE)</f>
        <v>28819.972970824656</v>
      </c>
      <c r="V24" s="231">
        <f>H24*VLOOKUP($J24,'Emissions Factors'!$B$14:$I$56,V$1,FALSE)</f>
        <v>29336.128594734106</v>
      </c>
      <c r="W24" s="231">
        <f>I24*VLOOKUP($J24,'Emissions Factors'!$B$14:$I$56,W$1,FALSE)</f>
        <v>29788.085757958295</v>
      </c>
      <c r="X24" t="s">
        <v>209</v>
      </c>
      <c r="Y24" s="231">
        <f>SUM(W25:W26)</f>
        <v>68276.889748692163</v>
      </c>
      <c r="AA24">
        <f>SUM(Y7:Z24)</f>
        <v>616700.21886846318</v>
      </c>
    </row>
    <row r="25" spans="2:27">
      <c r="B25" t="s">
        <v>255</v>
      </c>
      <c r="C25" s="231">
        <f>'Landuse a. Agriculture'!V24</f>
        <v>2361.9116389773585</v>
      </c>
      <c r="D25" s="231">
        <f>'Landuse a. Agriculture'!W24</f>
        <v>2637.8888572534233</v>
      </c>
      <c r="E25" s="231">
        <f>'Landuse a. Agriculture'!X24</f>
        <v>2576.434555072417</v>
      </c>
      <c r="F25" s="231">
        <f>'Landuse a. Agriculture'!Y24</f>
        <v>2482.2869765102118</v>
      </c>
      <c r="G25" s="231">
        <f>'Landuse a. Agriculture'!Z24</f>
        <v>2388.1393979480076</v>
      </c>
      <c r="H25" s="231">
        <f>'Landuse a. Agriculture'!AA24</f>
        <v>2294.0444113350004</v>
      </c>
      <c r="I25" s="231">
        <f>'Landuse a. Agriculture'!AB24</f>
        <v>2155.5565006574498</v>
      </c>
      <c r="J25" t="s">
        <v>256</v>
      </c>
      <c r="K25" t="s">
        <v>257</v>
      </c>
      <c r="L25" t="s">
        <v>258</v>
      </c>
      <c r="M25" t="s">
        <v>258</v>
      </c>
      <c r="N25" t="s">
        <v>256</v>
      </c>
      <c r="P25" t="s">
        <v>255</v>
      </c>
      <c r="Q25" s="231">
        <f>C25*VLOOKUP($J25,'Emissions Factors'!$B$14:$I$56,Q$1,FALSE)</f>
        <v>59047.790974433963</v>
      </c>
      <c r="R25" s="231">
        <f>D25*VLOOKUP($J25,'Emissions Factors'!$B$14:$I$56,R$1,FALSE)</f>
        <v>65947.22143133558</v>
      </c>
      <c r="S25" s="231">
        <f>E25*VLOOKUP($J25,'Emissions Factors'!$B$14:$I$56,S$1,FALSE)</f>
        <v>64410.863876810421</v>
      </c>
      <c r="T25" s="231">
        <f>F25*VLOOKUP($J25,'Emissions Factors'!$B$14:$I$56,T$1,FALSE)</f>
        <v>62057.174412755296</v>
      </c>
      <c r="U25" s="231">
        <f>G25*VLOOKUP($J25,'Emissions Factors'!$B$14:$I$56,U$1,FALSE)</f>
        <v>59703.484948700192</v>
      </c>
      <c r="V25" s="231">
        <f>H25*VLOOKUP($J25,'Emissions Factors'!$B$14:$I$56,V$1,FALSE)</f>
        <v>57351.110283375012</v>
      </c>
      <c r="W25" s="231">
        <f>I25*VLOOKUP($J25,'Emissions Factors'!$B$14:$I$56,W$1,FALSE)</f>
        <v>53888.912516436241</v>
      </c>
      <c r="X25" t="s">
        <v>209</v>
      </c>
    </row>
    <row r="26" spans="2:27">
      <c r="B26" t="s">
        <v>259</v>
      </c>
      <c r="C26" s="231">
        <f>'Landuse a. Agriculture'!AF17</f>
        <v>61.707068113127747</v>
      </c>
      <c r="D26" s="231">
        <f>'Landuse a. Agriculture'!AG17</f>
        <v>60.468785203804728</v>
      </c>
      <c r="E26" s="231">
        <f>'Landuse a. Agriculture'!AH17</f>
        <v>58.965813095738056</v>
      </c>
      <c r="F26" s="231">
        <f>'Landuse a. Agriculture'!AI17</f>
        <v>56.581048438284277</v>
      </c>
      <c r="G26" s="231">
        <f>'Landuse a. Agriculture'!AJ17</f>
        <v>54.142170407924539</v>
      </c>
      <c r="H26" s="231">
        <f>'Landuse a. Agriculture'!AK17</f>
        <v>51.680058727477032</v>
      </c>
      <c r="I26" s="231">
        <f>'Landuse a. Agriculture'!AL17</f>
        <v>48.281802792805088</v>
      </c>
      <c r="J26" t="s">
        <v>259</v>
      </c>
      <c r="K26" t="s">
        <v>260</v>
      </c>
      <c r="L26" t="s">
        <v>258</v>
      </c>
      <c r="M26" t="s">
        <v>258</v>
      </c>
      <c r="N26" t="s">
        <v>259</v>
      </c>
      <c r="P26" t="s">
        <v>261</v>
      </c>
      <c r="Q26" s="231">
        <f>C26*VLOOKUP($J26,'Emissions Factors'!$B$14:$I$56,Q$1,FALSE)</f>
        <v>18388.706297712069</v>
      </c>
      <c r="R26" s="231">
        <f>D26*VLOOKUP($J26,'Emissions Factors'!$B$14:$I$56,R$1,FALSE)</f>
        <v>18019.69799073381</v>
      </c>
      <c r="S26" s="231">
        <f>E26*VLOOKUP($J26,'Emissions Factors'!$B$14:$I$56,S$1,FALSE)</f>
        <v>17571.812302529939</v>
      </c>
      <c r="T26" s="231">
        <f>F26*VLOOKUP($J26,'Emissions Factors'!$B$14:$I$56,T$1,FALSE)</f>
        <v>16861.152434608714</v>
      </c>
      <c r="U26" s="231">
        <f>G26*VLOOKUP($J26,'Emissions Factors'!$B$14:$I$56,U$1,FALSE)</f>
        <v>16134.366781561512</v>
      </c>
      <c r="V26" s="231">
        <f>H26*VLOOKUP($J26,'Emissions Factors'!$B$14:$I$56,V$1,FALSE)</f>
        <v>15400.657500788155</v>
      </c>
      <c r="W26" s="231">
        <f>I26*VLOOKUP($J26,'Emissions Factors'!$B$14:$I$56,W$1,FALSE)</f>
        <v>14387.977232255917</v>
      </c>
      <c r="X26" t="s">
        <v>209</v>
      </c>
    </row>
    <row r="27" spans="2:27">
      <c r="B27" t="s">
        <v>262</v>
      </c>
      <c r="C27" s="231">
        <f>'1. Landuse'!C53</f>
        <v>2721</v>
      </c>
      <c r="D27" s="231">
        <f>'1. Landuse'!D53</f>
        <v>2882.05</v>
      </c>
      <c r="E27" s="231">
        <f>'1. Landuse'!E53</f>
        <v>3043.1000000000004</v>
      </c>
      <c r="F27" s="231">
        <f>'1. Landuse'!F53</f>
        <v>3365.2</v>
      </c>
      <c r="G27" s="231">
        <f>'1. Landuse'!G53</f>
        <v>3687.3</v>
      </c>
      <c r="H27" s="231">
        <f>'1. Landuse'!H53</f>
        <v>4009.3999999999996</v>
      </c>
      <c r="I27" s="231">
        <f>'1. Landuse'!I53</f>
        <v>4428.13</v>
      </c>
      <c r="J27" t="s">
        <v>263</v>
      </c>
      <c r="K27" t="s">
        <v>264</v>
      </c>
      <c r="L27" t="s">
        <v>258</v>
      </c>
      <c r="M27" t="s">
        <v>258</v>
      </c>
      <c r="N27" t="s">
        <v>265</v>
      </c>
      <c r="P27" t="s">
        <v>263</v>
      </c>
      <c r="Q27" s="231">
        <f>C27*VLOOKUP($J27,'Emissions Factors'!$B$14:$I$56,Q$1,FALSE)</f>
        <v>-13877.099999999999</v>
      </c>
      <c r="R27" s="231">
        <f>D27*VLOOKUP($J27,'Emissions Factors'!$B$14:$I$56,R$1,FALSE)</f>
        <v>-14698.455</v>
      </c>
      <c r="S27" s="231">
        <f>E27*VLOOKUP($J27,'Emissions Factors'!$B$14:$I$56,S$1,FALSE)</f>
        <v>-15519.810000000001</v>
      </c>
      <c r="T27" s="231">
        <f>F27*VLOOKUP($J27,'Emissions Factors'!$B$14:$I$56,T$1,FALSE)</f>
        <v>-17162.519999999997</v>
      </c>
      <c r="U27" s="231">
        <f>G27*VLOOKUP($J27,'Emissions Factors'!$B$14:$I$56,U$1,FALSE)</f>
        <v>-18805.23</v>
      </c>
      <c r="V27" s="231">
        <f>H27*VLOOKUP($J27,'Emissions Factors'!$B$14:$I$56,V$1,FALSE)</f>
        <v>-20447.939999999995</v>
      </c>
      <c r="W27" s="231">
        <f>I27*VLOOKUP($J27,'Emissions Factors'!$B$14:$I$56,W$1,FALSE)</f>
        <v>-22583.463</v>
      </c>
      <c r="X27" t="s">
        <v>209</v>
      </c>
      <c r="Y27" s="231">
        <f>SUM(W25:W29)</f>
        <v>-43299.363251307834</v>
      </c>
    </row>
    <row r="28" spans="2:27">
      <c r="B28" t="s">
        <v>266</v>
      </c>
      <c r="C28" s="231">
        <f>'1. Landuse'!C54</f>
        <v>3721</v>
      </c>
      <c r="D28" s="231">
        <f>'1. Landuse'!D54</f>
        <v>3882.05</v>
      </c>
      <c r="E28" s="231">
        <f>'1. Landuse'!E54</f>
        <v>4043.1000000000004</v>
      </c>
      <c r="F28" s="231">
        <f>'1. Landuse'!F54</f>
        <v>4365.2</v>
      </c>
      <c r="G28" s="231">
        <f>'1. Landuse'!G54</f>
        <v>4687.3</v>
      </c>
      <c r="H28" s="231">
        <f>'1. Landuse'!H54</f>
        <v>5009.3999999999996</v>
      </c>
      <c r="I28" s="231">
        <f>'1. Landuse'!I54</f>
        <v>5234.87</v>
      </c>
      <c r="J28" t="s">
        <v>267</v>
      </c>
      <c r="K28" t="s">
        <v>264</v>
      </c>
      <c r="L28" t="s">
        <v>258</v>
      </c>
      <c r="M28" t="s">
        <v>258</v>
      </c>
      <c r="N28" t="s">
        <v>265</v>
      </c>
      <c r="P28" t="s">
        <v>267</v>
      </c>
      <c r="Q28" s="231">
        <f>C28*VLOOKUP($J28,'Emissions Factors'!$B$14:$I$56,Q$1,FALSE)</f>
        <v>-63257</v>
      </c>
      <c r="R28" s="231">
        <f>D28*VLOOKUP($J28,'Emissions Factors'!$B$14:$I$56,R$1,FALSE)</f>
        <v>-65994.850000000006</v>
      </c>
      <c r="S28" s="231">
        <f>E28*VLOOKUP($J28,'Emissions Factors'!$B$14:$I$56,S$1,FALSE)</f>
        <v>-68732.700000000012</v>
      </c>
      <c r="T28" s="231">
        <f>F28*VLOOKUP($J28,'Emissions Factors'!$B$14:$I$56,T$1,FALSE)</f>
        <v>-74208.399999999994</v>
      </c>
      <c r="U28" s="231">
        <f>G28*VLOOKUP($J28,'Emissions Factors'!$B$14:$I$56,U$1,FALSE)</f>
        <v>-79684.100000000006</v>
      </c>
      <c r="V28" s="231">
        <f>H28*VLOOKUP($J28,'Emissions Factors'!$B$14:$I$56,V$1,FALSE)</f>
        <v>-85159.799999999988</v>
      </c>
      <c r="W28" s="231">
        <f>I28*VLOOKUP($J28,'Emissions Factors'!$B$14:$I$56,W$1,FALSE)</f>
        <v>-88992.79</v>
      </c>
      <c r="X28" t="s">
        <v>209</v>
      </c>
    </row>
    <row r="29" spans="2:27">
      <c r="B29" t="s">
        <v>268</v>
      </c>
      <c r="C29" s="231">
        <f>'Landuse a. Agriculture'!D38</f>
        <v>0</v>
      </c>
      <c r="D29" s="231">
        <f>'Landuse a. Agriculture'!E38</f>
        <v>0</v>
      </c>
      <c r="E29" s="231">
        <f>'Landuse a. Agriculture'!F38</f>
        <v>0</v>
      </c>
      <c r="F29" s="231">
        <f>'Landuse a. Agriculture'!G38</f>
        <v>0</v>
      </c>
      <c r="G29" s="231">
        <f>'Landuse a. Agriculture'!H38</f>
        <v>0</v>
      </c>
      <c r="H29" s="231">
        <f>'Landuse a. Agriculture'!I38</f>
        <v>0</v>
      </c>
      <c r="I29" s="231">
        <f>'Landuse a. Agriculture'!J38</f>
        <v>0</v>
      </c>
      <c r="J29" t="s">
        <v>208</v>
      </c>
      <c r="K29" t="s">
        <v>209</v>
      </c>
      <c r="L29" t="s">
        <v>258</v>
      </c>
      <c r="M29" t="s">
        <v>258</v>
      </c>
      <c r="N29" t="s">
        <v>265</v>
      </c>
      <c r="P29" t="s">
        <v>268</v>
      </c>
      <c r="Q29" s="231">
        <f>C29*VLOOKUP($J29,'Emissions Factors'!$B$14:$I$56,Q$1,FALSE)</f>
        <v>0</v>
      </c>
      <c r="R29" s="231">
        <f>D29*VLOOKUP($J29,'Emissions Factors'!$B$14:$I$56,R$1,FALSE)</f>
        <v>0</v>
      </c>
      <c r="S29" s="231">
        <f>E29*VLOOKUP($J29,'Emissions Factors'!$B$14:$I$56,S$1,FALSE)</f>
        <v>0</v>
      </c>
      <c r="T29" s="231">
        <f>F29*VLOOKUP($J29,'Emissions Factors'!$B$14:$I$56,T$1,FALSE)</f>
        <v>0</v>
      </c>
      <c r="U29" s="231">
        <f>G29*VLOOKUP($J29,'Emissions Factors'!$B$14:$I$56,U$1,FALSE)</f>
        <v>0</v>
      </c>
      <c r="V29" s="231">
        <f>H29*VLOOKUP($J29,'Emissions Factors'!$B$14:$I$56,V$1,FALSE)</f>
        <v>0</v>
      </c>
      <c r="W29" s="231">
        <f>I29*VLOOKUP($J29,'Emissions Factors'!$B$14:$I$56,W$1,FALSE)</f>
        <v>0</v>
      </c>
      <c r="X29" t="s">
        <v>209</v>
      </c>
    </row>
    <row r="30" spans="2:27">
      <c r="C30" s="231"/>
      <c r="D30" s="231"/>
      <c r="E30" s="231"/>
      <c r="F30" s="231"/>
      <c r="G30" s="231"/>
      <c r="H30" s="231"/>
      <c r="I30" s="231"/>
      <c r="P30" s="212" t="s">
        <v>269</v>
      </c>
      <c r="Q30" s="334">
        <f t="shared" ref="Q30:W30" si="0">SUM(Q3:Q26)</f>
        <v>498163.13432625245</v>
      </c>
      <c r="R30" s="334">
        <f t="shared" si="0"/>
        <v>512822.96408813493</v>
      </c>
      <c r="S30" s="334">
        <f t="shared" si="0"/>
        <v>521417.21676494513</v>
      </c>
      <c r="T30" s="334">
        <f t="shared" si="0"/>
        <v>531193.0917430782</v>
      </c>
      <c r="U30" s="334">
        <f t="shared" si="0"/>
        <v>553687.17078947008</v>
      </c>
      <c r="V30" s="334">
        <f t="shared" si="0"/>
        <v>573179.54682043113</v>
      </c>
      <c r="W30" s="334">
        <f t="shared" si="0"/>
        <v>616700.21886846318</v>
      </c>
      <c r="X30" t="s">
        <v>209</v>
      </c>
    </row>
    <row r="31" spans="2:27">
      <c r="C31" s="231"/>
      <c r="D31" s="231"/>
      <c r="E31" s="231"/>
      <c r="F31" s="231"/>
      <c r="G31" s="231"/>
      <c r="H31" s="231"/>
      <c r="I31" s="231"/>
      <c r="P31" t="s">
        <v>265</v>
      </c>
      <c r="Q31" s="231">
        <f>SUM(Q27:Q29)</f>
        <v>-77134.100000000006</v>
      </c>
      <c r="R31" s="231">
        <f t="shared" ref="R31:W31" si="1">SUM(R27:R29)</f>
        <v>-80693.305000000008</v>
      </c>
      <c r="S31" s="231">
        <f t="shared" si="1"/>
        <v>-84252.510000000009</v>
      </c>
      <c r="T31" s="231">
        <f t="shared" si="1"/>
        <v>-91370.919999999984</v>
      </c>
      <c r="U31" s="231">
        <f t="shared" si="1"/>
        <v>-98489.33</v>
      </c>
      <c r="V31" s="231">
        <f t="shared" si="1"/>
        <v>-105607.73999999999</v>
      </c>
      <c r="W31" s="231">
        <f t="shared" si="1"/>
        <v>-111576.253</v>
      </c>
      <c r="X31" t="s">
        <v>209</v>
      </c>
    </row>
    <row r="32" spans="2:27">
      <c r="C32" s="231"/>
      <c r="D32" s="231"/>
      <c r="E32" s="231"/>
      <c r="F32" s="231"/>
      <c r="G32" s="231"/>
      <c r="H32" s="231"/>
      <c r="I32" s="231"/>
      <c r="P32" s="212" t="s">
        <v>270</v>
      </c>
      <c r="Q32" s="334">
        <f>Q30+Q31</f>
        <v>421029.03432625241</v>
      </c>
      <c r="R32" s="334">
        <f t="shared" ref="R32:W32" si="2">R30+R31</f>
        <v>432129.65908813494</v>
      </c>
      <c r="S32" s="334">
        <f t="shared" si="2"/>
        <v>437164.70676494512</v>
      </c>
      <c r="T32" s="334">
        <f t="shared" si="2"/>
        <v>439822.17174307822</v>
      </c>
      <c r="U32" s="334">
        <f t="shared" si="2"/>
        <v>455197.84078947006</v>
      </c>
      <c r="V32" s="334">
        <f t="shared" si="2"/>
        <v>467571.80682043114</v>
      </c>
      <c r="W32" s="334">
        <f t="shared" si="2"/>
        <v>505123.96586846316</v>
      </c>
      <c r="X32" t="s">
        <v>209</v>
      </c>
    </row>
    <row r="33" spans="3:24">
      <c r="C33" s="231"/>
      <c r="D33" s="231"/>
      <c r="E33" s="231"/>
      <c r="F33" s="231"/>
      <c r="G33" s="231"/>
      <c r="H33" s="231"/>
      <c r="I33" s="231"/>
    </row>
    <row r="34" spans="3:24">
      <c r="P34" s="249" t="s">
        <v>271</v>
      </c>
      <c r="Q34" s="247">
        <f>'Baseline Statistics'!D4</f>
        <v>2022</v>
      </c>
      <c r="R34" s="247">
        <f>'Baseline Statistics'!E4</f>
        <v>2025</v>
      </c>
      <c r="S34" s="247">
        <f>'Baseline Statistics'!F4</f>
        <v>2030</v>
      </c>
      <c r="T34" s="247">
        <f>'Baseline Statistics'!G4</f>
        <v>2035</v>
      </c>
      <c r="U34" s="247">
        <f>'Baseline Statistics'!H4</f>
        <v>2040</v>
      </c>
      <c r="V34" s="247">
        <f>'Baseline Statistics'!I4</f>
        <v>2045</v>
      </c>
      <c r="W34" s="250">
        <f>'Baseline Statistics'!J4</f>
        <v>2051</v>
      </c>
      <c r="X34" t="s">
        <v>272</v>
      </c>
    </row>
    <row r="35" spans="3:24">
      <c r="P35" t="s">
        <v>211</v>
      </c>
      <c r="Q35" s="231">
        <f>SUM(Q3:Q5)</f>
        <v>9273.8450352770869</v>
      </c>
      <c r="R35" s="231">
        <f t="shared" ref="R35:W35" si="3">SUM(R3:R5)</f>
        <v>10415.158642420072</v>
      </c>
      <c r="S35" s="231">
        <f t="shared" si="3"/>
        <v>11559.249525561316</v>
      </c>
      <c r="T35" s="231">
        <f t="shared" si="3"/>
        <v>12694.201885914605</v>
      </c>
      <c r="U35" s="231">
        <f t="shared" si="3"/>
        <v>13363.850906953823</v>
      </c>
      <c r="V35" s="231">
        <f t="shared" si="3"/>
        <v>13946.26425395779</v>
      </c>
      <c r="W35" s="231">
        <f t="shared" si="3"/>
        <v>14770.086734578357</v>
      </c>
      <c r="X35" s="245">
        <f t="shared" ref="X35:X41" si="4">W35/SUM(W$35:W$41)</f>
        <v>2.3950188896768802E-2</v>
      </c>
    </row>
    <row r="36" spans="3:24">
      <c r="P36" t="s">
        <v>221</v>
      </c>
      <c r="Q36" s="231">
        <f t="shared" ref="Q36:W36" si="5">SUM(Q6:Q13)</f>
        <v>169596.04044749241</v>
      </c>
      <c r="R36" s="231">
        <f t="shared" si="5"/>
        <v>171446.13716357949</v>
      </c>
      <c r="S36" s="231">
        <f t="shared" si="5"/>
        <v>157455.06468517164</v>
      </c>
      <c r="T36" s="231">
        <f t="shared" si="5"/>
        <v>149319.62620807969</v>
      </c>
      <c r="U36" s="231">
        <f t="shared" si="5"/>
        <v>153580.81597430096</v>
      </c>
      <c r="V36" s="231">
        <f t="shared" si="5"/>
        <v>157282.38416528873</v>
      </c>
      <c r="W36" s="231">
        <f t="shared" si="5"/>
        <v>162358.41082522582</v>
      </c>
      <c r="X36" s="245">
        <f t="shared" si="4"/>
        <v>0.26326958521779842</v>
      </c>
    </row>
    <row r="37" spans="3:24">
      <c r="C37" s="231"/>
      <c r="D37" s="231"/>
      <c r="E37" s="231"/>
      <c r="F37" s="231"/>
      <c r="G37" s="231"/>
      <c r="H37" s="231"/>
      <c r="I37" s="231"/>
      <c r="P37" t="s">
        <v>197</v>
      </c>
      <c r="Q37" s="231">
        <f t="shared" ref="Q37:W37" si="6">SUM(Q14:Q16,Q19:Q21)</f>
        <v>191900.61500730008</v>
      </c>
      <c r="R37" s="231">
        <f t="shared" si="6"/>
        <v>205862.02607583348</v>
      </c>
      <c r="S37" s="231">
        <f t="shared" si="6"/>
        <v>226217.27741085135</v>
      </c>
      <c r="T37" s="231">
        <f t="shared" si="6"/>
        <v>244106.57693777781</v>
      </c>
      <c r="U37" s="231">
        <f t="shared" si="6"/>
        <v>262066.6210315208</v>
      </c>
      <c r="V37" s="231">
        <f t="shared" si="6"/>
        <v>277798.20195418427</v>
      </c>
      <c r="W37" s="231">
        <f t="shared" si="6"/>
        <v>316862.98864286806</v>
      </c>
      <c r="X37" s="245">
        <f t="shared" si="4"/>
        <v>0.51380391792994029</v>
      </c>
    </row>
    <row r="38" spans="3:24">
      <c r="C38" s="231"/>
      <c r="D38" s="231"/>
      <c r="E38" s="231"/>
      <c r="F38" s="231"/>
      <c r="G38" s="231"/>
      <c r="H38" s="231"/>
      <c r="I38" s="231"/>
      <c r="P38" t="s">
        <v>240</v>
      </c>
      <c r="Q38" s="231">
        <f t="shared" ref="Q38:W38" si="7">SUM(Q17:Q18)</f>
        <v>24276.752289934866</v>
      </c>
      <c r="R38" s="231">
        <f t="shared" si="7"/>
        <v>14230.999818683302</v>
      </c>
      <c r="S38" s="231">
        <f t="shared" si="7"/>
        <v>16202.148351539716</v>
      </c>
      <c r="T38" s="231">
        <f t="shared" si="7"/>
        <v>17958.395930978098</v>
      </c>
      <c r="U38" s="231">
        <f t="shared" si="7"/>
        <v>20018.058175608148</v>
      </c>
      <c r="V38" s="231">
        <f t="shared" si="7"/>
        <v>22064.800068103079</v>
      </c>
      <c r="W38" s="231">
        <f t="shared" si="7"/>
        <v>24643.757159140434</v>
      </c>
      <c r="X38" s="245">
        <f t="shared" si="4"/>
        <v>3.9960675227839887E-2</v>
      </c>
    </row>
    <row r="39" spans="3:24">
      <c r="C39" s="231"/>
      <c r="D39" s="231"/>
      <c r="E39" s="231"/>
      <c r="F39" s="231"/>
      <c r="G39" s="231"/>
      <c r="H39" s="231"/>
      <c r="I39" s="231"/>
      <c r="P39" t="s">
        <v>249</v>
      </c>
      <c r="Q39" s="231">
        <f>SUM(Q22:Q23)</f>
        <v>0</v>
      </c>
      <c r="R39" s="231">
        <f t="shared" ref="R39:W39" si="8">SUM(R22:R23)</f>
        <v>0</v>
      </c>
      <c r="S39" s="231">
        <f t="shared" si="8"/>
        <v>0</v>
      </c>
      <c r="T39" s="231">
        <f t="shared" si="8"/>
        <v>0</v>
      </c>
      <c r="U39" s="231">
        <f t="shared" si="8"/>
        <v>0</v>
      </c>
      <c r="V39" s="231">
        <f t="shared" si="8"/>
        <v>0</v>
      </c>
      <c r="W39" s="231">
        <f t="shared" si="8"/>
        <v>0</v>
      </c>
      <c r="X39" s="245">
        <f t="shared" si="4"/>
        <v>0</v>
      </c>
    </row>
    <row r="40" spans="3:24">
      <c r="C40" s="231"/>
      <c r="D40" s="231"/>
      <c r="E40" s="231"/>
      <c r="F40" s="231"/>
      <c r="G40" s="231"/>
      <c r="H40" s="231"/>
      <c r="I40" s="231"/>
      <c r="P40" t="s">
        <v>254</v>
      </c>
      <c r="Q40" s="231">
        <f t="shared" ref="Q40:W40" si="9">Q24</f>
        <v>25679.38427410198</v>
      </c>
      <c r="R40" s="231">
        <f t="shared" si="9"/>
        <v>26901.722965549234</v>
      </c>
      <c r="S40" s="231">
        <f t="shared" si="9"/>
        <v>28000.800612480794</v>
      </c>
      <c r="T40" s="231">
        <f t="shared" si="9"/>
        <v>28195.963932963972</v>
      </c>
      <c r="U40" s="231">
        <f t="shared" si="9"/>
        <v>28819.972970824656</v>
      </c>
      <c r="V40" s="231">
        <f t="shared" si="9"/>
        <v>29336.128594734106</v>
      </c>
      <c r="W40" s="231">
        <f t="shared" si="9"/>
        <v>29788.085757958295</v>
      </c>
      <c r="X40" s="245">
        <f t="shared" si="4"/>
        <v>4.8302375849021445E-2</v>
      </c>
    </row>
    <row r="41" spans="3:24">
      <c r="C41" s="231"/>
      <c r="D41" s="231"/>
      <c r="E41" s="231"/>
      <c r="F41" s="231"/>
      <c r="G41" s="231"/>
      <c r="H41" s="231"/>
      <c r="I41" s="231"/>
      <c r="P41" t="s">
        <v>258</v>
      </c>
      <c r="Q41" s="231">
        <f t="shared" ref="Q41:W41" si="10">SUM(Q25:Q26)</f>
        <v>77436.497272146036</v>
      </c>
      <c r="R41" s="231">
        <f t="shared" si="10"/>
        <v>83966.91942206939</v>
      </c>
      <c r="S41" s="231">
        <f t="shared" si="10"/>
        <v>81982.676179340357</v>
      </c>
      <c r="T41" s="231">
        <f t="shared" si="10"/>
        <v>78918.326847364006</v>
      </c>
      <c r="U41" s="231">
        <f t="shared" si="10"/>
        <v>75837.851730261697</v>
      </c>
      <c r="V41" s="231">
        <f t="shared" si="10"/>
        <v>72751.767784163167</v>
      </c>
      <c r="W41" s="231">
        <f t="shared" si="10"/>
        <v>68276.889748692163</v>
      </c>
      <c r="X41" s="245">
        <f t="shared" si="4"/>
        <v>0.11071325687863107</v>
      </c>
    </row>
    <row r="42" spans="3:24">
      <c r="C42" s="231"/>
      <c r="D42" s="231"/>
      <c r="E42" s="231"/>
      <c r="F42" s="231"/>
      <c r="G42" s="231"/>
      <c r="H42" s="231"/>
      <c r="I42" s="231"/>
      <c r="P42" t="s">
        <v>265</v>
      </c>
      <c r="Q42" s="231">
        <f t="shared" ref="Q42:W42" si="11">SUM(Q27:Q29)</f>
        <v>-77134.100000000006</v>
      </c>
      <c r="R42" s="231">
        <f t="shared" si="11"/>
        <v>-80693.305000000008</v>
      </c>
      <c r="S42" s="231">
        <f t="shared" si="11"/>
        <v>-84252.510000000009</v>
      </c>
      <c r="T42" s="231">
        <f t="shared" si="11"/>
        <v>-91370.919999999984</v>
      </c>
      <c r="U42" s="231">
        <f t="shared" si="11"/>
        <v>-98489.33</v>
      </c>
      <c r="V42" s="231">
        <f t="shared" si="11"/>
        <v>-105607.73999999999</v>
      </c>
      <c r="W42" s="231">
        <f t="shared" si="11"/>
        <v>-111576.253</v>
      </c>
      <c r="X42" s="43" t="s">
        <v>273</v>
      </c>
    </row>
    <row r="43" spans="3:24">
      <c r="C43" s="231"/>
      <c r="D43" s="231"/>
      <c r="E43" s="231"/>
      <c r="F43" s="231"/>
      <c r="G43" s="231"/>
      <c r="H43" s="231"/>
      <c r="I43" s="231"/>
    </row>
    <row r="44" spans="3:24">
      <c r="C44" s="231"/>
      <c r="D44" s="231"/>
      <c r="E44" s="231"/>
      <c r="F44" s="231"/>
      <c r="G44" s="231"/>
      <c r="H44" s="231"/>
      <c r="I44" s="231"/>
      <c r="P44" s="249" t="s">
        <v>274</v>
      </c>
      <c r="Q44" s="247">
        <f>'Baseline Statistics'!D4</f>
        <v>2022</v>
      </c>
      <c r="R44" s="247">
        <f>'Baseline Statistics'!E4</f>
        <v>2025</v>
      </c>
      <c r="S44" s="247">
        <f>'Baseline Statistics'!F4</f>
        <v>2030</v>
      </c>
      <c r="T44" s="247">
        <f>'Baseline Statistics'!G4</f>
        <v>2035</v>
      </c>
      <c r="U44" s="247">
        <f>'Baseline Statistics'!H4</f>
        <v>2040</v>
      </c>
      <c r="V44" s="247">
        <f>'Baseline Statistics'!I4</f>
        <v>2045</v>
      </c>
      <c r="W44" s="250">
        <f>'Baseline Statistics'!J4</f>
        <v>2051</v>
      </c>
      <c r="X44" t="s">
        <v>272</v>
      </c>
    </row>
    <row r="45" spans="3:24">
      <c r="C45" s="231"/>
      <c r="D45" s="231"/>
      <c r="E45" s="231"/>
      <c r="F45" s="231"/>
      <c r="G45" s="231"/>
      <c r="H45" s="231"/>
      <c r="I45" s="231"/>
      <c r="P45" t="s">
        <v>212</v>
      </c>
      <c r="Q45" s="231">
        <f t="shared" ref="Q45:W45" si="12">Q3</f>
        <v>2514.4811271524195</v>
      </c>
      <c r="R45" s="231">
        <f t="shared" si="12"/>
        <v>2603.0697810082611</v>
      </c>
      <c r="S45" s="231">
        <f t="shared" si="12"/>
        <v>2747.7599407059911</v>
      </c>
      <c r="T45" s="231">
        <f t="shared" si="12"/>
        <v>2881.203552872591</v>
      </c>
      <c r="U45" s="231">
        <f t="shared" si="12"/>
        <v>3013.8437173844532</v>
      </c>
      <c r="V45" s="231">
        <f t="shared" si="12"/>
        <v>3145.3077759705047</v>
      </c>
      <c r="W45" s="231">
        <f t="shared" si="12"/>
        <v>3511.6650803105081</v>
      </c>
      <c r="X45" s="245">
        <f t="shared" ref="X45:X58" si="13">W45/SUM(W$45:W$58)</f>
        <v>5.6942822020621267E-3</v>
      </c>
    </row>
    <row r="46" spans="3:24">
      <c r="C46" s="231"/>
      <c r="D46" s="231"/>
      <c r="E46" s="231"/>
      <c r="F46" s="231"/>
      <c r="G46" s="231"/>
      <c r="H46" s="231"/>
      <c r="I46" s="231"/>
      <c r="P46" t="s">
        <v>214</v>
      </c>
      <c r="Q46" s="231">
        <f>Q4+Q5</f>
        <v>6759.3639081246674</v>
      </c>
      <c r="R46" s="231">
        <f t="shared" ref="R46:W46" si="14">R4+R5</f>
        <v>7812.0888614118121</v>
      </c>
      <c r="S46" s="231">
        <f t="shared" si="14"/>
        <v>8811.4895848553242</v>
      </c>
      <c r="T46" s="231">
        <f t="shared" si="14"/>
        <v>9812.9983330420146</v>
      </c>
      <c r="U46" s="231">
        <f t="shared" si="14"/>
        <v>10350.007189569371</v>
      </c>
      <c r="V46" s="231">
        <f t="shared" si="14"/>
        <v>10800.956477987285</v>
      </c>
      <c r="W46" s="231">
        <f t="shared" si="14"/>
        <v>11258.42165426785</v>
      </c>
      <c r="X46" s="245">
        <f t="shared" si="13"/>
        <v>1.8255906694706676E-2</v>
      </c>
    </row>
    <row r="47" spans="3:24">
      <c r="C47" s="231"/>
      <c r="D47" s="231"/>
      <c r="E47" s="231"/>
      <c r="F47" s="231"/>
      <c r="G47" s="231"/>
      <c r="H47" s="231"/>
      <c r="I47" s="231"/>
      <c r="P47" t="s">
        <v>218</v>
      </c>
      <c r="Q47" s="231">
        <f t="shared" ref="Q47:W48" si="15">Q6</f>
        <v>57592.803744520592</v>
      </c>
      <c r="R47" s="231">
        <f t="shared" si="15"/>
        <v>60406.222265241377</v>
      </c>
      <c r="S47" s="231">
        <f t="shared" si="15"/>
        <v>63234.550231388901</v>
      </c>
      <c r="T47" s="231">
        <f t="shared" si="15"/>
        <v>64407.454244619003</v>
      </c>
      <c r="U47" s="231">
        <f t="shared" si="15"/>
        <v>66339.208301776976</v>
      </c>
      <c r="V47" s="231">
        <f t="shared" si="15"/>
        <v>68095.270424175513</v>
      </c>
      <c r="W47" s="231">
        <f t="shared" si="15"/>
        <v>70364.616871065024</v>
      </c>
      <c r="X47" s="245">
        <f t="shared" si="13"/>
        <v>0.11409857612856335</v>
      </c>
    </row>
    <row r="48" spans="3:24">
      <c r="C48" s="231"/>
      <c r="D48" s="231"/>
      <c r="E48" s="231"/>
      <c r="F48" s="231"/>
      <c r="G48" s="231"/>
      <c r="H48" s="231"/>
      <c r="I48" s="231"/>
      <c r="P48" t="s">
        <v>223</v>
      </c>
      <c r="Q48" s="231">
        <f t="shared" si="15"/>
        <v>31322.870942731282</v>
      </c>
      <c r="R48" s="231">
        <f t="shared" si="15"/>
        <v>32901.083688738654</v>
      </c>
      <c r="S48" s="231">
        <f t="shared" si="15"/>
        <v>34386.940317852001</v>
      </c>
      <c r="T48" s="231">
        <f t="shared" si="15"/>
        <v>34868.62180761023</v>
      </c>
      <c r="U48" s="231">
        <f t="shared" si="15"/>
        <v>35822.851670460142</v>
      </c>
      <c r="V48" s="231">
        <f t="shared" si="15"/>
        <v>36667.066421150157</v>
      </c>
      <c r="W48" s="231">
        <f t="shared" si="15"/>
        <v>37553.96907724777</v>
      </c>
      <c r="X48" s="245">
        <f t="shared" si="13"/>
        <v>6.0895014997972147E-2</v>
      </c>
    </row>
    <row r="49" spans="3:24">
      <c r="C49" s="231"/>
      <c r="D49" s="231"/>
      <c r="E49" s="231"/>
      <c r="F49" s="231"/>
      <c r="G49" s="231"/>
      <c r="H49" s="231"/>
      <c r="I49" s="231"/>
      <c r="P49" t="s">
        <v>235</v>
      </c>
      <c r="Q49" s="231">
        <f t="shared" ref="Q49:W49" si="16">SUM(Q11:Q14)</f>
        <v>44333.492871606577</v>
      </c>
      <c r="R49" s="231">
        <f t="shared" si="16"/>
        <v>46752.641835454808</v>
      </c>
      <c r="S49" s="231">
        <f t="shared" si="16"/>
        <v>27831.220344074987</v>
      </c>
      <c r="T49" s="231">
        <f t="shared" si="16"/>
        <v>17775.584223527152</v>
      </c>
      <c r="U49" s="231">
        <f t="shared" si="16"/>
        <v>18720.614388679856</v>
      </c>
      <c r="V49" s="231">
        <f t="shared" si="16"/>
        <v>19425.799463852476</v>
      </c>
      <c r="W49" s="231">
        <f t="shared" si="16"/>
        <v>20901.233831824404</v>
      </c>
      <c r="X49" s="245">
        <f t="shared" si="13"/>
        <v>3.3892048668597047E-2</v>
      </c>
    </row>
    <row r="50" spans="3:24">
      <c r="C50" s="231"/>
      <c r="D50" s="231"/>
      <c r="E50" s="231"/>
      <c r="F50" s="231"/>
      <c r="G50" s="231"/>
      <c r="H50" s="231"/>
      <c r="I50" s="231"/>
      <c r="P50" t="s">
        <v>230</v>
      </c>
      <c r="Q50" s="231">
        <f t="shared" ref="Q50:W51" si="17">Q15+Q8</f>
        <v>117464.42349898211</v>
      </c>
      <c r="R50" s="231">
        <f t="shared" si="17"/>
        <v>125983.06231939282</v>
      </c>
      <c r="S50" s="231">
        <f t="shared" si="17"/>
        <v>138635.273402672</v>
      </c>
      <c r="T50" s="231">
        <f t="shared" si="17"/>
        <v>149607.98121110987</v>
      </c>
      <c r="U50" s="231">
        <f t="shared" si="17"/>
        <v>160665.39444926378</v>
      </c>
      <c r="V50" s="231">
        <f t="shared" si="17"/>
        <v>170391.09858048125</v>
      </c>
      <c r="W50" s="231">
        <f t="shared" si="17"/>
        <v>197871.61028030445</v>
      </c>
      <c r="X50" s="245">
        <f t="shared" si="13"/>
        <v>0.32085542412059487</v>
      </c>
    </row>
    <row r="51" spans="3:24">
      <c r="C51" s="231"/>
      <c r="D51" s="231"/>
      <c r="E51" s="231"/>
      <c r="F51" s="231"/>
      <c r="G51" s="231"/>
      <c r="H51" s="231"/>
      <c r="I51" s="231"/>
      <c r="P51" t="s">
        <v>226</v>
      </c>
      <c r="Q51" s="231">
        <f t="shared" si="17"/>
        <v>97926.353099526241</v>
      </c>
      <c r="R51" s="231">
        <f t="shared" si="17"/>
        <v>101801.07789837952</v>
      </c>
      <c r="S51" s="231">
        <f t="shared" si="17"/>
        <v>109861.53524098871</v>
      </c>
      <c r="T51" s="231">
        <f t="shared" si="17"/>
        <v>116826.14087411514</v>
      </c>
      <c r="U51" s="231">
        <f t="shared" si="17"/>
        <v>123919.91474669261</v>
      </c>
      <c r="V51" s="231">
        <f t="shared" si="17"/>
        <v>130105.73970524053</v>
      </c>
      <c r="W51" s="231">
        <f t="shared" si="17"/>
        <v>141603.37596120234</v>
      </c>
      <c r="X51" s="245">
        <f t="shared" si="13"/>
        <v>0.22961460305790019</v>
      </c>
    </row>
    <row r="52" spans="3:24">
      <c r="C52" s="231"/>
      <c r="D52" s="231"/>
      <c r="E52" s="231"/>
      <c r="F52" s="231"/>
      <c r="G52" s="231"/>
      <c r="H52" s="231"/>
      <c r="I52" s="231"/>
      <c r="P52" t="s">
        <v>241</v>
      </c>
      <c r="Q52" s="231">
        <f t="shared" ref="Q52:W52" si="18">Q17+Q18</f>
        <v>24276.752289934866</v>
      </c>
      <c r="R52" s="231">
        <f t="shared" si="18"/>
        <v>14230.999818683302</v>
      </c>
      <c r="S52" s="231">
        <f t="shared" si="18"/>
        <v>16202.148351539716</v>
      </c>
      <c r="T52" s="231">
        <f t="shared" si="18"/>
        <v>17958.395930978098</v>
      </c>
      <c r="U52" s="231">
        <f t="shared" si="18"/>
        <v>20018.058175608148</v>
      </c>
      <c r="V52" s="231">
        <f t="shared" si="18"/>
        <v>22064.800068103079</v>
      </c>
      <c r="W52" s="231">
        <f t="shared" si="18"/>
        <v>24643.757159140434</v>
      </c>
      <c r="X52" s="245">
        <f t="shared" si="13"/>
        <v>3.9960675227839887E-2</v>
      </c>
    </row>
    <row r="53" spans="3:24">
      <c r="C53" s="231"/>
      <c r="D53" s="231"/>
      <c r="E53" s="231"/>
      <c r="F53" s="231"/>
      <c r="G53" s="231"/>
      <c r="H53" s="231"/>
      <c r="I53" s="231"/>
      <c r="P53" t="s">
        <v>233</v>
      </c>
      <c r="Q53" s="231">
        <f t="shared" ref="Q53:W53" si="19">Q19+Q10</f>
        <v>12856.711297425669</v>
      </c>
      <c r="R53" s="231">
        <f t="shared" si="19"/>
        <v>9464.0752322057924</v>
      </c>
      <c r="S53" s="231">
        <f t="shared" si="19"/>
        <v>9722.8225590464081</v>
      </c>
      <c r="T53" s="231">
        <f t="shared" si="19"/>
        <v>9940.4207848761271</v>
      </c>
      <c r="U53" s="231">
        <f t="shared" si="19"/>
        <v>10179.453448948405</v>
      </c>
      <c r="V53" s="231">
        <f t="shared" si="19"/>
        <v>10395.611524573036</v>
      </c>
      <c r="W53" s="231">
        <f t="shared" si="19"/>
        <v>10926.593446449908</v>
      </c>
      <c r="X53" s="245">
        <f t="shared" si="13"/>
        <v>1.7717836174111129E-2</v>
      </c>
    </row>
    <row r="54" spans="3:24">
      <c r="C54" s="231"/>
      <c r="D54" s="231"/>
      <c r="E54" s="231"/>
      <c r="F54" s="231"/>
      <c r="G54" s="231"/>
      <c r="H54" s="231"/>
      <c r="I54" s="231"/>
      <c r="P54" t="s">
        <v>246</v>
      </c>
      <c r="Q54" s="231">
        <f t="shared" ref="Q54:W54" si="20">Q20+Q21</f>
        <v>0</v>
      </c>
      <c r="R54" s="231">
        <f t="shared" si="20"/>
        <v>0</v>
      </c>
      <c r="S54" s="231">
        <f t="shared" si="20"/>
        <v>0</v>
      </c>
      <c r="T54" s="231">
        <f t="shared" si="20"/>
        <v>0</v>
      </c>
      <c r="U54" s="231">
        <f t="shared" si="20"/>
        <v>0</v>
      </c>
      <c r="V54" s="231">
        <f t="shared" si="20"/>
        <v>0</v>
      </c>
      <c r="W54" s="231">
        <f t="shared" si="20"/>
        <v>0</v>
      </c>
      <c r="X54" s="245">
        <f t="shared" si="13"/>
        <v>0</v>
      </c>
    </row>
    <row r="55" spans="3:24">
      <c r="C55" s="231"/>
      <c r="D55" s="231"/>
      <c r="E55" s="231"/>
      <c r="F55" s="231"/>
      <c r="G55" s="231"/>
      <c r="H55" s="231"/>
      <c r="I55" s="231"/>
      <c r="P55" t="str">
        <f>N22</f>
        <v>Fuel Oil</v>
      </c>
      <c r="Q55" s="231">
        <f>SUM(Q22:Q23)</f>
        <v>0</v>
      </c>
      <c r="R55" s="231">
        <f t="shared" ref="R55:W55" si="21">SUM(R22:R23)</f>
        <v>0</v>
      </c>
      <c r="S55" s="231">
        <f t="shared" si="21"/>
        <v>0</v>
      </c>
      <c r="T55" s="231">
        <f t="shared" si="21"/>
        <v>0</v>
      </c>
      <c r="U55" s="231">
        <f t="shared" si="21"/>
        <v>0</v>
      </c>
      <c r="V55" s="231">
        <f t="shared" si="21"/>
        <v>0</v>
      </c>
      <c r="W55" s="231">
        <f t="shared" si="21"/>
        <v>0</v>
      </c>
      <c r="X55" s="245">
        <f t="shared" si="13"/>
        <v>0</v>
      </c>
    </row>
    <row r="56" spans="3:24">
      <c r="C56" s="231"/>
      <c r="D56" s="231"/>
      <c r="E56" s="231"/>
      <c r="F56" s="231"/>
      <c r="G56" s="231"/>
      <c r="H56" s="231"/>
      <c r="I56" s="231"/>
      <c r="P56" t="s">
        <v>254</v>
      </c>
      <c r="Q56" s="231">
        <f>Q24</f>
        <v>25679.38427410198</v>
      </c>
      <c r="R56" s="231">
        <f t="shared" ref="R56:W56" si="22">R24</f>
        <v>26901.722965549234</v>
      </c>
      <c r="S56" s="231">
        <f t="shared" si="22"/>
        <v>28000.800612480794</v>
      </c>
      <c r="T56" s="231">
        <f t="shared" si="22"/>
        <v>28195.963932963972</v>
      </c>
      <c r="U56" s="231">
        <f t="shared" si="22"/>
        <v>28819.972970824656</v>
      </c>
      <c r="V56" s="231">
        <f t="shared" si="22"/>
        <v>29336.128594734106</v>
      </c>
      <c r="W56" s="231">
        <f t="shared" si="22"/>
        <v>29788.085757958295</v>
      </c>
      <c r="X56" s="245">
        <f t="shared" si="13"/>
        <v>4.8302375849021445E-2</v>
      </c>
    </row>
    <row r="57" spans="3:24">
      <c r="C57" s="231"/>
      <c r="D57" s="231"/>
      <c r="E57" s="231"/>
      <c r="F57" s="231"/>
      <c r="G57" s="231"/>
      <c r="H57" s="231"/>
      <c r="I57" s="231"/>
      <c r="P57" t="s">
        <v>256</v>
      </c>
      <c r="Q57" s="231">
        <f>Q25</f>
        <v>59047.790974433963</v>
      </c>
      <c r="R57" s="231">
        <f t="shared" ref="R57:W58" si="23">R25</f>
        <v>65947.22143133558</v>
      </c>
      <c r="S57" s="231">
        <f t="shared" si="23"/>
        <v>64410.863876810421</v>
      </c>
      <c r="T57" s="231">
        <f t="shared" si="23"/>
        <v>62057.174412755296</v>
      </c>
      <c r="U57" s="231">
        <f t="shared" si="23"/>
        <v>59703.484948700192</v>
      </c>
      <c r="V57" s="231">
        <f t="shared" si="23"/>
        <v>57351.110283375012</v>
      </c>
      <c r="W57" s="231">
        <f t="shared" si="23"/>
        <v>53888.912516436241</v>
      </c>
      <c r="X57" s="245">
        <f t="shared" si="13"/>
        <v>8.738267130067337E-2</v>
      </c>
    </row>
    <row r="58" spans="3:24">
      <c r="C58" s="231"/>
      <c r="D58" s="231"/>
      <c r="E58" s="231"/>
      <c r="F58" s="231"/>
      <c r="G58" s="231"/>
      <c r="H58" s="231"/>
      <c r="I58" s="231"/>
      <c r="P58" t="s">
        <v>259</v>
      </c>
      <c r="Q58" s="231">
        <f>Q26</f>
        <v>18388.706297712069</v>
      </c>
      <c r="R58" s="231">
        <f t="shared" si="23"/>
        <v>18019.69799073381</v>
      </c>
      <c r="S58" s="231">
        <f t="shared" si="23"/>
        <v>17571.812302529939</v>
      </c>
      <c r="T58" s="231">
        <f t="shared" si="23"/>
        <v>16861.152434608714</v>
      </c>
      <c r="U58" s="231">
        <f t="shared" si="23"/>
        <v>16134.366781561512</v>
      </c>
      <c r="V58" s="231">
        <f t="shared" si="23"/>
        <v>15400.657500788155</v>
      </c>
      <c r="W58" s="231">
        <f t="shared" si="23"/>
        <v>14387.977232255917</v>
      </c>
      <c r="X58" s="245">
        <f t="shared" si="13"/>
        <v>2.3330585577957686E-2</v>
      </c>
    </row>
    <row r="59" spans="3:24">
      <c r="C59" s="231"/>
      <c r="D59" s="231"/>
      <c r="E59" s="231"/>
      <c r="F59" s="231"/>
      <c r="G59" s="231"/>
      <c r="H59" s="231"/>
      <c r="I59" s="231"/>
      <c r="P59" t="s">
        <v>265</v>
      </c>
      <c r="Q59" s="231">
        <f>Q31</f>
        <v>-77134.100000000006</v>
      </c>
      <c r="R59" s="231">
        <f t="shared" ref="R59:W59" si="24">R31</f>
        <v>-80693.305000000008</v>
      </c>
      <c r="S59" s="231">
        <f t="shared" si="24"/>
        <v>-84252.510000000009</v>
      </c>
      <c r="T59" s="231">
        <f t="shared" si="24"/>
        <v>-91370.919999999984</v>
      </c>
      <c r="U59" s="231">
        <f t="shared" si="24"/>
        <v>-98489.33</v>
      </c>
      <c r="V59" s="231">
        <f t="shared" si="24"/>
        <v>-105607.73999999999</v>
      </c>
      <c r="W59" s="231">
        <f t="shared" si="24"/>
        <v>-111576.253</v>
      </c>
      <c r="X59" s="43" t="s">
        <v>273</v>
      </c>
    </row>
    <row r="60" spans="3:24">
      <c r="C60" s="231"/>
      <c r="D60" s="231"/>
      <c r="E60" s="231"/>
      <c r="F60" s="231"/>
      <c r="G60" s="231"/>
      <c r="H60" s="231"/>
      <c r="I60" s="231"/>
    </row>
    <row r="61" spans="3:24">
      <c r="C61" s="231"/>
      <c r="D61" s="231"/>
      <c r="E61" s="231"/>
      <c r="F61" s="231"/>
      <c r="G61" s="231"/>
      <c r="H61" s="231"/>
      <c r="I61" s="231"/>
    </row>
    <row r="62" spans="3:24">
      <c r="C62" s="231"/>
      <c r="D62" s="231"/>
      <c r="E62" s="231"/>
      <c r="F62" s="231"/>
      <c r="G62" s="231"/>
      <c r="H62" s="231"/>
      <c r="I62" s="231"/>
      <c r="P62" t="str">
        <f>'Baseline Statistics'!A4</f>
        <v>Baseline years and targets</v>
      </c>
      <c r="Q62">
        <f>'Baseline Statistics'!D4</f>
        <v>2022</v>
      </c>
      <c r="R62">
        <f>'Baseline Statistics'!E4</f>
        <v>2025</v>
      </c>
      <c r="S62">
        <f>'Baseline Statistics'!F4</f>
        <v>2030</v>
      </c>
      <c r="T62">
        <f>'Baseline Statistics'!G4</f>
        <v>2035</v>
      </c>
      <c r="U62">
        <f>'Baseline Statistics'!H4</f>
        <v>2040</v>
      </c>
      <c r="V62">
        <f>'Baseline Statistics'!I4</f>
        <v>2045</v>
      </c>
      <c r="W62">
        <f>'Baseline Statistics'!J4</f>
        <v>2051</v>
      </c>
    </row>
    <row r="63" spans="3:24">
      <c r="C63" s="231"/>
      <c r="D63" s="231"/>
      <c r="E63" s="231"/>
      <c r="F63" s="231"/>
      <c r="G63" s="231"/>
      <c r="H63" s="231"/>
      <c r="I63" s="231"/>
      <c r="P63" t="str">
        <f>'Baseline Statistics'!A5</f>
        <v>Emission reduction target (net carbon) (% below baseline)</v>
      </c>
      <c r="Q63" s="231">
        <f>'Baseline Statistics'!D5</f>
        <v>0</v>
      </c>
      <c r="R63" s="231">
        <f>'Baseline Statistics'!E5</f>
        <v>20</v>
      </c>
      <c r="S63" s="231">
        <f>'Baseline Statistics'!F5</f>
        <v>40</v>
      </c>
      <c r="T63" s="231">
        <f>'Baseline Statistics'!G5</f>
        <v>50</v>
      </c>
      <c r="U63" s="231">
        <f>'Baseline Statistics'!H5</f>
        <v>80</v>
      </c>
      <c r="V63" s="231">
        <f>'Baseline Statistics'!I5</f>
        <v>100</v>
      </c>
      <c r="W63" s="231">
        <f>'Baseline Statistics'!J5</f>
        <v>100</v>
      </c>
    </row>
    <row r="64" spans="3:24">
      <c r="C64" s="231"/>
      <c r="D64" s="231"/>
      <c r="E64" s="231"/>
      <c r="F64" s="231"/>
      <c r="G64" s="231"/>
      <c r="H64" s="231"/>
      <c r="I64" s="231"/>
      <c r="P64" t="str">
        <f>'Baseline Statistics'!A6</f>
        <v>Emission reduction target (net carbon) (net t CO2e)</v>
      </c>
      <c r="Q64" s="231">
        <f>'Baseline Statistics'!D6</f>
        <v>426923</v>
      </c>
      <c r="R64" s="231">
        <f>'Baseline Statistics'!E6</f>
        <v>341538.4</v>
      </c>
      <c r="S64" s="231">
        <f>'Baseline Statistics'!F6</f>
        <v>256153.8</v>
      </c>
      <c r="T64" s="231">
        <f>'Baseline Statistics'!G6</f>
        <v>213461.5</v>
      </c>
      <c r="U64" s="231">
        <f>'Baseline Statistics'!H6</f>
        <v>85384.6</v>
      </c>
      <c r="V64" s="231">
        <f>'Baseline Statistics'!I6</f>
        <v>0</v>
      </c>
      <c r="W64" s="231">
        <f>'Baseline Statistics'!J6</f>
        <v>0</v>
      </c>
    </row>
    <row r="65" spans="3:23">
      <c r="C65" s="231"/>
      <c r="D65" s="231"/>
      <c r="E65" s="231"/>
      <c r="F65" s="231"/>
      <c r="G65" s="231"/>
      <c r="H65" s="231"/>
      <c r="I65" s="231"/>
      <c r="P65" t="str">
        <f>'Baseline Statistics'!A7</f>
        <v>Emission reduction target (gross carbon) (% below baseline)</v>
      </c>
      <c r="Q65">
        <f>'Baseline Statistics'!D7</f>
        <v>0</v>
      </c>
      <c r="R65">
        <f>'Baseline Statistics'!E7</f>
        <v>10</v>
      </c>
      <c r="S65">
        <f>'Baseline Statistics'!F7</f>
        <v>20</v>
      </c>
      <c r="T65">
        <f>'Baseline Statistics'!G7</f>
        <v>40</v>
      </c>
      <c r="U65">
        <f>'Baseline Statistics'!H7</f>
        <v>50</v>
      </c>
      <c r="V65">
        <f>'Baseline Statistics'!I7</f>
        <v>61</v>
      </c>
      <c r="W65">
        <f>'Baseline Statistics'!J7</f>
        <v>80</v>
      </c>
    </row>
    <row r="66" spans="3:23">
      <c r="C66" s="231"/>
      <c r="D66" s="231"/>
      <c r="E66" s="231"/>
      <c r="F66" s="231"/>
      <c r="G66" s="231"/>
      <c r="H66" s="231"/>
      <c r="I66" s="231"/>
      <c r="P66" t="str">
        <f>'Baseline Statistics'!A8</f>
        <v>Emission reduction target (gross carbon) (gross t CO2e)</v>
      </c>
      <c r="Q66">
        <f>'Baseline Statistics'!D8</f>
        <v>502530</v>
      </c>
      <c r="R66">
        <f>'Baseline Statistics'!E8</f>
        <v>452277</v>
      </c>
      <c r="S66">
        <f>'Baseline Statistics'!F8</f>
        <v>402024</v>
      </c>
      <c r="T66">
        <f>'Baseline Statistics'!G8</f>
        <v>301518</v>
      </c>
      <c r="U66">
        <f>'Baseline Statistics'!H8</f>
        <v>251265</v>
      </c>
      <c r="V66">
        <f>'Baseline Statistics'!I8</f>
        <v>195986.7</v>
      </c>
      <c r="W66">
        <f>'Baseline Statistics'!J8</f>
        <v>100506</v>
      </c>
    </row>
    <row r="67" spans="3:23">
      <c r="C67" s="231"/>
      <c r="D67" s="231"/>
      <c r="E67" s="231"/>
      <c r="F67" s="231"/>
      <c r="G67" s="231"/>
      <c r="H67" s="231"/>
      <c r="I67" s="231"/>
      <c r="P67" t="str">
        <f>'Baseline Statistics'!A9</f>
        <v>Offsett required (t CO2e)</v>
      </c>
      <c r="Q67">
        <f>'Baseline Statistics'!D9</f>
        <v>75607</v>
      </c>
      <c r="R67">
        <f>'Baseline Statistics'!E9</f>
        <v>110738.59999999998</v>
      </c>
      <c r="S67">
        <f>'Baseline Statistics'!F9</f>
        <v>145870.20000000001</v>
      </c>
      <c r="T67">
        <f>'Baseline Statistics'!G9</f>
        <v>88056.5</v>
      </c>
      <c r="U67">
        <f>'Baseline Statistics'!H9</f>
        <v>165880.4</v>
      </c>
      <c r="V67">
        <f>'Baseline Statistics'!I9</f>
        <v>195986.7</v>
      </c>
      <c r="W67">
        <f>'Baseline Statistics'!J9</f>
        <v>100506</v>
      </c>
    </row>
    <row r="68" spans="3:23">
      <c r="D68" s="231"/>
      <c r="E68" s="231"/>
      <c r="F68" s="231"/>
      <c r="G68" s="231"/>
      <c r="H68" s="231"/>
      <c r="I68" s="231"/>
      <c r="P68" t="str">
        <f>'Baseline Statistics'!A10</f>
        <v>Emissoin reduction target (methane - gross % reduction)</v>
      </c>
      <c r="Q68">
        <f>'Baseline Statistics'!D10</f>
        <v>0</v>
      </c>
      <c r="R68">
        <f>'Baseline Statistics'!E10</f>
        <v>0</v>
      </c>
      <c r="S68">
        <f>'Baseline Statistics'!F10</f>
        <v>2</v>
      </c>
      <c r="T68">
        <f>'Baseline Statistics'!G10</f>
        <v>5</v>
      </c>
      <c r="U68">
        <f>'Baseline Statistics'!H10</f>
        <v>8</v>
      </c>
      <c r="V68">
        <f>'Baseline Statistics'!I10</f>
        <v>10</v>
      </c>
      <c r="W68">
        <f>'Baseline Statistics'!J10</f>
        <v>15</v>
      </c>
    </row>
    <row r="69" spans="3:23">
      <c r="D69" s="231"/>
      <c r="E69" s="231"/>
      <c r="F69" s="231"/>
      <c r="G69" s="231"/>
      <c r="H69" s="231"/>
      <c r="I69" s="231"/>
      <c r="P69" t="str">
        <f>'Baseline Statistics'!A11</f>
        <v>Emission reduction target (methane t CO2e)</v>
      </c>
      <c r="Q69">
        <f>'Baseline Statistics'!D11</f>
        <v>599051</v>
      </c>
      <c r="R69">
        <f>'Baseline Statistics'!E11</f>
        <v>599051</v>
      </c>
      <c r="S69">
        <f>'Baseline Statistics'!F11</f>
        <v>587069.98</v>
      </c>
      <c r="T69">
        <f>'Baseline Statistics'!G11</f>
        <v>569098.44999999995</v>
      </c>
      <c r="U69">
        <f>'Baseline Statistics'!H11</f>
        <v>551126.92000000004</v>
      </c>
      <c r="V69">
        <f>'Baseline Statistics'!I11</f>
        <v>539145.9</v>
      </c>
      <c r="W69">
        <f>'Baseline Statistics'!J11</f>
        <v>509193.35</v>
      </c>
    </row>
    <row r="70" spans="3:23">
      <c r="C70" s="231"/>
      <c r="D70" s="231"/>
      <c r="E70" s="231"/>
      <c r="F70" s="231"/>
      <c r="G70" s="231"/>
      <c r="H70" s="231"/>
      <c r="I70" s="231"/>
    </row>
    <row r="71" spans="3:23">
      <c r="C71" s="231"/>
      <c r="D71" s="231"/>
      <c r="E71" s="231"/>
      <c r="F71" s="231"/>
      <c r="G71" s="231"/>
      <c r="H71" s="231"/>
      <c r="I71" s="231"/>
    </row>
    <row r="72" spans="3:23">
      <c r="C72" s="231"/>
      <c r="D72" s="231"/>
      <c r="E72" s="231"/>
      <c r="F72" s="231"/>
      <c r="G72" s="231"/>
      <c r="H72" s="231"/>
      <c r="I72" s="231"/>
    </row>
    <row r="73" spans="3:23">
      <c r="C73" s="231"/>
      <c r="D73" s="231"/>
      <c r="E73" s="231"/>
      <c r="F73" s="231"/>
      <c r="G73" s="231"/>
      <c r="H73" s="231"/>
      <c r="I73" s="231"/>
    </row>
    <row r="74" spans="3:23">
      <c r="C74" s="231"/>
      <c r="D74" s="231"/>
      <c r="E74" s="231"/>
      <c r="F74" s="231"/>
      <c r="G74" s="231"/>
      <c r="H74" s="231"/>
      <c r="I74" s="231"/>
    </row>
    <row r="75" spans="3:23">
      <c r="C75" s="231"/>
      <c r="D75" s="231"/>
      <c r="E75" s="231"/>
      <c r="F75" s="231"/>
      <c r="G75" s="231"/>
      <c r="H75" s="231"/>
      <c r="I75" s="231"/>
    </row>
    <row r="76" spans="3:23">
      <c r="C76" s="231"/>
      <c r="D76" s="231"/>
      <c r="E76" s="231"/>
      <c r="F76" s="231"/>
      <c r="G76" s="231"/>
      <c r="H76" s="231"/>
      <c r="I76" s="231"/>
    </row>
    <row r="77" spans="3:23">
      <c r="C77" s="231"/>
      <c r="D77" s="231"/>
      <c r="E77" s="231"/>
      <c r="F77" s="231"/>
      <c r="G77" s="231"/>
      <c r="H77" s="231"/>
      <c r="I77" s="231"/>
    </row>
    <row r="78" spans="3:23">
      <c r="C78" s="231"/>
      <c r="D78" s="231"/>
      <c r="E78" s="231"/>
      <c r="F78" s="231"/>
      <c r="G78" s="231"/>
      <c r="H78" s="231"/>
      <c r="I78" s="231"/>
    </row>
    <row r="79" spans="3:23">
      <c r="C79" s="231"/>
      <c r="D79" s="231"/>
      <c r="E79" s="231"/>
      <c r="F79" s="231"/>
      <c r="G79" s="231"/>
      <c r="H79" s="231"/>
      <c r="I79" s="231"/>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48DF9-7621-46EB-AEBF-60B87E9BC84A}">
  <sheetPr codeName="Sheet5">
    <tabColor theme="9" tint="0.59999389629810485"/>
  </sheetPr>
  <dimension ref="A2:R77"/>
  <sheetViews>
    <sheetView workbookViewId="0">
      <selection activeCell="K15" sqref="K15"/>
    </sheetView>
  </sheetViews>
  <sheetFormatPr defaultRowHeight="15"/>
  <cols>
    <col min="2" max="2" width="21.7109375" customWidth="1"/>
    <col min="3" max="3" width="20.140625" customWidth="1"/>
    <col min="17" max="17" width="11" customWidth="1"/>
  </cols>
  <sheetData>
    <row r="2" spans="1:18">
      <c r="B2" s="599" t="s">
        <v>275</v>
      </c>
      <c r="C2" s="601">
        <f>D9</f>
        <v>2022</v>
      </c>
      <c r="D2" s="603" t="s">
        <v>202</v>
      </c>
    </row>
    <row r="3" spans="1:18">
      <c r="B3" s="600"/>
      <c r="C3" s="602"/>
      <c r="D3" s="604"/>
    </row>
    <row r="4" spans="1:18">
      <c r="B4" s="600"/>
      <c r="C4" s="602"/>
      <c r="D4" s="604"/>
    </row>
    <row r="5" spans="1:18">
      <c r="B5" t="s">
        <v>262</v>
      </c>
      <c r="C5" s="231">
        <f>'Baseline Usage'!D11</f>
        <v>2721</v>
      </c>
      <c r="D5" t="s">
        <v>264</v>
      </c>
    </row>
    <row r="6" spans="1:18">
      <c r="B6" t="s">
        <v>266</v>
      </c>
      <c r="C6" s="231">
        <f>'Baseline Usage'!D12</f>
        <v>3721</v>
      </c>
      <c r="D6" t="s">
        <v>264</v>
      </c>
      <c r="L6" t="s">
        <v>276</v>
      </c>
      <c r="M6">
        <v>3.8</v>
      </c>
      <c r="N6">
        <f t="shared" ref="N6:N7" si="0">M6/SUM(M$6:M$8)</f>
        <v>6.2091503267973858E-2</v>
      </c>
    </row>
    <row r="7" spans="1:18" ht="15.75" thickBot="1">
      <c r="C7" s="231"/>
      <c r="L7" t="s">
        <v>277</v>
      </c>
      <c r="M7">
        <v>13.1</v>
      </c>
      <c r="N7">
        <f t="shared" si="0"/>
        <v>0.21405228758169936</v>
      </c>
      <c r="O7">
        <v>28</v>
      </c>
    </row>
    <row r="8" spans="1:18">
      <c r="A8" s="339">
        <v>1</v>
      </c>
      <c r="B8" s="322"/>
      <c r="C8" s="323"/>
      <c r="D8" s="596" t="s">
        <v>278</v>
      </c>
      <c r="E8" s="597"/>
      <c r="F8" s="597"/>
      <c r="G8" s="597"/>
      <c r="H8" s="597"/>
      <c r="I8" s="597"/>
      <c r="J8" s="598"/>
      <c r="L8" t="s">
        <v>279</v>
      </c>
      <c r="M8">
        <v>44.3</v>
      </c>
      <c r="N8">
        <f>M8/SUM(M$6:M$8)</f>
        <v>0.72385620915032678</v>
      </c>
      <c r="O8">
        <v>72</v>
      </c>
    </row>
    <row r="9" spans="1:18">
      <c r="B9" s="127" t="s">
        <v>17</v>
      </c>
      <c r="C9" s="213" t="s">
        <v>280</v>
      </c>
      <c r="D9" s="213">
        <f>'Baseline Statistics'!D4</f>
        <v>2022</v>
      </c>
      <c r="E9" s="213">
        <f>'Baseline Statistics'!E4</f>
        <v>2025</v>
      </c>
      <c r="F9" s="213">
        <f>'Baseline Statistics'!F4</f>
        <v>2030</v>
      </c>
      <c r="G9" s="213">
        <f>'Baseline Statistics'!G4</f>
        <v>2035</v>
      </c>
      <c r="H9" s="213">
        <f>'Baseline Statistics'!H4</f>
        <v>2040</v>
      </c>
      <c r="I9" s="213">
        <f>'Baseline Statistics'!I4</f>
        <v>2045</v>
      </c>
      <c r="J9" s="104">
        <f>'Baseline Statistics'!J4</f>
        <v>2051</v>
      </c>
    </row>
    <row r="10" spans="1:18">
      <c r="B10" s="605" t="s">
        <v>18</v>
      </c>
      <c r="C10" s="138" t="s">
        <v>281</v>
      </c>
      <c r="D10" s="327">
        <f>_xlfn.IFS($A$8=1,D14,$A$8=2,D18,$A$8=3,D22,$A$8=4,D26)</f>
        <v>73</v>
      </c>
      <c r="E10" s="327">
        <f t="shared" ref="E10:J10" si="1">_xlfn.IFS($A$8=1,E14,$A$8=2,E18,$A$8=3,E22,$A$8=4,E26)</f>
        <v>73</v>
      </c>
      <c r="F10" s="327">
        <f t="shared" si="1"/>
        <v>73</v>
      </c>
      <c r="G10" s="327">
        <f t="shared" si="1"/>
        <v>73</v>
      </c>
      <c r="H10" s="327">
        <f t="shared" si="1"/>
        <v>73</v>
      </c>
      <c r="I10" s="327">
        <f t="shared" si="1"/>
        <v>73</v>
      </c>
      <c r="J10" s="328">
        <f t="shared" si="1"/>
        <v>73</v>
      </c>
    </row>
    <row r="11" spans="1:18">
      <c r="B11" s="606"/>
      <c r="C11" s="56" t="s">
        <v>282</v>
      </c>
      <c r="D11" s="327">
        <f t="shared" ref="D11:J11" si="2">_xlfn.IFS($A$8=1,D15,$A$8=2,D19,$A$8=3,D23,$A$8=4,D27)</f>
        <v>0</v>
      </c>
      <c r="E11" s="327">
        <f t="shared" si="2"/>
        <v>0</v>
      </c>
      <c r="F11" s="327">
        <f t="shared" si="2"/>
        <v>0</v>
      </c>
      <c r="G11" s="327">
        <f t="shared" si="2"/>
        <v>0</v>
      </c>
      <c r="H11" s="327">
        <f t="shared" si="2"/>
        <v>0</v>
      </c>
      <c r="I11" s="327">
        <f t="shared" si="2"/>
        <v>0</v>
      </c>
      <c r="J11" s="328">
        <f t="shared" si="2"/>
        <v>0</v>
      </c>
      <c r="Q11" t="s">
        <v>940</v>
      </c>
      <c r="R11" t="s">
        <v>941</v>
      </c>
    </row>
    <row r="12" spans="1:18">
      <c r="B12" s="606"/>
      <c r="C12" s="56" t="s">
        <v>283</v>
      </c>
      <c r="D12" s="327">
        <f t="shared" ref="D12:J12" si="3">_xlfn.IFS($A$8=1,D16,$A$8=2,D20,$A$8=3,D24,$A$8=4,D28)</f>
        <v>11</v>
      </c>
      <c r="E12" s="327">
        <f t="shared" si="3"/>
        <v>11</v>
      </c>
      <c r="F12" s="327">
        <f t="shared" si="3"/>
        <v>11</v>
      </c>
      <c r="G12" s="327">
        <f t="shared" si="3"/>
        <v>11</v>
      </c>
      <c r="H12" s="327">
        <f t="shared" si="3"/>
        <v>11</v>
      </c>
      <c r="I12" s="327">
        <f t="shared" si="3"/>
        <v>11</v>
      </c>
      <c r="J12" s="328">
        <f t="shared" si="3"/>
        <v>11</v>
      </c>
      <c r="P12" t="s">
        <v>473</v>
      </c>
      <c r="Q12">
        <v>82</v>
      </c>
      <c r="R12">
        <f>Q12/SUM(Q$12:Q$14)</f>
        <v>0.1080368906455863</v>
      </c>
    </row>
    <row r="13" spans="1:18" ht="15.75" thickBot="1">
      <c r="B13" s="607"/>
      <c r="C13" s="331" t="s">
        <v>284</v>
      </c>
      <c r="D13" s="329">
        <f t="shared" ref="D13:J13" si="4">_xlfn.IFS($A$8=1,D17,$A$8=2,D21,$A$8=3,D25,$A$8=4,D29)</f>
        <v>16</v>
      </c>
      <c r="E13" s="329">
        <f t="shared" si="4"/>
        <v>16</v>
      </c>
      <c r="F13" s="329">
        <f t="shared" si="4"/>
        <v>16</v>
      </c>
      <c r="G13" s="329">
        <f t="shared" si="4"/>
        <v>16</v>
      </c>
      <c r="H13" s="329">
        <f t="shared" si="4"/>
        <v>16</v>
      </c>
      <c r="I13" s="329">
        <f t="shared" si="4"/>
        <v>16</v>
      </c>
      <c r="J13" s="330">
        <f t="shared" si="4"/>
        <v>16</v>
      </c>
      <c r="P13" t="s">
        <v>938</v>
      </c>
      <c r="Q13">
        <v>557</v>
      </c>
      <c r="R13">
        <f t="shared" ref="R13:R14" si="5">Q13/SUM(Q$12:Q$14)</f>
        <v>0.73386034255599475</v>
      </c>
    </row>
    <row r="14" spans="1:18">
      <c r="B14" s="608">
        <v>1</v>
      </c>
      <c r="C14" s="332" t="s">
        <v>281</v>
      </c>
      <c r="D14" s="59">
        <v>73</v>
      </c>
      <c r="E14" s="60">
        <v>73</v>
      </c>
      <c r="F14" s="60">
        <v>73</v>
      </c>
      <c r="G14" s="60">
        <v>73</v>
      </c>
      <c r="H14" s="60">
        <v>73</v>
      </c>
      <c r="I14" s="60">
        <v>73</v>
      </c>
      <c r="J14" s="326">
        <v>73</v>
      </c>
      <c r="K14" t="s">
        <v>945</v>
      </c>
      <c r="P14" t="s">
        <v>939</v>
      </c>
      <c r="Q14">
        <v>120</v>
      </c>
      <c r="R14">
        <f t="shared" si="5"/>
        <v>0.15810276679841898</v>
      </c>
    </row>
    <row r="15" spans="1:18">
      <c r="B15" s="608"/>
      <c r="C15" s="56" t="s">
        <v>282</v>
      </c>
      <c r="D15" s="55">
        <v>0</v>
      </c>
      <c r="E15" s="55">
        <v>0</v>
      </c>
      <c r="F15" s="55">
        <v>0</v>
      </c>
      <c r="G15" s="55">
        <v>0</v>
      </c>
      <c r="H15" s="55">
        <v>0</v>
      </c>
      <c r="I15" s="55">
        <v>0</v>
      </c>
      <c r="J15" s="324">
        <v>0</v>
      </c>
    </row>
    <row r="16" spans="1:18">
      <c r="B16" s="608"/>
      <c r="C16" s="56" t="s">
        <v>283</v>
      </c>
      <c r="D16" s="55">
        <v>11</v>
      </c>
      <c r="E16" s="55">
        <v>11</v>
      </c>
      <c r="F16" s="55">
        <v>11</v>
      </c>
      <c r="G16" s="55">
        <v>11</v>
      </c>
      <c r="H16" s="55">
        <v>11</v>
      </c>
      <c r="I16" s="55">
        <v>11</v>
      </c>
      <c r="J16" s="324">
        <v>11</v>
      </c>
    </row>
    <row r="17" spans="1:11" ht="15.75" thickBot="1">
      <c r="B17" s="609"/>
      <c r="C17" s="331" t="s">
        <v>284</v>
      </c>
      <c r="D17" s="57">
        <v>16</v>
      </c>
      <c r="E17" s="57">
        <v>16</v>
      </c>
      <c r="F17" s="57">
        <v>16</v>
      </c>
      <c r="G17" s="57">
        <v>16</v>
      </c>
      <c r="H17" s="57">
        <v>16</v>
      </c>
      <c r="I17" s="57">
        <v>16</v>
      </c>
      <c r="J17" s="325">
        <v>16</v>
      </c>
    </row>
    <row r="18" spans="1:11">
      <c r="B18" s="610">
        <v>2</v>
      </c>
      <c r="C18" s="333" t="s">
        <v>281</v>
      </c>
      <c r="D18" s="59">
        <v>73</v>
      </c>
      <c r="E18" s="60">
        <v>73</v>
      </c>
      <c r="F18" s="60">
        <v>73</v>
      </c>
      <c r="G18" s="60">
        <v>73</v>
      </c>
      <c r="H18" s="60">
        <v>73</v>
      </c>
      <c r="I18" s="60">
        <v>73</v>
      </c>
      <c r="J18" s="326">
        <v>60</v>
      </c>
      <c r="K18" t="s">
        <v>285</v>
      </c>
    </row>
    <row r="19" spans="1:11">
      <c r="B19" s="608"/>
      <c r="C19" s="56" t="s">
        <v>282</v>
      </c>
      <c r="D19" s="55">
        <v>0</v>
      </c>
      <c r="E19" s="55">
        <v>0</v>
      </c>
      <c r="F19" s="55">
        <v>0</v>
      </c>
      <c r="G19" s="55">
        <v>0</v>
      </c>
      <c r="H19" s="55">
        <v>0</v>
      </c>
      <c r="I19" s="55">
        <v>0</v>
      </c>
      <c r="J19" s="324">
        <v>0</v>
      </c>
    </row>
    <row r="20" spans="1:11">
      <c r="B20" s="608"/>
      <c r="C20" s="56" t="s">
        <v>283</v>
      </c>
      <c r="D20" s="55">
        <v>11</v>
      </c>
      <c r="E20" s="55">
        <v>11</v>
      </c>
      <c r="F20" s="55">
        <v>11</v>
      </c>
      <c r="G20" s="55">
        <v>11</v>
      </c>
      <c r="H20" s="55">
        <v>11</v>
      </c>
      <c r="I20" s="55">
        <v>11</v>
      </c>
      <c r="J20" s="324">
        <v>11</v>
      </c>
    </row>
    <row r="21" spans="1:11" ht="15.75" thickBot="1">
      <c r="B21" s="609"/>
      <c r="C21" s="331" t="s">
        <v>284</v>
      </c>
      <c r="D21" s="57">
        <v>16</v>
      </c>
      <c r="E21" s="57">
        <v>16</v>
      </c>
      <c r="F21" s="57">
        <v>16</v>
      </c>
      <c r="G21" s="57">
        <v>16</v>
      </c>
      <c r="H21" s="57">
        <v>16</v>
      </c>
      <c r="I21" s="57">
        <v>16</v>
      </c>
      <c r="J21" s="325">
        <v>29</v>
      </c>
    </row>
    <row r="22" spans="1:11">
      <c r="B22" s="610">
        <v>3</v>
      </c>
      <c r="C22" s="333" t="s">
        <v>281</v>
      </c>
      <c r="D22" s="59">
        <v>73</v>
      </c>
      <c r="E22" s="60">
        <v>73</v>
      </c>
      <c r="F22" s="60">
        <v>73</v>
      </c>
      <c r="G22" s="60">
        <v>73</v>
      </c>
      <c r="H22" s="60">
        <v>73</v>
      </c>
      <c r="I22" s="60">
        <v>73</v>
      </c>
      <c r="J22" s="326">
        <v>73</v>
      </c>
      <c r="K22" t="s">
        <v>286</v>
      </c>
    </row>
    <row r="23" spans="1:11">
      <c r="B23" s="608"/>
      <c r="C23" s="56" t="s">
        <v>282</v>
      </c>
      <c r="D23" s="55">
        <v>0</v>
      </c>
      <c r="E23" s="55">
        <v>0</v>
      </c>
      <c r="F23" s="55">
        <v>0</v>
      </c>
      <c r="G23" s="55">
        <v>0</v>
      </c>
      <c r="H23" s="55">
        <v>0</v>
      </c>
      <c r="I23" s="55">
        <v>0</v>
      </c>
      <c r="J23" s="324">
        <v>0</v>
      </c>
    </row>
    <row r="24" spans="1:11">
      <c r="B24" s="608"/>
      <c r="C24" s="56" t="s">
        <v>283</v>
      </c>
      <c r="D24" s="55">
        <v>11</v>
      </c>
      <c r="E24" s="55">
        <v>11</v>
      </c>
      <c r="F24" s="55">
        <v>11</v>
      </c>
      <c r="G24" s="55">
        <v>11</v>
      </c>
      <c r="H24" s="55">
        <v>11</v>
      </c>
      <c r="I24" s="55">
        <v>11</v>
      </c>
      <c r="J24" s="324">
        <v>11</v>
      </c>
    </row>
    <row r="25" spans="1:11" ht="15.75" thickBot="1">
      <c r="B25" s="609"/>
      <c r="C25" s="331" t="s">
        <v>284</v>
      </c>
      <c r="D25" s="57">
        <v>16</v>
      </c>
      <c r="E25" s="57">
        <v>16</v>
      </c>
      <c r="F25" s="57">
        <v>16</v>
      </c>
      <c r="G25" s="57">
        <v>16</v>
      </c>
      <c r="H25" s="57">
        <v>16</v>
      </c>
      <c r="I25" s="57">
        <v>16</v>
      </c>
      <c r="J25" s="325">
        <v>16</v>
      </c>
    </row>
    <row r="26" spans="1:11">
      <c r="B26" s="610">
        <v>4</v>
      </c>
      <c r="C26" s="332" t="s">
        <v>281</v>
      </c>
      <c r="D26" s="59">
        <v>73</v>
      </c>
      <c r="E26" s="60">
        <v>73</v>
      </c>
      <c r="F26" s="60">
        <v>73</v>
      </c>
      <c r="G26" s="60">
        <v>73</v>
      </c>
      <c r="H26" s="60">
        <v>73</v>
      </c>
      <c r="I26" s="60">
        <v>73</v>
      </c>
      <c r="J26" s="326">
        <v>73</v>
      </c>
      <c r="K26" t="s">
        <v>287</v>
      </c>
    </row>
    <row r="27" spans="1:11">
      <c r="B27" s="608"/>
      <c r="C27" s="56" t="s">
        <v>282</v>
      </c>
      <c r="D27" s="55">
        <v>0</v>
      </c>
      <c r="E27" s="55">
        <v>0</v>
      </c>
      <c r="F27" s="55">
        <v>0</v>
      </c>
      <c r="G27" s="55">
        <v>0</v>
      </c>
      <c r="H27" s="55">
        <v>0</v>
      </c>
      <c r="I27" s="55">
        <v>0</v>
      </c>
      <c r="J27" s="324">
        <v>0</v>
      </c>
    </row>
    <row r="28" spans="1:11">
      <c r="B28" s="608"/>
      <c r="C28" s="56" t="s">
        <v>283</v>
      </c>
      <c r="D28" s="55">
        <v>11</v>
      </c>
      <c r="E28" s="55">
        <v>11</v>
      </c>
      <c r="F28" s="55">
        <v>11</v>
      </c>
      <c r="G28" s="55">
        <v>11</v>
      </c>
      <c r="H28" s="55">
        <v>11</v>
      </c>
      <c r="I28" s="55">
        <v>11</v>
      </c>
      <c r="J28" s="324">
        <v>11</v>
      </c>
    </row>
    <row r="29" spans="1:11" ht="15.75" thickBot="1">
      <c r="B29" s="609"/>
      <c r="C29" s="331" t="s">
        <v>284</v>
      </c>
      <c r="D29" s="57">
        <v>16</v>
      </c>
      <c r="E29" s="57">
        <v>16</v>
      </c>
      <c r="F29" s="57">
        <v>16</v>
      </c>
      <c r="G29" s="57">
        <v>16</v>
      </c>
      <c r="H29" s="57">
        <v>16</v>
      </c>
      <c r="I29" s="57">
        <v>16</v>
      </c>
      <c r="J29" s="325">
        <v>16</v>
      </c>
    </row>
    <row r="30" spans="1:11">
      <c r="C30" t="s">
        <v>288</v>
      </c>
    </row>
    <row r="31" spans="1:11" ht="15.75" thickBot="1">
      <c r="B31" t="s">
        <v>289</v>
      </c>
    </row>
    <row r="32" spans="1:11">
      <c r="A32" s="339">
        <v>2</v>
      </c>
      <c r="B32" s="125"/>
      <c r="C32" s="596" t="s">
        <v>290</v>
      </c>
      <c r="D32" s="597"/>
      <c r="E32" s="597"/>
      <c r="F32" s="597"/>
      <c r="G32" s="597"/>
      <c r="H32" s="597"/>
      <c r="I32" s="598"/>
    </row>
    <row r="33" spans="1:10">
      <c r="B33" s="126" t="s">
        <v>17</v>
      </c>
      <c r="C33" s="213">
        <f>'Baseline Statistics'!D4</f>
        <v>2022</v>
      </c>
      <c r="D33" s="213">
        <f>'Baseline Statistics'!E4</f>
        <v>2025</v>
      </c>
      <c r="E33" s="213">
        <f>'Baseline Statistics'!F4</f>
        <v>2030</v>
      </c>
      <c r="F33" s="213">
        <f>'Baseline Statistics'!G4</f>
        <v>2035</v>
      </c>
      <c r="G33" s="213">
        <f>'Baseline Statistics'!H4</f>
        <v>2040</v>
      </c>
      <c r="H33" s="213">
        <f>'Baseline Statistics'!I4</f>
        <v>2045</v>
      </c>
      <c r="I33" s="104">
        <f>'Baseline Statistics'!J4</f>
        <v>2051</v>
      </c>
    </row>
    <row r="34" spans="1:10">
      <c r="B34" s="127" t="s">
        <v>18</v>
      </c>
      <c r="C34" s="83">
        <f>VLOOKUP($A32,$B35:$I38,COLUMN()-1,TRUE)</f>
        <v>1</v>
      </c>
      <c r="D34" s="83">
        <f t="shared" ref="D34:I34" si="6">VLOOKUP($A32,$B35:$I38,COLUMN()-1,TRUE)</f>
        <v>1.05</v>
      </c>
      <c r="E34" s="83">
        <f t="shared" si="6"/>
        <v>1.1000000000000001</v>
      </c>
      <c r="F34" s="83">
        <f t="shared" si="6"/>
        <v>1.2</v>
      </c>
      <c r="G34" s="83">
        <f t="shared" si="6"/>
        <v>1.3</v>
      </c>
      <c r="H34" s="83">
        <f t="shared" si="6"/>
        <v>1.4</v>
      </c>
      <c r="I34" s="106">
        <f t="shared" si="6"/>
        <v>1.5</v>
      </c>
    </row>
    <row r="35" spans="1:10">
      <c r="B35" s="127">
        <v>1</v>
      </c>
      <c r="C35" s="83">
        <v>1</v>
      </c>
      <c r="D35" s="81">
        <v>1</v>
      </c>
      <c r="E35" s="81">
        <v>1</v>
      </c>
      <c r="F35" s="81">
        <v>1</v>
      </c>
      <c r="G35" s="81">
        <v>1</v>
      </c>
      <c r="H35" s="81">
        <v>1</v>
      </c>
      <c r="I35" s="105">
        <v>1</v>
      </c>
      <c r="J35" t="s">
        <v>285</v>
      </c>
    </row>
    <row r="36" spans="1:10">
      <c r="B36" s="127">
        <v>2</v>
      </c>
      <c r="C36" s="83">
        <v>1</v>
      </c>
      <c r="D36" s="83">
        <v>1.05</v>
      </c>
      <c r="E36" s="83">
        <v>1.1000000000000001</v>
      </c>
      <c r="F36" s="83">
        <v>1.2</v>
      </c>
      <c r="G36" s="83">
        <v>1.3</v>
      </c>
      <c r="H36" s="83">
        <v>1.4</v>
      </c>
      <c r="I36" s="106">
        <v>1.5</v>
      </c>
      <c r="J36" t="s">
        <v>291</v>
      </c>
    </row>
    <row r="37" spans="1:10">
      <c r="B37" s="127">
        <v>3</v>
      </c>
      <c r="C37" s="83">
        <v>1</v>
      </c>
      <c r="D37" s="81">
        <v>1.1000000000000001</v>
      </c>
      <c r="E37" s="81">
        <v>1.3</v>
      </c>
      <c r="F37" s="81">
        <v>1.5</v>
      </c>
      <c r="G37" s="81">
        <v>2</v>
      </c>
      <c r="H37" s="81">
        <v>2.5</v>
      </c>
      <c r="I37" s="105">
        <v>3</v>
      </c>
      <c r="J37" t="s">
        <v>292</v>
      </c>
    </row>
    <row r="38" spans="1:10" ht="15.75" thickBot="1">
      <c r="B38" s="127">
        <v>4</v>
      </c>
      <c r="C38" s="84">
        <v>1</v>
      </c>
      <c r="D38" s="82">
        <v>1.5</v>
      </c>
      <c r="E38" s="82">
        <v>2</v>
      </c>
      <c r="F38" s="82">
        <v>3</v>
      </c>
      <c r="G38" s="82">
        <v>4</v>
      </c>
      <c r="H38" s="82">
        <v>5</v>
      </c>
      <c r="I38" s="107">
        <v>6</v>
      </c>
      <c r="J38" t="s">
        <v>293</v>
      </c>
    </row>
    <row r="39" spans="1:10">
      <c r="B39" s="248"/>
      <c r="I39" s="116"/>
    </row>
    <row r="40" spans="1:10">
      <c r="B40" s="249" t="s">
        <v>294</v>
      </c>
      <c r="C40" s="247">
        <f>C33</f>
        <v>2022</v>
      </c>
      <c r="D40" s="247">
        <f t="shared" ref="D40:I40" si="7">D33</f>
        <v>2025</v>
      </c>
      <c r="E40" s="247">
        <f t="shared" si="7"/>
        <v>2030</v>
      </c>
      <c r="F40" s="247">
        <f t="shared" si="7"/>
        <v>2035</v>
      </c>
      <c r="G40" s="247">
        <f t="shared" si="7"/>
        <v>2040</v>
      </c>
      <c r="H40" s="247">
        <f t="shared" si="7"/>
        <v>2045</v>
      </c>
      <c r="I40" s="247">
        <f t="shared" si="7"/>
        <v>2051</v>
      </c>
    </row>
    <row r="41" spans="1:10">
      <c r="B41" s="248" t="s">
        <v>295</v>
      </c>
      <c r="C41" s="231">
        <f>SUM(C5:C6)</f>
        <v>6442</v>
      </c>
      <c r="D41" s="231">
        <f>$C41*D$34</f>
        <v>6764.1</v>
      </c>
      <c r="E41" s="231">
        <f>$C41*E$34</f>
        <v>7086.2000000000007</v>
      </c>
      <c r="F41" s="231">
        <f t="shared" ref="F41:I41" si="8">$C41*F$34</f>
        <v>7730.4</v>
      </c>
      <c r="G41" s="231">
        <f t="shared" si="8"/>
        <v>8374.6</v>
      </c>
      <c r="H41" s="231">
        <f t="shared" si="8"/>
        <v>9018.7999999999993</v>
      </c>
      <c r="I41" s="251">
        <f t="shared" si="8"/>
        <v>9663</v>
      </c>
      <c r="J41" t="s">
        <v>264</v>
      </c>
    </row>
    <row r="42" spans="1:10" ht="15.75" thickBot="1">
      <c r="B42" s="252" t="s">
        <v>296</v>
      </c>
      <c r="C42" s="158">
        <v>0</v>
      </c>
      <c r="D42" s="253">
        <f>D41-$C41</f>
        <v>322.10000000000036</v>
      </c>
      <c r="E42" s="253">
        <f t="shared" ref="E42:I42" si="9">E41-$C41</f>
        <v>644.20000000000073</v>
      </c>
      <c r="F42" s="253">
        <f t="shared" si="9"/>
        <v>1288.3999999999996</v>
      </c>
      <c r="G42" s="253">
        <f t="shared" si="9"/>
        <v>1932.6000000000004</v>
      </c>
      <c r="H42" s="253">
        <f t="shared" si="9"/>
        <v>2576.7999999999993</v>
      </c>
      <c r="I42" s="254">
        <f t="shared" si="9"/>
        <v>3221</v>
      </c>
      <c r="J42" t="s">
        <v>264</v>
      </c>
    </row>
    <row r="43" spans="1:10" ht="15.75" thickBot="1"/>
    <row r="44" spans="1:10">
      <c r="A44" s="339">
        <v>3</v>
      </c>
      <c r="B44" s="125"/>
      <c r="C44" s="596" t="s">
        <v>297</v>
      </c>
      <c r="D44" s="597"/>
      <c r="E44" s="597"/>
      <c r="F44" s="597"/>
      <c r="G44" s="597"/>
      <c r="H44" s="597"/>
      <c r="I44" s="598"/>
    </row>
    <row r="45" spans="1:10">
      <c r="B45" s="126" t="s">
        <v>17</v>
      </c>
      <c r="C45" s="213">
        <f>'Baseline Statistics'!D4</f>
        <v>2022</v>
      </c>
      <c r="D45" s="213">
        <f>'Baseline Statistics'!E4</f>
        <v>2025</v>
      </c>
      <c r="E45" s="213">
        <f>'Baseline Statistics'!F4</f>
        <v>2030</v>
      </c>
      <c r="F45" s="213">
        <f>'Baseline Statistics'!G4</f>
        <v>2035</v>
      </c>
      <c r="G45" s="213">
        <f>'Baseline Statistics'!H4</f>
        <v>2040</v>
      </c>
      <c r="H45" s="213">
        <f>'Baseline Statistics'!I4</f>
        <v>2045</v>
      </c>
      <c r="I45" s="104">
        <f>'Baseline Statistics'!J4</f>
        <v>2051</v>
      </c>
    </row>
    <row r="46" spans="1:10">
      <c r="B46" s="127" t="s">
        <v>18</v>
      </c>
      <c r="C46" s="81">
        <f>VLOOKUP($A44,$B47:$I50,COLUMN()-1,TRUE)</f>
        <v>0.5</v>
      </c>
      <c r="D46" s="81">
        <f t="shared" ref="D46:I46" si="10">VLOOKUP($A44,$B47:$I50,COLUMN()-1,TRUE)</f>
        <v>0.5</v>
      </c>
      <c r="E46" s="81">
        <f t="shared" si="10"/>
        <v>0.5</v>
      </c>
      <c r="F46" s="81">
        <f t="shared" si="10"/>
        <v>0.5</v>
      </c>
      <c r="G46" s="81">
        <f t="shared" si="10"/>
        <v>0.5</v>
      </c>
      <c r="H46" s="81">
        <f t="shared" si="10"/>
        <v>0.5</v>
      </c>
      <c r="I46" s="81">
        <f t="shared" si="10"/>
        <v>0.47</v>
      </c>
    </row>
    <row r="47" spans="1:10">
      <c r="B47" s="127">
        <v>1</v>
      </c>
      <c r="C47" s="81">
        <v>1</v>
      </c>
      <c r="D47" s="81">
        <v>1</v>
      </c>
      <c r="E47" s="81">
        <v>1</v>
      </c>
      <c r="F47" s="81">
        <v>1</v>
      </c>
      <c r="G47" s="81">
        <v>1</v>
      </c>
      <c r="H47" s="81">
        <v>1</v>
      </c>
      <c r="I47" s="105">
        <v>1</v>
      </c>
      <c r="J47" t="s">
        <v>298</v>
      </c>
    </row>
    <row r="48" spans="1:10">
      <c r="B48" s="127">
        <v>2</v>
      </c>
      <c r="C48" s="83">
        <v>0.8</v>
      </c>
      <c r="D48" s="83">
        <v>0.8</v>
      </c>
      <c r="E48" s="83">
        <v>0.8</v>
      </c>
      <c r="F48" s="83">
        <v>0.8</v>
      </c>
      <c r="G48" s="83">
        <v>0.8</v>
      </c>
      <c r="H48" s="83">
        <v>0.8</v>
      </c>
      <c r="I48" s="106">
        <v>0.8</v>
      </c>
      <c r="J48" t="s">
        <v>299</v>
      </c>
    </row>
    <row r="49" spans="1:11">
      <c r="B49" s="127">
        <v>3</v>
      </c>
      <c r="C49" s="83">
        <v>0.5</v>
      </c>
      <c r="D49" s="81">
        <v>0.5</v>
      </c>
      <c r="E49" s="81">
        <v>0.5</v>
      </c>
      <c r="F49" s="81">
        <v>0.5</v>
      </c>
      <c r="G49" s="81">
        <v>0.5</v>
      </c>
      <c r="H49" s="81">
        <v>0.5</v>
      </c>
      <c r="I49" s="105">
        <v>0.47</v>
      </c>
      <c r="J49" s="265" t="s">
        <v>300</v>
      </c>
    </row>
    <row r="50" spans="1:11" ht="15.75" thickBot="1">
      <c r="B50" s="127">
        <v>4</v>
      </c>
      <c r="C50" s="84">
        <v>0</v>
      </c>
      <c r="D50" s="82">
        <v>0</v>
      </c>
      <c r="E50" s="82">
        <v>0</v>
      </c>
      <c r="F50" s="82">
        <v>0</v>
      </c>
      <c r="G50" s="82">
        <v>0</v>
      </c>
      <c r="H50" s="82">
        <v>0</v>
      </c>
      <c r="I50" s="107">
        <v>0</v>
      </c>
      <c r="J50" t="s">
        <v>301</v>
      </c>
    </row>
    <row r="51" spans="1:11">
      <c r="B51" s="248"/>
      <c r="I51" s="116"/>
    </row>
    <row r="52" spans="1:11">
      <c r="B52" s="249" t="s">
        <v>275</v>
      </c>
      <c r="C52" s="247">
        <f>C45</f>
        <v>2022</v>
      </c>
      <c r="D52" s="247">
        <f t="shared" ref="D52:I52" si="11">D45</f>
        <v>2025</v>
      </c>
      <c r="E52" s="247">
        <f t="shared" si="11"/>
        <v>2030</v>
      </c>
      <c r="F52" s="247">
        <f t="shared" si="11"/>
        <v>2035</v>
      </c>
      <c r="G52" s="247">
        <f t="shared" si="11"/>
        <v>2040</v>
      </c>
      <c r="H52" s="247">
        <f t="shared" si="11"/>
        <v>2045</v>
      </c>
      <c r="I52" s="247">
        <f t="shared" si="11"/>
        <v>2051</v>
      </c>
    </row>
    <row r="53" spans="1:11">
      <c r="B53" s="248" t="s">
        <v>262</v>
      </c>
      <c r="C53" s="231">
        <f t="shared" ref="C53:I53" si="12">$C5+C$42*(1-C$46)</f>
        <v>2721</v>
      </c>
      <c r="D53" s="231">
        <f t="shared" si="12"/>
        <v>2882.05</v>
      </c>
      <c r="E53" s="231">
        <f t="shared" si="12"/>
        <v>3043.1000000000004</v>
      </c>
      <c r="F53" s="231">
        <f t="shared" si="12"/>
        <v>3365.2</v>
      </c>
      <c r="G53" s="231">
        <f t="shared" si="12"/>
        <v>3687.3</v>
      </c>
      <c r="H53" s="231">
        <f t="shared" si="12"/>
        <v>4009.3999999999996</v>
      </c>
      <c r="I53" s="251">
        <f t="shared" si="12"/>
        <v>4428.13</v>
      </c>
      <c r="J53" t="s">
        <v>264</v>
      </c>
      <c r="K53" s="231"/>
    </row>
    <row r="54" spans="1:11" ht="15.75" thickBot="1">
      <c r="B54" s="252" t="s">
        <v>266</v>
      </c>
      <c r="C54" s="253">
        <f t="shared" ref="C54:I54" si="13">$C6+C42*C46</f>
        <v>3721</v>
      </c>
      <c r="D54" s="253">
        <f t="shared" si="13"/>
        <v>3882.05</v>
      </c>
      <c r="E54" s="253">
        <f t="shared" si="13"/>
        <v>4043.1000000000004</v>
      </c>
      <c r="F54" s="253">
        <f t="shared" si="13"/>
        <v>4365.2</v>
      </c>
      <c r="G54" s="253">
        <f t="shared" si="13"/>
        <v>4687.3</v>
      </c>
      <c r="H54" s="253">
        <f t="shared" si="13"/>
        <v>5009.3999999999996</v>
      </c>
      <c r="I54" s="254">
        <f t="shared" si="13"/>
        <v>5234.87</v>
      </c>
      <c r="J54" t="s">
        <v>264</v>
      </c>
    </row>
    <row r="55" spans="1:11" ht="15.75" thickBot="1"/>
    <row r="56" spans="1:11">
      <c r="A56" s="339">
        <v>1</v>
      </c>
      <c r="B56" s="125"/>
      <c r="C56" s="596" t="s">
        <v>302</v>
      </c>
      <c r="D56" s="597"/>
      <c r="E56" s="597"/>
      <c r="F56" s="597"/>
      <c r="G56" s="597"/>
      <c r="H56" s="597"/>
      <c r="I56" s="598"/>
      <c r="J56" t="s">
        <v>303</v>
      </c>
    </row>
    <row r="57" spans="1:11">
      <c r="B57" s="126" t="s">
        <v>17</v>
      </c>
      <c r="C57" s="213">
        <f>'Baseline Statistics'!D4</f>
        <v>2022</v>
      </c>
      <c r="D57" s="213">
        <f>'Baseline Statistics'!E4</f>
        <v>2025</v>
      </c>
      <c r="E57" s="213">
        <f>'Baseline Statistics'!F4</f>
        <v>2030</v>
      </c>
      <c r="F57" s="213">
        <f>'Baseline Statistics'!G4</f>
        <v>2035</v>
      </c>
      <c r="G57" s="213">
        <f>'Baseline Statistics'!H4</f>
        <v>2040</v>
      </c>
      <c r="H57" s="213">
        <f>'Baseline Statistics'!I4</f>
        <v>2045</v>
      </c>
      <c r="I57" s="104">
        <f>'Baseline Statistics'!J4</f>
        <v>2051</v>
      </c>
      <c r="J57" t="s">
        <v>304</v>
      </c>
    </row>
    <row r="58" spans="1:11">
      <c r="B58" s="127" t="s">
        <v>18</v>
      </c>
      <c r="C58" s="83">
        <f>VLOOKUP($A56,$B59:$I62,COLUMN()-1,TRUE)</f>
        <v>0</v>
      </c>
      <c r="D58" s="83">
        <f t="shared" ref="D58:I58" si="14">VLOOKUP($A56,$B59:$I62,COLUMN()-1,TRUE)</f>
        <v>0</v>
      </c>
      <c r="E58" s="83">
        <f t="shared" si="14"/>
        <v>0</v>
      </c>
      <c r="F58" s="83">
        <f t="shared" si="14"/>
        <v>0</v>
      </c>
      <c r="G58" s="83">
        <f t="shared" si="14"/>
        <v>0</v>
      </c>
      <c r="H58" s="83">
        <f t="shared" si="14"/>
        <v>0</v>
      </c>
      <c r="I58" s="106">
        <f t="shared" si="14"/>
        <v>0</v>
      </c>
    </row>
    <row r="59" spans="1:11">
      <c r="B59" s="127">
        <v>1</v>
      </c>
      <c r="C59" s="83">
        <v>0</v>
      </c>
      <c r="D59" s="81">
        <v>0</v>
      </c>
      <c r="E59" s="81">
        <v>0</v>
      </c>
      <c r="F59" s="81">
        <v>0</v>
      </c>
      <c r="G59" s="81">
        <v>0</v>
      </c>
      <c r="H59" s="81">
        <v>0</v>
      </c>
      <c r="I59" s="105">
        <v>0</v>
      </c>
      <c r="J59" t="s">
        <v>305</v>
      </c>
    </row>
    <row r="60" spans="1:11">
      <c r="B60" s="127">
        <v>2</v>
      </c>
      <c r="C60" s="83">
        <v>0</v>
      </c>
      <c r="D60" s="83">
        <v>0.02</v>
      </c>
      <c r="E60" s="83">
        <v>0.05</v>
      </c>
      <c r="F60" s="83">
        <v>0.1</v>
      </c>
      <c r="G60" s="83">
        <v>0.15</v>
      </c>
      <c r="H60" s="83">
        <v>0.2</v>
      </c>
      <c r="I60" s="106">
        <v>0.2</v>
      </c>
      <c r="J60" t="s">
        <v>306</v>
      </c>
    </row>
    <row r="61" spans="1:11">
      <c r="B61" s="127">
        <v>3</v>
      </c>
      <c r="C61" s="83">
        <v>0</v>
      </c>
      <c r="D61" s="81">
        <v>0.02</v>
      </c>
      <c r="E61" s="81">
        <v>0.1</v>
      </c>
      <c r="F61" s="81">
        <v>0.2</v>
      </c>
      <c r="G61" s="81">
        <v>0.4</v>
      </c>
      <c r="H61" s="81">
        <v>0.5</v>
      </c>
      <c r="I61" s="105">
        <v>0.5</v>
      </c>
      <c r="J61" t="s">
        <v>307</v>
      </c>
    </row>
    <row r="62" spans="1:11" ht="15.75" thickBot="1">
      <c r="B62" s="127">
        <v>4</v>
      </c>
      <c r="C62" s="84">
        <v>0</v>
      </c>
      <c r="D62" s="82">
        <v>0.02</v>
      </c>
      <c r="E62" s="82">
        <v>0.15</v>
      </c>
      <c r="F62" s="82">
        <v>0.3</v>
      </c>
      <c r="G62" s="82">
        <v>0.7</v>
      </c>
      <c r="H62" s="82">
        <v>0.9</v>
      </c>
      <c r="I62" s="107">
        <v>1</v>
      </c>
      <c r="J62" t="s">
        <v>308</v>
      </c>
    </row>
    <row r="63" spans="1:11">
      <c r="B63" s="248"/>
      <c r="I63" s="116"/>
    </row>
    <row r="64" spans="1:11">
      <c r="B64" s="249" t="s">
        <v>309</v>
      </c>
      <c r="C64" s="247">
        <f>C57</f>
        <v>2022</v>
      </c>
      <c r="D64" s="247">
        <f t="shared" ref="D64:I64" si="15">D57</f>
        <v>2025</v>
      </c>
      <c r="E64" s="247">
        <f t="shared" si="15"/>
        <v>2030</v>
      </c>
      <c r="F64" s="247">
        <f t="shared" si="15"/>
        <v>2035</v>
      </c>
      <c r="G64" s="247">
        <f t="shared" si="15"/>
        <v>2040</v>
      </c>
      <c r="H64" s="247">
        <f t="shared" si="15"/>
        <v>2045</v>
      </c>
      <c r="I64" s="250">
        <f t="shared" si="15"/>
        <v>2051</v>
      </c>
    </row>
    <row r="65" spans="1:16">
      <c r="B65" s="248" t="s">
        <v>310</v>
      </c>
      <c r="C65" s="231">
        <f>C54*C58*'Baseline Statistics'!D63*'Baseline Statistics'!D64*'Baseline Statistics'!D65*'Baseline Statistics'!D66</f>
        <v>0</v>
      </c>
      <c r="D65" s="231">
        <f>D54*D58*'Baseline Statistics'!E63*'Baseline Statistics'!E64*'Baseline Statistics'!E65*'Baseline Statistics'!E66</f>
        <v>0</v>
      </c>
      <c r="E65" s="231">
        <f>E54*E58*'Baseline Statistics'!F63*'Baseline Statistics'!F64*'Baseline Statistics'!F65*'Baseline Statistics'!F66</f>
        <v>0</v>
      </c>
      <c r="F65" s="231">
        <f>F54*F58*'Baseline Statistics'!G63*'Baseline Statistics'!G64*'Baseline Statistics'!G65*'Baseline Statistics'!G66</f>
        <v>0</v>
      </c>
      <c r="G65" s="231">
        <f>G54*G58*'Baseline Statistics'!H63*'Baseline Statistics'!H64*'Baseline Statistics'!H65*'Baseline Statistics'!H66</f>
        <v>0</v>
      </c>
      <c r="H65" s="231">
        <f>H54*H58*'Baseline Statistics'!I63*'Baseline Statistics'!I64*'Baseline Statistics'!I65*'Baseline Statistics'!I66</f>
        <v>0</v>
      </c>
      <c r="I65" s="251">
        <f>I54*I58*'Baseline Statistics'!J63*'Baseline Statistics'!J64*'Baseline Statistics'!J65*'Baseline Statistics'!J66</f>
        <v>0</v>
      </c>
      <c r="J65" t="s">
        <v>217</v>
      </c>
    </row>
    <row r="66" spans="1:16">
      <c r="B66" s="248" t="s">
        <v>311</v>
      </c>
      <c r="C66" s="231">
        <f>C65*'Baseline Statistics'!D62</f>
        <v>0</v>
      </c>
      <c r="D66" s="231">
        <f>D65*'Baseline Statistics'!E62</f>
        <v>0</v>
      </c>
      <c r="E66" s="231">
        <f>E65*'Baseline Statistics'!F62</f>
        <v>0</v>
      </c>
      <c r="F66" s="231">
        <f>F65*'Baseline Statistics'!G62</f>
        <v>0</v>
      </c>
      <c r="G66" s="231">
        <f>G65*'Baseline Statistics'!H62</f>
        <v>0</v>
      </c>
      <c r="H66" s="231">
        <f>H65*'Baseline Statistics'!I62</f>
        <v>0</v>
      </c>
      <c r="I66" s="251">
        <f>I65*'Baseline Statistics'!J62</f>
        <v>0</v>
      </c>
      <c r="J66" t="s">
        <v>220</v>
      </c>
      <c r="K66" t="s">
        <v>312</v>
      </c>
    </row>
    <row r="67" spans="1:16">
      <c r="B67" s="248" t="s">
        <v>313</v>
      </c>
      <c r="C67" s="231">
        <f>C65/'Baseline Statistics'!D68*'Baseline Statistics'!D69*'Baseline Statistics'!D70</f>
        <v>0</v>
      </c>
      <c r="D67" s="231">
        <f>D65/'Baseline Statistics'!E68*'Baseline Statistics'!E69*'Baseline Statistics'!E70</f>
        <v>0</v>
      </c>
      <c r="E67" s="231">
        <f>E65/'Baseline Statistics'!F68*'Baseline Statistics'!F69*'Baseline Statistics'!F70</f>
        <v>0</v>
      </c>
      <c r="F67" s="231">
        <f>F65/'Baseline Statistics'!G68*'Baseline Statistics'!G69*'Baseline Statistics'!G70</f>
        <v>0</v>
      </c>
      <c r="G67" s="231">
        <f>G65/'Baseline Statistics'!H68*'Baseline Statistics'!H69*'Baseline Statistics'!H70</f>
        <v>0</v>
      </c>
      <c r="H67" s="231">
        <f>H65/'Baseline Statistics'!I68*'Baseline Statistics'!I69*'Baseline Statistics'!I70</f>
        <v>0</v>
      </c>
      <c r="I67" s="251">
        <f>I65/'Baseline Statistics'!J68*'Baseline Statistics'!J69*'Baseline Statistics'!J70</f>
        <v>0</v>
      </c>
      <c r="J67" t="s">
        <v>227</v>
      </c>
      <c r="L67" t="s">
        <v>314</v>
      </c>
      <c r="O67">
        <v>0.5</v>
      </c>
      <c r="P67" t="s">
        <v>315</v>
      </c>
    </row>
    <row r="68" spans="1:16" ht="15.75" thickBot="1">
      <c r="B68" s="252" t="s">
        <v>316</v>
      </c>
      <c r="C68" s="253">
        <f>C66*'Emissions Factors'!$C17*$O$67*$O$68</f>
        <v>0</v>
      </c>
      <c r="D68" s="253">
        <f>D66*'Emissions Factors'!$C17*$O$67*$O$68</f>
        <v>0</v>
      </c>
      <c r="E68" s="253">
        <f>E66*'Emissions Factors'!$C17*$O$67*$O$68</f>
        <v>0</v>
      </c>
      <c r="F68" s="253">
        <f>F66*'Emissions Factors'!$C17*$O$67*$O$68</f>
        <v>0</v>
      </c>
      <c r="G68" s="253">
        <f>G66*'Emissions Factors'!$C17*$O$67*$O$68</f>
        <v>0</v>
      </c>
      <c r="H68" s="253">
        <f>H66*'Emissions Factors'!$C17*$O$67*$O$68</f>
        <v>0</v>
      </c>
      <c r="I68" s="254">
        <f>I66*'Emissions Factors'!$C17*$O$67*$O$68</f>
        <v>0</v>
      </c>
      <c r="J68" t="s">
        <v>317</v>
      </c>
      <c r="L68" t="s">
        <v>318</v>
      </c>
      <c r="O68">
        <f>277.77777777</f>
        <v>277.77777777</v>
      </c>
      <c r="P68" t="s">
        <v>319</v>
      </c>
    </row>
    <row r="69" spans="1:16" ht="15.75" thickBot="1"/>
    <row r="70" spans="1:16">
      <c r="A70" s="339">
        <v>1</v>
      </c>
      <c r="B70" s="125"/>
      <c r="C70" s="596" t="s">
        <v>320</v>
      </c>
      <c r="D70" s="597"/>
      <c r="E70" s="597"/>
      <c r="F70" s="597"/>
      <c r="G70" s="597"/>
      <c r="H70" s="597"/>
      <c r="I70" s="598"/>
    </row>
    <row r="71" spans="1:16">
      <c r="B71" s="126" t="s">
        <v>17</v>
      </c>
      <c r="C71" s="213">
        <f>'Baseline Statistics'!D4</f>
        <v>2022</v>
      </c>
      <c r="D71" s="213">
        <f>'Baseline Statistics'!E4</f>
        <v>2025</v>
      </c>
      <c r="E71" s="213">
        <f>'Baseline Statistics'!F4</f>
        <v>2030</v>
      </c>
      <c r="F71" s="213">
        <f>'Baseline Statistics'!G4</f>
        <v>2035</v>
      </c>
      <c r="G71" s="213">
        <f>'Baseline Statistics'!H4</f>
        <v>2040</v>
      </c>
      <c r="H71" s="213">
        <f>'Baseline Statistics'!I4</f>
        <v>2045</v>
      </c>
      <c r="I71" s="104">
        <f>'Baseline Statistics'!J4</f>
        <v>2051</v>
      </c>
    </row>
    <row r="72" spans="1:16">
      <c r="B72" s="127" t="s">
        <v>18</v>
      </c>
      <c r="C72" s="83">
        <f t="shared" ref="C72:I72" si="16">VLOOKUP($A70,$B73:$I76,COLUMN()-1,TRUE)</f>
        <v>0</v>
      </c>
      <c r="D72" s="118">
        <f t="shared" si="16"/>
        <v>0</v>
      </c>
      <c r="E72" s="118">
        <f t="shared" si="16"/>
        <v>0</v>
      </c>
      <c r="F72" s="118">
        <f t="shared" si="16"/>
        <v>0</v>
      </c>
      <c r="G72" s="118">
        <f t="shared" si="16"/>
        <v>0</v>
      </c>
      <c r="H72" s="118">
        <f t="shared" si="16"/>
        <v>0</v>
      </c>
      <c r="I72" s="118">
        <f t="shared" si="16"/>
        <v>0</v>
      </c>
    </row>
    <row r="73" spans="1:16">
      <c r="B73" s="127">
        <v>1</v>
      </c>
      <c r="C73" s="83">
        <v>0</v>
      </c>
      <c r="D73" s="83">
        <v>0</v>
      </c>
      <c r="E73" s="83">
        <v>0</v>
      </c>
      <c r="F73" s="83">
        <v>0</v>
      </c>
      <c r="G73" s="83">
        <v>0</v>
      </c>
      <c r="H73" s="83">
        <v>0</v>
      </c>
      <c r="I73" s="106">
        <v>0</v>
      </c>
      <c r="J73" t="s">
        <v>321</v>
      </c>
    </row>
    <row r="74" spans="1:16">
      <c r="B74" s="127">
        <v>2</v>
      </c>
      <c r="C74" s="83">
        <v>0</v>
      </c>
      <c r="D74" s="83">
        <v>0.1</v>
      </c>
      <c r="E74" s="83">
        <v>0.25</v>
      </c>
      <c r="F74" s="83">
        <v>0.25</v>
      </c>
      <c r="G74" s="83">
        <v>0.25</v>
      </c>
      <c r="H74" s="83">
        <v>0.25</v>
      </c>
      <c r="I74" s="106">
        <v>0.25</v>
      </c>
      <c r="J74" t="s">
        <v>322</v>
      </c>
    </row>
    <row r="75" spans="1:16">
      <c r="B75" s="127">
        <v>3</v>
      </c>
      <c r="C75" s="83">
        <v>0</v>
      </c>
      <c r="D75" s="120">
        <v>1E-3</v>
      </c>
      <c r="E75" s="120">
        <v>2E-3</v>
      </c>
      <c r="F75" s="120">
        <v>3.0000000000000001E-3</v>
      </c>
      <c r="G75" s="120">
        <v>4.0000000000000001E-3</v>
      </c>
      <c r="H75" s="120">
        <v>4.0000000000000001E-3</v>
      </c>
      <c r="I75" s="121">
        <v>4.0000000000000001E-3</v>
      </c>
      <c r="J75" t="s">
        <v>268</v>
      </c>
    </row>
    <row r="76" spans="1:16" ht="15.75" thickBot="1">
      <c r="B76" s="128">
        <v>4</v>
      </c>
      <c r="C76" s="84">
        <v>0</v>
      </c>
      <c r="D76" s="82" t="s">
        <v>323</v>
      </c>
      <c r="E76" s="82" t="s">
        <v>323</v>
      </c>
      <c r="F76" s="82" t="s">
        <v>323</v>
      </c>
      <c r="G76" s="82" t="s">
        <v>323</v>
      </c>
      <c r="H76" s="82" t="s">
        <v>323</v>
      </c>
      <c r="I76" s="107" t="s">
        <v>323</v>
      </c>
      <c r="J76" t="s">
        <v>324</v>
      </c>
    </row>
    <row r="77" spans="1:16">
      <c r="C77" t="s">
        <v>325</v>
      </c>
    </row>
  </sheetData>
  <protectedRanges>
    <protectedRange sqref="A1:A1048576" name="Range1"/>
  </protectedRanges>
  <mergeCells count="13">
    <mergeCell ref="C70:I70"/>
    <mergeCell ref="B2:B4"/>
    <mergeCell ref="C56:I56"/>
    <mergeCell ref="C2:C4"/>
    <mergeCell ref="D2:D4"/>
    <mergeCell ref="C32:I32"/>
    <mergeCell ref="C44:I44"/>
    <mergeCell ref="D8:J8"/>
    <mergeCell ref="B10:B13"/>
    <mergeCell ref="B14:B17"/>
    <mergeCell ref="B18:B21"/>
    <mergeCell ref="B22:B25"/>
    <mergeCell ref="B26:B29"/>
  </mergeCells>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47097-E849-4CA1-B67C-24FB47239021}">
  <sheetPr codeName="Sheet6">
    <tabColor theme="9" tint="0.59999389629810485"/>
  </sheetPr>
  <dimension ref="A2:L222"/>
  <sheetViews>
    <sheetView topLeftCell="A31" workbookViewId="0">
      <selection activeCell="C50" sqref="C50"/>
    </sheetView>
  </sheetViews>
  <sheetFormatPr defaultRowHeight="15"/>
  <cols>
    <col min="2" max="2" width="21.7109375" customWidth="1"/>
    <col min="3" max="3" width="12.7109375" bestFit="1" customWidth="1"/>
    <col min="4" max="5" width="11" bestFit="1" customWidth="1"/>
    <col min="6" max="6" width="14.5703125" customWidth="1"/>
    <col min="7" max="7" width="12.140625" bestFit="1" customWidth="1"/>
    <col min="8" max="9" width="11" bestFit="1" customWidth="1"/>
    <col min="10" max="10" width="17.28515625" customWidth="1"/>
    <col min="11" max="11" width="11.28515625" customWidth="1"/>
    <col min="12" max="12" width="17.28515625" bestFit="1" customWidth="1"/>
    <col min="13" max="13" width="10" bestFit="1" customWidth="1"/>
  </cols>
  <sheetData>
    <row r="2" spans="1:12" ht="26.45" customHeight="1">
      <c r="B2" s="612" t="s">
        <v>326</v>
      </c>
      <c r="C2" s="617">
        <f>C23</f>
        <v>2022</v>
      </c>
      <c r="D2" s="614" t="s">
        <v>202</v>
      </c>
      <c r="F2" s="599" t="s">
        <v>327</v>
      </c>
      <c r="G2" s="615">
        <f>C23</f>
        <v>2022</v>
      </c>
      <c r="H2" s="603" t="s">
        <v>202</v>
      </c>
      <c r="J2" s="620" t="s">
        <v>328</v>
      </c>
      <c r="K2" s="617">
        <f>C23</f>
        <v>2022</v>
      </c>
      <c r="L2" s="603" t="s">
        <v>202</v>
      </c>
    </row>
    <row r="3" spans="1:12">
      <c r="B3" s="613"/>
      <c r="C3" s="618"/>
      <c r="D3" s="613"/>
      <c r="F3" s="600"/>
      <c r="G3" s="616"/>
      <c r="H3" s="604"/>
      <c r="J3" s="621"/>
      <c r="K3" s="618"/>
      <c r="L3" s="604"/>
    </row>
    <row r="4" spans="1:12">
      <c r="B4" s="613"/>
      <c r="C4" s="619"/>
      <c r="D4" s="613"/>
      <c r="F4" s="600"/>
      <c r="G4" s="616"/>
      <c r="H4" s="604"/>
      <c r="J4" s="621"/>
      <c r="K4" s="619"/>
      <c r="L4" s="611"/>
    </row>
    <row r="5" spans="1:12" ht="26.45" customHeight="1">
      <c r="B5" s="217" t="s">
        <v>329</v>
      </c>
      <c r="C5" s="402">
        <f>'Baseline Usage'!L11</f>
        <v>432.87022550430777</v>
      </c>
      <c r="D5" s="219" t="s">
        <v>330</v>
      </c>
      <c r="F5" t="s">
        <v>331</v>
      </c>
      <c r="G5" s="231">
        <f>'Baseline Usage'!T13</f>
        <v>3404243.6177032739</v>
      </c>
      <c r="H5" t="s">
        <v>227</v>
      </c>
      <c r="J5" t="s">
        <v>332</v>
      </c>
      <c r="K5" s="231">
        <f>'Baseline Usage'!AC15*'Baseline Usage'!AJ83</f>
        <v>150949820.88301694</v>
      </c>
      <c r="L5" t="s">
        <v>317</v>
      </c>
    </row>
    <row r="6" spans="1:12" ht="15.75">
      <c r="B6" s="217" t="s">
        <v>333</v>
      </c>
      <c r="C6" s="402">
        <f>'Baseline Usage'!L12</f>
        <v>0</v>
      </c>
      <c r="D6" s="68" t="s">
        <v>330</v>
      </c>
      <c r="F6" t="s">
        <v>334</v>
      </c>
      <c r="G6" s="231">
        <f>'Baseline Usage'!T14</f>
        <v>18536711.417872287</v>
      </c>
      <c r="H6" t="s">
        <v>227</v>
      </c>
      <c r="J6" t="s">
        <v>335</v>
      </c>
      <c r="K6" s="231">
        <f>'Baseline Usage'!AC22*'Baseline Usage'!AK83</f>
        <v>689906.4418816095</v>
      </c>
      <c r="L6" t="s">
        <v>220</v>
      </c>
    </row>
    <row r="7" spans="1:12" ht="15.75">
      <c r="B7" s="217" t="s">
        <v>336</v>
      </c>
      <c r="C7" s="402">
        <f>'Baseline Usage'!L13</f>
        <v>37.116319335794905</v>
      </c>
      <c r="D7" s="219" t="s">
        <v>330</v>
      </c>
      <c r="F7" t="s">
        <v>337</v>
      </c>
      <c r="G7" s="231">
        <f>'Baseline Usage'!T18</f>
        <v>603881.656249461</v>
      </c>
      <c r="H7" t="s">
        <v>227</v>
      </c>
      <c r="J7" t="s">
        <v>338</v>
      </c>
      <c r="K7" s="231">
        <f>'Baseline Usage'!AC27*'Baseline Usage'!AL83</f>
        <v>316156.51419186947</v>
      </c>
      <c r="L7" t="s">
        <v>220</v>
      </c>
    </row>
    <row r="8" spans="1:12" ht="15.75">
      <c r="B8" s="217" t="s">
        <v>339</v>
      </c>
      <c r="C8" s="402">
        <f>'Baseline Usage'!L14</f>
        <v>25133.753260232486</v>
      </c>
      <c r="D8" s="68" t="s">
        <v>330</v>
      </c>
      <c r="F8" t="s">
        <v>340</v>
      </c>
      <c r="G8" s="231">
        <f>'Baseline Usage'!T19</f>
        <v>307048.79688692791</v>
      </c>
      <c r="H8" t="s">
        <v>317</v>
      </c>
      <c r="J8" t="s">
        <v>225</v>
      </c>
      <c r="K8" s="231">
        <f>'Baseline Usage'!AC37</f>
        <v>3323519.0349807604</v>
      </c>
      <c r="L8" t="s">
        <v>227</v>
      </c>
    </row>
    <row r="9" spans="1:12" ht="15.75">
      <c r="B9" s="217" t="s">
        <v>341</v>
      </c>
      <c r="C9" s="402">
        <f>'Baseline Usage'!L15</f>
        <v>75.644469029390663</v>
      </c>
      <c r="D9" s="219" t="s">
        <v>330</v>
      </c>
      <c r="F9" t="s">
        <v>239</v>
      </c>
      <c r="G9" s="231">
        <f>'Baseline Usage'!T20</f>
        <v>4350044.3909544628</v>
      </c>
      <c r="H9" t="s">
        <v>227</v>
      </c>
      <c r="J9" t="s">
        <v>229</v>
      </c>
      <c r="K9" s="231">
        <f>'Baseline Usage'!AC42</f>
        <v>1518220.6387250628</v>
      </c>
      <c r="L9" t="s">
        <v>227</v>
      </c>
    </row>
    <row r="10" spans="1:12">
      <c r="B10" s="218" t="s">
        <v>342</v>
      </c>
      <c r="C10" s="402">
        <f>'Baseline Usage'!L16</f>
        <v>25679.38427410198</v>
      </c>
      <c r="D10" s="220" t="s">
        <v>343</v>
      </c>
      <c r="F10" t="s">
        <v>344</v>
      </c>
      <c r="G10" s="185">
        <v>0.5</v>
      </c>
      <c r="H10" t="s">
        <v>345</v>
      </c>
      <c r="J10" t="s">
        <v>232</v>
      </c>
      <c r="K10" s="231">
        <f>'Baseline Usage'!AC49</f>
        <v>1497974.2641030927</v>
      </c>
      <c r="L10" t="s">
        <v>227</v>
      </c>
    </row>
    <row r="11" spans="1:12">
      <c r="B11" s="483"/>
      <c r="C11" s="484"/>
      <c r="D11" s="485"/>
      <c r="G11" s="185"/>
      <c r="K11" s="231"/>
    </row>
    <row r="12" spans="1:12">
      <c r="B12" s="483"/>
      <c r="C12" s="484"/>
      <c r="D12" s="485"/>
      <c r="G12" s="185"/>
      <c r="K12" s="231"/>
    </row>
    <row r="14" spans="1:12" ht="15.75" thickBot="1"/>
    <row r="15" spans="1:12">
      <c r="A15" s="339">
        <v>2</v>
      </c>
      <c r="B15" s="125"/>
      <c r="C15" s="596" t="s">
        <v>346</v>
      </c>
      <c r="D15" s="597"/>
      <c r="E15" s="597"/>
      <c r="F15" s="597"/>
      <c r="G15" s="597"/>
      <c r="H15" s="597"/>
      <c r="I15" s="598"/>
      <c r="J15" t="s">
        <v>347</v>
      </c>
    </row>
    <row r="16" spans="1:12">
      <c r="B16" s="126" t="s">
        <v>17</v>
      </c>
      <c r="C16" s="213">
        <f>C23</f>
        <v>2022</v>
      </c>
      <c r="D16" s="213">
        <f t="shared" ref="D16:I16" si="0">D23</f>
        <v>2025</v>
      </c>
      <c r="E16" s="213">
        <f t="shared" si="0"/>
        <v>2030</v>
      </c>
      <c r="F16" s="213">
        <f t="shared" si="0"/>
        <v>2035</v>
      </c>
      <c r="G16" s="213">
        <f t="shared" si="0"/>
        <v>2040</v>
      </c>
      <c r="H16" s="213">
        <f t="shared" si="0"/>
        <v>2045</v>
      </c>
      <c r="I16" s="104">
        <f t="shared" si="0"/>
        <v>2051</v>
      </c>
    </row>
    <row r="17" spans="2:11">
      <c r="B17" s="127" t="s">
        <v>18</v>
      </c>
      <c r="C17" s="83">
        <f t="shared" ref="C17:I17" si="1">VLOOKUP($A15,$B18:$I21,COLUMN()-1,TRUE)</f>
        <v>1</v>
      </c>
      <c r="D17" s="83">
        <f t="shared" si="1"/>
        <v>1.08</v>
      </c>
      <c r="E17" s="83">
        <f t="shared" si="1"/>
        <v>1.1599999999999999</v>
      </c>
      <c r="F17" s="83">
        <f t="shared" si="1"/>
        <v>1.22</v>
      </c>
      <c r="G17" s="83">
        <f t="shared" si="1"/>
        <v>1.29</v>
      </c>
      <c r="H17" s="83">
        <f t="shared" si="1"/>
        <v>1.36</v>
      </c>
      <c r="I17" s="106">
        <f t="shared" si="1"/>
        <v>1.45</v>
      </c>
    </row>
    <row r="18" spans="2:11">
      <c r="B18" s="127">
        <v>1</v>
      </c>
      <c r="C18" s="83">
        <v>1</v>
      </c>
      <c r="D18" s="81">
        <v>1</v>
      </c>
      <c r="E18" s="81">
        <v>1</v>
      </c>
      <c r="F18" s="81">
        <v>1</v>
      </c>
      <c r="G18" s="81">
        <v>1</v>
      </c>
      <c r="H18" s="81">
        <v>1</v>
      </c>
      <c r="I18" s="105">
        <v>1</v>
      </c>
      <c r="J18" t="s">
        <v>348</v>
      </c>
    </row>
    <row r="19" spans="2:11">
      <c r="B19" s="127">
        <v>2</v>
      </c>
      <c r="C19" s="83">
        <v>1</v>
      </c>
      <c r="D19" s="81">
        <v>1.08</v>
      </c>
      <c r="E19" s="81">
        <v>1.1599999999999999</v>
      </c>
      <c r="F19" s="81">
        <v>1.22</v>
      </c>
      <c r="G19" s="81">
        <v>1.29</v>
      </c>
      <c r="H19" s="81">
        <v>1.36</v>
      </c>
      <c r="I19" s="105">
        <v>1.45</v>
      </c>
      <c r="J19" t="s">
        <v>349</v>
      </c>
    </row>
    <row r="20" spans="2:11">
      <c r="B20" s="127">
        <v>3</v>
      </c>
      <c r="C20" s="83">
        <v>1</v>
      </c>
      <c r="D20" s="83">
        <v>1.1499999999999999</v>
      </c>
      <c r="E20" s="83">
        <v>1.34</v>
      </c>
      <c r="F20" s="83">
        <v>1.56</v>
      </c>
      <c r="G20" s="83">
        <v>1.8</v>
      </c>
      <c r="H20" s="83">
        <v>2.1</v>
      </c>
      <c r="I20" s="106">
        <v>2.5</v>
      </c>
      <c r="J20" t="s">
        <v>350</v>
      </c>
    </row>
    <row r="21" spans="2:11" ht="33.6" customHeight="1" thickBot="1">
      <c r="B21" s="128">
        <v>4</v>
      </c>
      <c r="C21" s="84">
        <v>1</v>
      </c>
      <c r="D21" s="81">
        <v>1.22</v>
      </c>
      <c r="E21" s="81">
        <v>1.48</v>
      </c>
      <c r="F21" s="81">
        <v>1.8</v>
      </c>
      <c r="G21" s="81">
        <v>2.19</v>
      </c>
      <c r="H21" s="81">
        <v>2.67</v>
      </c>
      <c r="I21" s="105">
        <v>3.5</v>
      </c>
      <c r="J21" t="s">
        <v>351</v>
      </c>
    </row>
    <row r="22" spans="2:11">
      <c r="B22" s="248"/>
      <c r="I22" s="116"/>
    </row>
    <row r="23" spans="2:11">
      <c r="B23" s="249" t="s">
        <v>352</v>
      </c>
      <c r="C23" s="247">
        <f>'Baseline Statistics'!D4</f>
        <v>2022</v>
      </c>
      <c r="D23" s="247">
        <f>'Baseline Statistics'!E4</f>
        <v>2025</v>
      </c>
      <c r="E23" s="247">
        <f>'Baseline Statistics'!F4</f>
        <v>2030</v>
      </c>
      <c r="F23" s="247">
        <f>'Baseline Statistics'!G4</f>
        <v>2035</v>
      </c>
      <c r="G23" s="247">
        <f>'Baseline Statistics'!H4</f>
        <v>2040</v>
      </c>
      <c r="H23" s="247">
        <f>'Baseline Statistics'!I4</f>
        <v>2045</v>
      </c>
      <c r="I23" s="250">
        <f>'Baseline Statistics'!J4</f>
        <v>2051</v>
      </c>
    </row>
    <row r="24" spans="2:11">
      <c r="B24" s="248" t="s">
        <v>353</v>
      </c>
      <c r="C24" s="231">
        <f>C10</f>
        <v>25679.38427410198</v>
      </c>
      <c r="D24" s="231">
        <f>$C24*D$17</f>
        <v>27733.735016030139</v>
      </c>
      <c r="E24" s="231">
        <f t="shared" ref="E24:I35" si="2">$C24*E$17</f>
        <v>29788.085757958295</v>
      </c>
      <c r="F24" s="231">
        <f t="shared" si="2"/>
        <v>31328.848814404413</v>
      </c>
      <c r="G24" s="231">
        <f t="shared" si="2"/>
        <v>33126.405713591557</v>
      </c>
      <c r="H24" s="231">
        <f t="shared" si="2"/>
        <v>34923.962612778698</v>
      </c>
      <c r="I24" s="251">
        <f t="shared" si="2"/>
        <v>37235.107197447869</v>
      </c>
      <c r="K24" s="185"/>
    </row>
    <row r="25" spans="2:11">
      <c r="B25" s="248" t="s">
        <v>331</v>
      </c>
      <c r="C25" s="231">
        <f>G5</f>
        <v>3404243.6177032739</v>
      </c>
      <c r="D25" s="231">
        <f t="shared" ref="D25:I36" si="3">$C25*D$17</f>
        <v>3676583.107119536</v>
      </c>
      <c r="E25" s="231">
        <f t="shared" si="2"/>
        <v>3948922.5965357972</v>
      </c>
      <c r="F25" s="231">
        <f t="shared" si="2"/>
        <v>4153177.2135979938</v>
      </c>
      <c r="G25" s="231">
        <f t="shared" si="2"/>
        <v>4391474.2668372234</v>
      </c>
      <c r="H25" s="231">
        <f t="shared" si="2"/>
        <v>4629771.3200764526</v>
      </c>
      <c r="I25" s="251">
        <f t="shared" si="2"/>
        <v>4936153.2456697468</v>
      </c>
      <c r="K25" s="370"/>
    </row>
    <row r="26" spans="2:11">
      <c r="B26" s="248" t="s">
        <v>334</v>
      </c>
      <c r="C26" s="231">
        <f>G6</f>
        <v>18536711.417872287</v>
      </c>
      <c r="D26" s="231">
        <f t="shared" ref="D26:I28" si="4">$C26+$C26*(D$17-1)*$G$10</f>
        <v>19278179.874587178</v>
      </c>
      <c r="E26" s="231">
        <f t="shared" si="4"/>
        <v>20019648.331302069</v>
      </c>
      <c r="F26" s="231">
        <f t="shared" si="4"/>
        <v>20575749.673838239</v>
      </c>
      <c r="G26" s="231">
        <f t="shared" si="4"/>
        <v>21224534.573463768</v>
      </c>
      <c r="H26" s="231">
        <f t="shared" si="4"/>
        <v>21873319.4730893</v>
      </c>
      <c r="I26" s="251">
        <f t="shared" si="4"/>
        <v>22707471.48689355</v>
      </c>
    </row>
    <row r="27" spans="2:11">
      <c r="B27" s="248" t="s">
        <v>337</v>
      </c>
      <c r="C27" s="231">
        <f>G7</f>
        <v>603881.656249461</v>
      </c>
      <c r="D27" s="231">
        <f t="shared" si="4"/>
        <v>628036.92249943945</v>
      </c>
      <c r="E27" s="231">
        <f t="shared" si="4"/>
        <v>652192.1887494179</v>
      </c>
      <c r="F27" s="231">
        <f t="shared" si="4"/>
        <v>670308.63843690173</v>
      </c>
      <c r="G27" s="231">
        <f t="shared" si="4"/>
        <v>691444.49640563282</v>
      </c>
      <c r="H27" s="231">
        <f t="shared" si="4"/>
        <v>712580.35437436402</v>
      </c>
      <c r="I27" s="251">
        <f t="shared" si="4"/>
        <v>739755.02890558972</v>
      </c>
    </row>
    <row r="28" spans="2:11">
      <c r="B28" s="248" t="s">
        <v>340</v>
      </c>
      <c r="C28" s="231">
        <f>G8</f>
        <v>307048.79688692791</v>
      </c>
      <c r="D28" s="231">
        <f t="shared" si="4"/>
        <v>319330.74876240501</v>
      </c>
      <c r="E28" s="231">
        <f t="shared" si="4"/>
        <v>331612.70063788211</v>
      </c>
      <c r="F28" s="231">
        <f t="shared" si="4"/>
        <v>340824.16454448999</v>
      </c>
      <c r="G28" s="231">
        <f t="shared" si="4"/>
        <v>351570.87243553245</v>
      </c>
      <c r="H28" s="231">
        <f t="shared" si="4"/>
        <v>362317.58032657497</v>
      </c>
      <c r="I28" s="251">
        <f t="shared" si="4"/>
        <v>376134.77618648671</v>
      </c>
    </row>
    <row r="29" spans="2:11">
      <c r="B29" s="248" t="s">
        <v>239</v>
      </c>
      <c r="C29" s="231">
        <f>G9</f>
        <v>4350044.3909544628</v>
      </c>
      <c r="D29" s="231">
        <f t="shared" si="3"/>
        <v>4698047.9422308197</v>
      </c>
      <c r="E29" s="231">
        <f t="shared" si="2"/>
        <v>5046051.4935071766</v>
      </c>
      <c r="F29" s="231">
        <f t="shared" si="2"/>
        <v>5307054.1569644446</v>
      </c>
      <c r="G29" s="231">
        <f t="shared" si="2"/>
        <v>5611557.264331257</v>
      </c>
      <c r="H29" s="231">
        <f t="shared" si="2"/>
        <v>5916060.3716980694</v>
      </c>
      <c r="I29" s="251">
        <f t="shared" si="2"/>
        <v>6307564.3668839708</v>
      </c>
    </row>
    <row r="30" spans="2:11">
      <c r="B30" s="248" t="s">
        <v>332</v>
      </c>
      <c r="C30" s="231">
        <f t="shared" ref="C30:I32" si="5">$K5*C$17</f>
        <v>150949820.88301694</v>
      </c>
      <c r="D30" s="231">
        <f t="shared" si="5"/>
        <v>163025806.55365831</v>
      </c>
      <c r="E30" s="231">
        <f t="shared" si="5"/>
        <v>175101792.22429964</v>
      </c>
      <c r="F30" s="231">
        <f t="shared" si="5"/>
        <v>184158781.47728068</v>
      </c>
      <c r="G30" s="231">
        <f t="shared" si="5"/>
        <v>194725268.93909186</v>
      </c>
      <c r="H30" s="231">
        <f t="shared" si="5"/>
        <v>205291756.40090305</v>
      </c>
      <c r="I30" s="251">
        <f t="shared" si="5"/>
        <v>218877240.28037456</v>
      </c>
    </row>
    <row r="31" spans="2:11">
      <c r="B31" s="248" t="s">
        <v>335</v>
      </c>
      <c r="C31" s="231">
        <f t="shared" si="5"/>
        <v>689906.4418816095</v>
      </c>
      <c r="D31" s="231">
        <f t="shared" si="5"/>
        <v>745098.95723213826</v>
      </c>
      <c r="E31" s="231">
        <f t="shared" si="5"/>
        <v>800291.47258266702</v>
      </c>
      <c r="F31" s="231">
        <f t="shared" si="5"/>
        <v>841685.85909556353</v>
      </c>
      <c r="G31" s="231">
        <f t="shared" si="5"/>
        <v>889979.31002727628</v>
      </c>
      <c r="H31" s="231">
        <f t="shared" si="5"/>
        <v>938272.76095898903</v>
      </c>
      <c r="I31" s="251">
        <f t="shared" si="5"/>
        <v>1000364.3407283337</v>
      </c>
    </row>
    <row r="32" spans="2:11">
      <c r="B32" s="248" t="s">
        <v>338</v>
      </c>
      <c r="C32" s="231">
        <f t="shared" si="5"/>
        <v>316156.51419186947</v>
      </c>
      <c r="D32" s="231">
        <f t="shared" si="5"/>
        <v>341449.03532721906</v>
      </c>
      <c r="E32" s="231">
        <f t="shared" si="5"/>
        <v>366741.55646256858</v>
      </c>
      <c r="F32" s="231">
        <f t="shared" si="5"/>
        <v>385710.94731408072</v>
      </c>
      <c r="G32" s="231">
        <f t="shared" si="5"/>
        <v>407841.90330751165</v>
      </c>
      <c r="H32" s="231">
        <f t="shared" si="5"/>
        <v>429972.85930094251</v>
      </c>
      <c r="I32" s="251">
        <f t="shared" si="5"/>
        <v>458426.9455782107</v>
      </c>
    </row>
    <row r="33" spans="1:10">
      <c r="B33" s="248" t="s">
        <v>225</v>
      </c>
      <c r="C33" s="231">
        <f>K8</f>
        <v>3323519.0349807604</v>
      </c>
      <c r="D33" s="231">
        <f t="shared" si="3"/>
        <v>3589400.5577792213</v>
      </c>
      <c r="E33" s="231">
        <f t="shared" si="2"/>
        <v>3855282.0805776818</v>
      </c>
      <c r="F33" s="231">
        <f t="shared" si="2"/>
        <v>4054693.2226765277</v>
      </c>
      <c r="G33" s="231">
        <f t="shared" si="2"/>
        <v>4287339.5551251806</v>
      </c>
      <c r="H33" s="231">
        <f t="shared" si="2"/>
        <v>4519985.8875738345</v>
      </c>
      <c r="I33" s="251">
        <f t="shared" si="2"/>
        <v>4819102.6007221024</v>
      </c>
    </row>
    <row r="34" spans="1:10">
      <c r="B34" s="248" t="s">
        <v>229</v>
      </c>
      <c r="C34" s="231">
        <f>K9</f>
        <v>1518220.6387250628</v>
      </c>
      <c r="D34" s="231">
        <f t="shared" si="3"/>
        <v>1639678.2898230681</v>
      </c>
      <c r="E34" s="231">
        <f t="shared" si="2"/>
        <v>1761135.9409210728</v>
      </c>
      <c r="F34" s="231">
        <f t="shared" si="2"/>
        <v>1852229.1792445767</v>
      </c>
      <c r="G34" s="231">
        <f t="shared" si="2"/>
        <v>1958504.623955331</v>
      </c>
      <c r="H34" s="231">
        <f t="shared" si="2"/>
        <v>2064780.0686660856</v>
      </c>
      <c r="I34" s="251">
        <f t="shared" si="2"/>
        <v>2201419.9261513408</v>
      </c>
    </row>
    <row r="35" spans="1:10">
      <c r="B35" s="248" t="s">
        <v>232</v>
      </c>
      <c r="C35" s="231">
        <f>K10</f>
        <v>1497974.2641030927</v>
      </c>
      <c r="D35" s="231">
        <f t="shared" si="3"/>
        <v>1617812.2052313401</v>
      </c>
      <c r="E35" s="231">
        <f t="shared" si="2"/>
        <v>1737650.1463595873</v>
      </c>
      <c r="F35" s="231">
        <f t="shared" si="2"/>
        <v>1827528.6022057731</v>
      </c>
      <c r="G35" s="231">
        <f t="shared" si="2"/>
        <v>1932386.8006929897</v>
      </c>
      <c r="H35" s="231">
        <f t="shared" si="2"/>
        <v>2037244.9991802063</v>
      </c>
      <c r="I35" s="251">
        <f t="shared" si="2"/>
        <v>2172062.6829494843</v>
      </c>
    </row>
    <row r="36" spans="1:10" ht="15.75" thickBot="1">
      <c r="B36" s="252" t="str">
        <f>'Baseline Usage'!R24</f>
        <v>Heavy Fuel Oil</v>
      </c>
      <c r="C36" s="253">
        <f>'Baseline Usage'!T24</f>
        <v>0</v>
      </c>
      <c r="D36" s="253">
        <f t="shared" si="3"/>
        <v>0</v>
      </c>
      <c r="E36" s="253">
        <f t="shared" si="3"/>
        <v>0</v>
      </c>
      <c r="F36" s="253">
        <f t="shared" si="3"/>
        <v>0</v>
      </c>
      <c r="G36" s="253">
        <f t="shared" si="3"/>
        <v>0</v>
      </c>
      <c r="H36" s="253">
        <f t="shared" si="3"/>
        <v>0</v>
      </c>
      <c r="I36" s="254">
        <f t="shared" si="3"/>
        <v>0</v>
      </c>
    </row>
    <row r="37" spans="1:10">
      <c r="C37" s="231"/>
      <c r="D37" s="231"/>
      <c r="E37" s="231"/>
      <c r="F37" s="231"/>
      <c r="G37" s="231"/>
      <c r="H37" s="231"/>
      <c r="I37" s="231"/>
    </row>
    <row r="38" spans="1:10" ht="15.75" thickBot="1">
      <c r="C38" s="231"/>
      <c r="D38" s="231"/>
      <c r="E38" s="231"/>
      <c r="F38" s="231"/>
      <c r="G38" s="231"/>
      <c r="H38" s="231"/>
      <c r="I38" s="231"/>
    </row>
    <row r="39" spans="1:10">
      <c r="A39" s="339">
        <v>3</v>
      </c>
      <c r="B39" s="125"/>
      <c r="C39" s="596" t="s">
        <v>355</v>
      </c>
      <c r="D39" s="597"/>
      <c r="E39" s="597"/>
      <c r="F39" s="597"/>
      <c r="G39" s="597"/>
      <c r="H39" s="597"/>
      <c r="I39" s="598"/>
      <c r="J39" t="s">
        <v>354</v>
      </c>
    </row>
    <row r="40" spans="1:10">
      <c r="B40" s="126" t="s">
        <v>17</v>
      </c>
      <c r="C40" s="213">
        <f>'Baseline Statistics'!D4</f>
        <v>2022</v>
      </c>
      <c r="D40" s="213">
        <f>'Baseline Statistics'!E4</f>
        <v>2025</v>
      </c>
      <c r="E40" s="213">
        <f>'Baseline Statistics'!F4</f>
        <v>2030</v>
      </c>
      <c r="F40" s="213">
        <f>'Baseline Statistics'!G4</f>
        <v>2035</v>
      </c>
      <c r="G40" s="213">
        <f>'Baseline Statistics'!H4</f>
        <v>2040</v>
      </c>
      <c r="H40" s="213">
        <f>'Baseline Statistics'!I4</f>
        <v>2045</v>
      </c>
      <c r="I40" s="104">
        <f>'Baseline Statistics'!J4</f>
        <v>2051</v>
      </c>
    </row>
    <row r="41" spans="1:10">
      <c r="B41" s="127" t="s">
        <v>18</v>
      </c>
      <c r="C41" s="83">
        <f t="shared" ref="C41:I41" si="6">VLOOKUP($A39,$B42:$I45,COLUMN()-1,TRUE)</f>
        <v>1</v>
      </c>
      <c r="D41" s="83">
        <f t="shared" si="6"/>
        <v>0.97</v>
      </c>
      <c r="E41" s="83">
        <f t="shared" si="6"/>
        <v>0.94</v>
      </c>
      <c r="F41" s="83">
        <f t="shared" si="6"/>
        <v>0.9</v>
      </c>
      <c r="G41" s="83">
        <f t="shared" si="6"/>
        <v>0.87</v>
      </c>
      <c r="H41" s="83">
        <f t="shared" si="6"/>
        <v>0.84</v>
      </c>
      <c r="I41" s="106">
        <f t="shared" si="6"/>
        <v>0.8</v>
      </c>
    </row>
    <row r="42" spans="1:10">
      <c r="B42" s="127">
        <v>1</v>
      </c>
      <c r="C42" s="83">
        <v>1</v>
      </c>
      <c r="D42" s="81">
        <v>1</v>
      </c>
      <c r="E42" s="81">
        <v>1</v>
      </c>
      <c r="F42" s="81">
        <v>1</v>
      </c>
      <c r="G42" s="81">
        <v>1</v>
      </c>
      <c r="H42" s="81">
        <v>1</v>
      </c>
      <c r="I42" s="105">
        <v>1</v>
      </c>
      <c r="J42" t="s">
        <v>285</v>
      </c>
    </row>
    <row r="43" spans="1:10">
      <c r="B43" s="127">
        <v>2</v>
      </c>
      <c r="C43" s="83">
        <v>1</v>
      </c>
      <c r="D43" s="81">
        <v>0.99</v>
      </c>
      <c r="E43" s="81">
        <v>0.98</v>
      </c>
      <c r="F43" s="81">
        <v>0.97</v>
      </c>
      <c r="G43" s="81">
        <v>0.96</v>
      </c>
      <c r="H43" s="81">
        <v>0.95</v>
      </c>
      <c r="I43" s="105">
        <v>0.95</v>
      </c>
      <c r="J43" t="s">
        <v>356</v>
      </c>
    </row>
    <row r="44" spans="1:10">
      <c r="B44" s="127">
        <v>3</v>
      </c>
      <c r="C44" s="83">
        <v>1</v>
      </c>
      <c r="D44" s="83">
        <v>0.97</v>
      </c>
      <c r="E44" s="83">
        <v>0.94</v>
      </c>
      <c r="F44" s="83">
        <v>0.9</v>
      </c>
      <c r="G44" s="83">
        <v>0.87</v>
      </c>
      <c r="H44" s="83">
        <v>0.84</v>
      </c>
      <c r="I44" s="106">
        <v>0.8</v>
      </c>
      <c r="J44" s="295" t="s">
        <v>357</v>
      </c>
    </row>
    <row r="45" spans="1:10" ht="15.75" thickBot="1">
      <c r="B45" s="128">
        <v>4</v>
      </c>
      <c r="C45" s="84">
        <v>1</v>
      </c>
      <c r="D45" s="82">
        <v>0.95</v>
      </c>
      <c r="E45" s="82">
        <v>0.85</v>
      </c>
      <c r="F45" s="82">
        <v>0.75</v>
      </c>
      <c r="G45" s="82">
        <v>0.7</v>
      </c>
      <c r="H45" s="82">
        <v>0.65</v>
      </c>
      <c r="I45" s="107">
        <v>0.6</v>
      </c>
      <c r="J45" s="295" t="s">
        <v>358</v>
      </c>
    </row>
    <row r="46" spans="1:10">
      <c r="B46" s="248"/>
      <c r="I46" s="116"/>
    </row>
    <row r="47" spans="1:10">
      <c r="B47" s="249" t="s">
        <v>352</v>
      </c>
      <c r="C47" s="247">
        <f>C40</f>
        <v>2022</v>
      </c>
      <c r="D47" s="247">
        <f t="shared" ref="D47:I47" si="7">D40</f>
        <v>2025</v>
      </c>
      <c r="E47" s="247">
        <f t="shared" si="7"/>
        <v>2030</v>
      </c>
      <c r="F47" s="247">
        <f t="shared" si="7"/>
        <v>2035</v>
      </c>
      <c r="G47" s="247">
        <f t="shared" si="7"/>
        <v>2040</v>
      </c>
      <c r="H47" s="247">
        <f t="shared" si="7"/>
        <v>2045</v>
      </c>
      <c r="I47" s="250">
        <f t="shared" si="7"/>
        <v>2051</v>
      </c>
    </row>
    <row r="48" spans="1:10">
      <c r="B48" s="448" t="s">
        <v>353</v>
      </c>
      <c r="C48" s="446">
        <f t="shared" ref="C48:I48" si="8">C24*C41</f>
        <v>25679.38427410198</v>
      </c>
      <c r="D48" s="446">
        <f t="shared" si="8"/>
        <v>26901.722965549234</v>
      </c>
      <c r="E48" s="446">
        <f t="shared" si="8"/>
        <v>28000.800612480794</v>
      </c>
      <c r="F48" s="446">
        <f t="shared" si="8"/>
        <v>28195.963932963972</v>
      </c>
      <c r="G48" s="446">
        <f t="shared" si="8"/>
        <v>28819.972970824656</v>
      </c>
      <c r="H48" s="446">
        <f t="shared" si="8"/>
        <v>29336.128594734106</v>
      </c>
      <c r="I48" s="447">
        <f t="shared" si="8"/>
        <v>29788.085757958295</v>
      </c>
    </row>
    <row r="49" spans="1:10">
      <c r="B49" s="248" t="s">
        <v>332</v>
      </c>
      <c r="C49" s="231">
        <f>C30*C$41+'1. Landuse'!C68</f>
        <v>150949820.88301694</v>
      </c>
      <c r="D49" s="231">
        <f>D30*D$41+'1. Landuse'!D68</f>
        <v>158135032.35704854</v>
      </c>
      <c r="E49" s="231">
        <f>E30*E$41+'1. Landuse'!E68</f>
        <v>164595684.69084165</v>
      </c>
      <c r="F49" s="231">
        <f>F30*F$41+'1. Landuse'!F68</f>
        <v>165742903.32955262</v>
      </c>
      <c r="G49" s="231">
        <f>G30*G$41+'1. Landuse'!G68</f>
        <v>169410983.97700992</v>
      </c>
      <c r="H49" s="231">
        <f>H30*H$41+'1. Landuse'!H68</f>
        <v>172445075.37675855</v>
      </c>
      <c r="I49" s="251">
        <f>I30*I$41+'1. Landuse'!I68</f>
        <v>175101792.22429967</v>
      </c>
    </row>
    <row r="50" spans="1:10">
      <c r="B50" s="248" t="s">
        <v>335</v>
      </c>
      <c r="C50" s="231">
        <f t="shared" ref="C50:I51" si="9">C31*C$41</f>
        <v>689906.4418816095</v>
      </c>
      <c r="D50" s="231">
        <f t="shared" si="9"/>
        <v>722745.98851517413</v>
      </c>
      <c r="E50" s="231">
        <f t="shared" si="9"/>
        <v>752273.98422770691</v>
      </c>
      <c r="F50" s="231">
        <f t="shared" si="9"/>
        <v>757517.27318600717</v>
      </c>
      <c r="G50" s="231">
        <f t="shared" si="9"/>
        <v>774281.99972373038</v>
      </c>
      <c r="H50" s="231">
        <f t="shared" si="9"/>
        <v>788149.11920555076</v>
      </c>
      <c r="I50" s="251">
        <f t="shared" si="9"/>
        <v>800291.47258266702</v>
      </c>
    </row>
    <row r="51" spans="1:10">
      <c r="B51" s="248" t="s">
        <v>338</v>
      </c>
      <c r="C51" s="231">
        <f t="shared" si="9"/>
        <v>316156.51419186947</v>
      </c>
      <c r="D51" s="231">
        <f t="shared" si="9"/>
        <v>331205.56426740246</v>
      </c>
      <c r="E51" s="231">
        <f t="shared" si="9"/>
        <v>344737.06307481445</v>
      </c>
      <c r="F51" s="231">
        <f t="shared" si="9"/>
        <v>347139.85258267267</v>
      </c>
      <c r="G51" s="231">
        <f t="shared" si="9"/>
        <v>354822.4558775351</v>
      </c>
      <c r="H51" s="231">
        <f t="shared" si="9"/>
        <v>361177.2018127917</v>
      </c>
      <c r="I51" s="251">
        <f t="shared" si="9"/>
        <v>366741.55646256858</v>
      </c>
    </row>
    <row r="52" spans="1:10">
      <c r="B52" s="248" t="s">
        <v>225</v>
      </c>
      <c r="C52" s="231">
        <f>C33*(C$41*'Baseline Usage'!$L$25+1-'Baseline Usage'!$L$25)</f>
        <v>3323519.03498076</v>
      </c>
      <c r="D52" s="231">
        <f>D33*(D$41*'Baseline Usage'!$L$25+1-'Baseline Usage'!$L$25)</f>
        <v>3523170.8434903189</v>
      </c>
      <c r="E52" s="231">
        <f>E33*(E$41*'Baseline Usage'!$L$25+1-'Baseline Usage'!$L$25)</f>
        <v>3713010.8424755959</v>
      </c>
      <c r="F52" s="231">
        <f>F33*(F$41*'Baseline Usage'!$L$25+1-'Baseline Usage'!$L$25)</f>
        <v>3805309.7306010313</v>
      </c>
      <c r="G52" s="231">
        <f>G33*(G$41*'Baseline Usage'!$L$25+1-'Baseline Usage'!$L$25)</f>
        <v>3944539.4598705848</v>
      </c>
      <c r="H52" s="231">
        <f>H33*(H$41*'Baseline Usage'!$L$25+1-'Baseline Usage'!$L$25)</f>
        <v>4075183.8558063917</v>
      </c>
      <c r="I52" s="251">
        <f>I33*(I$41*'Baseline Usage'!$L$25+1-'Baseline Usage'!$L$25)</f>
        <v>4226305.775296743</v>
      </c>
    </row>
    <row r="53" spans="1:10">
      <c r="B53" s="248" t="s">
        <v>229</v>
      </c>
      <c r="C53" s="231">
        <f>C34*(C$41*'Baseline Usage'!$M$25+1-'Baseline Usage'!$M$25)</f>
        <v>1518220.6387250628</v>
      </c>
      <c r="D53" s="231">
        <f>D34*(D$41*'Baseline Usage'!$M$25+1-'Baseline Usage'!$M$25)</f>
        <v>1590487.9411283759</v>
      </c>
      <c r="E53" s="231">
        <f>E34*(E$41*'Baseline Usage'!$M$25+1-'Baseline Usage'!$M$25)</f>
        <v>1655467.7844658084</v>
      </c>
      <c r="F53" s="231">
        <f>F34*(F$41*'Baseline Usage'!$M$25+1-'Baseline Usage'!$M$25)</f>
        <v>1667006.2613201188</v>
      </c>
      <c r="G53" s="231">
        <f>G34*(G$41*'Baseline Usage'!$M$25+1-'Baseline Usage'!$M$25)</f>
        <v>1703899.0228411383</v>
      </c>
      <c r="H53" s="231">
        <f>H34*(H$41*'Baseline Usage'!$M$25+1-'Baseline Usage'!$M$25)</f>
        <v>1734415.2576795116</v>
      </c>
      <c r="I53" s="251">
        <f>I34*(I$41*'Baseline Usage'!$M$25+1-'Baseline Usage'!$M$25)</f>
        <v>1761135.9409210728</v>
      </c>
    </row>
    <row r="54" spans="1:10" ht="15.75" thickBot="1">
      <c r="B54" s="252" t="s">
        <v>232</v>
      </c>
      <c r="C54" s="253">
        <f>C35*(C$41*'Baseline Usage'!$K$25+1-'Baseline Usage'!$K$25)</f>
        <v>1497974.2641030927</v>
      </c>
      <c r="D54" s="253">
        <f>D35*(D$41*'Baseline Usage'!$K$25+1-'Baseline Usage'!$K$25)</f>
        <v>1600561.4486900799</v>
      </c>
      <c r="E54" s="253">
        <f>E35*(E$41*'Baseline Usage'!$K$25+1-'Baseline Usage'!$K$25)</f>
        <v>1700592.9656413246</v>
      </c>
      <c r="F54" s="253">
        <f>F35*(F$41*'Baseline Usage'!$K$25+1-'Baseline Usage'!$K$25)</f>
        <v>1762572.049797324</v>
      </c>
      <c r="G54" s="253">
        <f>G35*(G$41*'Baseline Usage'!$K$25+1-'Baseline Usage'!$K$25)</f>
        <v>1843098.1626692442</v>
      </c>
      <c r="H54" s="253">
        <f>H35*(H$41*'Baseline Usage'!$K$25+1-'Baseline Usage'!$K$25)</f>
        <v>1921388.0663598902</v>
      </c>
      <c r="I54" s="254">
        <f>I35*(I$41*'Baseline Usage'!$K$25+1-'Baseline Usage'!$K$25)</f>
        <v>2017657.7632900558</v>
      </c>
    </row>
    <row r="55" spans="1:10">
      <c r="C55" s="231"/>
      <c r="D55" s="231"/>
      <c r="E55" s="231"/>
      <c r="F55" s="231"/>
      <c r="G55" s="231"/>
      <c r="H55" s="231"/>
      <c r="I55" s="231"/>
    </row>
    <row r="56" spans="1:10">
      <c r="B56" s="292" t="s">
        <v>359</v>
      </c>
      <c r="C56" s="247">
        <v>2018</v>
      </c>
      <c r="D56" s="247">
        <v>2023</v>
      </c>
      <c r="E56" s="247">
        <v>2028</v>
      </c>
      <c r="F56" s="247">
        <v>2033</v>
      </c>
      <c r="G56" s="247">
        <v>2038</v>
      </c>
      <c r="H56" s="247">
        <v>2043</v>
      </c>
      <c r="I56" s="250">
        <v>2050</v>
      </c>
    </row>
    <row r="57" spans="1:10">
      <c r="B57" t="s">
        <v>360</v>
      </c>
      <c r="C57" s="280">
        <f t="shared" ref="C57:I57" si="10">C17</f>
        <v>1</v>
      </c>
      <c r="D57" s="280">
        <f t="shared" si="10"/>
        <v>1.08</v>
      </c>
      <c r="E57" s="280">
        <f t="shared" si="10"/>
        <v>1.1599999999999999</v>
      </c>
      <c r="F57" s="280">
        <f t="shared" si="10"/>
        <v>1.22</v>
      </c>
      <c r="G57" s="280">
        <f t="shared" si="10"/>
        <v>1.29</v>
      </c>
      <c r="H57" s="280">
        <f t="shared" si="10"/>
        <v>1.36</v>
      </c>
      <c r="I57" s="280">
        <f t="shared" si="10"/>
        <v>1.45</v>
      </c>
    </row>
    <row r="58" spans="1:10">
      <c r="B58" t="s">
        <v>361</v>
      </c>
      <c r="C58" s="280">
        <f t="shared" ref="C58:I58" si="11">C17*C41</f>
        <v>1</v>
      </c>
      <c r="D58" s="280">
        <f t="shared" si="11"/>
        <v>1.0476000000000001</v>
      </c>
      <c r="E58" s="280">
        <f t="shared" si="11"/>
        <v>1.0903999999999998</v>
      </c>
      <c r="F58" s="280">
        <f t="shared" si="11"/>
        <v>1.0980000000000001</v>
      </c>
      <c r="G58" s="280">
        <f t="shared" si="11"/>
        <v>1.1223000000000001</v>
      </c>
      <c r="H58" s="280">
        <f t="shared" si="11"/>
        <v>1.1424000000000001</v>
      </c>
      <c r="I58" s="280">
        <f t="shared" si="11"/>
        <v>1.1599999999999999</v>
      </c>
    </row>
    <row r="59" spans="1:10" ht="15.75" thickBot="1">
      <c r="C59" s="231"/>
      <c r="D59" s="231"/>
      <c r="E59" s="231"/>
      <c r="F59" s="231"/>
      <c r="G59" s="231"/>
      <c r="H59" s="231"/>
      <c r="I59" s="231"/>
    </row>
    <row r="60" spans="1:10">
      <c r="A60" s="339">
        <v>2</v>
      </c>
      <c r="B60" s="125"/>
      <c r="C60" s="596" t="s">
        <v>362</v>
      </c>
      <c r="D60" s="597"/>
      <c r="E60" s="597"/>
      <c r="F60" s="597"/>
      <c r="G60" s="597"/>
      <c r="H60" s="597"/>
      <c r="I60" s="598"/>
    </row>
    <row r="61" spans="1:10">
      <c r="B61" s="126" t="s">
        <v>17</v>
      </c>
      <c r="C61" s="213">
        <f>'Baseline Statistics'!D4</f>
        <v>2022</v>
      </c>
      <c r="D61" s="213">
        <f>'Baseline Statistics'!E4</f>
        <v>2025</v>
      </c>
      <c r="E61" s="213">
        <f>'Baseline Statistics'!F4</f>
        <v>2030</v>
      </c>
      <c r="F61" s="213">
        <f>'Baseline Statistics'!G4</f>
        <v>2035</v>
      </c>
      <c r="G61" s="213">
        <f>'Baseline Statistics'!H4</f>
        <v>2040</v>
      </c>
      <c r="H61" s="213">
        <f>'Baseline Statistics'!I4</f>
        <v>2045</v>
      </c>
      <c r="I61" s="104">
        <f>'Baseline Statistics'!J4</f>
        <v>2051</v>
      </c>
    </row>
    <row r="62" spans="1:10">
      <c r="B62" s="127" t="s">
        <v>18</v>
      </c>
      <c r="C62" s="83">
        <f t="shared" ref="C62:I62" si="12">VLOOKUP($A60,$B63:$I66,COLUMN()-1,TRUE)</f>
        <v>1</v>
      </c>
      <c r="D62" s="83">
        <f t="shared" si="12"/>
        <v>1.02</v>
      </c>
      <c r="E62" s="83">
        <f t="shared" si="12"/>
        <v>1.05</v>
      </c>
      <c r="F62" s="83">
        <f t="shared" si="12"/>
        <v>1.1000000000000001</v>
      </c>
      <c r="G62" s="83">
        <f t="shared" si="12"/>
        <v>1.1499999999999999</v>
      </c>
      <c r="H62" s="83">
        <f t="shared" si="12"/>
        <v>1.18</v>
      </c>
      <c r="I62" s="106">
        <f t="shared" si="12"/>
        <v>1.2</v>
      </c>
    </row>
    <row r="63" spans="1:10">
      <c r="B63" s="127">
        <v>1</v>
      </c>
      <c r="C63" s="83">
        <v>1</v>
      </c>
      <c r="D63" s="81">
        <v>0.99</v>
      </c>
      <c r="E63" s="81">
        <v>0.98</v>
      </c>
      <c r="F63" s="81">
        <v>0.97</v>
      </c>
      <c r="G63" s="81">
        <v>0.96</v>
      </c>
      <c r="H63" s="81">
        <v>0.95</v>
      </c>
      <c r="I63" s="105">
        <v>1</v>
      </c>
      <c r="J63" t="s">
        <v>363</v>
      </c>
    </row>
    <row r="64" spans="1:10">
      <c r="B64" s="127">
        <v>2</v>
      </c>
      <c r="C64" s="83">
        <v>1</v>
      </c>
      <c r="D64" s="83">
        <v>1.02</v>
      </c>
      <c r="E64" s="83">
        <v>1.05</v>
      </c>
      <c r="F64" s="83">
        <v>1.1000000000000001</v>
      </c>
      <c r="G64" s="83">
        <v>1.1499999999999999</v>
      </c>
      <c r="H64" s="83">
        <v>1.18</v>
      </c>
      <c r="I64" s="106">
        <v>1.2</v>
      </c>
      <c r="J64" t="s">
        <v>364</v>
      </c>
    </row>
    <row r="65" spans="1:12">
      <c r="B65" s="127">
        <v>3</v>
      </c>
      <c r="C65" s="83">
        <v>1</v>
      </c>
      <c r="D65" s="81">
        <v>1.1000000000000001</v>
      </c>
      <c r="E65" s="81">
        <v>1.3</v>
      </c>
      <c r="F65" s="81">
        <v>1.5</v>
      </c>
      <c r="G65" s="81">
        <v>1.7</v>
      </c>
      <c r="H65" s="81">
        <v>1.9</v>
      </c>
      <c r="I65" s="105">
        <v>2</v>
      </c>
      <c r="J65" t="s">
        <v>365</v>
      </c>
    </row>
    <row r="66" spans="1:12" ht="15.75" thickBot="1">
      <c r="B66" s="128">
        <v>4</v>
      </c>
      <c r="C66" s="84">
        <v>1</v>
      </c>
      <c r="D66" s="82">
        <v>1.2</v>
      </c>
      <c r="E66" s="82">
        <v>1.6</v>
      </c>
      <c r="F66" s="82">
        <v>2</v>
      </c>
      <c r="G66" s="82">
        <v>2.5</v>
      </c>
      <c r="H66" s="82">
        <v>2.75</v>
      </c>
      <c r="I66" s="107">
        <v>3</v>
      </c>
      <c r="J66" t="s">
        <v>366</v>
      </c>
      <c r="K66" s="231"/>
    </row>
    <row r="67" spans="1:12">
      <c r="B67" s="248"/>
      <c r="I67" s="116"/>
      <c r="K67" s="231"/>
      <c r="L67" s="185"/>
    </row>
    <row r="68" spans="1:12">
      <c r="B68" s="249" t="s">
        <v>352</v>
      </c>
      <c r="C68" s="247">
        <f>C61</f>
        <v>2022</v>
      </c>
      <c r="D68" s="247">
        <f t="shared" ref="D68:I68" si="13">D61</f>
        <v>2025</v>
      </c>
      <c r="E68" s="247">
        <f t="shared" si="13"/>
        <v>2030</v>
      </c>
      <c r="F68" s="247">
        <f t="shared" si="13"/>
        <v>2035</v>
      </c>
      <c r="G68" s="247">
        <f t="shared" si="13"/>
        <v>2040</v>
      </c>
      <c r="H68" s="247">
        <f t="shared" si="13"/>
        <v>2045</v>
      </c>
      <c r="I68" s="250">
        <f t="shared" si="13"/>
        <v>2051</v>
      </c>
      <c r="K68" s="185"/>
    </row>
    <row r="69" spans="1:12">
      <c r="B69" s="248" t="s">
        <v>334</v>
      </c>
      <c r="C69" s="231">
        <f>G6</f>
        <v>18536711.417872287</v>
      </c>
      <c r="D69" s="231">
        <f t="shared" ref="D69:I71" si="14">D26+$C69*(D$62-1)*$G$10</f>
        <v>19463546.988765903</v>
      </c>
      <c r="E69" s="231">
        <f t="shared" si="14"/>
        <v>20483066.116748877</v>
      </c>
      <c r="F69" s="231">
        <f t="shared" si="14"/>
        <v>21502585.244731855</v>
      </c>
      <c r="G69" s="231">
        <f t="shared" si="14"/>
        <v>22614787.929804187</v>
      </c>
      <c r="H69" s="231">
        <f t="shared" si="14"/>
        <v>23541623.500697806</v>
      </c>
      <c r="I69" s="251">
        <f t="shared" si="14"/>
        <v>24561142.628680777</v>
      </c>
      <c r="K69" s="185"/>
    </row>
    <row r="70" spans="1:12">
      <c r="B70" s="248" t="s">
        <v>337</v>
      </c>
      <c r="C70" s="231">
        <f>G7</f>
        <v>603881.656249461</v>
      </c>
      <c r="D70" s="231">
        <f t="shared" si="14"/>
        <v>634075.73906193406</v>
      </c>
      <c r="E70" s="231">
        <f t="shared" si="14"/>
        <v>667289.23015565448</v>
      </c>
      <c r="F70" s="231">
        <f t="shared" si="14"/>
        <v>700502.72124937479</v>
      </c>
      <c r="G70" s="231">
        <f t="shared" si="14"/>
        <v>736735.62062434235</v>
      </c>
      <c r="H70" s="231">
        <f t="shared" si="14"/>
        <v>766929.70343681553</v>
      </c>
      <c r="I70" s="251">
        <f t="shared" si="14"/>
        <v>800143.19453053584</v>
      </c>
      <c r="K70" s="185"/>
    </row>
    <row r="71" spans="1:12">
      <c r="B71" s="248" t="s">
        <v>340</v>
      </c>
      <c r="C71" s="231">
        <f>G8</f>
        <v>307048.79688692791</v>
      </c>
      <c r="D71" s="231">
        <f t="shared" si="14"/>
        <v>322401.23673127429</v>
      </c>
      <c r="E71" s="231">
        <f t="shared" si="14"/>
        <v>339288.9205600553</v>
      </c>
      <c r="F71" s="231">
        <f t="shared" si="14"/>
        <v>356176.60438883642</v>
      </c>
      <c r="G71" s="231">
        <f t="shared" si="14"/>
        <v>374599.53220205201</v>
      </c>
      <c r="H71" s="231">
        <f t="shared" si="14"/>
        <v>389951.9720463985</v>
      </c>
      <c r="I71" s="251">
        <f t="shared" si="14"/>
        <v>406839.65587517951</v>
      </c>
      <c r="K71" s="185"/>
    </row>
    <row r="72" spans="1:12" ht="15.75" thickBot="1">
      <c r="B72" s="252" t="str">
        <f>B36</f>
        <v>Heavy Fuel Oil</v>
      </c>
      <c r="C72" s="253">
        <f>C36</f>
        <v>0</v>
      </c>
      <c r="D72" s="253">
        <f t="shared" ref="D72:I72" si="15">D36+$C72*(D$62-1)*$G$10</f>
        <v>0</v>
      </c>
      <c r="E72" s="253">
        <f t="shared" si="15"/>
        <v>0</v>
      </c>
      <c r="F72" s="253">
        <f t="shared" si="15"/>
        <v>0</v>
      </c>
      <c r="G72" s="253">
        <f t="shared" si="15"/>
        <v>0</v>
      </c>
      <c r="H72" s="253">
        <f t="shared" si="15"/>
        <v>0</v>
      </c>
      <c r="I72" s="254">
        <f t="shared" si="15"/>
        <v>0</v>
      </c>
    </row>
    <row r="73" spans="1:12">
      <c r="C73" s="231"/>
      <c r="D73" s="231"/>
      <c r="E73" s="231"/>
      <c r="F73" s="231"/>
      <c r="G73" s="231"/>
      <c r="H73" s="231"/>
      <c r="I73" s="231"/>
    </row>
    <row r="74" spans="1:12">
      <c r="B74" t="s">
        <v>367</v>
      </c>
      <c r="C74" s="231">
        <f t="shared" ref="C74:I74" si="16">C61</f>
        <v>2022</v>
      </c>
      <c r="D74" s="231">
        <f t="shared" si="16"/>
        <v>2025</v>
      </c>
      <c r="E74" s="231">
        <f t="shared" si="16"/>
        <v>2030</v>
      </c>
      <c r="F74" s="231">
        <f t="shared" si="16"/>
        <v>2035</v>
      </c>
      <c r="G74" s="231">
        <f t="shared" si="16"/>
        <v>2040</v>
      </c>
      <c r="H74" s="231">
        <f t="shared" si="16"/>
        <v>2045</v>
      </c>
      <c r="I74" s="231">
        <f t="shared" si="16"/>
        <v>2051</v>
      </c>
    </row>
    <row r="75" spans="1:12">
      <c r="B75" t="s">
        <v>368</v>
      </c>
      <c r="C75" s="280">
        <f>'Baseline Statistics'!D$17/'Baseline Statistics'!$D$17</f>
        <v>1</v>
      </c>
      <c r="D75" s="280">
        <f>'Baseline Statistics'!E$17/'Baseline Statistics'!$D$17</f>
        <v>1.0292015453960077</v>
      </c>
      <c r="E75" s="280">
        <f>'Baseline Statistics'!F$17/'Baseline Statistics'!$D$17</f>
        <v>1.076840523717536</v>
      </c>
      <c r="F75" s="280">
        <f>'Baseline Statistics'!G$17/'Baseline Statistics'!$D$17</f>
        <v>1.1161193389139301</v>
      </c>
      <c r="G75" s="280">
        <f>'Baseline Statistics'!H$17/'Baseline Statistics'!$D$17</f>
        <v>1.1553981541103242</v>
      </c>
      <c r="H75" s="280">
        <f>'Baseline Statistics'!I$17/'Baseline Statistics'!$D$17</f>
        <v>1.1946769693067181</v>
      </c>
      <c r="I75" s="280">
        <f>'Baseline Statistics'!J$17/'Baseline Statistics'!$D$17</f>
        <v>1.2339557845031122</v>
      </c>
    </row>
    <row r="76" spans="1:12" ht="15.75" thickBot="1">
      <c r="K76" t="s">
        <v>370</v>
      </c>
    </row>
    <row r="77" spans="1:12">
      <c r="A77" s="339">
        <v>2</v>
      </c>
      <c r="B77" s="125"/>
      <c r="C77" s="596" t="s">
        <v>371</v>
      </c>
      <c r="D77" s="597"/>
      <c r="E77" s="597"/>
      <c r="F77" s="597"/>
      <c r="G77" s="597"/>
      <c r="H77" s="597"/>
      <c r="I77" s="598"/>
    </row>
    <row r="78" spans="1:12">
      <c r="B78" s="126" t="s">
        <v>17</v>
      </c>
      <c r="C78" s="213">
        <f>'Baseline Statistics'!D4</f>
        <v>2022</v>
      </c>
      <c r="D78" s="213">
        <f>'Baseline Statistics'!E4</f>
        <v>2025</v>
      </c>
      <c r="E78" s="213">
        <f>'Baseline Statistics'!F4</f>
        <v>2030</v>
      </c>
      <c r="F78" s="213">
        <f>'Baseline Statistics'!G4</f>
        <v>2035</v>
      </c>
      <c r="G78" s="213">
        <f>'Baseline Statistics'!H4</f>
        <v>2040</v>
      </c>
      <c r="H78" s="213">
        <f>'Baseline Statistics'!I4</f>
        <v>2045</v>
      </c>
      <c r="I78" s="104">
        <f>'Baseline Statistics'!J4</f>
        <v>2051</v>
      </c>
    </row>
    <row r="79" spans="1:12">
      <c r="B79" s="127" t="s">
        <v>18</v>
      </c>
      <c r="C79" s="83">
        <f t="shared" ref="C79:I79" si="17">VLOOKUP($A77,$B80:$I83,COLUMN()-1,TRUE)</f>
        <v>1</v>
      </c>
      <c r="D79" s="83">
        <f t="shared" si="17"/>
        <v>1.04</v>
      </c>
      <c r="E79" s="83">
        <f t="shared" si="17"/>
        <v>1.07</v>
      </c>
      <c r="F79" s="83">
        <f t="shared" si="17"/>
        <v>1.0900000000000001</v>
      </c>
      <c r="G79" s="83">
        <f t="shared" si="17"/>
        <v>1.1200000000000001</v>
      </c>
      <c r="H79" s="83">
        <f t="shared" si="17"/>
        <v>1.1499999999999999</v>
      </c>
      <c r="I79" s="106">
        <f t="shared" si="17"/>
        <v>1.2</v>
      </c>
    </row>
    <row r="80" spans="1:12">
      <c r="B80" s="127">
        <v>1</v>
      </c>
      <c r="C80" s="83">
        <v>1</v>
      </c>
      <c r="D80" s="81">
        <v>1</v>
      </c>
      <c r="E80" s="81">
        <v>1</v>
      </c>
      <c r="F80" s="81">
        <v>1</v>
      </c>
      <c r="G80" s="81">
        <v>1</v>
      </c>
      <c r="H80" s="81">
        <v>1</v>
      </c>
      <c r="I80" s="105">
        <v>1</v>
      </c>
      <c r="J80" t="s">
        <v>369</v>
      </c>
    </row>
    <row r="81" spans="2:10">
      <c r="B81" s="127">
        <v>2</v>
      </c>
      <c r="C81" s="83">
        <v>1</v>
      </c>
      <c r="D81" s="83">
        <v>1.04</v>
      </c>
      <c r="E81" s="83">
        <v>1.07</v>
      </c>
      <c r="F81" s="83">
        <v>1.0900000000000001</v>
      </c>
      <c r="G81" s="83">
        <v>1.1200000000000001</v>
      </c>
      <c r="H81" s="83">
        <v>1.1499999999999999</v>
      </c>
      <c r="I81" s="106">
        <v>1.2</v>
      </c>
      <c r="J81" t="s">
        <v>372</v>
      </c>
    </row>
    <row r="82" spans="2:10">
      <c r="B82" s="127">
        <v>3</v>
      </c>
      <c r="C82" s="83">
        <v>1</v>
      </c>
      <c r="D82" s="81">
        <v>1.2</v>
      </c>
      <c r="E82" s="81">
        <v>1.4</v>
      </c>
      <c r="F82" s="81">
        <v>1.6</v>
      </c>
      <c r="G82" s="81">
        <v>1.8</v>
      </c>
      <c r="H82" s="81">
        <v>1.9</v>
      </c>
      <c r="I82" s="105">
        <v>2</v>
      </c>
      <c r="J82" t="s">
        <v>373</v>
      </c>
    </row>
    <row r="83" spans="2:10" ht="15.75" thickBot="1">
      <c r="B83" s="128">
        <v>4</v>
      </c>
      <c r="C83" s="84">
        <v>1</v>
      </c>
      <c r="D83" s="82">
        <v>1.25</v>
      </c>
      <c r="E83" s="82">
        <v>1.5</v>
      </c>
      <c r="F83" s="82">
        <v>1.75</v>
      </c>
      <c r="G83" s="82">
        <v>2</v>
      </c>
      <c r="H83" s="82">
        <v>2.5</v>
      </c>
      <c r="I83" s="107">
        <v>3</v>
      </c>
      <c r="J83" t="s">
        <v>374</v>
      </c>
    </row>
    <row r="84" spans="2:10">
      <c r="B84" s="248"/>
      <c r="I84" s="116"/>
    </row>
    <row r="85" spans="2:10">
      <c r="B85" s="249" t="s">
        <v>352</v>
      </c>
      <c r="C85" s="247">
        <f>'Baseline Statistics'!D4</f>
        <v>2022</v>
      </c>
      <c r="D85" s="247">
        <f>'Baseline Statistics'!E4</f>
        <v>2025</v>
      </c>
      <c r="E85" s="247">
        <f>'Baseline Statistics'!F4</f>
        <v>2030</v>
      </c>
      <c r="F85" s="247">
        <f>'Baseline Statistics'!G4</f>
        <v>2035</v>
      </c>
      <c r="G85" s="247">
        <f>'Baseline Statistics'!H4</f>
        <v>2040</v>
      </c>
      <c r="H85" s="247">
        <f>'Baseline Statistics'!I4</f>
        <v>2045</v>
      </c>
      <c r="I85" s="250">
        <f>'Baseline Statistics'!J4</f>
        <v>2051</v>
      </c>
    </row>
    <row r="86" spans="2:10">
      <c r="B86" s="248" t="s">
        <v>239</v>
      </c>
      <c r="C86" s="231">
        <f>G9*C75</f>
        <v>4350044.3909544628</v>
      </c>
      <c r="D86" s="231">
        <f>$C86*D$79*D75</f>
        <v>4656155.3061000314</v>
      </c>
      <c r="E86" s="231">
        <f t="shared" ref="E86:H86" si="18">$C86*E$79*E75</f>
        <v>5012205.3657604288</v>
      </c>
      <c r="F86" s="231">
        <f t="shared" si="18"/>
        <v>5292133.8501673965</v>
      </c>
      <c r="G86" s="231">
        <f t="shared" si="18"/>
        <v>5629157.2507595671</v>
      </c>
      <c r="H86" s="231">
        <f t="shared" si="18"/>
        <v>5976432.5267354408</v>
      </c>
      <c r="I86" s="251">
        <f>$C86*I$79*I75</f>
        <v>6441314.9268762926</v>
      </c>
    </row>
    <row r="87" spans="2:10" ht="15.75" thickBot="1">
      <c r="B87" s="252" t="s">
        <v>375</v>
      </c>
      <c r="C87" s="253">
        <f>'Baseline Statistics'!$D21*C79-'Baseline Statistics'!$D21</f>
        <v>0</v>
      </c>
      <c r="D87" s="253">
        <f>'Baseline Statistics'!$D21*D79-'Baseline Statistics'!$D21</f>
        <v>355.49484457846665</v>
      </c>
      <c r="E87" s="253">
        <f>'Baseline Statistics'!$D21*E79-'Baseline Statistics'!$D21</f>
        <v>622.11597801231801</v>
      </c>
      <c r="F87" s="253">
        <f>'Baseline Statistics'!$D21*F79-'Baseline Statistics'!$D21</f>
        <v>799.86340030155043</v>
      </c>
      <c r="G87" s="253">
        <f>'Baseline Statistics'!$D21*G79-'Baseline Statistics'!$D21</f>
        <v>1066.4845337354018</v>
      </c>
      <c r="H87" s="253">
        <f>'Baseline Statistics'!$D21*H79-'Baseline Statistics'!$D21</f>
        <v>1333.1056671692495</v>
      </c>
      <c r="I87" s="254">
        <f>'Baseline Statistics'!$D21*I79-'Baseline Statistics'!$D21</f>
        <v>1777.4742228923333</v>
      </c>
    </row>
    <row r="114" spans="8:8">
      <c r="H114" s="185"/>
    </row>
    <row r="222" spans="1:1">
      <c r="A222">
        <v>1</v>
      </c>
    </row>
  </sheetData>
  <protectedRanges>
    <protectedRange sqref="A1:A1048576" name="Range1"/>
  </protectedRanges>
  <mergeCells count="13">
    <mergeCell ref="C60:I60"/>
    <mergeCell ref="C77:I77"/>
    <mergeCell ref="C2:C4"/>
    <mergeCell ref="K2:K4"/>
    <mergeCell ref="J2:J4"/>
    <mergeCell ref="L2:L4"/>
    <mergeCell ref="C39:I39"/>
    <mergeCell ref="B2:B4"/>
    <mergeCell ref="D2:D4"/>
    <mergeCell ref="F2:F4"/>
    <mergeCell ref="G2:G4"/>
    <mergeCell ref="H2:H4"/>
    <mergeCell ref="C15:I15"/>
  </mergeCell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AB3B3-D312-4E9B-A079-0E27E0914841}">
  <sheetPr codeName="Sheet7">
    <tabColor theme="9" tint="0.59999389629810485"/>
  </sheetPr>
  <dimension ref="A1:L433"/>
  <sheetViews>
    <sheetView zoomScaleNormal="100" workbookViewId="0">
      <selection activeCell="A215" sqref="A215"/>
    </sheetView>
  </sheetViews>
  <sheetFormatPr defaultRowHeight="15"/>
  <cols>
    <col min="1" max="1" width="8.7109375" style="70" customWidth="1"/>
    <col min="2" max="2" width="29.85546875" style="70" customWidth="1"/>
    <col min="3" max="3" width="12.5703125" style="70" customWidth="1"/>
    <col min="4" max="9" width="14.85546875" style="70" customWidth="1"/>
    <col min="10" max="10" width="14.140625" style="70" customWidth="1"/>
    <col min="11" max="11" width="21.85546875" customWidth="1"/>
  </cols>
  <sheetData>
    <row r="1" spans="1:10" ht="15.75" thickBot="1">
      <c r="E1"/>
      <c r="F1"/>
      <c r="G1"/>
      <c r="H1"/>
      <c r="I1"/>
      <c r="J1"/>
    </row>
    <row r="2" spans="1:10">
      <c r="B2" s="631" t="s">
        <v>376</v>
      </c>
      <c r="C2" s="635">
        <f>C22</f>
        <v>2022</v>
      </c>
      <c r="D2" s="633" t="s">
        <v>202</v>
      </c>
      <c r="E2"/>
      <c r="F2"/>
      <c r="G2"/>
      <c r="H2"/>
      <c r="I2"/>
      <c r="J2"/>
    </row>
    <row r="3" spans="1:10">
      <c r="A3" s="71"/>
      <c r="B3" s="632"/>
      <c r="C3" s="604"/>
      <c r="D3" s="634"/>
      <c r="E3"/>
      <c r="F3"/>
      <c r="G3"/>
      <c r="H3"/>
      <c r="I3"/>
      <c r="J3"/>
    </row>
    <row r="4" spans="1:10">
      <c r="B4" s="632"/>
      <c r="C4" s="604"/>
      <c r="D4" s="634"/>
      <c r="E4"/>
      <c r="F4"/>
      <c r="G4"/>
      <c r="H4"/>
      <c r="I4"/>
      <c r="J4"/>
    </row>
    <row r="5" spans="1:10" ht="14.45" customHeight="1">
      <c r="B5" s="256" t="s">
        <v>377</v>
      </c>
      <c r="C5" s="72">
        <f>'Baseline Usage'!T11</f>
        <v>36790440.061202846</v>
      </c>
      <c r="D5" s="257" t="s">
        <v>227</v>
      </c>
      <c r="E5"/>
      <c r="F5"/>
      <c r="G5"/>
      <c r="H5"/>
      <c r="I5"/>
      <c r="J5"/>
    </row>
    <row r="6" spans="1:10">
      <c r="B6" s="258" t="s">
        <v>378</v>
      </c>
      <c r="C6" s="90">
        <f>'Baseline Usage'!T12</f>
        <v>8353453.6432471676</v>
      </c>
      <c r="D6" s="259" t="s">
        <v>227</v>
      </c>
      <c r="E6"/>
      <c r="F6"/>
      <c r="G6"/>
      <c r="H6"/>
      <c r="I6"/>
      <c r="J6"/>
    </row>
    <row r="7" spans="1:10">
      <c r="B7" s="256" t="s">
        <v>379</v>
      </c>
      <c r="C7" s="72">
        <f>'Baseline Usage'!T13</f>
        <v>3404243.6177032739</v>
      </c>
      <c r="D7" s="257" t="s">
        <v>227</v>
      </c>
      <c r="E7"/>
      <c r="F7"/>
      <c r="G7"/>
      <c r="H7"/>
      <c r="I7"/>
      <c r="J7"/>
    </row>
    <row r="8" spans="1:10">
      <c r="B8" s="258" t="s">
        <v>380</v>
      </c>
      <c r="C8" s="90">
        <f>'Baseline Usage'!T14</f>
        <v>18536711.417872287</v>
      </c>
      <c r="D8" s="259" t="s">
        <v>227</v>
      </c>
      <c r="E8"/>
      <c r="F8"/>
      <c r="G8"/>
      <c r="H8"/>
      <c r="I8"/>
      <c r="J8"/>
    </row>
    <row r="9" spans="1:10" ht="15" customHeight="1">
      <c r="B9" s="256" t="s">
        <v>381</v>
      </c>
      <c r="C9" s="72">
        <f>'Baseline Usage'!T15</f>
        <v>875123.71500684612</v>
      </c>
      <c r="D9" s="257" t="s">
        <v>227</v>
      </c>
      <c r="E9"/>
      <c r="F9"/>
      <c r="G9"/>
      <c r="H9"/>
      <c r="I9"/>
      <c r="J9"/>
    </row>
    <row r="10" spans="1:10">
      <c r="B10" s="258" t="s">
        <v>382</v>
      </c>
      <c r="C10" s="90">
        <f>'Baseline Usage'!T16</f>
        <v>5648525.7968623694</v>
      </c>
      <c r="D10" s="259" t="s">
        <v>227</v>
      </c>
      <c r="E10"/>
      <c r="F10"/>
      <c r="G10"/>
      <c r="H10"/>
      <c r="I10"/>
      <c r="J10"/>
    </row>
    <row r="11" spans="1:10" ht="15" customHeight="1">
      <c r="B11" s="256" t="s">
        <v>383</v>
      </c>
      <c r="C11" s="72">
        <f>'Baseline Usage'!T17</f>
        <v>533194.78349569347</v>
      </c>
      <c r="D11" s="257" t="s">
        <v>227</v>
      </c>
      <c r="E11"/>
      <c r="F11"/>
      <c r="G11"/>
      <c r="H11"/>
      <c r="I11"/>
      <c r="J11"/>
    </row>
    <row r="12" spans="1:10">
      <c r="B12" s="260" t="s">
        <v>337</v>
      </c>
      <c r="C12" s="90">
        <f>'Baseline Usage'!T18</f>
        <v>603881.656249461</v>
      </c>
      <c r="D12" s="261" t="s">
        <v>227</v>
      </c>
      <c r="E12"/>
      <c r="F12"/>
      <c r="G12"/>
      <c r="H12"/>
      <c r="I12"/>
      <c r="J12"/>
    </row>
    <row r="13" spans="1:10">
      <c r="B13" s="260" t="s">
        <v>340</v>
      </c>
      <c r="C13" s="72">
        <f>'Baseline Usage'!T19</f>
        <v>307048.79688692791</v>
      </c>
      <c r="D13" s="407" t="s">
        <v>317</v>
      </c>
      <c r="E13"/>
      <c r="F13"/>
      <c r="G13"/>
      <c r="H13"/>
      <c r="I13"/>
      <c r="J13"/>
    </row>
    <row r="14" spans="1:10">
      <c r="B14" s="256" t="s">
        <v>239</v>
      </c>
      <c r="C14" s="90">
        <f>'2. Industry'!C86</f>
        <v>4350044.3909544628</v>
      </c>
      <c r="D14" s="410" t="s">
        <v>227</v>
      </c>
      <c r="E14"/>
      <c r="F14"/>
      <c r="G14"/>
      <c r="H14"/>
      <c r="I14"/>
      <c r="J14"/>
    </row>
    <row r="15" spans="1:10">
      <c r="B15" s="260" t="s">
        <v>242</v>
      </c>
      <c r="C15" s="72">
        <f>'Baseline Usage'!T21</f>
        <v>578623.93901467754</v>
      </c>
      <c r="D15" s="407" t="s">
        <v>227</v>
      </c>
      <c r="E15"/>
      <c r="F15"/>
      <c r="G15"/>
      <c r="H15"/>
      <c r="I15"/>
      <c r="J15"/>
    </row>
    <row r="16" spans="1:10">
      <c r="B16" s="262" t="s">
        <v>233</v>
      </c>
      <c r="C16" s="90">
        <f>'Baseline Usage'!T22</f>
        <v>538033.26885880088</v>
      </c>
      <c r="D16" s="409" t="s">
        <v>227</v>
      </c>
      <c r="E16"/>
      <c r="F16"/>
      <c r="G16"/>
      <c r="H16"/>
      <c r="I16"/>
      <c r="J16"/>
    </row>
    <row r="17" spans="2:10">
      <c r="B17" s="450" t="s">
        <v>248</v>
      </c>
      <c r="C17" s="90">
        <f>'Baseline Usage'!T23</f>
        <v>0</v>
      </c>
      <c r="D17" s="409" t="s">
        <v>227</v>
      </c>
      <c r="E17"/>
      <c r="F17"/>
      <c r="G17"/>
      <c r="H17"/>
      <c r="I17"/>
      <c r="J17"/>
    </row>
    <row r="18" spans="2:10">
      <c r="B18" s="450" t="s">
        <v>252</v>
      </c>
      <c r="C18" s="90">
        <f>'Baseline Usage'!T24</f>
        <v>0</v>
      </c>
      <c r="D18" s="409" t="s">
        <v>227</v>
      </c>
      <c r="E18"/>
      <c r="F18"/>
      <c r="G18"/>
      <c r="H18"/>
      <c r="I18"/>
      <c r="J18"/>
    </row>
    <row r="19" spans="2:10" ht="15.75" thickBot="1">
      <c r="B19" s="449" t="s">
        <v>384</v>
      </c>
      <c r="C19" s="72">
        <f>'Baseline Usage'!T25</f>
        <v>552915870.3663671</v>
      </c>
      <c r="D19" s="408" t="s">
        <v>385</v>
      </c>
      <c r="E19"/>
      <c r="F19"/>
      <c r="G19"/>
      <c r="H19"/>
      <c r="I19"/>
      <c r="J19"/>
    </row>
    <row r="20" spans="2:10">
      <c r="B20" s="91"/>
      <c r="C20" s="93"/>
      <c r="D20" s="94"/>
      <c r="E20" s="95"/>
      <c r="F20" s="95"/>
      <c r="G20" s="94"/>
      <c r="H20" s="96"/>
      <c r="I20"/>
      <c r="J20" s="96"/>
    </row>
    <row r="21" spans="2:10">
      <c r="B21" s="91"/>
      <c r="C21" s="92"/>
      <c r="D21" s="93"/>
      <c r="E21" s="94"/>
      <c r="F21" s="95"/>
      <c r="G21" s="95"/>
      <c r="H21" s="95"/>
      <c r="I21" s="94"/>
      <c r="J21" s="96"/>
    </row>
    <row r="22" spans="2:10">
      <c r="B22" s="620" t="s">
        <v>386</v>
      </c>
      <c r="C22" s="623">
        <f>'Baseline Statistics'!D$4</f>
        <v>2022</v>
      </c>
      <c r="D22" s="623">
        <f>'Baseline Statistics'!E$4</f>
        <v>2025</v>
      </c>
      <c r="E22" s="623">
        <f>'Baseline Statistics'!F$4</f>
        <v>2030</v>
      </c>
      <c r="F22" s="623">
        <f>'Baseline Statistics'!G$4</f>
        <v>2035</v>
      </c>
      <c r="G22" s="623">
        <f>'Baseline Statistics'!H$4</f>
        <v>2040</v>
      </c>
      <c r="H22" s="623">
        <f>'Baseline Statistics'!I$4</f>
        <v>2045</v>
      </c>
      <c r="I22" s="623">
        <f>'Baseline Statistics'!J$4</f>
        <v>2051</v>
      </c>
      <c r="J22" s="96"/>
    </row>
    <row r="23" spans="2:10">
      <c r="B23" s="620"/>
      <c r="C23" s="624"/>
      <c r="D23" s="624"/>
      <c r="E23" s="624"/>
      <c r="F23" s="624"/>
      <c r="G23" s="624"/>
      <c r="H23" s="624"/>
      <c r="I23" s="624"/>
      <c r="J23" s="96"/>
    </row>
    <row r="24" spans="2:10">
      <c r="B24" s="620"/>
      <c r="C24" s="625"/>
      <c r="D24" s="625"/>
      <c r="E24" s="625"/>
      <c r="F24" s="625"/>
      <c r="G24" s="625"/>
      <c r="H24" s="625"/>
      <c r="I24" s="625"/>
      <c r="J24" s="96"/>
    </row>
    <row r="25" spans="2:10">
      <c r="B25" s="66" t="s">
        <v>382</v>
      </c>
      <c r="C25" s="74">
        <f>'Landuse a. Agriculture'!D31</f>
        <v>5648525.7968623694</v>
      </c>
      <c r="D25" s="74">
        <f>'Landuse a. Agriculture'!E31</f>
        <v>5493463.6347323479</v>
      </c>
      <c r="E25" s="74">
        <f>'Landuse a. Agriculture'!F31</f>
        <v>5182314.5821323059</v>
      </c>
      <c r="F25" s="74">
        <f>'Landuse a. Agriculture'!G31</f>
        <v>4611167.6520819422</v>
      </c>
      <c r="G25" s="74">
        <f>'Landuse a. Agriculture'!H31</f>
        <v>3855942.8138085552</v>
      </c>
      <c r="H25" s="74">
        <f>'Landuse a. Agriculture'!I31</f>
        <v>3017886.3491820088</v>
      </c>
      <c r="I25" s="74">
        <f>'Landuse a. Agriculture'!J31</f>
        <v>2177949.594947862</v>
      </c>
      <c r="J25" s="96"/>
    </row>
    <row r="26" spans="2:10">
      <c r="B26" s="65" t="s">
        <v>383</v>
      </c>
      <c r="C26" s="74">
        <f>'Landuse a. Agriculture'!D32</f>
        <v>533194.78349569347</v>
      </c>
      <c r="D26" s="74">
        <f>'Landuse a. Agriculture'!E32</f>
        <v>518557.63055727247</v>
      </c>
      <c r="E26" s="74">
        <f>'Landuse a. Agriculture'!F32</f>
        <v>489186.59505131352</v>
      </c>
      <c r="F26" s="74">
        <f>'Landuse a. Agriculture'!G32</f>
        <v>435272.9590577248</v>
      </c>
      <c r="G26" s="74">
        <f>'Landuse a. Agriculture'!H32</f>
        <v>363983.21751889191</v>
      </c>
      <c r="H26" s="74">
        <f>'Landuse a. Agriculture'!I32</f>
        <v>284874.55248244439</v>
      </c>
      <c r="I26" s="74">
        <f>'Landuse a. Agriculture'!J32</f>
        <v>205588.39677917713</v>
      </c>
      <c r="J26" s="96"/>
    </row>
    <row r="27" spans="2:10">
      <c r="B27" s="91"/>
      <c r="C27" s="92"/>
      <c r="D27" s="93"/>
      <c r="E27" s="94"/>
      <c r="F27" s="95"/>
      <c r="G27" s="95"/>
      <c r="H27" s="95"/>
      <c r="I27" s="94"/>
      <c r="J27"/>
    </row>
    <row r="28" spans="2:10">
      <c r="B28" s="620" t="s">
        <v>387</v>
      </c>
      <c r="C28" s="623">
        <f>'Baseline Statistics'!D$4</f>
        <v>2022</v>
      </c>
      <c r="D28" s="623">
        <f>'Baseline Statistics'!E$4</f>
        <v>2025</v>
      </c>
      <c r="E28" s="623">
        <f>'Baseline Statistics'!F$4</f>
        <v>2030</v>
      </c>
      <c r="F28" s="623">
        <f>'Baseline Statistics'!G$4</f>
        <v>2035</v>
      </c>
      <c r="G28" s="623">
        <f>'Baseline Statistics'!H$4</f>
        <v>2040</v>
      </c>
      <c r="H28" s="623">
        <f>'Baseline Statistics'!I$4</f>
        <v>2045</v>
      </c>
      <c r="I28" s="623">
        <f>'Baseline Statistics'!J$4</f>
        <v>2051</v>
      </c>
      <c r="J28"/>
    </row>
    <row r="29" spans="2:10">
      <c r="B29" s="620"/>
      <c r="C29" s="624"/>
      <c r="D29" s="624"/>
      <c r="E29" s="624"/>
      <c r="F29" s="624"/>
      <c r="G29" s="624"/>
      <c r="H29" s="624"/>
      <c r="I29" s="624"/>
      <c r="J29"/>
    </row>
    <row r="30" spans="2:10">
      <c r="B30" s="620"/>
      <c r="C30" s="625"/>
      <c r="D30" s="625"/>
      <c r="E30" s="625"/>
      <c r="F30" s="625"/>
      <c r="G30" s="625"/>
      <c r="H30" s="625"/>
      <c r="I30" s="625"/>
      <c r="J30"/>
    </row>
    <row r="31" spans="2:10">
      <c r="B31" s="65" t="s">
        <v>377</v>
      </c>
      <c r="C31" s="72">
        <f t="shared" ref="C31:I32" si="0">$C5</f>
        <v>36790440.061202846</v>
      </c>
      <c r="D31" s="72">
        <f t="shared" si="0"/>
        <v>36790440.061202846</v>
      </c>
      <c r="E31" s="72">
        <f t="shared" si="0"/>
        <v>36790440.061202846</v>
      </c>
      <c r="F31" s="72">
        <f t="shared" si="0"/>
        <v>36790440.061202846</v>
      </c>
      <c r="G31" s="72">
        <f t="shared" si="0"/>
        <v>36790440.061202846</v>
      </c>
      <c r="H31" s="72">
        <f t="shared" si="0"/>
        <v>36790440.061202846</v>
      </c>
      <c r="I31" s="72">
        <f t="shared" si="0"/>
        <v>36790440.061202846</v>
      </c>
      <c r="J31"/>
    </row>
    <row r="32" spans="2:10">
      <c r="B32" s="66" t="s">
        <v>378</v>
      </c>
      <c r="C32" s="73">
        <f t="shared" si="0"/>
        <v>8353453.6432471676</v>
      </c>
      <c r="D32" s="73">
        <f t="shared" si="0"/>
        <v>8353453.6432471676</v>
      </c>
      <c r="E32" s="73">
        <f t="shared" si="0"/>
        <v>8353453.6432471676</v>
      </c>
      <c r="F32" s="73">
        <f t="shared" si="0"/>
        <v>8353453.6432471676</v>
      </c>
      <c r="G32" s="73">
        <f t="shared" si="0"/>
        <v>8353453.6432471676</v>
      </c>
      <c r="H32" s="73">
        <f t="shared" si="0"/>
        <v>8353453.6432471676</v>
      </c>
      <c r="I32" s="73">
        <f t="shared" si="0"/>
        <v>8353453.6432471676</v>
      </c>
      <c r="J32"/>
    </row>
    <row r="33" spans="2:10">
      <c r="B33" s="65" t="s">
        <v>379</v>
      </c>
      <c r="C33" s="72">
        <f>$C7</f>
        <v>3404243.6177032739</v>
      </c>
      <c r="D33" s="72">
        <f t="shared" ref="D33:I33" si="1">$C7</f>
        <v>3404243.6177032739</v>
      </c>
      <c r="E33" s="72">
        <f t="shared" si="1"/>
        <v>3404243.6177032739</v>
      </c>
      <c r="F33" s="72">
        <f t="shared" si="1"/>
        <v>3404243.6177032739</v>
      </c>
      <c r="G33" s="72">
        <f t="shared" si="1"/>
        <v>3404243.6177032739</v>
      </c>
      <c r="H33" s="72">
        <f t="shared" si="1"/>
        <v>3404243.6177032739</v>
      </c>
      <c r="I33" s="72">
        <f t="shared" si="1"/>
        <v>3404243.6177032739</v>
      </c>
      <c r="J33"/>
    </row>
    <row r="34" spans="2:10">
      <c r="B34" s="66" t="s">
        <v>380</v>
      </c>
      <c r="C34" s="73">
        <f>'2. Industry'!C69</f>
        <v>18536711.417872287</v>
      </c>
      <c r="D34" s="73">
        <f>'2. Industry'!D69</f>
        <v>19463546.988765903</v>
      </c>
      <c r="E34" s="73">
        <f>'2. Industry'!E69</f>
        <v>20483066.116748877</v>
      </c>
      <c r="F34" s="73">
        <f>'2. Industry'!F69</f>
        <v>21502585.244731855</v>
      </c>
      <c r="G34" s="73">
        <f>'2. Industry'!G69</f>
        <v>22614787.929804187</v>
      </c>
      <c r="H34" s="73">
        <f>'2. Industry'!H69</f>
        <v>23541623.500697806</v>
      </c>
      <c r="I34" s="73">
        <f>'2. Industry'!I69</f>
        <v>24561142.628680777</v>
      </c>
      <c r="J34"/>
    </row>
    <row r="35" spans="2:10">
      <c r="B35" s="65" t="s">
        <v>381</v>
      </c>
      <c r="C35" s="75">
        <f t="shared" ref="C35:I35" si="2">$C9</f>
        <v>875123.71500684612</v>
      </c>
      <c r="D35" s="75">
        <f t="shared" si="2"/>
        <v>875123.71500684612</v>
      </c>
      <c r="E35" s="75">
        <f t="shared" si="2"/>
        <v>875123.71500684612</v>
      </c>
      <c r="F35" s="75">
        <f t="shared" si="2"/>
        <v>875123.71500684612</v>
      </c>
      <c r="G35" s="75">
        <f t="shared" si="2"/>
        <v>875123.71500684612</v>
      </c>
      <c r="H35" s="75">
        <f t="shared" si="2"/>
        <v>875123.71500684612</v>
      </c>
      <c r="I35" s="75">
        <f t="shared" si="2"/>
        <v>875123.71500684612</v>
      </c>
      <c r="J35"/>
    </row>
    <row r="36" spans="2:10">
      <c r="B36" s="67" t="s">
        <v>337</v>
      </c>
      <c r="C36" s="73">
        <f>'2. Industry'!C70</f>
        <v>603881.656249461</v>
      </c>
      <c r="D36" s="73">
        <f>'2. Industry'!D70</f>
        <v>634075.73906193406</v>
      </c>
      <c r="E36" s="73">
        <f>'2. Industry'!E70</f>
        <v>667289.23015565448</v>
      </c>
      <c r="F36" s="73">
        <f>'2. Industry'!F70</f>
        <v>700502.72124937479</v>
      </c>
      <c r="G36" s="73">
        <f>'2. Industry'!G70</f>
        <v>736735.62062434235</v>
      </c>
      <c r="H36" s="73">
        <f>'2. Industry'!H70</f>
        <v>766929.70343681553</v>
      </c>
      <c r="I36" s="73">
        <f>'2. Industry'!I70</f>
        <v>800143.19453053584</v>
      </c>
      <c r="J36"/>
    </row>
    <row r="37" spans="2:10">
      <c r="B37" s="67" t="s">
        <v>340</v>
      </c>
      <c r="C37" s="73">
        <f>'2. Industry'!C71</f>
        <v>307048.79688692791</v>
      </c>
      <c r="D37" s="73">
        <f>'2. Industry'!D71</f>
        <v>322401.23673127429</v>
      </c>
      <c r="E37" s="73">
        <f>'2. Industry'!E71</f>
        <v>339288.9205600553</v>
      </c>
      <c r="F37" s="73">
        <f>'2. Industry'!F71</f>
        <v>356176.60438883642</v>
      </c>
      <c r="G37" s="73">
        <f>'2. Industry'!G71</f>
        <v>374599.53220205201</v>
      </c>
      <c r="H37" s="73">
        <f>'2. Industry'!H71</f>
        <v>389951.9720463985</v>
      </c>
      <c r="I37" s="73">
        <f>'2. Industry'!I71</f>
        <v>406839.65587517951</v>
      </c>
      <c r="J37"/>
    </row>
    <row r="38" spans="2:10">
      <c r="B38" s="65" t="s">
        <v>239</v>
      </c>
      <c r="C38" s="75">
        <f>'2. Industry'!C86</f>
        <v>4350044.3909544628</v>
      </c>
      <c r="D38" s="75">
        <f>'2. Industry'!D86</f>
        <v>4656155.3061000314</v>
      </c>
      <c r="E38" s="75">
        <f>'2. Industry'!E86</f>
        <v>5012205.3657604288</v>
      </c>
      <c r="F38" s="75">
        <f>'2. Industry'!F86</f>
        <v>5292133.8501673965</v>
      </c>
      <c r="G38" s="75">
        <f>'2. Industry'!G86</f>
        <v>5629157.2507595671</v>
      </c>
      <c r="H38" s="75">
        <f>'2. Industry'!H86</f>
        <v>5976432.5267354408</v>
      </c>
      <c r="I38" s="75">
        <f>'2. Industry'!I86</f>
        <v>6441314.9268762926</v>
      </c>
      <c r="J38"/>
    </row>
    <row r="39" spans="2:10">
      <c r="B39" s="67" t="s">
        <v>242</v>
      </c>
      <c r="C39" s="76">
        <f t="shared" ref="C39:I40" si="3">$C15</f>
        <v>578623.93901467754</v>
      </c>
      <c r="D39" s="76">
        <f t="shared" si="3"/>
        <v>578623.93901467754</v>
      </c>
      <c r="E39" s="76">
        <f t="shared" si="3"/>
        <v>578623.93901467754</v>
      </c>
      <c r="F39" s="76">
        <f t="shared" si="3"/>
        <v>578623.93901467754</v>
      </c>
      <c r="G39" s="76">
        <f t="shared" si="3"/>
        <v>578623.93901467754</v>
      </c>
      <c r="H39" s="76">
        <f t="shared" si="3"/>
        <v>578623.93901467754</v>
      </c>
      <c r="I39" s="76">
        <f t="shared" si="3"/>
        <v>578623.93901467754</v>
      </c>
      <c r="J39"/>
    </row>
    <row r="40" spans="2:10">
      <c r="B40" s="87" t="s">
        <v>233</v>
      </c>
      <c r="C40" s="88">
        <f t="shared" si="3"/>
        <v>538033.26885880088</v>
      </c>
      <c r="D40" s="88">
        <f t="shared" si="3"/>
        <v>538033.26885880088</v>
      </c>
      <c r="E40" s="88">
        <f t="shared" si="3"/>
        <v>538033.26885880088</v>
      </c>
      <c r="F40" s="88">
        <f t="shared" si="3"/>
        <v>538033.26885880088</v>
      </c>
      <c r="G40" s="88">
        <f t="shared" si="3"/>
        <v>538033.26885880088</v>
      </c>
      <c r="H40" s="88">
        <f t="shared" si="3"/>
        <v>538033.26885880088</v>
      </c>
      <c r="I40" s="88">
        <f t="shared" si="3"/>
        <v>538033.26885880088</v>
      </c>
      <c r="J40"/>
    </row>
    <row r="41" spans="2:10">
      <c r="B41" s="67" t="str">
        <f>B17</f>
        <v>Light Fuel Oil (Marine)</v>
      </c>
      <c r="C41" s="486">
        <f>$C17</f>
        <v>0</v>
      </c>
      <c r="D41" s="486">
        <f t="shared" ref="D41:I41" si="4">$C17</f>
        <v>0</v>
      </c>
      <c r="E41" s="486">
        <f t="shared" si="4"/>
        <v>0</v>
      </c>
      <c r="F41" s="486">
        <f t="shared" si="4"/>
        <v>0</v>
      </c>
      <c r="G41" s="486">
        <f t="shared" si="4"/>
        <v>0</v>
      </c>
      <c r="H41" s="486">
        <f t="shared" si="4"/>
        <v>0</v>
      </c>
      <c r="I41" s="486">
        <f t="shared" si="4"/>
        <v>0</v>
      </c>
      <c r="J41"/>
    </row>
    <row r="42" spans="2:10">
      <c r="B42" s="67" t="str">
        <f>B18</f>
        <v>Heavy Fuel Oil (Marine)</v>
      </c>
      <c r="C42" s="88">
        <f>'2. Industry'!C72</f>
        <v>0</v>
      </c>
      <c r="D42" s="88">
        <f>'2. Industry'!D72</f>
        <v>0</v>
      </c>
      <c r="E42" s="88">
        <f>'2. Industry'!E72</f>
        <v>0</v>
      </c>
      <c r="F42" s="88">
        <f>'2. Industry'!F72</f>
        <v>0</v>
      </c>
      <c r="G42" s="88">
        <f>'2. Industry'!G72</f>
        <v>0</v>
      </c>
      <c r="H42" s="88">
        <f>'2. Industry'!H72</f>
        <v>0</v>
      </c>
      <c r="I42" s="88">
        <f>'2. Industry'!I72</f>
        <v>0</v>
      </c>
      <c r="J42"/>
    </row>
    <row r="43" spans="2:10">
      <c r="B43"/>
      <c r="C43"/>
      <c r="D43"/>
      <c r="E43"/>
      <c r="F43"/>
      <c r="G43"/>
      <c r="H43"/>
      <c r="I43"/>
      <c r="J43"/>
    </row>
    <row r="44" spans="2:10">
      <c r="B44" s="626" t="s">
        <v>388</v>
      </c>
      <c r="C44" s="623">
        <f>'Baseline Statistics'!D$4</f>
        <v>2022</v>
      </c>
      <c r="D44" s="623">
        <f>'Baseline Statistics'!E$4</f>
        <v>2025</v>
      </c>
      <c r="E44" s="623">
        <f>'Baseline Statistics'!F$4</f>
        <v>2030</v>
      </c>
      <c r="F44" s="623">
        <f>'Baseline Statistics'!G$4</f>
        <v>2035</v>
      </c>
      <c r="G44" s="623">
        <f>'Baseline Statistics'!H$4</f>
        <v>2040</v>
      </c>
      <c r="H44" s="623">
        <f>'Baseline Statistics'!I$4</f>
        <v>2045</v>
      </c>
      <c r="I44" s="623">
        <f>'Baseline Statistics'!J$4</f>
        <v>2051</v>
      </c>
      <c r="J44"/>
    </row>
    <row r="45" spans="2:10">
      <c r="B45" s="627"/>
      <c r="C45" s="624"/>
      <c r="D45" s="624"/>
      <c r="E45" s="624"/>
      <c r="F45" s="624"/>
      <c r="G45" s="624"/>
      <c r="H45" s="624"/>
      <c r="I45" s="624"/>
      <c r="J45"/>
    </row>
    <row r="46" spans="2:10">
      <c r="B46" s="628"/>
      <c r="C46" s="625"/>
      <c r="D46" s="625"/>
      <c r="E46" s="625"/>
      <c r="F46" s="625"/>
      <c r="G46" s="625"/>
      <c r="H46" s="625"/>
      <c r="I46" s="625"/>
      <c r="J46"/>
    </row>
    <row r="47" spans="2:10">
      <c r="B47" s="65" t="s">
        <v>377</v>
      </c>
      <c r="C47" s="72">
        <f>C31*('Landuse b. Housing Growth'!D$35+'Baseline Statistics'!$D$17)/'Baseline Statistics'!$D$17</f>
        <v>36790440.061202846</v>
      </c>
      <c r="D47" s="72">
        <f>D31*('Landuse b. Housing Growth'!E$35+'Baseline Statistics'!$D$17)/'Baseline Statistics'!$D$17</f>
        <v>39225699.460910775</v>
      </c>
      <c r="E47" s="72">
        <f>E31*('Landuse b. Housing Growth'!F$35+'Baseline Statistics'!$D$17)/'Baseline Statistics'!$D$17</f>
        <v>43196359.336627439</v>
      </c>
      <c r="F47" s="72">
        <f>F31*('Landuse b. Housing Growth'!G$35+'Baseline Statistics'!$D$17)/'Baseline Statistics'!$D$17</f>
        <v>46859016.581791922</v>
      </c>
      <c r="G47" s="72">
        <f>G31*('Landuse b. Housing Growth'!H$35+'Baseline Statistics'!$D$17)/'Baseline Statistics'!$D$17</f>
        <v>50499622.134395458</v>
      </c>
      <c r="H47" s="72">
        <f>H31*('Landuse b. Housing Growth'!I$35+'Baseline Statistics'!$D$17)/'Baseline Statistics'!$D$17</f>
        <v>54113029.759143233</v>
      </c>
      <c r="I47" s="72">
        <f>I31*('Landuse b. Housing Growth'!J$35+'Baseline Statistics'!$D$17)/'Baseline Statistics'!$D$17</f>
        <v>64168766.314320147</v>
      </c>
      <c r="J47"/>
    </row>
    <row r="48" spans="2:10">
      <c r="B48" s="66" t="s">
        <v>378</v>
      </c>
      <c r="C48" s="72">
        <f>C32*('Landuse b. Housing Growth'!D$35+'Baseline Statistics'!$D$17)/'Baseline Statistics'!$D$17</f>
        <v>8353453.6432471676</v>
      </c>
      <c r="D48" s="72">
        <f>D32*('Landuse b. Housing Growth'!E$35+'Baseline Statistics'!$D$17)/'Baseline Statistics'!$D$17</f>
        <v>8906391.484460827</v>
      </c>
      <c r="E48" s="72">
        <f>E32*('Landuse b. Housing Growth'!F$35+'Baseline Statistics'!$D$17)/'Baseline Statistics'!$D$17</f>
        <v>9807949.6922377069</v>
      </c>
      <c r="F48" s="72">
        <f>F32*('Landuse b. Housing Growth'!G$35+'Baseline Statistics'!$D$17)/'Baseline Statistics'!$D$17</f>
        <v>10639574.360431051</v>
      </c>
      <c r="G48" s="72">
        <f>G32*('Landuse b. Housing Growth'!H$35+'Baseline Statistics'!$D$17)/'Baseline Statistics'!$D$17</f>
        <v>11466192.081405047</v>
      </c>
      <c r="H48" s="72">
        <f>H32*('Landuse b. Housing Growth'!I$35+'Baseline Statistics'!$D$17)/'Baseline Statistics'!$D$17</f>
        <v>12286634.376666343</v>
      </c>
      <c r="I48" s="72">
        <f>I32*('Landuse b. Housing Growth'!J$35+'Baseline Statistics'!$D$17)/'Baseline Statistics'!$D$17</f>
        <v>14569839.715407537</v>
      </c>
      <c r="J48"/>
    </row>
    <row r="49" spans="2:10">
      <c r="B49" s="65" t="s">
        <v>379</v>
      </c>
      <c r="C49" s="72">
        <f>C33*('Landuse b. Housing Growth'!D$35+'Baseline Statistics'!$D$17)/'Baseline Statistics'!$D$17</f>
        <v>3404243.6177032739</v>
      </c>
      <c r="D49" s="72">
        <f>D33*('Landuse b. Housing Growth'!E$35+'Baseline Statistics'!$D$17)/'Baseline Statistics'!$D$17</f>
        <v>3629579.7717453674</v>
      </c>
      <c r="E49" s="72">
        <f>E33*('Landuse b. Housing Growth'!F$35+'Baseline Statistics'!$D$17)/'Baseline Statistics'!$D$17</f>
        <v>3996987.541739217</v>
      </c>
      <c r="F49" s="72">
        <f>F33*('Landuse b. Housing Growth'!G$35+'Baseline Statistics'!$D$17)/'Baseline Statistics'!$D$17</f>
        <v>4335895.6257399451</v>
      </c>
      <c r="G49" s="72">
        <f>G33*('Landuse b. Housing Growth'!H$35+'Baseline Statistics'!$D$17)/'Baseline Statistics'!$D$17</f>
        <v>4672763.2521235496</v>
      </c>
      <c r="H49" s="72">
        <f>H33*('Landuse b. Housing Growth'!I$35+'Baseline Statistics'!$D$17)/'Baseline Statistics'!$D$17</f>
        <v>5007114.2363532763</v>
      </c>
      <c r="I49" s="72">
        <f>I33*('Landuse b. Housing Growth'!J$35+'Baseline Statistics'!$D$17)/'Baseline Statistics'!$D$17</f>
        <v>5937578.1539448975</v>
      </c>
      <c r="J49"/>
    </row>
    <row r="50" spans="2:10">
      <c r="B50" s="66" t="s">
        <v>380</v>
      </c>
      <c r="C50" s="72">
        <f>C34*'Baseline Statistics'!D17/'Baseline Statistics'!$D17</f>
        <v>18536711.417872287</v>
      </c>
      <c r="D50" s="72">
        <f>D34*'Baseline Statistics'!E17/'Baseline Statistics'!$D17</f>
        <v>20031912.639725681</v>
      </c>
      <c r="E50" s="72">
        <f>E34*'Baseline Statistics'!F17/'Baseline Statistics'!$D17</f>
        <v>22056995.644500777</v>
      </c>
      <c r="F50" s="72">
        <f>F34*'Baseline Statistics'!G17/'Baseline Statistics'!$D17</f>
        <v>23999451.228290543</v>
      </c>
      <c r="G50" s="72">
        <f>G34*'Baseline Statistics'!H17/'Baseline Statistics'!$D17</f>
        <v>26129084.229692195</v>
      </c>
      <c r="H50" s="72">
        <f>H34*'Baseline Statistics'!I17/'Baseline Statistics'!$D17</f>
        <v>28124635.416373469</v>
      </c>
      <c r="I50" s="72">
        <f>I34*'Baseline Statistics'!J17/'Baseline Statistics'!$D17</f>
        <v>30307364.020666622</v>
      </c>
      <c r="J50"/>
    </row>
    <row r="51" spans="2:10">
      <c r="B51" s="65" t="s">
        <v>381</v>
      </c>
      <c r="C51" s="72">
        <f>C35*('Landuse b. Housing Growth'!D$35+'Baseline Statistics'!$D$17)/'Baseline Statistics'!$D$17</f>
        <v>875123.71500684612</v>
      </c>
      <c r="D51" s="72">
        <f>D35*('Landuse b. Housing Growth'!E$35+'Baseline Statistics'!$D$17)/'Baseline Statistics'!$D$17</f>
        <v>933050.53646732483</v>
      </c>
      <c r="E51" s="72">
        <f>E35*('Landuse b. Housing Growth'!F$35+'Baseline Statistics'!$D$17)/'Baseline Statistics'!$D$17</f>
        <v>1027499.4915677598</v>
      </c>
      <c r="F51" s="72">
        <f>F35*('Landuse b. Housing Growth'!G$35+'Baseline Statistics'!$D$17)/'Baseline Statistics'!$D$17</f>
        <v>1114622.0758546814</v>
      </c>
      <c r="G51" s="72">
        <f>G35*('Landuse b. Housing Growth'!H$35+'Baseline Statistics'!$D$17)/'Baseline Statistics'!$D$17</f>
        <v>1201220.1228138618</v>
      </c>
      <c r="H51" s="72">
        <f>H35*('Landuse b. Housing Growth'!I$35+'Baseline Statistics'!$D$17)/'Baseline Statistics'!$D$17</f>
        <v>1287171.2204126646</v>
      </c>
      <c r="I51" s="72">
        <f>I35*('Landuse b. Housing Growth'!J$35+'Baseline Statistics'!$D$17)/'Baseline Statistics'!$D$17</f>
        <v>1526364.1606617421</v>
      </c>
      <c r="J51"/>
    </row>
    <row r="52" spans="2:10">
      <c r="B52" s="67" t="s">
        <v>337</v>
      </c>
      <c r="C52" s="72">
        <f>C36*'Baseline Statistics'!D17/'Baseline Statistics'!$D17</f>
        <v>603881.656249461</v>
      </c>
      <c r="D52" s="72">
        <f>D36*'Baseline Statistics'!E17/'Baseline Statistics'!$D17</f>
        <v>652591.73054065835</v>
      </c>
      <c r="E52" s="72">
        <f>E36*'Baseline Statistics'!F17/'Baseline Statistics'!$D17</f>
        <v>718564.08407188638</v>
      </c>
      <c r="F52" s="72">
        <f>F36*'Baseline Statistics'!G17/'Baseline Statistics'!$D17</f>
        <v>781844.63414826128</v>
      </c>
      <c r="G52" s="72">
        <f>G36*'Baseline Statistics'!H17/'Baseline Statistics'!$D17</f>
        <v>851222.97613668919</v>
      </c>
      <c r="H52" s="72">
        <f>H36*'Baseline Statistics'!I17/'Baseline Statistics'!$D17</f>
        <v>916233.25377319497</v>
      </c>
      <c r="I52" s="72">
        <f>I36*'Baseline Statistics'!J17/'Baseline Statistics'!$D17</f>
        <v>987341.32332175376</v>
      </c>
      <c r="J52"/>
    </row>
    <row r="53" spans="2:10">
      <c r="B53" s="67" t="s">
        <v>340</v>
      </c>
      <c r="C53" s="72">
        <f>C37*'Baseline Statistics'!D17/'Baseline Statistics'!$D17</f>
        <v>307048.79688692791</v>
      </c>
      <c r="D53" s="72">
        <f>D37*'Baseline Statistics'!E17/'Baseline Statistics'!$D17</f>
        <v>331815.85108141159</v>
      </c>
      <c r="E53" s="72">
        <f>E37*'Baseline Statistics'!F17/'Baseline Statistics'!$D17</f>
        <v>365360.05890744738</v>
      </c>
      <c r="F53" s="72">
        <f>F37*'Baseline Statistics'!G17/'Baseline Statistics'!$D17</f>
        <v>397535.59622707649</v>
      </c>
      <c r="G53" s="72">
        <f>G37*'Baseline Statistics'!H17/'Baseline Statistics'!$D17</f>
        <v>432811.60803684179</v>
      </c>
      <c r="H53" s="72">
        <f>H37*'Baseline Statistics'!I17/'Baseline Statistics'!$D17</f>
        <v>465866.64013956941</v>
      </c>
      <c r="I53" s="72">
        <f>I37*'Baseline Statistics'!J17/'Baseline Statistics'!$D17</f>
        <v>502022.14673243335</v>
      </c>
      <c r="J53"/>
    </row>
    <row r="54" spans="2:10">
      <c r="B54" s="65" t="s">
        <v>239</v>
      </c>
      <c r="C54" s="72">
        <f>C38*'Baseline Statistics'!D17/'Baseline Statistics'!$D17</f>
        <v>4350044.3909544628</v>
      </c>
      <c r="D54" s="72">
        <f>D38*'Baseline Statistics'!E17/'Baseline Statistics'!$D17</f>
        <v>4792122.2366419742</v>
      </c>
      <c r="E54" s="72">
        <f>E38*'Baseline Statistics'!F17/'Baseline Statistics'!$D17</f>
        <v>5397345.851045304</v>
      </c>
      <c r="F54" s="72">
        <f>F38*'Baseline Statistics'!G17/'Baseline Statistics'!$D17</f>
        <v>5906652.934292865</v>
      </c>
      <c r="G54" s="72">
        <f>G38*'Baseline Statistics'!H17/'Baseline Statistics'!$D17</f>
        <v>6503917.8967243508</v>
      </c>
      <c r="H54" s="72">
        <f>H38*'Baseline Statistics'!I17/'Baseline Statistics'!$D17</f>
        <v>7139906.2983063888</v>
      </c>
      <c r="I54" s="72">
        <f>I38*'Baseline Statistics'!J17/'Baseline Statistics'!$D17</f>
        <v>7948297.8138252422</v>
      </c>
      <c r="J54"/>
    </row>
    <row r="55" spans="2:10">
      <c r="B55" s="67" t="s">
        <v>242</v>
      </c>
      <c r="C55" s="72">
        <f>C39*'Baseline Statistics'!D17/'Baseline Statistics'!$D17</f>
        <v>578623.93901467754</v>
      </c>
      <c r="D55" s="72">
        <f>D39*'Baseline Statistics'!E17/'Baseline Statistics'!$D17</f>
        <v>595520.65223703149</v>
      </c>
      <c r="E55" s="72">
        <f>E39*'Baseline Statistics'!F17/'Baseline Statistics'!$D17</f>
        <v>623085.70552406891</v>
      </c>
      <c r="F55" s="72">
        <f>F39*'Baseline Statistics'!G17/'Baseline Statistics'!$D17</f>
        <v>645813.36829283612</v>
      </c>
      <c r="G55" s="72">
        <f>G39*'Baseline Statistics'!H17/'Baseline Statistics'!$D17</f>
        <v>668541.03106160311</v>
      </c>
      <c r="H55" s="72">
        <f>H39*'Baseline Statistics'!I17/'Baseline Statistics'!$D17</f>
        <v>691268.69383037032</v>
      </c>
      <c r="I55" s="72">
        <f>I39*'Baseline Statistics'!J17/'Baseline Statistics'!$D17</f>
        <v>713996.35659913742</v>
      </c>
      <c r="J55"/>
    </row>
    <row r="56" spans="2:10">
      <c r="B56" s="87" t="s">
        <v>233</v>
      </c>
      <c r="C56" s="72">
        <f>C40*('Landuse b. Housing Growth'!D$35+'Baseline Statistics'!$D$17)/'Baseline Statistics'!$D$17</f>
        <v>538033.26885880088</v>
      </c>
      <c r="D56" s="72">
        <f>D40*('Landuse b. Housing Growth'!E$35+'Baseline Statistics'!$D$17)/'Baseline Statistics'!$D$17</f>
        <v>573647.15586760815</v>
      </c>
      <c r="E56" s="72">
        <f>E40*('Landuse b. Housing Growth'!F$35+'Baseline Statistics'!$D$17)/'Baseline Statistics'!$D$17</f>
        <v>631715.15149104712</v>
      </c>
      <c r="F56" s="72">
        <f>F40*('Landuse b. Housing Growth'!G$35+'Baseline Statistics'!$D$17)/'Baseline Statistics'!$D$17</f>
        <v>685278.8339870153</v>
      </c>
      <c r="G56" s="72">
        <f>G40*('Landuse b. Housing Growth'!H$35+'Baseline Statistics'!$D$17)/'Baseline Statistics'!$D$17</f>
        <v>738520.02661298751</v>
      </c>
      <c r="H56" s="72">
        <f>H40*('Landuse b. Housing Growth'!I$35+'Baseline Statistics'!$D$17)/'Baseline Statistics'!$D$17</f>
        <v>791363.46944292344</v>
      </c>
      <c r="I56" s="72">
        <f>I40*('Landuse b. Housing Growth'!J$35+'Baseline Statistics'!$D$17)/'Baseline Statistics'!$D$17</f>
        <v>938421.25947110518</v>
      </c>
      <c r="J56"/>
    </row>
    <row r="57" spans="2:10">
      <c r="B57" s="87" t="s">
        <v>248</v>
      </c>
      <c r="C57" s="72">
        <f>C41*'Baseline Statistics'!D17/'Baseline Statistics'!$D17</f>
        <v>0</v>
      </c>
      <c r="D57" s="72">
        <f>D41*'Baseline Statistics'!E17/'Baseline Statistics'!$D17</f>
        <v>0</v>
      </c>
      <c r="E57" s="72">
        <f>E41*'Baseline Statistics'!F17/'Baseline Statistics'!$D17</f>
        <v>0</v>
      </c>
      <c r="F57" s="72">
        <f>F41*'Baseline Statistics'!G17/'Baseline Statistics'!$D17</f>
        <v>0</v>
      </c>
      <c r="G57" s="72">
        <f>G41*'Baseline Statistics'!H17/'Baseline Statistics'!$D17</f>
        <v>0</v>
      </c>
      <c r="H57" s="72">
        <f>H41*'Baseline Statistics'!I17/'Baseline Statistics'!$D17</f>
        <v>0</v>
      </c>
      <c r="I57" s="72">
        <f>I41*'Baseline Statistics'!J17/'Baseline Statistics'!$D17</f>
        <v>0</v>
      </c>
      <c r="J57"/>
    </row>
    <row r="58" spans="2:10">
      <c r="B58" s="67" t="str">
        <f>B42</f>
        <v>Heavy Fuel Oil (Marine)</v>
      </c>
      <c r="C58" s="90">
        <f>C42*'Baseline Statistics'!D17/'Baseline Statistics'!$D17</f>
        <v>0</v>
      </c>
      <c r="D58" s="90">
        <f>D42*'Baseline Statistics'!E17/'Baseline Statistics'!$D17</f>
        <v>0</v>
      </c>
      <c r="E58" s="90">
        <f>E42*'Baseline Statistics'!F17/'Baseline Statistics'!$D17</f>
        <v>0</v>
      </c>
      <c r="F58" s="90">
        <f>F42*'Baseline Statistics'!G17/'Baseline Statistics'!$D17</f>
        <v>0</v>
      </c>
      <c r="G58" s="90">
        <f>G42*'Baseline Statistics'!H17/'Baseline Statistics'!$D17</f>
        <v>0</v>
      </c>
      <c r="H58" s="90">
        <f>H42*'Baseline Statistics'!I17/'Baseline Statistics'!$D17</f>
        <v>0</v>
      </c>
      <c r="I58" s="90">
        <f>I42*'Baseline Statistics'!J17/'Baseline Statistics'!$D17</f>
        <v>0</v>
      </c>
      <c r="J58"/>
    </row>
    <row r="59" spans="2:10">
      <c r="B59"/>
      <c r="C59"/>
      <c r="D59"/>
      <c r="E59"/>
      <c r="F59"/>
      <c r="G59"/>
      <c r="H59"/>
      <c r="I59"/>
      <c r="J59"/>
    </row>
    <row r="60" spans="2:10">
      <c r="B60" s="626" t="s">
        <v>389</v>
      </c>
      <c r="C60" s="623">
        <f>'Baseline Statistics'!D$4</f>
        <v>2022</v>
      </c>
      <c r="D60" s="623">
        <f>'Baseline Statistics'!E$4</f>
        <v>2025</v>
      </c>
      <c r="E60" s="623">
        <f>'Baseline Statistics'!F$4</f>
        <v>2030</v>
      </c>
      <c r="F60" s="623">
        <f>'Baseline Statistics'!G$4</f>
        <v>2035</v>
      </c>
      <c r="G60" s="623">
        <f>'Baseline Statistics'!H$4</f>
        <v>2040</v>
      </c>
      <c r="H60" s="623">
        <f>'Baseline Statistics'!I$4</f>
        <v>2045</v>
      </c>
      <c r="I60" s="623">
        <f>'Baseline Statistics'!J$4</f>
        <v>2051</v>
      </c>
      <c r="J60"/>
    </row>
    <row r="61" spans="2:10">
      <c r="B61" s="627"/>
      <c r="C61" s="624"/>
      <c r="D61" s="624"/>
      <c r="E61" s="624"/>
      <c r="F61" s="624"/>
      <c r="G61" s="624"/>
      <c r="H61" s="624"/>
      <c r="I61" s="624"/>
      <c r="J61"/>
    </row>
    <row r="62" spans="2:10">
      <c r="B62" s="628"/>
      <c r="C62" s="625"/>
      <c r="D62" s="625"/>
      <c r="E62" s="625"/>
      <c r="F62" s="625"/>
      <c r="G62" s="625"/>
      <c r="H62" s="625"/>
      <c r="I62" s="625"/>
      <c r="J62"/>
    </row>
    <row r="63" spans="2:10">
      <c r="B63" s="65" t="s">
        <v>377</v>
      </c>
      <c r="C63" s="72">
        <f>C47</f>
        <v>36790440.061202846</v>
      </c>
      <c r="D63" s="72">
        <f t="shared" ref="D63:I63" si="5">D47</f>
        <v>39225699.460910775</v>
      </c>
      <c r="E63" s="72">
        <f t="shared" si="5"/>
        <v>43196359.336627439</v>
      </c>
      <c r="F63" s="72">
        <f t="shared" si="5"/>
        <v>46859016.581791922</v>
      </c>
      <c r="G63" s="72">
        <f t="shared" si="5"/>
        <v>50499622.134395458</v>
      </c>
      <c r="H63" s="72">
        <f t="shared" si="5"/>
        <v>54113029.759143233</v>
      </c>
      <c r="I63" s="72">
        <f t="shared" si="5"/>
        <v>64168766.314320147</v>
      </c>
      <c r="J63"/>
    </row>
    <row r="64" spans="2:10">
      <c r="B64" s="66" t="s">
        <v>378</v>
      </c>
      <c r="C64" s="72">
        <f t="shared" ref="C64:I64" si="6">C48</f>
        <v>8353453.6432471676</v>
      </c>
      <c r="D64" s="72">
        <f t="shared" si="6"/>
        <v>8906391.484460827</v>
      </c>
      <c r="E64" s="72">
        <f t="shared" si="6"/>
        <v>9807949.6922377069</v>
      </c>
      <c r="F64" s="72">
        <f t="shared" si="6"/>
        <v>10639574.360431051</v>
      </c>
      <c r="G64" s="72">
        <f t="shared" si="6"/>
        <v>11466192.081405047</v>
      </c>
      <c r="H64" s="72">
        <f t="shared" si="6"/>
        <v>12286634.376666343</v>
      </c>
      <c r="I64" s="72">
        <f t="shared" si="6"/>
        <v>14569839.715407537</v>
      </c>
      <c r="J64"/>
    </row>
    <row r="65" spans="1:10">
      <c r="B65" s="65" t="s">
        <v>379</v>
      </c>
      <c r="C65" s="72">
        <f t="shared" ref="C65:I65" si="7">C49</f>
        <v>3404243.6177032739</v>
      </c>
      <c r="D65" s="72">
        <f t="shared" si="7"/>
        <v>3629579.7717453674</v>
      </c>
      <c r="E65" s="72">
        <f t="shared" si="7"/>
        <v>3996987.541739217</v>
      </c>
      <c r="F65" s="72">
        <f t="shared" si="7"/>
        <v>4335895.6257399451</v>
      </c>
      <c r="G65" s="72">
        <f t="shared" si="7"/>
        <v>4672763.2521235496</v>
      </c>
      <c r="H65" s="72">
        <f t="shared" si="7"/>
        <v>5007114.2363532763</v>
      </c>
      <c r="I65" s="72">
        <f t="shared" si="7"/>
        <v>5937578.1539448975</v>
      </c>
      <c r="J65"/>
    </row>
    <row r="66" spans="1:10">
      <c r="B66" s="66" t="s">
        <v>380</v>
      </c>
      <c r="C66" s="72">
        <f t="shared" ref="C66:I66" si="8">C50</f>
        <v>18536711.417872287</v>
      </c>
      <c r="D66" s="72">
        <f t="shared" si="8"/>
        <v>20031912.639725681</v>
      </c>
      <c r="E66" s="72">
        <f t="shared" si="8"/>
        <v>22056995.644500777</v>
      </c>
      <c r="F66" s="72">
        <f t="shared" si="8"/>
        <v>23999451.228290543</v>
      </c>
      <c r="G66" s="72">
        <f t="shared" si="8"/>
        <v>26129084.229692195</v>
      </c>
      <c r="H66" s="72">
        <f t="shared" si="8"/>
        <v>28124635.416373469</v>
      </c>
      <c r="I66" s="72">
        <f t="shared" si="8"/>
        <v>30307364.020666622</v>
      </c>
      <c r="J66"/>
    </row>
    <row r="67" spans="1:10">
      <c r="B67" s="65" t="s">
        <v>381</v>
      </c>
      <c r="C67" s="72">
        <f t="shared" ref="C67:I67" si="9">C51</f>
        <v>875123.71500684612</v>
      </c>
      <c r="D67" s="72">
        <f t="shared" si="9"/>
        <v>933050.53646732483</v>
      </c>
      <c r="E67" s="72">
        <f t="shared" si="9"/>
        <v>1027499.4915677598</v>
      </c>
      <c r="F67" s="72">
        <f t="shared" si="9"/>
        <v>1114622.0758546814</v>
      </c>
      <c r="G67" s="72">
        <f t="shared" si="9"/>
        <v>1201220.1228138618</v>
      </c>
      <c r="H67" s="72">
        <f t="shared" si="9"/>
        <v>1287171.2204126646</v>
      </c>
      <c r="I67" s="72">
        <f t="shared" si="9"/>
        <v>1526364.1606617421</v>
      </c>
      <c r="J67"/>
    </row>
    <row r="68" spans="1:10">
      <c r="B68" s="67" t="s">
        <v>337</v>
      </c>
      <c r="C68" s="72">
        <f t="shared" ref="C68:I68" si="10">C52</f>
        <v>603881.656249461</v>
      </c>
      <c r="D68" s="72">
        <f t="shared" si="10"/>
        <v>652591.73054065835</v>
      </c>
      <c r="E68" s="72">
        <f t="shared" si="10"/>
        <v>718564.08407188638</v>
      </c>
      <c r="F68" s="72">
        <f t="shared" si="10"/>
        <v>781844.63414826128</v>
      </c>
      <c r="G68" s="72">
        <f t="shared" si="10"/>
        <v>851222.97613668919</v>
      </c>
      <c r="H68" s="72">
        <f t="shared" si="10"/>
        <v>916233.25377319497</v>
      </c>
      <c r="I68" s="72">
        <f t="shared" si="10"/>
        <v>987341.32332175376</v>
      </c>
      <c r="J68"/>
    </row>
    <row r="69" spans="1:10">
      <c r="B69" s="67" t="s">
        <v>340</v>
      </c>
      <c r="C69" s="72">
        <f t="shared" ref="C69:I69" si="11">C53</f>
        <v>307048.79688692791</v>
      </c>
      <c r="D69" s="72">
        <f t="shared" si="11"/>
        <v>331815.85108141159</v>
      </c>
      <c r="E69" s="72">
        <f t="shared" si="11"/>
        <v>365360.05890744738</v>
      </c>
      <c r="F69" s="72">
        <f t="shared" si="11"/>
        <v>397535.59622707649</v>
      </c>
      <c r="G69" s="72">
        <f t="shared" si="11"/>
        <v>432811.60803684179</v>
      </c>
      <c r="H69" s="72">
        <f t="shared" si="11"/>
        <v>465866.64013956941</v>
      </c>
      <c r="I69" s="72">
        <f t="shared" si="11"/>
        <v>502022.14673243335</v>
      </c>
      <c r="J69"/>
    </row>
    <row r="70" spans="1:10">
      <c r="B70" s="65" t="s">
        <v>239</v>
      </c>
      <c r="C70" s="72">
        <f t="shared" ref="C70:I70" si="12">C54</f>
        <v>4350044.3909544628</v>
      </c>
      <c r="D70" s="72">
        <f t="shared" si="12"/>
        <v>4792122.2366419742</v>
      </c>
      <c r="E70" s="72">
        <f t="shared" si="12"/>
        <v>5397345.851045304</v>
      </c>
      <c r="F70" s="72">
        <f t="shared" si="12"/>
        <v>5906652.934292865</v>
      </c>
      <c r="G70" s="72">
        <f t="shared" si="12"/>
        <v>6503917.8967243508</v>
      </c>
      <c r="H70" s="72">
        <f t="shared" si="12"/>
        <v>7139906.2983063888</v>
      </c>
      <c r="I70" s="72">
        <f t="shared" si="12"/>
        <v>7948297.8138252422</v>
      </c>
      <c r="J70"/>
    </row>
    <row r="71" spans="1:10">
      <c r="B71" s="67" t="s">
        <v>242</v>
      </c>
      <c r="C71" s="72">
        <f t="shared" ref="C71:I71" si="13">C55</f>
        <v>578623.93901467754</v>
      </c>
      <c r="D71" s="72">
        <f t="shared" si="13"/>
        <v>595520.65223703149</v>
      </c>
      <c r="E71" s="72">
        <f t="shared" si="13"/>
        <v>623085.70552406891</v>
      </c>
      <c r="F71" s="72">
        <f t="shared" si="13"/>
        <v>645813.36829283612</v>
      </c>
      <c r="G71" s="72">
        <f t="shared" si="13"/>
        <v>668541.03106160311</v>
      </c>
      <c r="H71" s="72">
        <f t="shared" si="13"/>
        <v>691268.69383037032</v>
      </c>
      <c r="I71" s="72">
        <f t="shared" si="13"/>
        <v>713996.35659913742</v>
      </c>
      <c r="J71"/>
    </row>
    <row r="72" spans="1:10">
      <c r="B72" s="87" t="s">
        <v>233</v>
      </c>
      <c r="C72" s="72">
        <f t="shared" ref="C72:I72" si="14">C56</f>
        <v>538033.26885880088</v>
      </c>
      <c r="D72" s="72">
        <f t="shared" si="14"/>
        <v>573647.15586760815</v>
      </c>
      <c r="E72" s="72">
        <f t="shared" si="14"/>
        <v>631715.15149104712</v>
      </c>
      <c r="F72" s="72">
        <f t="shared" si="14"/>
        <v>685278.8339870153</v>
      </c>
      <c r="G72" s="72">
        <f t="shared" si="14"/>
        <v>738520.02661298751</v>
      </c>
      <c r="H72" s="72">
        <f t="shared" si="14"/>
        <v>791363.46944292344</v>
      </c>
      <c r="I72" s="72">
        <f t="shared" si="14"/>
        <v>938421.25947110518</v>
      </c>
      <c r="J72"/>
    </row>
    <row r="73" spans="1:10">
      <c r="B73" s="66" t="s">
        <v>382</v>
      </c>
      <c r="C73" s="352">
        <f t="shared" ref="C73:I74" si="15">C25</f>
        <v>5648525.7968623694</v>
      </c>
      <c r="D73" s="352">
        <f t="shared" si="15"/>
        <v>5493463.6347323479</v>
      </c>
      <c r="E73" s="352">
        <f t="shared" si="15"/>
        <v>5182314.5821323059</v>
      </c>
      <c r="F73" s="352">
        <f t="shared" si="15"/>
        <v>4611167.6520819422</v>
      </c>
      <c r="G73" s="352">
        <f t="shared" si="15"/>
        <v>3855942.8138085552</v>
      </c>
      <c r="H73" s="352">
        <f t="shared" si="15"/>
        <v>3017886.3491820088</v>
      </c>
      <c r="I73" s="352">
        <f t="shared" si="15"/>
        <v>2177949.594947862</v>
      </c>
      <c r="J73"/>
    </row>
    <row r="74" spans="1:10">
      <c r="B74" s="65" t="s">
        <v>383</v>
      </c>
      <c r="C74" s="352">
        <f t="shared" si="15"/>
        <v>533194.78349569347</v>
      </c>
      <c r="D74" s="352">
        <f t="shared" si="15"/>
        <v>518557.63055727247</v>
      </c>
      <c r="E74" s="352">
        <f t="shared" si="15"/>
        <v>489186.59505131352</v>
      </c>
      <c r="F74" s="352">
        <f t="shared" si="15"/>
        <v>435272.9590577248</v>
      </c>
      <c r="G74" s="352">
        <f t="shared" si="15"/>
        <v>363983.21751889191</v>
      </c>
      <c r="H74" s="352">
        <f t="shared" si="15"/>
        <v>284874.55248244439</v>
      </c>
      <c r="I74" s="352">
        <f t="shared" si="15"/>
        <v>205588.39677917713</v>
      </c>
      <c r="J74"/>
    </row>
    <row r="75" spans="1:10">
      <c r="B75" s="67" t="str">
        <f>B57</f>
        <v>Light Fuel Oil (Marine)</v>
      </c>
      <c r="C75" s="90">
        <f>C57</f>
        <v>0</v>
      </c>
      <c r="D75" s="90">
        <f t="shared" ref="D75:I75" si="16">D57</f>
        <v>0</v>
      </c>
      <c r="E75" s="90">
        <f t="shared" si="16"/>
        <v>0</v>
      </c>
      <c r="F75" s="90">
        <f t="shared" si="16"/>
        <v>0</v>
      </c>
      <c r="G75" s="90">
        <f t="shared" si="16"/>
        <v>0</v>
      </c>
      <c r="H75" s="90">
        <f t="shared" si="16"/>
        <v>0</v>
      </c>
      <c r="I75" s="90">
        <f t="shared" si="16"/>
        <v>0</v>
      </c>
      <c r="J75" s="96"/>
    </row>
    <row r="76" spans="1:10">
      <c r="B76" s="67" t="str">
        <f>B58</f>
        <v>Heavy Fuel Oil (Marine)</v>
      </c>
      <c r="C76" s="90">
        <f>C58</f>
        <v>0</v>
      </c>
      <c r="D76" s="90">
        <f t="shared" ref="D76:I76" si="17">D58</f>
        <v>0</v>
      </c>
      <c r="E76" s="90">
        <f t="shared" si="17"/>
        <v>0</v>
      </c>
      <c r="F76" s="90">
        <f t="shared" si="17"/>
        <v>0</v>
      </c>
      <c r="G76" s="90">
        <f t="shared" si="17"/>
        <v>0</v>
      </c>
      <c r="H76" s="90">
        <f t="shared" si="17"/>
        <v>0</v>
      </c>
      <c r="I76" s="90">
        <f t="shared" si="17"/>
        <v>0</v>
      </c>
      <c r="J76" s="96"/>
    </row>
    <row r="77" spans="1:10" ht="15.75" thickBot="1">
      <c r="B77" s="98"/>
      <c r="C77" s="99"/>
      <c r="D77" s="100"/>
      <c r="E77" s="101"/>
      <c r="F77" s="102"/>
      <c r="G77" s="102"/>
      <c r="H77" s="102"/>
      <c r="I77" s="101"/>
      <c r="J77" s="96"/>
    </row>
    <row r="78" spans="1:10">
      <c r="A78" s="339">
        <v>1</v>
      </c>
      <c r="B78" s="115"/>
      <c r="C78" s="596" t="s">
        <v>390</v>
      </c>
      <c r="D78" s="597"/>
      <c r="E78" s="597"/>
      <c r="F78" s="597"/>
      <c r="G78" s="597"/>
      <c r="H78" s="597"/>
      <c r="I78" s="598"/>
      <c r="J78" t="s">
        <v>391</v>
      </c>
    </row>
    <row r="79" spans="1:10">
      <c r="A79"/>
      <c r="B79" s="58" t="s">
        <v>17</v>
      </c>
      <c r="C79" s="213">
        <f>'Baseline Statistics'!D4</f>
        <v>2022</v>
      </c>
      <c r="D79" s="213">
        <f>'Baseline Statistics'!E4</f>
        <v>2025</v>
      </c>
      <c r="E79" s="213">
        <f>'Baseline Statistics'!F4</f>
        <v>2030</v>
      </c>
      <c r="F79" s="213">
        <f>'Baseline Statistics'!G4</f>
        <v>2035</v>
      </c>
      <c r="G79" s="213">
        <f>'Baseline Statistics'!H4</f>
        <v>2040</v>
      </c>
      <c r="H79" s="213">
        <f>'Baseline Statistics'!I4</f>
        <v>2045</v>
      </c>
      <c r="I79" s="104">
        <f>'Baseline Statistics'!J4</f>
        <v>2051</v>
      </c>
      <c r="J79"/>
    </row>
    <row r="80" spans="1:10">
      <c r="A80"/>
      <c r="B80" s="213" t="s">
        <v>18</v>
      </c>
      <c r="C80" s="83">
        <f t="shared" ref="C80:I80" si="18">VLOOKUP($A78,$B81:$I84,COLUMN()-1,TRUE)</f>
        <v>1</v>
      </c>
      <c r="D80" s="83">
        <f t="shared" si="18"/>
        <v>1.02</v>
      </c>
      <c r="E80" s="83">
        <f t="shared" si="18"/>
        <v>1.04</v>
      </c>
      <c r="F80" s="83">
        <f t="shared" si="18"/>
        <v>1.06</v>
      </c>
      <c r="G80" s="83">
        <f t="shared" si="18"/>
        <v>1.08</v>
      </c>
      <c r="H80" s="83">
        <f t="shared" si="18"/>
        <v>1.0900000000000001</v>
      </c>
      <c r="I80" s="83">
        <f t="shared" si="18"/>
        <v>1.1000000000000001</v>
      </c>
      <c r="J80"/>
    </row>
    <row r="81" spans="1:11">
      <c r="A81"/>
      <c r="B81" s="213">
        <v>1</v>
      </c>
      <c r="C81" s="83">
        <v>1</v>
      </c>
      <c r="D81" s="81">
        <v>1.02</v>
      </c>
      <c r="E81" s="81">
        <v>1.04</v>
      </c>
      <c r="F81" s="81">
        <v>1.06</v>
      </c>
      <c r="G81" s="81">
        <v>1.08</v>
      </c>
      <c r="H81" s="81">
        <v>1.0900000000000001</v>
      </c>
      <c r="I81" s="105">
        <v>1.1000000000000001</v>
      </c>
      <c r="J81" t="s">
        <v>392</v>
      </c>
    </row>
    <row r="82" spans="1:11">
      <c r="A82"/>
      <c r="B82" s="213">
        <v>2</v>
      </c>
      <c r="C82" s="83">
        <v>1</v>
      </c>
      <c r="D82" s="83">
        <v>1</v>
      </c>
      <c r="E82" s="83">
        <v>1</v>
      </c>
      <c r="F82" s="83">
        <v>1</v>
      </c>
      <c r="G82" s="83">
        <v>1</v>
      </c>
      <c r="H82" s="83">
        <v>1</v>
      </c>
      <c r="I82" s="106">
        <v>1</v>
      </c>
      <c r="J82" t="s">
        <v>285</v>
      </c>
    </row>
    <row r="83" spans="1:11">
      <c r="A83"/>
      <c r="B83" s="213">
        <v>3</v>
      </c>
      <c r="C83" s="83">
        <v>1</v>
      </c>
      <c r="D83" s="81">
        <v>0.99</v>
      </c>
      <c r="E83" s="81">
        <v>0.98</v>
      </c>
      <c r="F83" s="81">
        <v>0.96</v>
      </c>
      <c r="G83" s="81">
        <v>0.94</v>
      </c>
      <c r="H83" s="81">
        <v>0.92</v>
      </c>
      <c r="I83" s="105">
        <v>0.9</v>
      </c>
      <c r="J83" t="s">
        <v>393</v>
      </c>
    </row>
    <row r="84" spans="1:11" ht="15.75" thickBot="1">
      <c r="A84"/>
      <c r="B84" s="213">
        <v>4</v>
      </c>
      <c r="C84" s="84">
        <v>1</v>
      </c>
      <c r="D84" s="82">
        <v>0.95</v>
      </c>
      <c r="E84" s="82">
        <v>0.88</v>
      </c>
      <c r="F84" s="82">
        <v>0.82</v>
      </c>
      <c r="G84" s="82">
        <v>0.76</v>
      </c>
      <c r="H84" s="82">
        <v>0.68</v>
      </c>
      <c r="I84" s="107">
        <v>0.6</v>
      </c>
      <c r="J84" t="s">
        <v>394</v>
      </c>
    </row>
    <row r="85" spans="1:11">
      <c r="A85"/>
      <c r="B85" s="98"/>
      <c r="C85" s="99"/>
      <c r="D85" s="100"/>
      <c r="E85" s="101"/>
      <c r="F85" s="102"/>
      <c r="G85" s="102"/>
      <c r="H85" s="102"/>
      <c r="I85" s="108"/>
      <c r="J85" s="96"/>
      <c r="K85" s="80"/>
    </row>
    <row r="86" spans="1:11">
      <c r="A86"/>
      <c r="B86" s="620" t="s">
        <v>352</v>
      </c>
      <c r="C86" s="623">
        <f>'Baseline Statistics'!D$4</f>
        <v>2022</v>
      </c>
      <c r="D86" s="623">
        <f>'Baseline Statistics'!E$4</f>
        <v>2025</v>
      </c>
      <c r="E86" s="623">
        <f>'Baseline Statistics'!F$4</f>
        <v>2030</v>
      </c>
      <c r="F86" s="623">
        <f>'Baseline Statistics'!G$4</f>
        <v>2035</v>
      </c>
      <c r="G86" s="623">
        <f>'Baseline Statistics'!H$4</f>
        <v>2040</v>
      </c>
      <c r="H86" s="623">
        <f>'Baseline Statistics'!I$4</f>
        <v>2045</v>
      </c>
      <c r="I86" s="623">
        <f>'Baseline Statistics'!J$4</f>
        <v>2051</v>
      </c>
      <c r="J86"/>
      <c r="K86" s="185"/>
    </row>
    <row r="87" spans="1:11">
      <c r="A87" s="103"/>
      <c r="B87" s="620"/>
      <c r="C87" s="624"/>
      <c r="D87" s="624"/>
      <c r="E87" s="624"/>
      <c r="F87" s="624"/>
      <c r="G87" s="624"/>
      <c r="H87" s="624"/>
      <c r="I87" s="624"/>
      <c r="J87"/>
    </row>
    <row r="88" spans="1:11">
      <c r="A88" s="103"/>
      <c r="B88" s="620"/>
      <c r="C88" s="625"/>
      <c r="D88" s="625"/>
      <c r="E88" s="625"/>
      <c r="F88" s="625"/>
      <c r="G88" s="625"/>
      <c r="H88" s="625"/>
      <c r="I88" s="625"/>
      <c r="J88"/>
    </row>
    <row r="89" spans="1:11">
      <c r="A89" s="103"/>
      <c r="B89" s="65" t="s">
        <v>377</v>
      </c>
      <c r="C89" s="72">
        <f t="shared" ref="C89:I90" si="19">C63*C$80</f>
        <v>36790440.061202846</v>
      </c>
      <c r="D89" s="72">
        <f t="shared" si="19"/>
        <v>40010213.450128987</v>
      </c>
      <c r="E89" s="72">
        <f t="shared" si="19"/>
        <v>44924213.710092537</v>
      </c>
      <c r="F89" s="72">
        <f t="shared" si="19"/>
        <v>49670557.576699443</v>
      </c>
      <c r="G89" s="72">
        <f t="shared" si="19"/>
        <v>54539591.905147098</v>
      </c>
      <c r="H89" s="72">
        <f t="shared" si="19"/>
        <v>58983202.43746613</v>
      </c>
      <c r="I89" s="110">
        <f t="shared" si="19"/>
        <v>70585642.945752174</v>
      </c>
      <c r="J89"/>
    </row>
    <row r="90" spans="1:11">
      <c r="A90" s="103"/>
      <c r="B90" s="66" t="s">
        <v>378</v>
      </c>
      <c r="C90" s="72">
        <f t="shared" si="19"/>
        <v>8353453.6432471676</v>
      </c>
      <c r="D90" s="72">
        <f t="shared" si="19"/>
        <v>9084519.3141500428</v>
      </c>
      <c r="E90" s="72">
        <f t="shared" si="19"/>
        <v>10200267.679927215</v>
      </c>
      <c r="F90" s="72">
        <f t="shared" si="19"/>
        <v>11277948.822056914</v>
      </c>
      <c r="G90" s="72">
        <f t="shared" si="19"/>
        <v>12383487.447917452</v>
      </c>
      <c r="H90" s="72">
        <f t="shared" si="19"/>
        <v>13392431.470566316</v>
      </c>
      <c r="I90" s="110">
        <f t="shared" si="19"/>
        <v>16026823.686948292</v>
      </c>
      <c r="J90"/>
      <c r="K90" s="350"/>
    </row>
    <row r="91" spans="1:11">
      <c r="A91" s="103"/>
      <c r="B91" s="65" t="s">
        <v>379</v>
      </c>
      <c r="C91" s="72">
        <f t="shared" ref="C91:I92" si="20">C65</f>
        <v>3404243.6177032739</v>
      </c>
      <c r="D91" s="72">
        <f t="shared" si="20"/>
        <v>3629579.7717453674</v>
      </c>
      <c r="E91" s="72">
        <f t="shared" si="20"/>
        <v>3996987.541739217</v>
      </c>
      <c r="F91" s="72">
        <f t="shared" si="20"/>
        <v>4335895.6257399451</v>
      </c>
      <c r="G91" s="72">
        <f t="shared" si="20"/>
        <v>4672763.2521235496</v>
      </c>
      <c r="H91" s="72">
        <f t="shared" si="20"/>
        <v>5007114.2363532763</v>
      </c>
      <c r="I91" s="110">
        <f t="shared" si="20"/>
        <v>5937578.1539448975</v>
      </c>
      <c r="J91"/>
      <c r="K91" s="185"/>
    </row>
    <row r="92" spans="1:11">
      <c r="A92" s="103"/>
      <c r="B92" s="66" t="s">
        <v>380</v>
      </c>
      <c r="C92" s="72">
        <f t="shared" si="20"/>
        <v>18536711.417872287</v>
      </c>
      <c r="D92" s="72">
        <f t="shared" si="20"/>
        <v>20031912.639725681</v>
      </c>
      <c r="E92" s="72">
        <f t="shared" si="20"/>
        <v>22056995.644500777</v>
      </c>
      <c r="F92" s="72">
        <f t="shared" si="20"/>
        <v>23999451.228290543</v>
      </c>
      <c r="G92" s="72">
        <f t="shared" si="20"/>
        <v>26129084.229692195</v>
      </c>
      <c r="H92" s="72">
        <f t="shared" si="20"/>
        <v>28124635.416373469</v>
      </c>
      <c r="I92" s="110">
        <f t="shared" si="20"/>
        <v>30307364.020666622</v>
      </c>
      <c r="J92"/>
    </row>
    <row r="93" spans="1:11">
      <c r="A93" s="103"/>
      <c r="B93" s="65" t="s">
        <v>381</v>
      </c>
      <c r="C93" s="72">
        <f t="shared" ref="C93:I93" si="21">C67*C80</f>
        <v>875123.71500684612</v>
      </c>
      <c r="D93" s="72">
        <f t="shared" si="21"/>
        <v>951711.54719667137</v>
      </c>
      <c r="E93" s="72">
        <f t="shared" si="21"/>
        <v>1068599.4712304701</v>
      </c>
      <c r="F93" s="72">
        <f t="shared" si="21"/>
        <v>1181499.4004059625</v>
      </c>
      <c r="G93" s="72">
        <f t="shared" si="21"/>
        <v>1297317.7326389709</v>
      </c>
      <c r="H93" s="72">
        <f t="shared" si="21"/>
        <v>1403016.6302498046</v>
      </c>
      <c r="I93" s="110">
        <f t="shared" si="21"/>
        <v>1679000.5767279165</v>
      </c>
      <c r="J93"/>
    </row>
    <row r="94" spans="1:11">
      <c r="A94" s="103"/>
      <c r="B94" s="67" t="s">
        <v>337</v>
      </c>
      <c r="C94" s="72">
        <f t="shared" ref="C94:I96" si="22">C68*C$80</f>
        <v>603881.656249461</v>
      </c>
      <c r="D94" s="72">
        <f t="shared" si="22"/>
        <v>665643.56515147153</v>
      </c>
      <c r="E94" s="72">
        <f t="shared" si="22"/>
        <v>747306.64743476186</v>
      </c>
      <c r="F94" s="72">
        <f t="shared" si="22"/>
        <v>828755.31219715695</v>
      </c>
      <c r="G94" s="72">
        <f t="shared" si="22"/>
        <v>919320.81422762433</v>
      </c>
      <c r="H94" s="72">
        <f t="shared" si="22"/>
        <v>998694.24661278259</v>
      </c>
      <c r="I94" s="110">
        <f t="shared" si="22"/>
        <v>1086075.4556539292</v>
      </c>
      <c r="J94" s="96"/>
    </row>
    <row r="95" spans="1:11">
      <c r="A95" s="103"/>
      <c r="B95" s="67" t="s">
        <v>340</v>
      </c>
      <c r="C95" s="72">
        <f t="shared" si="22"/>
        <v>307048.79688692791</v>
      </c>
      <c r="D95" s="72">
        <f t="shared" si="22"/>
        <v>338452.16810303985</v>
      </c>
      <c r="E95" s="72">
        <f t="shared" si="22"/>
        <v>379974.46126374527</v>
      </c>
      <c r="F95" s="72">
        <f t="shared" si="22"/>
        <v>421387.73200070107</v>
      </c>
      <c r="G95" s="72">
        <f t="shared" si="22"/>
        <v>467436.53667978919</v>
      </c>
      <c r="H95" s="72">
        <f t="shared" si="22"/>
        <v>507794.63775213069</v>
      </c>
      <c r="I95" s="110">
        <f t="shared" si="22"/>
        <v>552224.3614056767</v>
      </c>
      <c r="J95" s="96"/>
    </row>
    <row r="96" spans="1:11">
      <c r="A96" s="103"/>
      <c r="B96" s="65" t="s">
        <v>239</v>
      </c>
      <c r="C96" s="72">
        <f t="shared" si="22"/>
        <v>4350044.3909544628</v>
      </c>
      <c r="D96" s="72">
        <f t="shared" si="22"/>
        <v>4887964.6813748134</v>
      </c>
      <c r="E96" s="72">
        <f t="shared" si="22"/>
        <v>5613239.6850871164</v>
      </c>
      <c r="F96" s="72">
        <f t="shared" si="22"/>
        <v>6261052.1103504375</v>
      </c>
      <c r="G96" s="72">
        <f t="shared" si="22"/>
        <v>7024231.328462299</v>
      </c>
      <c r="H96" s="72">
        <f t="shared" si="22"/>
        <v>7782497.8651539646</v>
      </c>
      <c r="I96" s="110">
        <f t="shared" si="22"/>
        <v>8743127.5952077676</v>
      </c>
      <c r="J96" s="96"/>
    </row>
    <row r="97" spans="1:10">
      <c r="A97" s="103"/>
      <c r="B97" s="67" t="s">
        <v>242</v>
      </c>
      <c r="C97" s="72">
        <f>C71*C$80</f>
        <v>578623.93901467754</v>
      </c>
      <c r="D97" s="72">
        <f t="shared" ref="D97:I97" si="23">D71</f>
        <v>595520.65223703149</v>
      </c>
      <c r="E97" s="72">
        <f t="shared" si="23"/>
        <v>623085.70552406891</v>
      </c>
      <c r="F97" s="72">
        <f t="shared" si="23"/>
        <v>645813.36829283612</v>
      </c>
      <c r="G97" s="72">
        <f t="shared" si="23"/>
        <v>668541.03106160311</v>
      </c>
      <c r="H97" s="72">
        <f t="shared" si="23"/>
        <v>691268.69383037032</v>
      </c>
      <c r="I97" s="110">
        <f t="shared" si="23"/>
        <v>713996.35659913742</v>
      </c>
      <c r="J97" s="96"/>
    </row>
    <row r="98" spans="1:10" ht="15.75" thickBot="1">
      <c r="A98" s="277"/>
      <c r="B98" s="112" t="s">
        <v>233</v>
      </c>
      <c r="C98" s="113">
        <f>C72</f>
        <v>538033.26885880088</v>
      </c>
      <c r="D98" s="113">
        <f t="shared" ref="D98:I98" si="24">D72*D$80</f>
        <v>585120.09898496035</v>
      </c>
      <c r="E98" s="113">
        <f t="shared" si="24"/>
        <v>656983.75755068904</v>
      </c>
      <c r="F98" s="113">
        <f t="shared" si="24"/>
        <v>726395.5640262363</v>
      </c>
      <c r="G98" s="113">
        <f t="shared" si="24"/>
        <v>797601.62874202651</v>
      </c>
      <c r="H98" s="113">
        <f t="shared" si="24"/>
        <v>862586.18169278663</v>
      </c>
      <c r="I98" s="114">
        <f t="shared" si="24"/>
        <v>1032263.3854182158</v>
      </c>
      <c r="J98" s="96"/>
    </row>
    <row r="99" spans="1:10">
      <c r="J99" s="96"/>
    </row>
    <row r="100" spans="1:10" ht="15.75" thickBot="1">
      <c r="B100"/>
      <c r="C100"/>
      <c r="D100"/>
      <c r="E100"/>
      <c r="F100"/>
      <c r="G100"/>
      <c r="H100"/>
      <c r="I100"/>
      <c r="J100"/>
    </row>
    <row r="101" spans="1:10">
      <c r="A101" s="339">
        <v>1</v>
      </c>
      <c r="B101" s="115"/>
      <c r="C101" s="596" t="s">
        <v>395</v>
      </c>
      <c r="D101" s="597"/>
      <c r="E101" s="597"/>
      <c r="F101" s="597"/>
      <c r="G101" s="597"/>
      <c r="H101" s="597"/>
      <c r="I101" s="598"/>
      <c r="J101"/>
    </row>
    <row r="102" spans="1:10">
      <c r="A102"/>
      <c r="B102" s="58" t="s">
        <v>17</v>
      </c>
      <c r="C102" s="213">
        <f>'Baseline Statistics'!D4</f>
        <v>2022</v>
      </c>
      <c r="D102" s="213">
        <f>'Baseline Statistics'!E4</f>
        <v>2025</v>
      </c>
      <c r="E102" s="213">
        <f>'Baseline Statistics'!F4</f>
        <v>2030</v>
      </c>
      <c r="F102" s="213">
        <f>'Baseline Statistics'!G4</f>
        <v>2035</v>
      </c>
      <c r="G102" s="213">
        <f>'Baseline Statistics'!H4</f>
        <v>2040</v>
      </c>
      <c r="H102" s="213">
        <f>'Baseline Statistics'!I4</f>
        <v>2045</v>
      </c>
      <c r="I102" s="104">
        <f>'Baseline Statistics'!J4</f>
        <v>2051</v>
      </c>
      <c r="J102"/>
    </row>
    <row r="103" spans="1:10">
      <c r="A103"/>
      <c r="B103" s="213" t="s">
        <v>18</v>
      </c>
      <c r="C103" s="83">
        <f t="shared" ref="C103:I103" si="25">VLOOKUP($A101,$B104:$I107,COLUMN()-1,TRUE)</f>
        <v>0</v>
      </c>
      <c r="D103" s="83">
        <f t="shared" si="25"/>
        <v>0</v>
      </c>
      <c r="E103" s="83">
        <f t="shared" si="25"/>
        <v>0</v>
      </c>
      <c r="F103" s="83">
        <f t="shared" si="25"/>
        <v>0</v>
      </c>
      <c r="G103" s="83">
        <f t="shared" si="25"/>
        <v>0</v>
      </c>
      <c r="H103" s="83">
        <f t="shared" si="25"/>
        <v>0</v>
      </c>
      <c r="I103" s="83">
        <f t="shared" si="25"/>
        <v>0</v>
      </c>
      <c r="J103"/>
    </row>
    <row r="104" spans="1:10">
      <c r="A104"/>
      <c r="B104" s="213">
        <v>1</v>
      </c>
      <c r="C104" s="83">
        <v>0</v>
      </c>
      <c r="D104" s="81">
        <v>0</v>
      </c>
      <c r="E104" s="81">
        <v>0</v>
      </c>
      <c r="F104" s="81">
        <v>0</v>
      </c>
      <c r="G104" s="81">
        <v>0</v>
      </c>
      <c r="H104" s="81">
        <v>0</v>
      </c>
      <c r="I104" s="105">
        <v>0</v>
      </c>
      <c r="J104" t="s">
        <v>396</v>
      </c>
    </row>
    <row r="105" spans="1:10">
      <c r="A105"/>
      <c r="B105" s="213">
        <v>2</v>
      </c>
      <c r="C105" s="83">
        <v>0</v>
      </c>
      <c r="D105" s="81">
        <v>0.03</v>
      </c>
      <c r="E105" s="81">
        <v>0.06</v>
      </c>
      <c r="F105" s="81">
        <v>0.15</v>
      </c>
      <c r="G105" s="81">
        <v>0.17</v>
      </c>
      <c r="H105" s="81">
        <v>0.19</v>
      </c>
      <c r="I105" s="105">
        <v>0.2</v>
      </c>
      <c r="J105" t="s">
        <v>937</v>
      </c>
    </row>
    <row r="106" spans="1:10">
      <c r="A106"/>
      <c r="B106" s="213">
        <v>3</v>
      </c>
      <c r="C106" s="83">
        <v>0</v>
      </c>
      <c r="D106" s="81">
        <v>0.05</v>
      </c>
      <c r="E106" s="81">
        <v>0.1</v>
      </c>
      <c r="F106" s="81">
        <v>0.5</v>
      </c>
      <c r="G106" s="81">
        <v>0.6</v>
      </c>
      <c r="H106" s="81">
        <v>0.7</v>
      </c>
      <c r="I106" s="105">
        <v>0.8</v>
      </c>
      <c r="J106" t="s">
        <v>397</v>
      </c>
    </row>
    <row r="107" spans="1:10" ht="15.75" thickBot="1">
      <c r="A107"/>
      <c r="B107" s="213">
        <v>4</v>
      </c>
      <c r="C107" s="84">
        <v>0</v>
      </c>
      <c r="D107" s="81">
        <v>0.05</v>
      </c>
      <c r="E107" s="81">
        <v>0.1</v>
      </c>
      <c r="F107" s="81">
        <v>0.5</v>
      </c>
      <c r="G107" s="81">
        <v>0.6</v>
      </c>
      <c r="H107" s="81">
        <v>0.7</v>
      </c>
      <c r="I107" s="107">
        <v>0.8</v>
      </c>
      <c r="J107" t="s">
        <v>398</v>
      </c>
    </row>
    <row r="108" spans="1:10">
      <c r="A108"/>
      <c r="B108"/>
      <c r="C108"/>
      <c r="D108"/>
      <c r="E108"/>
      <c r="F108"/>
      <c r="G108"/>
      <c r="H108"/>
      <c r="I108" s="116"/>
      <c r="J108"/>
    </row>
    <row r="109" spans="1:10">
      <c r="A109"/>
      <c r="B109" t="s">
        <v>399</v>
      </c>
      <c r="C109" s="280">
        <f>C91/(C91+C92)</f>
        <v>0.1551547602273263</v>
      </c>
      <c r="D109" s="280">
        <f t="shared" ref="D109:I109" si="26">D91/(D91+D92)</f>
        <v>0.15339606262476299</v>
      </c>
      <c r="E109" s="280">
        <f t="shared" si="26"/>
        <v>0.15341176484101532</v>
      </c>
      <c r="F109" s="280">
        <f t="shared" si="26"/>
        <v>0.15302073583486756</v>
      </c>
      <c r="G109" s="280">
        <f t="shared" si="26"/>
        <v>0.15170399291413197</v>
      </c>
      <c r="H109" s="280">
        <f t="shared" si="26"/>
        <v>0.15112737144387997</v>
      </c>
      <c r="I109" s="281">
        <f t="shared" si="26"/>
        <v>0.16381811634131924</v>
      </c>
      <c r="J109"/>
    </row>
    <row r="110" spans="1:10">
      <c r="A110" s="103"/>
      <c r="B110" t="s">
        <v>400</v>
      </c>
      <c r="C110" s="280">
        <f>C94*'Baseline Statistics'!D49/(C94*'Baseline Statistics'!D49+C95)</f>
        <v>0.88437152960139931</v>
      </c>
      <c r="D110" s="280">
        <f>D94*'Baseline Statistics'!E49/(D94*'Baseline Statistics'!E49+D95)</f>
        <v>0.88437152960139942</v>
      </c>
      <c r="E110" s="280">
        <f>E94*'Baseline Statistics'!F49/(E94*'Baseline Statistics'!F49+E95)</f>
        <v>0.88437152960139942</v>
      </c>
      <c r="F110" s="280">
        <f>F94*'Baseline Statistics'!G49/(F94*'Baseline Statistics'!G49+F95)</f>
        <v>0.88437152960139931</v>
      </c>
      <c r="G110" s="280">
        <f>G94*'Baseline Statistics'!H49/(G94*'Baseline Statistics'!H49+G95)</f>
        <v>0.88437152960139931</v>
      </c>
      <c r="H110" s="280">
        <f>H94*'Baseline Statistics'!I49/(H94*'Baseline Statistics'!I49+H95)</f>
        <v>0.88437152960139931</v>
      </c>
      <c r="I110" s="280">
        <f>I94*'Baseline Statistics'!J49/(I94*'Baseline Statistics'!J49+I95)</f>
        <v>0.8843715296013992</v>
      </c>
      <c r="J110" t="s">
        <v>401</v>
      </c>
    </row>
    <row r="111" spans="1:10">
      <c r="A111" s="103"/>
      <c r="B111" t="s">
        <v>402</v>
      </c>
      <c r="C111" s="280">
        <f>C110</f>
        <v>0.88437152960139931</v>
      </c>
      <c r="D111" s="280">
        <v>0.5</v>
      </c>
      <c r="E111" s="280">
        <v>0.2</v>
      </c>
      <c r="F111" s="280">
        <v>0</v>
      </c>
      <c r="G111" s="280">
        <v>0</v>
      </c>
      <c r="H111" s="280">
        <v>0</v>
      </c>
      <c r="I111" s="281">
        <v>0</v>
      </c>
      <c r="J111" t="s">
        <v>403</v>
      </c>
    </row>
    <row r="112" spans="1:10">
      <c r="A112" s="103"/>
      <c r="B112" s="620" t="s">
        <v>352</v>
      </c>
      <c r="C112" s="623">
        <f>'Baseline Statistics'!D$4</f>
        <v>2022</v>
      </c>
      <c r="D112" s="623">
        <f>'Baseline Statistics'!E$4</f>
        <v>2025</v>
      </c>
      <c r="E112" s="623">
        <f>'Baseline Statistics'!F$4</f>
        <v>2030</v>
      </c>
      <c r="F112" s="623">
        <f>'Baseline Statistics'!G$4</f>
        <v>2035</v>
      </c>
      <c r="G112" s="623">
        <f>'Baseline Statistics'!H$4</f>
        <v>2040</v>
      </c>
      <c r="H112" s="623">
        <f>'Baseline Statistics'!I$4</f>
        <v>2045</v>
      </c>
      <c r="I112" s="623">
        <f>'Baseline Statistics'!J$4</f>
        <v>2051</v>
      </c>
      <c r="J112"/>
    </row>
    <row r="113" spans="1:10">
      <c r="A113" s="103"/>
      <c r="B113" s="620"/>
      <c r="C113" s="624"/>
      <c r="D113" s="624"/>
      <c r="E113" s="624"/>
      <c r="F113" s="624"/>
      <c r="G113" s="624"/>
      <c r="H113" s="624"/>
      <c r="I113" s="624"/>
      <c r="J113"/>
    </row>
    <row r="114" spans="1:10">
      <c r="A114" s="103"/>
      <c r="B114" s="620"/>
      <c r="C114" s="625"/>
      <c r="D114" s="625"/>
      <c r="E114" s="625"/>
      <c r="F114" s="625"/>
      <c r="G114" s="625"/>
      <c r="H114" s="625"/>
      <c r="I114" s="625"/>
      <c r="J114"/>
    </row>
    <row r="115" spans="1:10">
      <c r="A115" s="103"/>
      <c r="B115" s="65" t="s">
        <v>377</v>
      </c>
      <c r="C115" s="72">
        <f t="shared" ref="C115:I116" si="27">C89</f>
        <v>36790440.061202846</v>
      </c>
      <c r="D115" s="72">
        <f t="shared" si="27"/>
        <v>40010213.450128987</v>
      </c>
      <c r="E115" s="72">
        <f t="shared" si="27"/>
        <v>44924213.710092537</v>
      </c>
      <c r="F115" s="72">
        <f t="shared" si="27"/>
        <v>49670557.576699443</v>
      </c>
      <c r="G115" s="72">
        <f t="shared" si="27"/>
        <v>54539591.905147098</v>
      </c>
      <c r="H115" s="72">
        <f t="shared" si="27"/>
        <v>58983202.43746613</v>
      </c>
      <c r="I115" s="110">
        <f t="shared" si="27"/>
        <v>70585642.945752174</v>
      </c>
      <c r="J115"/>
    </row>
    <row r="116" spans="1:10">
      <c r="A116" s="103"/>
      <c r="B116" s="66" t="s">
        <v>378</v>
      </c>
      <c r="C116" s="72">
        <f t="shared" si="27"/>
        <v>8353453.6432471676</v>
      </c>
      <c r="D116" s="72">
        <f t="shared" si="27"/>
        <v>9084519.3141500428</v>
      </c>
      <c r="E116" s="72">
        <f t="shared" si="27"/>
        <v>10200267.679927215</v>
      </c>
      <c r="F116" s="72">
        <f t="shared" si="27"/>
        <v>11277948.822056914</v>
      </c>
      <c r="G116" s="72">
        <f t="shared" si="27"/>
        <v>12383487.447917452</v>
      </c>
      <c r="H116" s="72">
        <f t="shared" si="27"/>
        <v>13392431.470566316</v>
      </c>
      <c r="I116" s="110">
        <f t="shared" si="27"/>
        <v>16026823.686948292</v>
      </c>
      <c r="J116"/>
    </row>
    <row r="117" spans="1:10">
      <c r="A117" s="103"/>
      <c r="B117" s="65" t="s">
        <v>379</v>
      </c>
      <c r="C117" s="72">
        <f>C91</f>
        <v>3404243.6177032739</v>
      </c>
      <c r="D117" s="72">
        <f t="shared" ref="D117:I117" si="28">D91</f>
        <v>3629579.7717453674</v>
      </c>
      <c r="E117" s="72">
        <f t="shared" si="28"/>
        <v>3996987.541739217</v>
      </c>
      <c r="F117" s="72">
        <f t="shared" si="28"/>
        <v>4335895.6257399451</v>
      </c>
      <c r="G117" s="72">
        <f t="shared" si="28"/>
        <v>4672763.2521235496</v>
      </c>
      <c r="H117" s="72">
        <f t="shared" si="28"/>
        <v>5007114.2363532763</v>
      </c>
      <c r="I117" s="110">
        <f t="shared" si="28"/>
        <v>5937578.1539448975</v>
      </c>
      <c r="J117"/>
    </row>
    <row r="118" spans="1:10">
      <c r="A118" s="103"/>
      <c r="B118" s="66" t="s">
        <v>380</v>
      </c>
      <c r="C118" s="72">
        <f>C92*(1-C$103/(1-C109))</f>
        <v>18536711.417872287</v>
      </c>
      <c r="D118" s="72">
        <f>D92*(1-D$103/(1-D109))</f>
        <v>20031912.639725681</v>
      </c>
      <c r="E118" s="72">
        <f t="shared" ref="E118:I118" si="29">E92*(1-E$103/(1-E109))</f>
        <v>22056995.644500777</v>
      </c>
      <c r="F118" s="72">
        <f t="shared" si="29"/>
        <v>23999451.228290543</v>
      </c>
      <c r="G118" s="72">
        <f t="shared" si="29"/>
        <v>26129084.229692195</v>
      </c>
      <c r="H118" s="72">
        <f t="shared" si="29"/>
        <v>28124635.416373469</v>
      </c>
      <c r="I118" s="110">
        <f t="shared" si="29"/>
        <v>30307364.020666622</v>
      </c>
      <c r="J118"/>
    </row>
    <row r="119" spans="1:10">
      <c r="A119" s="103"/>
      <c r="B119" s="65" t="s">
        <v>381</v>
      </c>
      <c r="C119" s="72">
        <f>C93</f>
        <v>875123.71500684612</v>
      </c>
      <c r="D119" s="72">
        <f t="shared" ref="D119:I119" si="30">D93</f>
        <v>951711.54719667137</v>
      </c>
      <c r="E119" s="72">
        <f t="shared" si="30"/>
        <v>1068599.4712304701</v>
      </c>
      <c r="F119" s="72">
        <f t="shared" si="30"/>
        <v>1181499.4004059625</v>
      </c>
      <c r="G119" s="72">
        <f t="shared" si="30"/>
        <v>1297317.7326389709</v>
      </c>
      <c r="H119" s="72">
        <f t="shared" si="30"/>
        <v>1403016.6302498046</v>
      </c>
      <c r="I119" s="110">
        <f t="shared" si="30"/>
        <v>1679000.5767279165</v>
      </c>
      <c r="J119"/>
    </row>
    <row r="120" spans="1:10">
      <c r="A120" s="103"/>
      <c r="B120" s="282" t="s">
        <v>337</v>
      </c>
      <c r="C120" s="72">
        <f>C94+(C92-C118)*'Baseline Statistics'!D50*C110</f>
        <v>603881.656249461</v>
      </c>
      <c r="D120" s="72">
        <f>D94+(D92-D118)*'Baseline Statistics'!E50*D110</f>
        <v>665643.56515147153</v>
      </c>
      <c r="E120" s="72">
        <f>E94+(E92-E118)*'Baseline Statistics'!F50*E110</f>
        <v>747306.64743476186</v>
      </c>
      <c r="F120" s="72">
        <f>F94+(F92-F118)*'Baseline Statistics'!G50*F110</f>
        <v>828755.31219715695</v>
      </c>
      <c r="G120" s="72">
        <f>G94+(G92-G118)*'Baseline Statistics'!H50*G110</f>
        <v>919320.81422762433</v>
      </c>
      <c r="H120" s="72">
        <f>H94+(H92-H118)*'Baseline Statistics'!I50*H110</f>
        <v>998694.24661278259</v>
      </c>
      <c r="I120" s="72">
        <f>I94+(I92-I118)*'Baseline Statistics'!J50*I110</f>
        <v>1086075.4556539292</v>
      </c>
      <c r="J120"/>
    </row>
    <row r="121" spans="1:10">
      <c r="A121" s="103"/>
      <c r="B121" s="282" t="s">
        <v>340</v>
      </c>
      <c r="C121" s="72">
        <f>C95+(C92-C118)*'Baseline Statistics'!D50*'Baseline Statistics'!D49*(1-C110)</f>
        <v>307048.79688692791</v>
      </c>
      <c r="D121" s="72">
        <f>D95+(D92-D118)*'Baseline Statistics'!E50*'Baseline Statistics'!E49*(1-D110)</f>
        <v>338452.16810303985</v>
      </c>
      <c r="E121" s="72">
        <f>E95+(E92-E118)*'Baseline Statistics'!F50*'Baseline Statistics'!F49*(1-E110)</f>
        <v>379974.46126374527</v>
      </c>
      <c r="F121" s="72">
        <f>F95+(F92-F118)*'Baseline Statistics'!G50*'Baseline Statistics'!G49*(1-F110)</f>
        <v>421387.73200070107</v>
      </c>
      <c r="G121" s="72">
        <f>G95+(G92-G118)*'Baseline Statistics'!H50*'Baseline Statistics'!H49*(1-G110)</f>
        <v>467436.53667978919</v>
      </c>
      <c r="H121" s="72">
        <f>H95+(H92-H118)*'Baseline Statistics'!I50*'Baseline Statistics'!I49*(1-H110)</f>
        <v>507794.63775213069</v>
      </c>
      <c r="I121" s="72">
        <f>I95+(I92-I118)*'Baseline Statistics'!J50*'Baseline Statistics'!J49*(1-I110)</f>
        <v>552224.3614056767</v>
      </c>
      <c r="J121"/>
    </row>
    <row r="122" spans="1:10">
      <c r="A122" s="103"/>
      <c r="B122" s="65" t="s">
        <v>239</v>
      </c>
      <c r="C122" s="72">
        <f>C96</f>
        <v>4350044.3909544628</v>
      </c>
      <c r="D122" s="72">
        <f t="shared" ref="D122:I122" si="31">D96</f>
        <v>4887964.6813748134</v>
      </c>
      <c r="E122" s="72">
        <f t="shared" si="31"/>
        <v>5613239.6850871164</v>
      </c>
      <c r="F122" s="72">
        <f t="shared" si="31"/>
        <v>6261052.1103504375</v>
      </c>
      <c r="G122" s="72">
        <f t="shared" si="31"/>
        <v>7024231.328462299</v>
      </c>
      <c r="H122" s="72">
        <f t="shared" si="31"/>
        <v>7782497.8651539646</v>
      </c>
      <c r="I122" s="72">
        <f t="shared" si="31"/>
        <v>8743127.5952077676</v>
      </c>
      <c r="J122"/>
    </row>
    <row r="123" spans="1:10">
      <c r="A123" s="103"/>
      <c r="B123" s="67" t="s">
        <v>242</v>
      </c>
      <c r="C123" s="72">
        <f t="shared" ref="C123:C124" si="32">C97</f>
        <v>578623.93901467754</v>
      </c>
      <c r="D123" s="72">
        <f t="shared" ref="D123:I124" si="33">D97</f>
        <v>595520.65223703149</v>
      </c>
      <c r="E123" s="72">
        <f t="shared" si="33"/>
        <v>623085.70552406891</v>
      </c>
      <c r="F123" s="72">
        <f t="shared" si="33"/>
        <v>645813.36829283612</v>
      </c>
      <c r="G123" s="72">
        <f t="shared" si="33"/>
        <v>668541.03106160311</v>
      </c>
      <c r="H123" s="72">
        <f t="shared" si="33"/>
        <v>691268.69383037032</v>
      </c>
      <c r="I123" s="110">
        <f t="shared" si="33"/>
        <v>713996.35659913742</v>
      </c>
      <c r="J123"/>
    </row>
    <row r="124" spans="1:10" ht="15.75" thickBot="1">
      <c r="A124" s="111"/>
      <c r="B124" s="283" t="s">
        <v>233</v>
      </c>
      <c r="C124" s="72">
        <f t="shared" si="32"/>
        <v>538033.26885880088</v>
      </c>
      <c r="D124" s="113">
        <f t="shared" si="33"/>
        <v>585120.09898496035</v>
      </c>
      <c r="E124" s="113">
        <f t="shared" si="33"/>
        <v>656983.75755068904</v>
      </c>
      <c r="F124" s="113">
        <f t="shared" si="33"/>
        <v>726395.5640262363</v>
      </c>
      <c r="G124" s="113">
        <f t="shared" si="33"/>
        <v>797601.62874202651</v>
      </c>
      <c r="H124" s="113">
        <f t="shared" si="33"/>
        <v>862586.18169278663</v>
      </c>
      <c r="I124" s="114">
        <f t="shared" si="33"/>
        <v>1032263.3854182158</v>
      </c>
      <c r="J124"/>
    </row>
    <row r="125" spans="1:10" ht="15.75" thickBot="1">
      <c r="B125" s="91"/>
      <c r="C125" s="92"/>
      <c r="D125" s="93"/>
      <c r="E125" s="94"/>
      <c r="F125" s="95"/>
      <c r="G125" s="95"/>
      <c r="H125" s="95"/>
      <c r="I125" s="94"/>
      <c r="J125"/>
    </row>
    <row r="126" spans="1:10">
      <c r="A126" s="339">
        <v>1</v>
      </c>
      <c r="B126" s="115"/>
      <c r="C126" s="596" t="s">
        <v>404</v>
      </c>
      <c r="D126" s="597"/>
      <c r="E126" s="597"/>
      <c r="F126" s="597"/>
      <c r="G126" s="597"/>
      <c r="H126" s="597"/>
      <c r="I126" s="598"/>
      <c r="J126" t="s">
        <v>405</v>
      </c>
    </row>
    <row r="127" spans="1:10">
      <c r="A127"/>
      <c r="B127" s="58" t="s">
        <v>17</v>
      </c>
      <c r="C127" s="213">
        <f>'Baseline Statistics'!D4</f>
        <v>2022</v>
      </c>
      <c r="D127" s="213">
        <f>'Baseline Statistics'!E4</f>
        <v>2025</v>
      </c>
      <c r="E127" s="213">
        <f>'Baseline Statistics'!F4</f>
        <v>2030</v>
      </c>
      <c r="F127" s="213">
        <f>'Baseline Statistics'!G4</f>
        <v>2035</v>
      </c>
      <c r="G127" s="213">
        <f>'Baseline Statistics'!H4</f>
        <v>2040</v>
      </c>
      <c r="H127" s="213">
        <f>'Baseline Statistics'!I4</f>
        <v>2045</v>
      </c>
      <c r="I127" s="104">
        <f>'Baseline Statistics'!J4</f>
        <v>2051</v>
      </c>
      <c r="J127"/>
    </row>
    <row r="128" spans="1:10">
      <c r="A128"/>
      <c r="B128" s="213" t="s">
        <v>18</v>
      </c>
      <c r="C128" s="118">
        <f t="shared" ref="C128:I128" si="34">VLOOKUP($A126,$B129:$I132,COLUMN()-1,TRUE)</f>
        <v>0.03</v>
      </c>
      <c r="D128" s="118">
        <f t="shared" si="34"/>
        <v>0.03</v>
      </c>
      <c r="E128" s="118">
        <f t="shared" si="34"/>
        <v>0.03</v>
      </c>
      <c r="F128" s="118">
        <f t="shared" si="34"/>
        <v>0.03</v>
      </c>
      <c r="G128" s="118">
        <f t="shared" si="34"/>
        <v>0.03</v>
      </c>
      <c r="H128" s="118">
        <f t="shared" si="34"/>
        <v>0.03</v>
      </c>
      <c r="I128" s="118">
        <f t="shared" si="34"/>
        <v>0.03</v>
      </c>
      <c r="J128"/>
    </row>
    <row r="129" spans="1:10">
      <c r="A129"/>
      <c r="B129" s="213">
        <v>1</v>
      </c>
      <c r="C129" s="118">
        <v>0.03</v>
      </c>
      <c r="D129" s="118">
        <v>0.03</v>
      </c>
      <c r="E129" s="118">
        <v>0.03</v>
      </c>
      <c r="F129" s="118">
        <v>0.03</v>
      </c>
      <c r="G129" s="118">
        <v>0.03</v>
      </c>
      <c r="H129" s="118">
        <v>0.03</v>
      </c>
      <c r="I129" s="119">
        <v>0.03</v>
      </c>
      <c r="J129" t="s">
        <v>285</v>
      </c>
    </row>
    <row r="130" spans="1:10">
      <c r="A130"/>
      <c r="B130" s="213">
        <v>2</v>
      </c>
      <c r="C130" s="118">
        <v>0.03</v>
      </c>
      <c r="D130" s="120">
        <v>3.5000000000000003E-2</v>
      </c>
      <c r="E130" s="120">
        <v>0.04</v>
      </c>
      <c r="F130" s="120">
        <v>4.4999999999999998E-2</v>
      </c>
      <c r="G130" s="120">
        <v>0.05</v>
      </c>
      <c r="H130" s="120">
        <v>5.5E-2</v>
      </c>
      <c r="I130" s="121">
        <v>0.06</v>
      </c>
      <c r="J130" t="s">
        <v>406</v>
      </c>
    </row>
    <row r="131" spans="1:10">
      <c r="A131"/>
      <c r="B131" s="213">
        <v>3</v>
      </c>
      <c r="C131" s="118">
        <v>0.03</v>
      </c>
      <c r="D131" s="120">
        <v>0.04</v>
      </c>
      <c r="E131" s="120">
        <v>0.06</v>
      </c>
      <c r="F131" s="120">
        <v>0.08</v>
      </c>
      <c r="G131" s="120">
        <v>0.1</v>
      </c>
      <c r="H131" s="120">
        <v>0.1</v>
      </c>
      <c r="I131" s="121">
        <v>0.1</v>
      </c>
      <c r="J131" t="s">
        <v>407</v>
      </c>
    </row>
    <row r="132" spans="1:10">
      <c r="A132"/>
      <c r="B132" s="213">
        <v>4</v>
      </c>
      <c r="C132" s="118">
        <v>0.03</v>
      </c>
      <c r="D132" s="120">
        <v>0.05</v>
      </c>
      <c r="E132" s="120">
        <v>0.08</v>
      </c>
      <c r="F132" s="120">
        <v>0.12</v>
      </c>
      <c r="G132" s="120">
        <v>0.18</v>
      </c>
      <c r="H132" s="120">
        <v>0.24</v>
      </c>
      <c r="I132" s="121">
        <v>0.25</v>
      </c>
      <c r="J132" t="s">
        <v>408</v>
      </c>
    </row>
    <row r="133" spans="1:10">
      <c r="A133"/>
      <c r="B133" s="97"/>
      <c r="C133" s="629" t="s">
        <v>409</v>
      </c>
      <c r="D133" s="629"/>
      <c r="E133" s="629"/>
      <c r="F133" s="629"/>
      <c r="G133" s="629"/>
      <c r="H133" s="629"/>
      <c r="I133" s="630"/>
      <c r="J133"/>
    </row>
    <row r="134" spans="1:10">
      <c r="A134" s="103"/>
      <c r="B134" s="213" t="s">
        <v>18</v>
      </c>
      <c r="C134" s="118">
        <f t="shared" ref="C134:I134" si="35">VLOOKUP($A126,$B135:$I138,COLUMN()-1,TRUE)</f>
        <v>0.1</v>
      </c>
      <c r="D134" s="118">
        <f t="shared" si="35"/>
        <v>0.1</v>
      </c>
      <c r="E134" s="118">
        <f t="shared" si="35"/>
        <v>0.1</v>
      </c>
      <c r="F134" s="118">
        <f t="shared" si="35"/>
        <v>0.1</v>
      </c>
      <c r="G134" s="118">
        <f t="shared" si="35"/>
        <v>0.1</v>
      </c>
      <c r="H134" s="118">
        <f t="shared" si="35"/>
        <v>0.1</v>
      </c>
      <c r="I134" s="118">
        <f t="shared" si="35"/>
        <v>0.1</v>
      </c>
      <c r="J134" s="129"/>
    </row>
    <row r="135" spans="1:10">
      <c r="A135" s="103"/>
      <c r="B135" s="213">
        <v>1</v>
      </c>
      <c r="C135" s="118">
        <v>0.1</v>
      </c>
      <c r="D135" s="118">
        <v>0.1</v>
      </c>
      <c r="E135" s="118">
        <v>0.1</v>
      </c>
      <c r="F135" s="118">
        <v>0.1</v>
      </c>
      <c r="G135" s="118">
        <v>0.1</v>
      </c>
      <c r="H135" s="118">
        <v>0.1</v>
      </c>
      <c r="I135" s="119">
        <v>0.1</v>
      </c>
      <c r="J135" s="129" t="s">
        <v>285</v>
      </c>
    </row>
    <row r="136" spans="1:10">
      <c r="A136" s="103"/>
      <c r="B136" s="213">
        <v>2</v>
      </c>
      <c r="C136" s="118">
        <v>0.1</v>
      </c>
      <c r="D136" s="120">
        <v>0.1</v>
      </c>
      <c r="E136" s="120">
        <v>0.11</v>
      </c>
      <c r="F136" s="120">
        <v>0.12</v>
      </c>
      <c r="G136" s="120">
        <v>0.13</v>
      </c>
      <c r="H136" s="120">
        <v>0.14000000000000001</v>
      </c>
      <c r="I136" s="121">
        <v>0.15</v>
      </c>
      <c r="J136" t="s">
        <v>410</v>
      </c>
    </row>
    <row r="137" spans="1:10">
      <c r="A137" s="103"/>
      <c r="B137" s="213">
        <v>3</v>
      </c>
      <c r="C137" s="118">
        <v>0.1</v>
      </c>
      <c r="D137" s="120">
        <v>0.12</v>
      </c>
      <c r="E137" s="120">
        <v>0.14000000000000001</v>
      </c>
      <c r="F137" s="120">
        <v>0.16</v>
      </c>
      <c r="G137" s="120">
        <v>0.18</v>
      </c>
      <c r="H137" s="120">
        <v>0.2</v>
      </c>
      <c r="I137" s="121">
        <v>0.2</v>
      </c>
      <c r="J137" t="s">
        <v>411</v>
      </c>
    </row>
    <row r="138" spans="1:10">
      <c r="A138" s="103"/>
      <c r="B138" s="213">
        <v>4</v>
      </c>
      <c r="C138" s="118">
        <v>0.1</v>
      </c>
      <c r="D138" s="120">
        <v>0.12</v>
      </c>
      <c r="E138" s="120">
        <v>0.15</v>
      </c>
      <c r="F138" s="120">
        <v>0.18</v>
      </c>
      <c r="G138" s="120">
        <v>0.21</v>
      </c>
      <c r="H138" s="120">
        <v>0.23</v>
      </c>
      <c r="I138" s="121">
        <v>0.25</v>
      </c>
      <c r="J138" t="s">
        <v>412</v>
      </c>
    </row>
    <row r="139" spans="1:10">
      <c r="A139" s="103"/>
      <c r="B139" s="213"/>
      <c r="C139" s="133"/>
      <c r="D139" s="123"/>
      <c r="E139" s="134"/>
      <c r="F139" s="123"/>
      <c r="G139" s="123"/>
      <c r="H139" s="123"/>
      <c r="I139" s="124"/>
      <c r="J139"/>
    </row>
    <row r="140" spans="1:10">
      <c r="A140" s="103"/>
      <c r="B140" s="620" t="s">
        <v>413</v>
      </c>
      <c r="C140" s="623">
        <f>'Baseline Statistics'!D$4</f>
        <v>2022</v>
      </c>
      <c r="D140" s="623">
        <f>'Baseline Statistics'!E$4</f>
        <v>2025</v>
      </c>
      <c r="E140" s="623">
        <f>'Baseline Statistics'!F$4</f>
        <v>2030</v>
      </c>
      <c r="F140" s="623">
        <f>'Baseline Statistics'!G$4</f>
        <v>2035</v>
      </c>
      <c r="G140" s="623">
        <f>'Baseline Statistics'!H$4</f>
        <v>2040</v>
      </c>
      <c r="H140" s="623">
        <f>'Baseline Statistics'!I$4</f>
        <v>2045</v>
      </c>
      <c r="I140" s="623">
        <f>'Baseline Statistics'!J$4</f>
        <v>2051</v>
      </c>
      <c r="J140"/>
    </row>
    <row r="141" spans="1:10">
      <c r="A141" s="103"/>
      <c r="B141" s="620"/>
      <c r="C141" s="624"/>
      <c r="D141" s="624"/>
      <c r="E141" s="624"/>
      <c r="F141" s="624"/>
      <c r="G141" s="624"/>
      <c r="H141" s="624"/>
      <c r="I141" s="624"/>
      <c r="J141"/>
    </row>
    <row r="142" spans="1:10">
      <c r="A142" s="103"/>
      <c r="B142" s="620"/>
      <c r="C142" s="625"/>
      <c r="D142" s="625"/>
      <c r="E142" s="625"/>
      <c r="F142" s="625"/>
      <c r="G142" s="625"/>
      <c r="H142" s="625"/>
      <c r="I142" s="625"/>
      <c r="J142"/>
    </row>
    <row r="143" spans="1:10">
      <c r="A143" s="103"/>
      <c r="B143" s="66" t="s">
        <v>414</v>
      </c>
      <c r="C143" s="135">
        <f>58866/6288</f>
        <v>9.361641221374045</v>
      </c>
      <c r="D143" s="135">
        <f t="shared" ref="D143:I143" si="36">58866/6288</f>
        <v>9.361641221374045</v>
      </c>
      <c r="E143" s="135">
        <f t="shared" si="36"/>
        <v>9.361641221374045</v>
      </c>
      <c r="F143" s="135">
        <f t="shared" si="36"/>
        <v>9.361641221374045</v>
      </c>
      <c r="G143" s="135">
        <f t="shared" si="36"/>
        <v>9.361641221374045</v>
      </c>
      <c r="H143" s="135">
        <f t="shared" si="36"/>
        <v>9.361641221374045</v>
      </c>
      <c r="I143" s="135">
        <f t="shared" si="36"/>
        <v>9.361641221374045</v>
      </c>
      <c r="J143" t="s">
        <v>415</v>
      </c>
    </row>
    <row r="144" spans="1:10">
      <c r="A144" s="103"/>
      <c r="B144" s="65" t="s">
        <v>416</v>
      </c>
      <c r="C144" s="135">
        <f>415/101</f>
        <v>4.108910891089109</v>
      </c>
      <c r="D144" s="135">
        <f t="shared" ref="D144:I144" si="37">415/101</f>
        <v>4.108910891089109</v>
      </c>
      <c r="E144" s="135">
        <f t="shared" si="37"/>
        <v>4.108910891089109</v>
      </c>
      <c r="F144" s="135">
        <f t="shared" si="37"/>
        <v>4.108910891089109</v>
      </c>
      <c r="G144" s="135">
        <f t="shared" si="37"/>
        <v>4.108910891089109</v>
      </c>
      <c r="H144" s="135">
        <f t="shared" si="37"/>
        <v>4.108910891089109</v>
      </c>
      <c r="I144" s="135">
        <f t="shared" si="37"/>
        <v>4.108910891089109</v>
      </c>
      <c r="J144" t="s">
        <v>415</v>
      </c>
    </row>
    <row r="145" spans="1:10">
      <c r="A145" s="103"/>
      <c r="B145" s="66" t="s">
        <v>417</v>
      </c>
      <c r="C145" s="135">
        <f>686/730</f>
        <v>0.9397260273972603</v>
      </c>
      <c r="D145" s="135">
        <f t="shared" ref="D145:I145" si="38">686/730</f>
        <v>0.9397260273972603</v>
      </c>
      <c r="E145" s="135">
        <f t="shared" si="38"/>
        <v>0.9397260273972603</v>
      </c>
      <c r="F145" s="135">
        <f t="shared" si="38"/>
        <v>0.9397260273972603</v>
      </c>
      <c r="G145" s="135">
        <f t="shared" si="38"/>
        <v>0.9397260273972603</v>
      </c>
      <c r="H145" s="135">
        <f t="shared" si="38"/>
        <v>0.9397260273972603</v>
      </c>
      <c r="I145" s="135">
        <f t="shared" si="38"/>
        <v>0.9397260273972603</v>
      </c>
      <c r="J145" t="s">
        <v>415</v>
      </c>
    </row>
    <row r="146" spans="1:10">
      <c r="A146" s="103"/>
      <c r="B146" s="65" t="s">
        <v>418</v>
      </c>
      <c r="C146" s="135">
        <f>C144/C143</f>
        <v>0.43890924613814969</v>
      </c>
      <c r="D146" s="135">
        <f t="shared" ref="D146:I146" si="39">D144/D143</f>
        <v>0.43890924613814969</v>
      </c>
      <c r="E146" s="135">
        <f t="shared" si="39"/>
        <v>0.43890924613814969</v>
      </c>
      <c r="F146" s="135">
        <f t="shared" si="39"/>
        <v>0.43890924613814969</v>
      </c>
      <c r="G146" s="135">
        <f t="shared" si="39"/>
        <v>0.43890924613814969</v>
      </c>
      <c r="H146" s="135">
        <f t="shared" si="39"/>
        <v>0.43890924613814969</v>
      </c>
      <c r="I146" s="135">
        <f t="shared" si="39"/>
        <v>0.43890924613814969</v>
      </c>
      <c r="J146"/>
    </row>
    <row r="147" spans="1:10">
      <c r="A147" s="103"/>
      <c r="B147" s="66" t="s">
        <v>419</v>
      </c>
      <c r="C147" s="135">
        <f>C145/C143</f>
        <v>0.10038047871902241</v>
      </c>
      <c r="D147" s="135">
        <f t="shared" ref="D147:I147" si="40">D145/D143</f>
        <v>0.10038047871902241</v>
      </c>
      <c r="E147" s="135">
        <f t="shared" si="40"/>
        <v>0.10038047871902241</v>
      </c>
      <c r="F147" s="135">
        <f t="shared" si="40"/>
        <v>0.10038047871902241</v>
      </c>
      <c r="G147" s="135">
        <f t="shared" si="40"/>
        <v>0.10038047871902241</v>
      </c>
      <c r="H147" s="135">
        <f t="shared" si="40"/>
        <v>0.10038047871902241</v>
      </c>
      <c r="I147" s="135">
        <f t="shared" si="40"/>
        <v>0.10038047871902241</v>
      </c>
      <c r="J147"/>
    </row>
    <row r="148" spans="1:10">
      <c r="A148" s="103"/>
      <c r="B148" s="65" t="s">
        <v>420</v>
      </c>
      <c r="C148" s="136">
        <f t="shared" ref="C148:I148" si="41">C146*C128</f>
        <v>1.316727738414449E-2</v>
      </c>
      <c r="D148" s="136">
        <f t="shared" si="41"/>
        <v>1.316727738414449E-2</v>
      </c>
      <c r="E148" s="136">
        <f t="shared" si="41"/>
        <v>1.316727738414449E-2</v>
      </c>
      <c r="F148" s="136">
        <f t="shared" si="41"/>
        <v>1.316727738414449E-2</v>
      </c>
      <c r="G148" s="136">
        <f t="shared" si="41"/>
        <v>1.316727738414449E-2</v>
      </c>
      <c r="H148" s="136">
        <f t="shared" si="41"/>
        <v>1.316727738414449E-2</v>
      </c>
      <c r="I148" s="137">
        <f t="shared" si="41"/>
        <v>1.316727738414449E-2</v>
      </c>
      <c r="J148"/>
    </row>
    <row r="149" spans="1:10">
      <c r="A149" s="103"/>
      <c r="B149" s="66" t="s">
        <v>421</v>
      </c>
      <c r="C149" s="136">
        <f t="shared" ref="C149:I149" si="42">C147*C134</f>
        <v>1.0038047871902241E-2</v>
      </c>
      <c r="D149" s="136">
        <f t="shared" si="42"/>
        <v>1.0038047871902241E-2</v>
      </c>
      <c r="E149" s="136">
        <f t="shared" si="42"/>
        <v>1.0038047871902241E-2</v>
      </c>
      <c r="F149" s="136">
        <f t="shared" si="42"/>
        <v>1.0038047871902241E-2</v>
      </c>
      <c r="G149" s="136">
        <f t="shared" si="42"/>
        <v>1.0038047871902241E-2</v>
      </c>
      <c r="H149" s="136">
        <f t="shared" si="42"/>
        <v>1.0038047871902241E-2</v>
      </c>
      <c r="I149" s="137">
        <f t="shared" si="42"/>
        <v>1.0038047871902241E-2</v>
      </c>
      <c r="J149"/>
    </row>
    <row r="150" spans="1:10">
      <c r="A150" s="103"/>
      <c r="B150" s="65" t="s">
        <v>422</v>
      </c>
      <c r="C150" s="136">
        <f>SUM(C148:C149)</f>
        <v>2.3205325256046731E-2</v>
      </c>
      <c r="D150" s="136">
        <f t="shared" ref="D150:I150" si="43">SUM(D148:D149)</f>
        <v>2.3205325256046731E-2</v>
      </c>
      <c r="E150" s="136">
        <f t="shared" si="43"/>
        <v>2.3205325256046731E-2</v>
      </c>
      <c r="F150" s="136">
        <f t="shared" si="43"/>
        <v>2.3205325256046731E-2</v>
      </c>
      <c r="G150" s="136">
        <f t="shared" si="43"/>
        <v>2.3205325256046731E-2</v>
      </c>
      <c r="H150" s="136">
        <f t="shared" si="43"/>
        <v>2.3205325256046731E-2</v>
      </c>
      <c r="I150" s="137">
        <f t="shared" si="43"/>
        <v>2.3205325256046731E-2</v>
      </c>
      <c r="J150"/>
    </row>
    <row r="151" spans="1:10">
      <c r="A151" s="103"/>
      <c r="B151"/>
      <c r="C151"/>
      <c r="D151"/>
      <c r="E151"/>
      <c r="F151"/>
      <c r="G151"/>
      <c r="H151"/>
      <c r="I151" s="116"/>
      <c r="J151"/>
    </row>
    <row r="152" spans="1:10">
      <c r="A152" s="339">
        <v>1</v>
      </c>
      <c r="B152" s="59"/>
      <c r="C152" s="639" t="s">
        <v>423</v>
      </c>
      <c r="D152" s="640"/>
      <c r="E152" s="640"/>
      <c r="F152" s="640"/>
      <c r="G152" s="640"/>
      <c r="H152" s="640"/>
      <c r="I152" s="641"/>
      <c r="J152"/>
    </row>
    <row r="153" spans="1:10">
      <c r="A153"/>
      <c r="B153" s="58" t="s">
        <v>17</v>
      </c>
      <c r="C153" s="213">
        <f>'Baseline Statistics'!D4</f>
        <v>2022</v>
      </c>
      <c r="D153" s="213">
        <f>'Baseline Statistics'!E4</f>
        <v>2025</v>
      </c>
      <c r="E153" s="213">
        <f>'Baseline Statistics'!F4</f>
        <v>2030</v>
      </c>
      <c r="F153" s="213">
        <f>'Baseline Statistics'!G4</f>
        <v>2035</v>
      </c>
      <c r="G153" s="213">
        <f>'Baseline Statistics'!H4</f>
        <v>2040</v>
      </c>
      <c r="H153" s="213">
        <f>'Baseline Statistics'!I4</f>
        <v>2045</v>
      </c>
      <c r="I153" s="104">
        <f>'Baseline Statistics'!J4</f>
        <v>2051</v>
      </c>
      <c r="J153"/>
    </row>
    <row r="154" spans="1:10">
      <c r="A154"/>
      <c r="B154" s="213" t="s">
        <v>18</v>
      </c>
      <c r="C154" s="83">
        <f t="shared" ref="C154:I154" si="44">VLOOKUP($A152,$B155:$I158,COLUMN()-1,TRUE)</f>
        <v>0.04</v>
      </c>
      <c r="D154" s="83">
        <f t="shared" si="44"/>
        <v>0.04</v>
      </c>
      <c r="E154" s="83">
        <f t="shared" si="44"/>
        <v>0.04</v>
      </c>
      <c r="F154" s="83">
        <f t="shared" si="44"/>
        <v>0.04</v>
      </c>
      <c r="G154" s="83">
        <f t="shared" si="44"/>
        <v>0.04</v>
      </c>
      <c r="H154" s="83">
        <f t="shared" si="44"/>
        <v>0.04</v>
      </c>
      <c r="I154" s="83">
        <f t="shared" si="44"/>
        <v>0.04</v>
      </c>
      <c r="J154"/>
    </row>
    <row r="155" spans="1:10">
      <c r="A155"/>
      <c r="B155" s="213">
        <v>1</v>
      </c>
      <c r="C155" s="83">
        <v>0.04</v>
      </c>
      <c r="D155" s="83">
        <v>0.04</v>
      </c>
      <c r="E155" s="83">
        <v>0.04</v>
      </c>
      <c r="F155" s="83">
        <v>0.04</v>
      </c>
      <c r="G155" s="83">
        <v>0.04</v>
      </c>
      <c r="H155" s="83">
        <v>0.04</v>
      </c>
      <c r="I155" s="106">
        <v>0.04</v>
      </c>
      <c r="J155" t="s">
        <v>285</v>
      </c>
    </row>
    <row r="156" spans="1:10">
      <c r="A156"/>
      <c r="B156" s="213">
        <v>2</v>
      </c>
      <c r="C156" s="83">
        <v>0.04</v>
      </c>
      <c r="D156" s="81">
        <v>0.05</v>
      </c>
      <c r="E156" s="81">
        <v>0.06</v>
      </c>
      <c r="F156" s="81">
        <v>7.0000000000000007E-2</v>
      </c>
      <c r="G156" s="81">
        <v>0.08</v>
      </c>
      <c r="H156" s="81">
        <v>0.08</v>
      </c>
      <c r="I156" s="105">
        <v>0.08</v>
      </c>
      <c r="J156" t="s">
        <v>406</v>
      </c>
    </row>
    <row r="157" spans="1:10">
      <c r="A157"/>
      <c r="B157" s="213">
        <v>3</v>
      </c>
      <c r="C157" s="83">
        <v>0.04</v>
      </c>
      <c r="D157" s="81">
        <v>0.06</v>
      </c>
      <c r="E157" s="81">
        <v>0.08</v>
      </c>
      <c r="F157" s="81">
        <v>0.1</v>
      </c>
      <c r="G157" s="81">
        <v>0.12</v>
      </c>
      <c r="H157" s="81">
        <v>0.14000000000000001</v>
      </c>
      <c r="I157" s="105">
        <v>0.15</v>
      </c>
      <c r="J157" t="s">
        <v>424</v>
      </c>
    </row>
    <row r="158" spans="1:10" ht="15.75" thickBot="1">
      <c r="A158"/>
      <c r="B158" s="213">
        <v>4</v>
      </c>
      <c r="C158" s="83">
        <v>0.04</v>
      </c>
      <c r="D158" s="82">
        <v>7.0000000000000007E-2</v>
      </c>
      <c r="E158" s="82">
        <v>0.09</v>
      </c>
      <c r="F158" s="82">
        <v>0.12</v>
      </c>
      <c r="G158" s="82">
        <v>0.15</v>
      </c>
      <c r="H158" s="82">
        <v>0.2</v>
      </c>
      <c r="I158" s="107">
        <v>0.25</v>
      </c>
      <c r="J158" t="s">
        <v>425</v>
      </c>
    </row>
    <row r="159" spans="1:10">
      <c r="A159"/>
      <c r="B159" s="620" t="s">
        <v>426</v>
      </c>
      <c r="C159" s="623">
        <f>'Baseline Statistics'!D$4</f>
        <v>2022</v>
      </c>
      <c r="D159" s="638">
        <f>'Baseline Statistics'!E$4</f>
        <v>2025</v>
      </c>
      <c r="E159" s="638">
        <f>'Baseline Statistics'!F$4</f>
        <v>2030</v>
      </c>
      <c r="F159" s="638">
        <f>'Baseline Statistics'!G$4</f>
        <v>2035</v>
      </c>
      <c r="G159" s="638">
        <f>'Baseline Statistics'!H$4</f>
        <v>2040</v>
      </c>
      <c r="H159" s="638">
        <f>'Baseline Statistics'!I$4</f>
        <v>2045</v>
      </c>
      <c r="I159" s="638">
        <f>'Baseline Statistics'!J$4</f>
        <v>2051</v>
      </c>
      <c r="J159"/>
    </row>
    <row r="160" spans="1:10">
      <c r="A160" s="103"/>
      <c r="B160" s="620"/>
      <c r="C160" s="624"/>
      <c r="D160" s="624"/>
      <c r="E160" s="624"/>
      <c r="F160" s="624"/>
      <c r="G160" s="624"/>
      <c r="H160" s="624"/>
      <c r="I160" s="624"/>
      <c r="J160"/>
    </row>
    <row r="161" spans="1:10">
      <c r="A161" s="103"/>
      <c r="B161" s="620"/>
      <c r="C161" s="625"/>
      <c r="D161" s="625"/>
      <c r="E161" s="625"/>
      <c r="F161" s="625"/>
      <c r="G161" s="625"/>
      <c r="H161" s="625"/>
      <c r="I161" s="625"/>
      <c r="J161"/>
    </row>
    <row r="162" spans="1:10">
      <c r="A162" s="103"/>
      <c r="B162" s="65" t="s">
        <v>427</v>
      </c>
      <c r="C162" s="482">
        <f>1895/172</f>
        <v>11.017441860465116</v>
      </c>
      <c r="D162" s="482">
        <f t="shared" ref="D162:I162" si="45">1895/172</f>
        <v>11.017441860465116</v>
      </c>
      <c r="E162" s="482">
        <f t="shared" si="45"/>
        <v>11.017441860465116</v>
      </c>
      <c r="F162" s="482">
        <f t="shared" si="45"/>
        <v>11.017441860465116</v>
      </c>
      <c r="G162" s="482">
        <f t="shared" si="45"/>
        <v>11.017441860465116</v>
      </c>
      <c r="H162" s="482">
        <f t="shared" si="45"/>
        <v>11.017441860465116</v>
      </c>
      <c r="I162" s="482">
        <f t="shared" si="45"/>
        <v>11.017441860465116</v>
      </c>
      <c r="J162" t="s">
        <v>415</v>
      </c>
    </row>
    <row r="163" spans="1:10">
      <c r="A163" s="103"/>
      <c r="B163" s="66" t="s">
        <v>428</v>
      </c>
      <c r="C163" s="135">
        <f>C162/C143</f>
        <v>1.1768707644243648</v>
      </c>
      <c r="D163" s="135">
        <f t="shared" ref="D163:I163" si="46">D162/D143</f>
        <v>1.1768707644243648</v>
      </c>
      <c r="E163" s="135">
        <f t="shared" si="46"/>
        <v>1.1768707644243648</v>
      </c>
      <c r="F163" s="135">
        <f t="shared" si="46"/>
        <v>1.1768707644243648</v>
      </c>
      <c r="G163" s="135">
        <f t="shared" si="46"/>
        <v>1.1768707644243648</v>
      </c>
      <c r="H163" s="135">
        <f t="shared" si="46"/>
        <v>1.1768707644243648</v>
      </c>
      <c r="I163" s="135">
        <f t="shared" si="46"/>
        <v>1.1768707644243648</v>
      </c>
      <c r="J163"/>
    </row>
    <row r="164" spans="1:10">
      <c r="A164" s="103"/>
      <c r="B164" s="65" t="s">
        <v>429</v>
      </c>
      <c r="C164" s="136">
        <f>C163*C154</f>
        <v>4.7074830576974591E-2</v>
      </c>
      <c r="D164" s="136">
        <f t="shared" ref="D164:I164" si="47">D163*D154</f>
        <v>4.7074830576974591E-2</v>
      </c>
      <c r="E164" s="136">
        <f t="shared" si="47"/>
        <v>4.7074830576974591E-2</v>
      </c>
      <c r="F164" s="136">
        <f t="shared" si="47"/>
        <v>4.7074830576974591E-2</v>
      </c>
      <c r="G164" s="136">
        <f t="shared" si="47"/>
        <v>4.7074830576974591E-2</v>
      </c>
      <c r="H164" s="136">
        <f t="shared" si="47"/>
        <v>4.7074830576974591E-2</v>
      </c>
      <c r="I164" s="137">
        <f t="shared" si="47"/>
        <v>4.7074830576974591E-2</v>
      </c>
      <c r="J164"/>
    </row>
    <row r="165" spans="1:10">
      <c r="A165" s="103"/>
      <c r="B165" s="130"/>
      <c r="C165" s="131"/>
      <c r="D165" s="131"/>
      <c r="E165" s="131"/>
      <c r="F165" s="131"/>
      <c r="G165" s="131"/>
      <c r="H165" s="131"/>
      <c r="I165" s="132"/>
      <c r="J165"/>
    </row>
    <row r="166" spans="1:10">
      <c r="A166" s="103"/>
      <c r="B166" s="91"/>
      <c r="C166" s="92"/>
      <c r="D166" s="93"/>
      <c r="E166" s="94"/>
      <c r="F166" s="95"/>
      <c r="G166" s="95"/>
      <c r="H166" s="95"/>
      <c r="I166" s="117"/>
      <c r="J166"/>
    </row>
    <row r="167" spans="1:10">
      <c r="A167" s="103"/>
      <c r="B167" s="620" t="s">
        <v>352</v>
      </c>
      <c r="C167" s="623">
        <f>'Baseline Statistics'!D$4</f>
        <v>2022</v>
      </c>
      <c r="D167" s="623">
        <f>'Baseline Statistics'!E$4</f>
        <v>2025</v>
      </c>
      <c r="E167" s="623">
        <f>'Baseline Statistics'!F$4</f>
        <v>2030</v>
      </c>
      <c r="F167" s="623">
        <f>'Baseline Statistics'!G$4</f>
        <v>2035</v>
      </c>
      <c r="G167" s="623">
        <f>'Baseline Statistics'!H$4</f>
        <v>2040</v>
      </c>
      <c r="H167" s="623">
        <f>'Baseline Statistics'!I$4</f>
        <v>2045</v>
      </c>
      <c r="I167" s="623">
        <f>'Baseline Statistics'!J$4</f>
        <v>2051</v>
      </c>
      <c r="J167"/>
    </row>
    <row r="168" spans="1:10">
      <c r="A168" s="103"/>
      <c r="B168" s="620"/>
      <c r="C168" s="624"/>
      <c r="D168" s="624"/>
      <c r="E168" s="624"/>
      <c r="F168" s="624"/>
      <c r="G168" s="624"/>
      <c r="H168" s="624"/>
      <c r="I168" s="624"/>
      <c r="J168"/>
    </row>
    <row r="169" spans="1:10">
      <c r="A169" s="103"/>
      <c r="B169" s="620"/>
      <c r="C169" s="625"/>
      <c r="D169" s="625"/>
      <c r="E169" s="625"/>
      <c r="F169" s="625"/>
      <c r="G169" s="625"/>
      <c r="H169" s="625"/>
      <c r="I169" s="625"/>
      <c r="J169"/>
    </row>
    <row r="170" spans="1:10">
      <c r="A170" s="103"/>
      <c r="B170" s="65" t="s">
        <v>377</v>
      </c>
      <c r="C170" s="72">
        <f t="shared" ref="C170:I171" si="48">C115*(1-C$150+$C$150-C$164+$C$164)</f>
        <v>36790440.061202846</v>
      </c>
      <c r="D170" s="72">
        <f t="shared" si="48"/>
        <v>40010213.450128987</v>
      </c>
      <c r="E170" s="72">
        <f t="shared" si="48"/>
        <v>44924213.710092537</v>
      </c>
      <c r="F170" s="72">
        <f t="shared" si="48"/>
        <v>49670557.576699443</v>
      </c>
      <c r="G170" s="72">
        <f t="shared" si="48"/>
        <v>54539591.905147098</v>
      </c>
      <c r="H170" s="72">
        <f t="shared" si="48"/>
        <v>58983202.43746613</v>
      </c>
      <c r="I170" s="72">
        <f t="shared" si="48"/>
        <v>70585642.945752174</v>
      </c>
      <c r="J170"/>
    </row>
    <row r="171" spans="1:10">
      <c r="A171" s="103"/>
      <c r="B171" s="66" t="s">
        <v>378</v>
      </c>
      <c r="C171" s="72">
        <f t="shared" si="48"/>
        <v>8353453.6432471676</v>
      </c>
      <c r="D171" s="72">
        <f t="shared" si="48"/>
        <v>9084519.3141500428</v>
      </c>
      <c r="E171" s="72">
        <f t="shared" si="48"/>
        <v>10200267.679927215</v>
      </c>
      <c r="F171" s="72">
        <f t="shared" si="48"/>
        <v>11277948.822056914</v>
      </c>
      <c r="G171" s="72">
        <f t="shared" si="48"/>
        <v>12383487.447917452</v>
      </c>
      <c r="H171" s="72">
        <f t="shared" si="48"/>
        <v>13392431.470566316</v>
      </c>
      <c r="I171" s="72">
        <f t="shared" si="48"/>
        <v>16026823.686948292</v>
      </c>
      <c r="J171"/>
    </row>
    <row r="172" spans="1:10">
      <c r="A172" s="103"/>
      <c r="B172" s="65" t="s">
        <v>379</v>
      </c>
      <c r="C172" s="72">
        <f t="shared" ref="C172:I172" si="49">C91</f>
        <v>3404243.6177032739</v>
      </c>
      <c r="D172" s="72">
        <f t="shared" si="49"/>
        <v>3629579.7717453674</v>
      </c>
      <c r="E172" s="72">
        <f t="shared" si="49"/>
        <v>3996987.541739217</v>
      </c>
      <c r="F172" s="72">
        <f t="shared" si="49"/>
        <v>4335895.6257399451</v>
      </c>
      <c r="G172" s="72">
        <f t="shared" si="49"/>
        <v>4672763.2521235496</v>
      </c>
      <c r="H172" s="72">
        <f t="shared" si="49"/>
        <v>5007114.2363532763</v>
      </c>
      <c r="I172" s="110">
        <f t="shared" si="49"/>
        <v>5937578.1539448975</v>
      </c>
      <c r="J172"/>
    </row>
    <row r="173" spans="1:10">
      <c r="A173" s="103"/>
      <c r="B173" s="66" t="s">
        <v>380</v>
      </c>
      <c r="C173" s="72">
        <f>C118</f>
        <v>18536711.417872287</v>
      </c>
      <c r="D173" s="72">
        <f t="shared" ref="D173:I173" si="50">D118</f>
        <v>20031912.639725681</v>
      </c>
      <c r="E173" s="72">
        <f t="shared" si="50"/>
        <v>22056995.644500777</v>
      </c>
      <c r="F173" s="72">
        <f t="shared" si="50"/>
        <v>23999451.228290543</v>
      </c>
      <c r="G173" s="72">
        <f t="shared" si="50"/>
        <v>26129084.229692195</v>
      </c>
      <c r="H173" s="72">
        <f t="shared" si="50"/>
        <v>28124635.416373469</v>
      </c>
      <c r="I173" s="72">
        <f t="shared" si="50"/>
        <v>30307364.020666622</v>
      </c>
      <c r="J173"/>
    </row>
    <row r="174" spans="1:10">
      <c r="A174" s="103"/>
      <c r="B174" s="65" t="s">
        <v>381</v>
      </c>
      <c r="C174" s="72">
        <f t="shared" ref="C174:I174" si="51">C119*(1+C$164-$C$164)</f>
        <v>875123.71500684612</v>
      </c>
      <c r="D174" s="72">
        <f t="shared" si="51"/>
        <v>951711.54719667137</v>
      </c>
      <c r="E174" s="72">
        <f t="shared" si="51"/>
        <v>1068599.4712304701</v>
      </c>
      <c r="F174" s="72">
        <f t="shared" si="51"/>
        <v>1181499.4004059625</v>
      </c>
      <c r="G174" s="72">
        <f t="shared" si="51"/>
        <v>1297317.7326389709</v>
      </c>
      <c r="H174" s="72">
        <f t="shared" si="51"/>
        <v>1403016.6302498046</v>
      </c>
      <c r="I174" s="72">
        <f t="shared" si="51"/>
        <v>1679000.5767279165</v>
      </c>
      <c r="J174"/>
    </row>
    <row r="175" spans="1:10">
      <c r="A175" s="103"/>
      <c r="B175" s="67" t="s">
        <v>337</v>
      </c>
      <c r="C175" s="72">
        <f>C120</f>
        <v>603881.656249461</v>
      </c>
      <c r="D175" s="72">
        <f t="shared" ref="D175:I175" si="52">D120</f>
        <v>665643.56515147153</v>
      </c>
      <c r="E175" s="72">
        <f t="shared" si="52"/>
        <v>747306.64743476186</v>
      </c>
      <c r="F175" s="72">
        <f t="shared" si="52"/>
        <v>828755.31219715695</v>
      </c>
      <c r="G175" s="72">
        <f t="shared" si="52"/>
        <v>919320.81422762433</v>
      </c>
      <c r="H175" s="72">
        <f t="shared" si="52"/>
        <v>998694.24661278259</v>
      </c>
      <c r="I175" s="72">
        <f t="shared" si="52"/>
        <v>1086075.4556539292</v>
      </c>
      <c r="J175"/>
    </row>
    <row r="176" spans="1:10">
      <c r="A176" s="103"/>
      <c r="B176" s="67" t="s">
        <v>340</v>
      </c>
      <c r="C176" s="72">
        <f>C121</f>
        <v>307048.79688692791</v>
      </c>
      <c r="D176" s="72">
        <f t="shared" ref="D176:I176" si="53">D121</f>
        <v>338452.16810303985</v>
      </c>
      <c r="E176" s="72">
        <f t="shared" si="53"/>
        <v>379974.46126374527</v>
      </c>
      <c r="F176" s="72">
        <f t="shared" si="53"/>
        <v>421387.73200070107</v>
      </c>
      <c r="G176" s="72">
        <f t="shared" si="53"/>
        <v>467436.53667978919</v>
      </c>
      <c r="H176" s="72">
        <f t="shared" si="53"/>
        <v>507794.63775213069</v>
      </c>
      <c r="I176" s="72">
        <f t="shared" si="53"/>
        <v>552224.3614056767</v>
      </c>
      <c r="J176"/>
    </row>
    <row r="177" spans="1:12">
      <c r="A177" s="103"/>
      <c r="B177" s="65" t="s">
        <v>239</v>
      </c>
      <c r="C177" s="72">
        <f t="shared" ref="C177:I179" si="54">C96</f>
        <v>4350044.3909544628</v>
      </c>
      <c r="D177" s="72">
        <f t="shared" si="54"/>
        <v>4887964.6813748134</v>
      </c>
      <c r="E177" s="72">
        <f t="shared" si="54"/>
        <v>5613239.6850871164</v>
      </c>
      <c r="F177" s="72">
        <f t="shared" si="54"/>
        <v>6261052.1103504375</v>
      </c>
      <c r="G177" s="72">
        <f t="shared" si="54"/>
        <v>7024231.328462299</v>
      </c>
      <c r="H177" s="72">
        <f t="shared" si="54"/>
        <v>7782497.8651539646</v>
      </c>
      <c r="I177" s="110">
        <f t="shared" si="54"/>
        <v>8743127.5952077676</v>
      </c>
      <c r="J177"/>
    </row>
    <row r="178" spans="1:12">
      <c r="A178" s="103"/>
      <c r="B178" s="67" t="s">
        <v>242</v>
      </c>
      <c r="C178" s="72">
        <f t="shared" si="54"/>
        <v>578623.93901467754</v>
      </c>
      <c r="D178" s="72">
        <f t="shared" si="54"/>
        <v>595520.65223703149</v>
      </c>
      <c r="E178" s="72">
        <f t="shared" si="54"/>
        <v>623085.70552406891</v>
      </c>
      <c r="F178" s="72">
        <f t="shared" si="54"/>
        <v>645813.36829283612</v>
      </c>
      <c r="G178" s="72">
        <f t="shared" si="54"/>
        <v>668541.03106160311</v>
      </c>
      <c r="H178" s="72">
        <f t="shared" si="54"/>
        <v>691268.69383037032</v>
      </c>
      <c r="I178" s="110">
        <f t="shared" si="54"/>
        <v>713996.35659913742</v>
      </c>
      <c r="J178"/>
    </row>
    <row r="179" spans="1:12" ht="15.75" thickBot="1">
      <c r="A179" s="111"/>
      <c r="B179" s="112" t="s">
        <v>233</v>
      </c>
      <c r="C179" s="113">
        <f t="shared" si="54"/>
        <v>538033.26885880088</v>
      </c>
      <c r="D179" s="113">
        <f t="shared" si="54"/>
        <v>585120.09898496035</v>
      </c>
      <c r="E179" s="113">
        <f t="shared" si="54"/>
        <v>656983.75755068904</v>
      </c>
      <c r="F179" s="113">
        <f t="shared" si="54"/>
        <v>726395.5640262363</v>
      </c>
      <c r="G179" s="113">
        <f t="shared" si="54"/>
        <v>797601.62874202651</v>
      </c>
      <c r="H179" s="113">
        <f t="shared" si="54"/>
        <v>862586.18169278663</v>
      </c>
      <c r="I179" s="114">
        <f t="shared" si="54"/>
        <v>1032263.3854182158</v>
      </c>
      <c r="J179"/>
    </row>
    <row r="180" spans="1:12" ht="15.75" thickBot="1">
      <c r="B180"/>
      <c r="C180"/>
      <c r="D180"/>
      <c r="E180"/>
      <c r="F180"/>
      <c r="G180"/>
      <c r="H180"/>
      <c r="I180"/>
      <c r="J180"/>
    </row>
    <row r="181" spans="1:12">
      <c r="A181" s="339">
        <v>1</v>
      </c>
      <c r="B181" s="115"/>
      <c r="C181" s="596" t="s">
        <v>430</v>
      </c>
      <c r="D181" s="597"/>
      <c r="E181" s="597"/>
      <c r="F181" s="597"/>
      <c r="G181" s="597"/>
      <c r="H181" s="597"/>
      <c r="I181" s="598"/>
      <c r="J181"/>
    </row>
    <row r="182" spans="1:12">
      <c r="A182"/>
      <c r="B182" s="58" t="s">
        <v>17</v>
      </c>
      <c r="C182" s="213">
        <f>'Baseline Statistics'!D4</f>
        <v>2022</v>
      </c>
      <c r="D182" s="213">
        <f>'Baseline Statistics'!E4</f>
        <v>2025</v>
      </c>
      <c r="E182" s="213">
        <f>'Baseline Statistics'!F4</f>
        <v>2030</v>
      </c>
      <c r="F182" s="213">
        <f>'Baseline Statistics'!G4</f>
        <v>2035</v>
      </c>
      <c r="G182" s="213">
        <f>'Baseline Statistics'!H4</f>
        <v>2040</v>
      </c>
      <c r="H182" s="213">
        <f>'Baseline Statistics'!I4</f>
        <v>2045</v>
      </c>
      <c r="I182" s="104">
        <f>'Baseline Statistics'!J4</f>
        <v>2051</v>
      </c>
      <c r="J182"/>
    </row>
    <row r="183" spans="1:12">
      <c r="A183"/>
      <c r="B183" s="213" t="s">
        <v>18</v>
      </c>
      <c r="C183" s="118">
        <f t="shared" ref="C183:I183" si="55">VLOOKUP($A181,$B184:$I187,COLUMN()-1,TRUE)</f>
        <v>1.5E-3</v>
      </c>
      <c r="D183" s="118">
        <f t="shared" si="55"/>
        <v>5.0000000000000001E-3</v>
      </c>
      <c r="E183" s="118">
        <f t="shared" si="55"/>
        <v>0.01</v>
      </c>
      <c r="F183" s="118">
        <f t="shared" si="55"/>
        <v>0.02</v>
      </c>
      <c r="G183" s="118">
        <f t="shared" si="55"/>
        <v>0.03</v>
      </c>
      <c r="H183" s="118">
        <f t="shared" si="55"/>
        <v>0.04</v>
      </c>
      <c r="I183" s="118">
        <f t="shared" si="55"/>
        <v>0.05</v>
      </c>
      <c r="J183" t="s">
        <v>431</v>
      </c>
    </row>
    <row r="184" spans="1:12">
      <c r="A184"/>
      <c r="B184" s="213">
        <v>1</v>
      </c>
      <c r="C184" s="118">
        <v>1.5E-3</v>
      </c>
      <c r="D184" s="120">
        <v>5.0000000000000001E-3</v>
      </c>
      <c r="E184" s="120">
        <v>0.01</v>
      </c>
      <c r="F184" s="120">
        <v>0.02</v>
      </c>
      <c r="G184" s="120">
        <v>0.03</v>
      </c>
      <c r="H184" s="120">
        <v>0.04</v>
      </c>
      <c r="I184" s="121">
        <v>0.05</v>
      </c>
      <c r="J184" t="s">
        <v>431</v>
      </c>
    </row>
    <row r="185" spans="1:12">
      <c r="A185"/>
      <c r="B185" s="213">
        <v>2</v>
      </c>
      <c r="C185" s="118">
        <v>1.5E-3</v>
      </c>
      <c r="D185" s="120">
        <v>0.01</v>
      </c>
      <c r="E185" s="120">
        <v>0.03</v>
      </c>
      <c r="F185" s="120">
        <v>0.1</v>
      </c>
      <c r="G185" s="120">
        <v>0.15</v>
      </c>
      <c r="H185" s="120">
        <v>0.18</v>
      </c>
      <c r="I185" s="121">
        <v>0.2</v>
      </c>
      <c r="J185" t="s">
        <v>432</v>
      </c>
    </row>
    <row r="186" spans="1:12">
      <c r="A186"/>
      <c r="B186" s="213">
        <v>3</v>
      </c>
      <c r="C186" s="118">
        <v>1.5E-3</v>
      </c>
      <c r="D186" s="120">
        <v>0.02</v>
      </c>
      <c r="E186" s="120">
        <v>0.08</v>
      </c>
      <c r="F186" s="120">
        <v>0.25</v>
      </c>
      <c r="G186" s="120">
        <v>0.5</v>
      </c>
      <c r="H186" s="120">
        <v>0.75</v>
      </c>
      <c r="I186" s="121">
        <v>0.82499999999999996</v>
      </c>
      <c r="J186" t="s">
        <v>433</v>
      </c>
      <c r="L186" s="245"/>
    </row>
    <row r="187" spans="1:12" ht="15.75" thickBot="1">
      <c r="A187"/>
      <c r="B187" s="213">
        <v>4</v>
      </c>
      <c r="C187" s="118">
        <v>1.5E-3</v>
      </c>
      <c r="D187" s="122">
        <v>0.03</v>
      </c>
      <c r="E187" s="122">
        <v>0.1</v>
      </c>
      <c r="F187" s="122">
        <v>0.3</v>
      </c>
      <c r="G187" s="122">
        <v>0.6</v>
      </c>
      <c r="H187" s="148">
        <v>0.9</v>
      </c>
      <c r="I187" s="149">
        <v>1</v>
      </c>
      <c r="J187" t="s">
        <v>434</v>
      </c>
    </row>
    <row r="188" spans="1:12">
      <c r="A188"/>
      <c r="B188" s="91"/>
      <c r="C188" s="92"/>
      <c r="D188" s="93"/>
      <c r="E188" s="94"/>
      <c r="F188" s="95"/>
      <c r="G188" s="95"/>
      <c r="H188" s="95"/>
      <c r="I188" s="117"/>
      <c r="J188" s="96"/>
    </row>
    <row r="189" spans="1:12">
      <c r="A189"/>
      <c r="B189" s="620" t="s">
        <v>352</v>
      </c>
      <c r="C189" s="623">
        <f>'Baseline Statistics'!D$4</f>
        <v>2022</v>
      </c>
      <c r="D189" s="623">
        <f>'Baseline Statistics'!E$4</f>
        <v>2025</v>
      </c>
      <c r="E189" s="623">
        <f>'Baseline Statistics'!F$4</f>
        <v>2030</v>
      </c>
      <c r="F189" s="623">
        <f>'Baseline Statistics'!G$4</f>
        <v>2035</v>
      </c>
      <c r="G189" s="623">
        <f>'Baseline Statistics'!H$4</f>
        <v>2040</v>
      </c>
      <c r="H189" s="623">
        <f>'Baseline Statistics'!I$4</f>
        <v>2045</v>
      </c>
      <c r="I189" s="623">
        <f>'Baseline Statistics'!J$4</f>
        <v>2051</v>
      </c>
      <c r="J189"/>
    </row>
    <row r="190" spans="1:12">
      <c r="A190" s="103"/>
      <c r="B190" s="620"/>
      <c r="C190" s="624"/>
      <c r="D190" s="624"/>
      <c r="E190" s="624"/>
      <c r="F190" s="624"/>
      <c r="G190" s="624"/>
      <c r="H190" s="624"/>
      <c r="I190" s="624"/>
      <c r="J190"/>
    </row>
    <row r="191" spans="1:12">
      <c r="A191" s="103"/>
      <c r="B191" s="620"/>
      <c r="C191" s="625"/>
      <c r="D191" s="625"/>
      <c r="E191" s="625"/>
      <c r="F191" s="625"/>
      <c r="G191" s="625"/>
      <c r="H191" s="625"/>
      <c r="I191" s="625"/>
      <c r="J191"/>
    </row>
    <row r="192" spans="1:12">
      <c r="A192" s="103"/>
      <c r="B192" s="65" t="s">
        <v>377</v>
      </c>
      <c r="C192" s="72">
        <f t="shared" ref="C192:C200" si="56">C170</f>
        <v>36790440.061202846</v>
      </c>
      <c r="D192" s="72">
        <f>D170*MAX(1-(D$183-$C$183)/'Baseline Statistics'!E$43,0)</f>
        <v>39839971.676333986</v>
      </c>
      <c r="E192" s="72">
        <f>E170*MAX(1-(E$183-$C$183)/'Baseline Statistics'!F$43,0)</f>
        <v>44459990.732041337</v>
      </c>
      <c r="F192" s="72">
        <f>F170*MAX(1-(F$183-$C$183)/'Baseline Statistics'!G$43,0)</f>
        <v>48553442.310982853</v>
      </c>
      <c r="G192" s="72">
        <f>G170*MAX(1-(G$183-$C$183)/'Baseline Statistics'!H$43,0)</f>
        <v>52649930.613198042</v>
      </c>
      <c r="H192" s="72">
        <f>H170*MAX(1-(H$183-$C$183)/'Baseline Statistics'!I$43,0)</f>
        <v>56222520.962587722</v>
      </c>
      <c r="I192" s="72">
        <f>I170*MAX(1-(I$183-$C$183)/'Baseline Statistics'!J$43,0)</f>
        <v>66423803.361507051</v>
      </c>
      <c r="J192" s="80"/>
    </row>
    <row r="193" spans="1:10">
      <c r="A193" s="103"/>
      <c r="B193" s="66" t="s">
        <v>378</v>
      </c>
      <c r="C193" s="72">
        <f t="shared" si="56"/>
        <v>8353453.6432471676</v>
      </c>
      <c r="D193" s="72">
        <f>MAX(D171*(1-MAX((D183-$C183-'Baseline Statistics'!E43)/'Baseline Statistics'!E44,0)),0)</f>
        <v>9084519.3141500428</v>
      </c>
      <c r="E193" s="72">
        <f>MAX(E171*(1-MAX((E183-$C183-'Baseline Statistics'!F43)/'Baseline Statistics'!F44,0)),0)</f>
        <v>10200267.679927215</v>
      </c>
      <c r="F193" s="72">
        <f>MAX(F171*(1-MAX((F183-$C183-'Baseline Statistics'!G43)/'Baseline Statistics'!G44,0)),0)</f>
        <v>11277948.822056914</v>
      </c>
      <c r="G193" s="72">
        <f>MAX(G171*(1-MAX((G183-$C183-'Baseline Statistics'!H43)/'Baseline Statistics'!H44,0)),0)</f>
        <v>12383487.447917452</v>
      </c>
      <c r="H193" s="72">
        <f>MAX(H171*(1-MAX((H183-$C183-'Baseline Statistics'!I43)/'Baseline Statistics'!I44,0)),0)</f>
        <v>13392431.470566316</v>
      </c>
      <c r="I193" s="72">
        <f>MAX(I171*(1-MAX((I183-$C183-'Baseline Statistics'!J43)/'Baseline Statistics'!J44,0)),0)</f>
        <v>16026823.686948292</v>
      </c>
      <c r="J193"/>
    </row>
    <row r="194" spans="1:10">
      <c r="A194" s="103"/>
      <c r="B194" s="65" t="s">
        <v>379</v>
      </c>
      <c r="C194" s="72">
        <f t="shared" si="56"/>
        <v>3404243.6177032739</v>
      </c>
      <c r="D194" s="72">
        <f t="shared" ref="D194:I200" si="57">D172</f>
        <v>3629579.7717453674</v>
      </c>
      <c r="E194" s="72">
        <f t="shared" si="57"/>
        <v>3996987.541739217</v>
      </c>
      <c r="F194" s="72">
        <f t="shared" si="57"/>
        <v>4335895.6257399451</v>
      </c>
      <c r="G194" s="72">
        <f t="shared" si="57"/>
        <v>4672763.2521235496</v>
      </c>
      <c r="H194" s="72">
        <f t="shared" si="57"/>
        <v>5007114.2363532763</v>
      </c>
      <c r="I194" s="110">
        <f t="shared" si="57"/>
        <v>5937578.1539448975</v>
      </c>
      <c r="J194"/>
    </row>
    <row r="195" spans="1:10">
      <c r="A195" s="103"/>
      <c r="B195" s="66" t="s">
        <v>380</v>
      </c>
      <c r="C195" s="72">
        <f t="shared" si="56"/>
        <v>18536711.417872287</v>
      </c>
      <c r="D195" s="72">
        <f t="shared" si="57"/>
        <v>20031912.639725681</v>
      </c>
      <c r="E195" s="72">
        <f t="shared" si="57"/>
        <v>22056995.644500777</v>
      </c>
      <c r="F195" s="72">
        <f t="shared" si="57"/>
        <v>23999451.228290543</v>
      </c>
      <c r="G195" s="72">
        <f t="shared" si="57"/>
        <v>26129084.229692195</v>
      </c>
      <c r="H195" s="72">
        <f t="shared" si="57"/>
        <v>28124635.416373469</v>
      </c>
      <c r="I195" s="110">
        <f t="shared" si="57"/>
        <v>30307364.020666622</v>
      </c>
      <c r="J195"/>
    </row>
    <row r="196" spans="1:10">
      <c r="A196" s="103"/>
      <c r="B196" s="65" t="s">
        <v>381</v>
      </c>
      <c r="C196" s="72">
        <f t="shared" si="56"/>
        <v>875123.71500684612</v>
      </c>
      <c r="D196" s="72">
        <f t="shared" si="57"/>
        <v>951711.54719667137</v>
      </c>
      <c r="E196" s="72">
        <f t="shared" si="57"/>
        <v>1068599.4712304701</v>
      </c>
      <c r="F196" s="72">
        <f t="shared" si="57"/>
        <v>1181499.4004059625</v>
      </c>
      <c r="G196" s="72">
        <f t="shared" si="57"/>
        <v>1297317.7326389709</v>
      </c>
      <c r="H196" s="72">
        <f t="shared" si="57"/>
        <v>1403016.6302498046</v>
      </c>
      <c r="I196" s="110">
        <f t="shared" si="57"/>
        <v>1679000.5767279165</v>
      </c>
      <c r="J196"/>
    </row>
    <row r="197" spans="1:10">
      <c r="A197" s="103"/>
      <c r="B197" s="67" t="s">
        <v>337</v>
      </c>
      <c r="C197" s="72">
        <f t="shared" si="56"/>
        <v>603881.656249461</v>
      </c>
      <c r="D197" s="72">
        <f t="shared" si="57"/>
        <v>665643.56515147153</v>
      </c>
      <c r="E197" s="72">
        <f t="shared" si="57"/>
        <v>747306.64743476186</v>
      </c>
      <c r="F197" s="72">
        <f t="shared" si="57"/>
        <v>828755.31219715695</v>
      </c>
      <c r="G197" s="72">
        <f t="shared" si="57"/>
        <v>919320.81422762433</v>
      </c>
      <c r="H197" s="72">
        <f t="shared" si="57"/>
        <v>998694.24661278259</v>
      </c>
      <c r="I197" s="110">
        <f t="shared" si="57"/>
        <v>1086075.4556539292</v>
      </c>
      <c r="J197"/>
    </row>
    <row r="198" spans="1:10">
      <c r="A198" s="103"/>
      <c r="B198" s="67" t="s">
        <v>340</v>
      </c>
      <c r="C198" s="72">
        <f t="shared" si="56"/>
        <v>307048.79688692791</v>
      </c>
      <c r="D198" s="72">
        <f t="shared" si="57"/>
        <v>338452.16810303985</v>
      </c>
      <c r="E198" s="72">
        <f t="shared" si="57"/>
        <v>379974.46126374527</v>
      </c>
      <c r="F198" s="72">
        <f t="shared" si="57"/>
        <v>421387.73200070107</v>
      </c>
      <c r="G198" s="72">
        <f t="shared" si="57"/>
        <v>467436.53667978919</v>
      </c>
      <c r="H198" s="72">
        <f t="shared" si="57"/>
        <v>507794.63775213069</v>
      </c>
      <c r="I198" s="110">
        <f t="shared" si="57"/>
        <v>552224.3614056767</v>
      </c>
      <c r="J198"/>
    </row>
    <row r="199" spans="1:10">
      <c r="A199" s="103"/>
      <c r="B199" s="65" t="s">
        <v>239</v>
      </c>
      <c r="C199" s="72">
        <f t="shared" si="56"/>
        <v>4350044.3909544628</v>
      </c>
      <c r="D199" s="72">
        <f t="shared" si="57"/>
        <v>4887964.6813748134</v>
      </c>
      <c r="E199" s="72">
        <f t="shared" si="57"/>
        <v>5613239.6850871164</v>
      </c>
      <c r="F199" s="72">
        <f t="shared" si="57"/>
        <v>6261052.1103504375</v>
      </c>
      <c r="G199" s="72">
        <f t="shared" si="57"/>
        <v>7024231.328462299</v>
      </c>
      <c r="H199" s="72">
        <f t="shared" si="57"/>
        <v>7782497.8651539646</v>
      </c>
      <c r="I199" s="110">
        <f t="shared" si="57"/>
        <v>8743127.5952077676</v>
      </c>
      <c r="J199"/>
    </row>
    <row r="200" spans="1:10">
      <c r="A200" s="103"/>
      <c r="B200" s="67" t="s">
        <v>242</v>
      </c>
      <c r="C200" s="72">
        <f t="shared" si="56"/>
        <v>578623.93901467754</v>
      </c>
      <c r="D200" s="72">
        <f t="shared" si="57"/>
        <v>595520.65223703149</v>
      </c>
      <c r="E200" s="72">
        <f t="shared" si="57"/>
        <v>623085.70552406891</v>
      </c>
      <c r="F200" s="72">
        <f t="shared" si="57"/>
        <v>645813.36829283612</v>
      </c>
      <c r="G200" s="72">
        <f t="shared" si="57"/>
        <v>668541.03106160311</v>
      </c>
      <c r="H200" s="72">
        <f t="shared" si="57"/>
        <v>691268.69383037032</v>
      </c>
      <c r="I200" s="110">
        <f t="shared" si="57"/>
        <v>713996.35659913742</v>
      </c>
      <c r="J200"/>
    </row>
    <row r="201" spans="1:10">
      <c r="A201" s="103"/>
      <c r="B201" s="65" t="s">
        <v>233</v>
      </c>
      <c r="C201" s="72">
        <f t="shared" ref="C201:I201" si="58">C179</f>
        <v>538033.26885880088</v>
      </c>
      <c r="D201" s="72">
        <f t="shared" si="58"/>
        <v>585120.09898496035</v>
      </c>
      <c r="E201" s="72">
        <f t="shared" si="58"/>
        <v>656983.75755068904</v>
      </c>
      <c r="F201" s="72">
        <f t="shared" si="58"/>
        <v>726395.5640262363</v>
      </c>
      <c r="G201" s="72">
        <f t="shared" si="58"/>
        <v>797601.62874202651</v>
      </c>
      <c r="H201" s="72">
        <f t="shared" si="58"/>
        <v>862586.18169278663</v>
      </c>
      <c r="I201" s="110">
        <f t="shared" si="58"/>
        <v>1032263.3854182158</v>
      </c>
      <c r="J201"/>
    </row>
    <row r="202" spans="1:10">
      <c r="A202" s="103"/>
      <c r="B202" s="66" t="s">
        <v>382</v>
      </c>
      <c r="C202" s="72">
        <f t="shared" ref="C202:I202" si="59">C73</f>
        <v>5648525.7968623694</v>
      </c>
      <c r="D202" s="72">
        <f t="shared" si="59"/>
        <v>5493463.6347323479</v>
      </c>
      <c r="E202" s="72">
        <f t="shared" si="59"/>
        <v>5182314.5821323059</v>
      </c>
      <c r="F202" s="72">
        <f t="shared" si="59"/>
        <v>4611167.6520819422</v>
      </c>
      <c r="G202" s="72">
        <f t="shared" si="59"/>
        <v>3855942.8138085552</v>
      </c>
      <c r="H202" s="72">
        <f t="shared" si="59"/>
        <v>3017886.3491820088</v>
      </c>
      <c r="I202" s="72">
        <f t="shared" si="59"/>
        <v>2177949.594947862</v>
      </c>
      <c r="J202"/>
    </row>
    <row r="203" spans="1:10">
      <c r="A203" s="103"/>
      <c r="B203" s="65" t="s">
        <v>383</v>
      </c>
      <c r="C203" s="72">
        <f>C74</f>
        <v>533194.78349569347</v>
      </c>
      <c r="D203" s="72">
        <f t="shared" ref="D203:I203" si="60">D74*(1-(D183-$C183)/(1-$C183))</f>
        <v>516739.95233298559</v>
      </c>
      <c r="E203" s="72">
        <f t="shared" si="60"/>
        <v>485022.26249454223</v>
      </c>
      <c r="F203" s="72">
        <f t="shared" si="60"/>
        <v>427208.31234508794</v>
      </c>
      <c r="G203" s="72">
        <f t="shared" si="60"/>
        <v>353594.11216156749</v>
      </c>
      <c r="H203" s="72">
        <f t="shared" si="60"/>
        <v>273890.40599213482</v>
      </c>
      <c r="I203" s="72">
        <f t="shared" si="60"/>
        <v>195602.38051098475</v>
      </c>
      <c r="J203"/>
    </row>
    <row r="204" spans="1:10">
      <c r="A204" s="103"/>
      <c r="B204" s="144" t="s">
        <v>435</v>
      </c>
      <c r="C204" s="146">
        <v>0</v>
      </c>
      <c r="D204" s="146">
        <f>(D170-D192)/'Baseline Statistics'!E33*'Baseline Statistics'!E38+(D171-D193)/'Baseline Statistics'!E34*'Baseline Statistics'!E38+(D74-D203)/'Baseline Statistics'!E33*'Baseline Statistics'!E38</f>
        <v>199226.73391707041</v>
      </c>
      <c r="E204" s="146">
        <f>(E170-E192)/'Baseline Statistics'!F33*'Baseline Statistics'!F38+(E171-E193)/'Baseline Statistics'!F34*'Baseline Statistics'!F38+(E74-E203)/'Baseline Statistics'!F33*'Baseline Statistics'!F38</f>
        <v>542343.20175659889</v>
      </c>
      <c r="F204" s="146">
        <f>(F170-F192)/'Baseline Statistics'!G33*'Baseline Statistics'!G38+(F171-F193)/'Baseline Statistics'!G34*'Baseline Statistics'!G38+(F74-F203)/'Baseline Statistics'!G33*'Baseline Statistics'!G38</f>
        <v>1302839.8986022628</v>
      </c>
      <c r="G204" s="146">
        <f>(G170-G192)/'Baseline Statistics'!H33*'Baseline Statistics'!H38+(G171-G193)/'Baseline Statistics'!H34*'Baseline Statistics'!H38+(G74-G203)/'Baseline Statistics'!H33*'Baseline Statistics'!H38</f>
        <v>2200058.3547758088</v>
      </c>
      <c r="H204" s="146">
        <f>(H170-H192)/'Baseline Statistics'!I33*'Baseline Statistics'!I38+(H171-H193)/'Baseline Statistics'!I34*'Baseline Statistics'!I38+(H74-H203)/'Baseline Statistics'!I33*'Baseline Statistics'!I38</f>
        <v>3209297.0352690411</v>
      </c>
      <c r="I204" s="146">
        <f>(I170-I192)/'Baseline Statistics'!J33*'Baseline Statistics'!J38+(I171-I193)/'Baseline Statistics'!J34*'Baseline Statistics'!J38+(I74-I203)/'Baseline Statistics'!J33*'Baseline Statistics'!J38</f>
        <v>4830534.905857523</v>
      </c>
      <c r="J204"/>
    </row>
    <row r="205" spans="1:10">
      <c r="A205" s="103"/>
      <c r="B205"/>
      <c r="C205"/>
      <c r="D205"/>
      <c r="E205"/>
      <c r="F205"/>
      <c r="G205"/>
      <c r="H205"/>
      <c r="I205" s="116"/>
      <c r="J205"/>
    </row>
    <row r="206" spans="1:10">
      <c r="A206" s="103"/>
      <c r="B206"/>
      <c r="C206"/>
      <c r="D206" t="s">
        <v>436</v>
      </c>
      <c r="E206"/>
      <c r="F206"/>
      <c r="G206"/>
      <c r="H206"/>
      <c r="I206" s="116"/>
      <c r="J206"/>
    </row>
    <row r="207" spans="1:10">
      <c r="A207" s="103"/>
      <c r="B207"/>
      <c r="C207" t="s">
        <v>437</v>
      </c>
      <c r="D207" s="150">
        <f>D172/(D$172+D$173+D$174)</f>
        <v>0.14746474200759971</v>
      </c>
      <c r="E207" t="s">
        <v>438</v>
      </c>
      <c r="F207"/>
      <c r="G207"/>
      <c r="H207"/>
      <c r="I207" s="116"/>
      <c r="J207"/>
    </row>
    <row r="208" spans="1:10">
      <c r="A208" s="103"/>
      <c r="B208"/>
      <c r="C208" t="s">
        <v>439</v>
      </c>
      <c r="D208" s="150">
        <f>D173/(D$172+D$173+D$174)</f>
        <v>0.81386855093569788</v>
      </c>
      <c r="E208"/>
      <c r="F208"/>
      <c r="G208"/>
      <c r="H208"/>
      <c r="I208" s="116"/>
      <c r="J208"/>
    </row>
    <row r="209" spans="1:10">
      <c r="A209" s="103"/>
      <c r="B209"/>
      <c r="C209" t="s">
        <v>440</v>
      </c>
      <c r="D209" s="150">
        <f>D174/(D$172+D$173+D$174)</f>
        <v>3.8666707056702346E-2</v>
      </c>
      <c r="E209"/>
      <c r="F209"/>
      <c r="G209"/>
      <c r="H209"/>
      <c r="I209" s="116"/>
      <c r="J209"/>
    </row>
    <row r="210" spans="1:10">
      <c r="A210" s="103"/>
      <c r="B210"/>
      <c r="C210"/>
      <c r="D210"/>
      <c r="E210"/>
      <c r="F210"/>
      <c r="G210"/>
      <c r="H210"/>
      <c r="I210" s="116"/>
      <c r="J210"/>
    </row>
    <row r="211" spans="1:10">
      <c r="A211" s="339">
        <v>1</v>
      </c>
      <c r="B211" s="59"/>
      <c r="C211" s="639" t="s">
        <v>441</v>
      </c>
      <c r="D211" s="640"/>
      <c r="E211" s="640"/>
      <c r="F211" s="640"/>
      <c r="G211" s="640"/>
      <c r="H211" s="640"/>
      <c r="I211" s="641"/>
      <c r="J211"/>
    </row>
    <row r="212" spans="1:10">
      <c r="A212"/>
      <c r="B212" s="58" t="s">
        <v>442</v>
      </c>
      <c r="C212" s="213">
        <f>'Baseline Statistics'!D4</f>
        <v>2022</v>
      </c>
      <c r="D212" s="213">
        <f>'Baseline Statistics'!E4</f>
        <v>2025</v>
      </c>
      <c r="E212" s="213">
        <f>'Baseline Statistics'!F4</f>
        <v>2030</v>
      </c>
      <c r="F212" s="213">
        <f>'Baseline Statistics'!G4</f>
        <v>2035</v>
      </c>
      <c r="G212" s="213">
        <f>'Baseline Statistics'!H4</f>
        <v>2040</v>
      </c>
      <c r="H212" s="213">
        <f>'Baseline Statistics'!I4</f>
        <v>2045</v>
      </c>
      <c r="I212" s="104">
        <f>'Baseline Statistics'!J4</f>
        <v>2051</v>
      </c>
      <c r="J212"/>
    </row>
    <row r="213" spans="1:10">
      <c r="A213"/>
      <c r="B213" s="58" t="s">
        <v>443</v>
      </c>
      <c r="C213" s="357">
        <f t="shared" ref="C213:I213" si="61">VLOOKUP($A211,$B$214:$I$217,COLUMN()-1,TRUE)</f>
        <v>5.0000000000000001E-3</v>
      </c>
      <c r="D213" s="357">
        <f t="shared" si="61"/>
        <v>6.0000000000000001E-3</v>
      </c>
      <c r="E213" s="357">
        <f t="shared" si="61"/>
        <v>7.0000000000000001E-3</v>
      </c>
      <c r="F213" s="357">
        <f t="shared" si="61"/>
        <v>8.0000000000000002E-3</v>
      </c>
      <c r="G213" s="357">
        <f t="shared" si="61"/>
        <v>8.9999999999999993E-3</v>
      </c>
      <c r="H213" s="357">
        <f t="shared" si="61"/>
        <v>0.01</v>
      </c>
      <c r="I213" s="357">
        <f t="shared" si="61"/>
        <v>0.01</v>
      </c>
      <c r="J213"/>
    </row>
    <row r="214" spans="1:10">
      <c r="A214"/>
      <c r="B214" s="213">
        <v>1</v>
      </c>
      <c r="C214" s="118">
        <v>5.0000000000000001E-3</v>
      </c>
      <c r="D214" s="120">
        <v>6.0000000000000001E-3</v>
      </c>
      <c r="E214" s="120">
        <v>7.0000000000000001E-3</v>
      </c>
      <c r="F214" s="120">
        <v>8.0000000000000002E-3</v>
      </c>
      <c r="G214" s="160">
        <v>8.9999999999999993E-3</v>
      </c>
      <c r="H214" s="120">
        <v>0.01</v>
      </c>
      <c r="I214" s="161">
        <v>0.01</v>
      </c>
      <c r="J214" t="s">
        <v>444</v>
      </c>
    </row>
    <row r="215" spans="1:10">
      <c r="A215"/>
      <c r="B215" s="213">
        <v>2</v>
      </c>
      <c r="C215" s="118">
        <v>5.0000000000000001E-3</v>
      </c>
      <c r="D215" s="120">
        <f>($I215-$C215)*1/6</f>
        <v>1.2012471762829097E-2</v>
      </c>
      <c r="E215" s="120">
        <f>($I215-$C215)*2/6</f>
        <v>2.4024943525658194E-2</v>
      </c>
      <c r="F215" s="120">
        <f>($I215-$C215)*3/6</f>
        <v>3.6037415288487293E-2</v>
      </c>
      <c r="G215" s="120">
        <f>($I215-$C215)*4/6</f>
        <v>4.8049887051316388E-2</v>
      </c>
      <c r="H215" s="120">
        <f>($I215-$C215)*5/6</f>
        <v>6.006235881414549E-2</v>
      </c>
      <c r="I215" s="161">
        <f>I164+3%</f>
        <v>7.707483057697459E-2</v>
      </c>
      <c r="J215" t="s">
        <v>445</v>
      </c>
    </row>
    <row r="216" spans="1:10">
      <c r="A216"/>
      <c r="B216" s="213">
        <v>3</v>
      </c>
      <c r="C216" s="118">
        <v>5.0000000000000001E-3</v>
      </c>
      <c r="D216" s="120">
        <f>($I216-$C216)*1/6</f>
        <v>3.6589928764095718E-2</v>
      </c>
      <c r="E216" s="120">
        <f>($I216-$C216)*2/6</f>
        <v>7.3179857528191436E-2</v>
      </c>
      <c r="F216" s="120">
        <f>($I216-$C216)*3/6</f>
        <v>0.10976978629228713</v>
      </c>
      <c r="G216" s="120">
        <f>($I216-$C216)*4/6</f>
        <v>0.14635971505638287</v>
      </c>
      <c r="H216" s="120">
        <f>($I216-$C216)*5/6</f>
        <v>0.1829496438204786</v>
      </c>
      <c r="I216" s="161">
        <f>I215+D207</f>
        <v>0.2245395725845743</v>
      </c>
      <c r="J216" t="s">
        <v>446</v>
      </c>
    </row>
    <row r="217" spans="1:10">
      <c r="A217"/>
      <c r="B217" s="151">
        <v>4</v>
      </c>
      <c r="C217" s="118">
        <v>5.0000000000000001E-3</v>
      </c>
      <c r="D217" s="163">
        <f>E217/3*1</f>
        <v>4.9897682796572064E-2</v>
      </c>
      <c r="E217" s="163">
        <f>F217/3*2</f>
        <v>0.1496930483897162</v>
      </c>
      <c r="F217" s="162">
        <f>I216</f>
        <v>0.2245395725845743</v>
      </c>
      <c r="G217" s="163">
        <f>G216+0.2</f>
        <v>0.34635971505638286</v>
      </c>
      <c r="H217" s="163">
        <f>MIN(H216+0.45,1)</f>
        <v>0.63294964382047858</v>
      </c>
      <c r="I217" s="164">
        <v>1</v>
      </c>
      <c r="J217" t="s">
        <v>447</v>
      </c>
    </row>
    <row r="218" spans="1:10">
      <c r="A218"/>
      <c r="B218" s="646"/>
      <c r="C218" s="646"/>
      <c r="D218" s="646"/>
      <c r="E218" s="646"/>
      <c r="F218" s="646"/>
      <c r="G218" s="646"/>
      <c r="H218" s="646"/>
      <c r="I218" s="647"/>
      <c r="J218"/>
    </row>
    <row r="219" spans="1:10">
      <c r="A219"/>
      <c r="B219" s="167"/>
      <c r="C219" s="636" t="s">
        <v>448</v>
      </c>
      <c r="D219" s="636"/>
      <c r="E219" s="636"/>
      <c r="F219" s="636"/>
      <c r="G219" s="636"/>
      <c r="H219" s="636"/>
      <c r="I219" s="637"/>
      <c r="J219"/>
    </row>
    <row r="220" spans="1:10">
      <c r="A220"/>
      <c r="B220" s="167">
        <v>1</v>
      </c>
      <c r="C220" s="168">
        <v>0</v>
      </c>
      <c r="D220" s="169">
        <f t="shared" ref="D220" si="62">(D214-$C214)/D164</f>
        <v>2.1242774275413399E-2</v>
      </c>
      <c r="E220" s="169">
        <f>(E214-$C214)/E164</f>
        <v>4.2485548550826799E-2</v>
      </c>
      <c r="F220" s="169">
        <f>(F214-$C214)/F164</f>
        <v>6.3728322826240205E-2</v>
      </c>
      <c r="G220" s="169">
        <f>(G214-$C214)/G164</f>
        <v>8.4971097101653584E-2</v>
      </c>
      <c r="H220" s="169">
        <f>(H214-$C214)/H164</f>
        <v>0.106213871377067</v>
      </c>
      <c r="I220" s="171">
        <f>MIN((I214-$C214)/I$164,1)</f>
        <v>0.106213871377067</v>
      </c>
      <c r="J220" t="s">
        <v>440</v>
      </c>
    </row>
    <row r="221" spans="1:10">
      <c r="A221" s="103"/>
      <c r="B221" s="167">
        <v>2</v>
      </c>
      <c r="C221" s="168">
        <v>0</v>
      </c>
      <c r="D221" s="168">
        <f t="shared" ref="D221:H223" si="63">MIN((D215-$C215)/D$164,1)</f>
        <v>0.1489643547704888</v>
      </c>
      <c r="E221" s="168">
        <f t="shared" si="63"/>
        <v>0.40414258091804456</v>
      </c>
      <c r="F221" s="168">
        <f t="shared" si="63"/>
        <v>0.65932080706560037</v>
      </c>
      <c r="G221" s="168">
        <f t="shared" si="63"/>
        <v>0.91449903321315629</v>
      </c>
      <c r="H221" s="168">
        <f t="shared" si="63"/>
        <v>1</v>
      </c>
      <c r="I221" s="171">
        <f>MIN((I215-$C215)/I$164,1)</f>
        <v>1</v>
      </c>
      <c r="J221" t="s">
        <v>440</v>
      </c>
    </row>
    <row r="222" spans="1:10">
      <c r="A222" s="103"/>
      <c r="B222" s="167">
        <v>3</v>
      </c>
      <c r="C222" s="168">
        <v>0</v>
      </c>
      <c r="D222" s="168">
        <f t="shared" si="63"/>
        <v>0.67105772611207437</v>
      </c>
      <c r="E222" s="168">
        <f t="shared" si="63"/>
        <v>1</v>
      </c>
      <c r="F222" s="168">
        <f t="shared" si="63"/>
        <v>1</v>
      </c>
      <c r="G222" s="168">
        <f t="shared" si="63"/>
        <v>1</v>
      </c>
      <c r="H222" s="168">
        <f t="shared" si="63"/>
        <v>1</v>
      </c>
      <c r="I222" s="171">
        <f>MIN((I216-$C216)/I$164,1)</f>
        <v>1</v>
      </c>
      <c r="J222" t="s">
        <v>440</v>
      </c>
    </row>
    <row r="223" spans="1:10">
      <c r="A223" s="103"/>
      <c r="B223" s="167">
        <v>4</v>
      </c>
      <c r="C223" s="168">
        <v>0</v>
      </c>
      <c r="D223" s="168">
        <f t="shared" si="63"/>
        <v>0.95375134113669191</v>
      </c>
      <c r="E223" s="168">
        <f t="shared" si="63"/>
        <v>1</v>
      </c>
      <c r="F223" s="168">
        <f t="shared" si="63"/>
        <v>1</v>
      </c>
      <c r="G223" s="168">
        <f t="shared" si="63"/>
        <v>1</v>
      </c>
      <c r="H223" s="168">
        <f t="shared" si="63"/>
        <v>1</v>
      </c>
      <c r="I223" s="171">
        <f>MIN((I217-$C217)/I$164,1)</f>
        <v>1</v>
      </c>
      <c r="J223" s="70" t="s">
        <v>440</v>
      </c>
    </row>
    <row r="224" spans="1:10">
      <c r="A224" s="103"/>
      <c r="B224" s="167">
        <v>1</v>
      </c>
      <c r="C224" s="168">
        <v>0</v>
      </c>
      <c r="D224" s="169">
        <f t="shared" ref="D224:I227" si="64">MIN(MAX(D214-D$164,0)/($I$216-$C$216-D$164),1)</f>
        <v>0</v>
      </c>
      <c r="E224" s="169">
        <f t="shared" si="64"/>
        <v>0</v>
      </c>
      <c r="F224" s="169">
        <f t="shared" si="64"/>
        <v>0</v>
      </c>
      <c r="G224" s="169">
        <f t="shared" si="64"/>
        <v>0</v>
      </c>
      <c r="H224" s="169">
        <f t="shared" si="64"/>
        <v>0</v>
      </c>
      <c r="I224" s="170">
        <f t="shared" si="64"/>
        <v>0</v>
      </c>
      <c r="J224" t="s">
        <v>331</v>
      </c>
    </row>
    <row r="225" spans="1:10">
      <c r="A225" s="103"/>
      <c r="B225" s="167">
        <v>2</v>
      </c>
      <c r="C225" s="168">
        <v>0</v>
      </c>
      <c r="D225" s="169">
        <f t="shared" si="64"/>
        <v>0</v>
      </c>
      <c r="E225" s="169">
        <f t="shared" si="64"/>
        <v>0</v>
      </c>
      <c r="F225" s="169">
        <f t="shared" si="64"/>
        <v>0</v>
      </c>
      <c r="G225" s="169">
        <f t="shared" si="64"/>
        <v>5.653656874973499E-3</v>
      </c>
      <c r="H225" s="169">
        <f t="shared" si="64"/>
        <v>7.5305410752295104E-2</v>
      </c>
      <c r="I225" s="170">
        <f t="shared" si="64"/>
        <v>0.17394859755554001</v>
      </c>
      <c r="J225" t="s">
        <v>331</v>
      </c>
    </row>
    <row r="226" spans="1:10">
      <c r="A226" s="103"/>
      <c r="B226" s="167">
        <v>3</v>
      </c>
      <c r="C226" s="168">
        <v>0</v>
      </c>
      <c r="D226" s="169">
        <f t="shared" si="64"/>
        <v>0</v>
      </c>
      <c r="E226" s="169">
        <f t="shared" si="64"/>
        <v>0.15136442757712484</v>
      </c>
      <c r="F226" s="169">
        <f t="shared" si="64"/>
        <v>0.36352332068284354</v>
      </c>
      <c r="G226" s="169">
        <f t="shared" si="64"/>
        <v>0.57568221378856244</v>
      </c>
      <c r="H226" s="169">
        <f t="shared" si="64"/>
        <v>0.78784110689428133</v>
      </c>
      <c r="I226" s="170">
        <f t="shared" si="64"/>
        <v>1</v>
      </c>
      <c r="J226" t="s">
        <v>331</v>
      </c>
    </row>
    <row r="227" spans="1:10">
      <c r="A227" s="103"/>
      <c r="B227" s="167">
        <v>4</v>
      </c>
      <c r="C227" s="168">
        <v>0</v>
      </c>
      <c r="D227" s="168">
        <f t="shared" si="64"/>
        <v>1.6367706156850792E-2</v>
      </c>
      <c r="E227" s="168">
        <f t="shared" si="64"/>
        <v>0.59500983573917798</v>
      </c>
      <c r="F227" s="168">
        <f t="shared" si="64"/>
        <v>1</v>
      </c>
      <c r="G227" s="168">
        <f t="shared" si="64"/>
        <v>1</v>
      </c>
      <c r="H227" s="168">
        <f t="shared" si="64"/>
        <v>1</v>
      </c>
      <c r="I227" s="171">
        <f t="shared" si="64"/>
        <v>1</v>
      </c>
      <c r="J227" t="s">
        <v>331</v>
      </c>
    </row>
    <row r="228" spans="1:10">
      <c r="A228" s="103"/>
      <c r="B228" s="167">
        <v>1</v>
      </c>
      <c r="C228" s="168">
        <v>0</v>
      </c>
      <c r="D228" s="172">
        <v>0</v>
      </c>
      <c r="E228" s="169">
        <v>0</v>
      </c>
      <c r="F228" s="173">
        <v>0</v>
      </c>
      <c r="G228" s="173">
        <v>0</v>
      </c>
      <c r="H228" s="173">
        <v>0</v>
      </c>
      <c r="I228" s="174">
        <v>0</v>
      </c>
      <c r="J228" t="s">
        <v>334</v>
      </c>
    </row>
    <row r="229" spans="1:10">
      <c r="A229" s="103"/>
      <c r="B229" s="167">
        <v>2</v>
      </c>
      <c r="C229" s="168">
        <v>0</v>
      </c>
      <c r="D229" s="172">
        <v>0</v>
      </c>
      <c r="E229" s="169">
        <v>0</v>
      </c>
      <c r="F229" s="173">
        <v>0</v>
      </c>
      <c r="G229" s="173">
        <v>0</v>
      </c>
      <c r="H229" s="173">
        <v>0</v>
      </c>
      <c r="I229" s="174">
        <v>0</v>
      </c>
      <c r="J229" t="s">
        <v>334</v>
      </c>
    </row>
    <row r="230" spans="1:10">
      <c r="A230" s="103"/>
      <c r="B230" s="167">
        <v>3</v>
      </c>
      <c r="C230" s="168">
        <v>0</v>
      </c>
      <c r="D230" s="172">
        <v>0</v>
      </c>
      <c r="E230" s="169">
        <v>0</v>
      </c>
      <c r="F230" s="173">
        <v>0</v>
      </c>
      <c r="G230" s="173">
        <v>0</v>
      </c>
      <c r="H230" s="173">
        <v>0</v>
      </c>
      <c r="I230" s="174">
        <v>0</v>
      </c>
      <c r="J230" t="s">
        <v>334</v>
      </c>
    </row>
    <row r="231" spans="1:10">
      <c r="A231" s="103"/>
      <c r="B231" s="167">
        <v>4</v>
      </c>
      <c r="C231" s="168">
        <v>0</v>
      </c>
      <c r="D231" s="172">
        <v>0</v>
      </c>
      <c r="E231" s="169">
        <v>0</v>
      </c>
      <c r="F231" s="175">
        <v>0</v>
      </c>
      <c r="G231" s="175">
        <f>(G217-$F217)/($I217-$F217)</f>
        <v>0.15709395110957439</v>
      </c>
      <c r="H231" s="175">
        <f>(H217-$F217)/($I217-$F217)</f>
        <v>0.52666784377007658</v>
      </c>
      <c r="I231" s="176">
        <f>(I217-$F217)/($I217-$F217)</f>
        <v>1</v>
      </c>
      <c r="J231" t="s">
        <v>334</v>
      </c>
    </row>
    <row r="232" spans="1:10" ht="14.45" customHeight="1">
      <c r="A232" s="103"/>
      <c r="B232" s="167" t="s">
        <v>449</v>
      </c>
      <c r="C232" s="168">
        <f t="shared" ref="C232:I232" si="65">VLOOKUP($A211,$B220:$I223,COLUMN()-1,TRUE)</f>
        <v>0</v>
      </c>
      <c r="D232" s="168">
        <f t="shared" si="65"/>
        <v>2.1242774275413399E-2</v>
      </c>
      <c r="E232" s="168">
        <f t="shared" si="65"/>
        <v>4.2485548550826799E-2</v>
      </c>
      <c r="F232" s="168">
        <f t="shared" si="65"/>
        <v>6.3728322826240205E-2</v>
      </c>
      <c r="G232" s="168">
        <f t="shared" si="65"/>
        <v>8.4971097101653584E-2</v>
      </c>
      <c r="H232" s="168">
        <f t="shared" si="65"/>
        <v>0.106213871377067</v>
      </c>
      <c r="I232" s="168">
        <f t="shared" si="65"/>
        <v>0.106213871377067</v>
      </c>
      <c r="J232"/>
    </row>
    <row r="233" spans="1:10">
      <c r="A233" s="103"/>
      <c r="B233" s="167" t="s">
        <v>450</v>
      </c>
      <c r="C233" s="168">
        <f t="shared" ref="C233:I233" si="66">VLOOKUP($A211,$B224:$I227,COLUMN()-1,TRUE)</f>
        <v>0</v>
      </c>
      <c r="D233" s="168">
        <f t="shared" si="66"/>
        <v>0</v>
      </c>
      <c r="E233" s="168">
        <f t="shared" si="66"/>
        <v>0</v>
      </c>
      <c r="F233" s="168">
        <f t="shared" si="66"/>
        <v>0</v>
      </c>
      <c r="G233" s="168">
        <f t="shared" si="66"/>
        <v>0</v>
      </c>
      <c r="H233" s="168">
        <f t="shared" si="66"/>
        <v>0</v>
      </c>
      <c r="I233" s="168">
        <f t="shared" si="66"/>
        <v>0</v>
      </c>
      <c r="J233"/>
    </row>
    <row r="234" spans="1:10">
      <c r="A234" s="103"/>
      <c r="B234" s="167" t="s">
        <v>451</v>
      </c>
      <c r="C234" s="168">
        <f t="shared" ref="C234:I234" si="67">VLOOKUP($A211,$B228:$I231,COLUMN()-1,TRUE)</f>
        <v>0</v>
      </c>
      <c r="D234" s="168">
        <f t="shared" si="67"/>
        <v>0</v>
      </c>
      <c r="E234" s="168">
        <f t="shared" si="67"/>
        <v>0</v>
      </c>
      <c r="F234" s="168">
        <f t="shared" si="67"/>
        <v>0</v>
      </c>
      <c r="G234" s="168">
        <f t="shared" si="67"/>
        <v>0</v>
      </c>
      <c r="H234" s="168">
        <f t="shared" si="67"/>
        <v>0</v>
      </c>
      <c r="I234" s="168">
        <f t="shared" si="67"/>
        <v>0</v>
      </c>
      <c r="J234"/>
    </row>
    <row r="235" spans="1:10">
      <c r="A235" s="103"/>
      <c r="B235" s="152"/>
      <c r="C235" s="153"/>
      <c r="D235" s="154"/>
      <c r="E235" s="155"/>
      <c r="F235" s="156"/>
      <c r="G235" s="156"/>
      <c r="H235" s="156"/>
      <c r="I235" s="157"/>
      <c r="J235" s="96"/>
    </row>
    <row r="236" spans="1:10">
      <c r="A236" s="103"/>
      <c r="B236" s="620" t="s">
        <v>352</v>
      </c>
      <c r="C236" s="623">
        <f>'Baseline Statistics'!D$4</f>
        <v>2022</v>
      </c>
      <c r="D236" s="623">
        <f>'Baseline Statistics'!E$4</f>
        <v>2025</v>
      </c>
      <c r="E236" s="623">
        <f>'Baseline Statistics'!F$4</f>
        <v>2030</v>
      </c>
      <c r="F236" s="623">
        <f>'Baseline Statistics'!G$4</f>
        <v>2035</v>
      </c>
      <c r="G236" s="623">
        <f>'Baseline Statistics'!H$4</f>
        <v>2040</v>
      </c>
      <c r="H236" s="623">
        <f>'Baseline Statistics'!I$4</f>
        <v>2045</v>
      </c>
      <c r="I236" s="623">
        <f>'Baseline Statistics'!J$4</f>
        <v>2051</v>
      </c>
      <c r="J236"/>
    </row>
    <row r="237" spans="1:10">
      <c r="A237" s="103"/>
      <c r="B237" s="620"/>
      <c r="C237" s="624"/>
      <c r="D237" s="624"/>
      <c r="E237" s="624"/>
      <c r="F237" s="624"/>
      <c r="G237" s="624"/>
      <c r="H237" s="624"/>
      <c r="I237" s="624"/>
      <c r="J237"/>
    </row>
    <row r="238" spans="1:10">
      <c r="A238" s="103"/>
      <c r="B238" s="620"/>
      <c r="C238" s="625"/>
      <c r="D238" s="625"/>
      <c r="E238" s="625"/>
      <c r="F238" s="625"/>
      <c r="G238" s="625"/>
      <c r="H238" s="625"/>
      <c r="I238" s="625"/>
      <c r="J238"/>
    </row>
    <row r="239" spans="1:10">
      <c r="A239" s="103"/>
      <c r="B239" s="65" t="s">
        <v>377</v>
      </c>
      <c r="C239" s="72">
        <f t="shared" ref="C239:I240" si="68">C192</f>
        <v>36790440.061202846</v>
      </c>
      <c r="D239" s="72">
        <f t="shared" si="68"/>
        <v>39839971.676333986</v>
      </c>
      <c r="E239" s="72">
        <f t="shared" si="68"/>
        <v>44459990.732041337</v>
      </c>
      <c r="F239" s="72">
        <f t="shared" si="68"/>
        <v>48553442.310982853</v>
      </c>
      <c r="G239" s="72">
        <f t="shared" si="68"/>
        <v>52649930.613198042</v>
      </c>
      <c r="H239" s="72">
        <f t="shared" si="68"/>
        <v>56222520.962587722</v>
      </c>
      <c r="I239" s="110">
        <f t="shared" si="68"/>
        <v>66423803.361507051</v>
      </c>
      <c r="J239"/>
    </row>
    <row r="240" spans="1:10">
      <c r="A240" s="103"/>
      <c r="B240" s="66" t="s">
        <v>378</v>
      </c>
      <c r="C240" s="72">
        <f t="shared" si="68"/>
        <v>8353453.6432471676</v>
      </c>
      <c r="D240" s="72">
        <f t="shared" si="68"/>
        <v>9084519.3141500428</v>
      </c>
      <c r="E240" s="72">
        <f t="shared" si="68"/>
        <v>10200267.679927215</v>
      </c>
      <c r="F240" s="72">
        <f t="shared" si="68"/>
        <v>11277948.822056914</v>
      </c>
      <c r="G240" s="72">
        <f t="shared" si="68"/>
        <v>12383487.447917452</v>
      </c>
      <c r="H240" s="72">
        <f t="shared" si="68"/>
        <v>13392431.470566316</v>
      </c>
      <c r="I240" s="110">
        <f t="shared" si="68"/>
        <v>16026823.686948292</v>
      </c>
      <c r="J240"/>
    </row>
    <row r="241" spans="1:10">
      <c r="A241" s="103"/>
      <c r="B241" s="65" t="s">
        <v>379</v>
      </c>
      <c r="C241" s="72">
        <f>C172*(1-C233)</f>
        <v>3404243.6177032739</v>
      </c>
      <c r="D241" s="72">
        <f>D172*(1-D233)</f>
        <v>3629579.7717453674</v>
      </c>
      <c r="E241" s="72">
        <f t="shared" ref="E241:I241" si="69">E172*(1-E233)</f>
        <v>3996987.541739217</v>
      </c>
      <c r="F241" s="72">
        <f t="shared" si="69"/>
        <v>4335895.6257399451</v>
      </c>
      <c r="G241" s="72">
        <f t="shared" si="69"/>
        <v>4672763.2521235496</v>
      </c>
      <c r="H241" s="72">
        <f t="shared" si="69"/>
        <v>5007114.2363532763</v>
      </c>
      <c r="I241" s="72">
        <f t="shared" si="69"/>
        <v>5937578.1539448975</v>
      </c>
      <c r="J241"/>
    </row>
    <row r="242" spans="1:10">
      <c r="A242" s="103"/>
      <c r="B242" s="66" t="s">
        <v>380</v>
      </c>
      <c r="C242" s="72">
        <f>C173*(1-C234)</f>
        <v>18536711.417872287</v>
      </c>
      <c r="D242" s="72">
        <f>D173*(1-D234)</f>
        <v>20031912.639725681</v>
      </c>
      <c r="E242" s="72">
        <f t="shared" ref="E242:I242" si="70">E173*(1-E234)</f>
        <v>22056995.644500777</v>
      </c>
      <c r="F242" s="72">
        <f t="shared" si="70"/>
        <v>23999451.228290543</v>
      </c>
      <c r="G242" s="72">
        <f t="shared" si="70"/>
        <v>26129084.229692195</v>
      </c>
      <c r="H242" s="72">
        <f t="shared" si="70"/>
        <v>28124635.416373469</v>
      </c>
      <c r="I242" s="72">
        <f t="shared" si="70"/>
        <v>30307364.020666622</v>
      </c>
      <c r="J242"/>
    </row>
    <row r="243" spans="1:10">
      <c r="A243" s="103"/>
      <c r="B243" s="65" t="s">
        <v>452</v>
      </c>
      <c r="C243" s="72">
        <f t="shared" ref="C243:C250" si="71">C196</f>
        <v>875123.71500684612</v>
      </c>
      <c r="D243" s="72">
        <f>D196*(1-D232)</f>
        <v>931494.55362426804</v>
      </c>
      <c r="E243" s="72">
        <f t="shared" ref="E243:I243" si="72">E196*(1-E232)</f>
        <v>1023199.4365141202</v>
      </c>
      <c r="F243" s="72">
        <f t="shared" si="72"/>
        <v>1106204.4251978821</v>
      </c>
      <c r="G243" s="72">
        <f t="shared" si="72"/>
        <v>1187083.2216072078</v>
      </c>
      <c r="H243" s="72">
        <f t="shared" si="72"/>
        <v>1253996.8023445657</v>
      </c>
      <c r="I243" s="72">
        <f t="shared" si="72"/>
        <v>1500667.4254293162</v>
      </c>
      <c r="J243"/>
    </row>
    <row r="244" spans="1:10">
      <c r="A244" s="103"/>
      <c r="B244" s="67" t="s">
        <v>337</v>
      </c>
      <c r="C244" s="72">
        <f t="shared" si="71"/>
        <v>603881.656249461</v>
      </c>
      <c r="D244" s="72">
        <f t="shared" ref="D244:I248" si="73">D197</f>
        <v>665643.56515147153</v>
      </c>
      <c r="E244" s="72">
        <f t="shared" si="73"/>
        <v>747306.64743476186</v>
      </c>
      <c r="F244" s="72">
        <f t="shared" si="73"/>
        <v>828755.31219715695</v>
      </c>
      <c r="G244" s="72">
        <f t="shared" si="73"/>
        <v>919320.81422762433</v>
      </c>
      <c r="H244" s="72">
        <f t="shared" si="73"/>
        <v>998694.24661278259</v>
      </c>
      <c r="I244" s="110">
        <f t="shared" si="73"/>
        <v>1086075.4556539292</v>
      </c>
      <c r="J244" s="96"/>
    </row>
    <row r="245" spans="1:10">
      <c r="A245" s="103"/>
      <c r="B245" s="67" t="s">
        <v>340</v>
      </c>
      <c r="C245" s="72">
        <f t="shared" si="71"/>
        <v>307048.79688692791</v>
      </c>
      <c r="D245" s="72">
        <f t="shared" si="73"/>
        <v>338452.16810303985</v>
      </c>
      <c r="E245" s="72">
        <f t="shared" si="73"/>
        <v>379974.46126374527</v>
      </c>
      <c r="F245" s="72">
        <f t="shared" si="73"/>
        <v>421387.73200070107</v>
      </c>
      <c r="G245" s="72">
        <f t="shared" si="73"/>
        <v>467436.53667978919</v>
      </c>
      <c r="H245" s="72">
        <f t="shared" si="73"/>
        <v>507794.63775213069</v>
      </c>
      <c r="I245" s="110">
        <f t="shared" si="73"/>
        <v>552224.3614056767</v>
      </c>
      <c r="J245" s="96"/>
    </row>
    <row r="246" spans="1:10">
      <c r="A246" s="103"/>
      <c r="B246" s="65" t="s">
        <v>239</v>
      </c>
      <c r="C246" s="72">
        <f t="shared" si="71"/>
        <v>4350044.3909544628</v>
      </c>
      <c r="D246" s="72">
        <f t="shared" si="73"/>
        <v>4887964.6813748134</v>
      </c>
      <c r="E246" s="72">
        <f t="shared" si="73"/>
        <v>5613239.6850871164</v>
      </c>
      <c r="F246" s="72">
        <f t="shared" si="73"/>
        <v>6261052.1103504375</v>
      </c>
      <c r="G246" s="72">
        <f t="shared" si="73"/>
        <v>7024231.328462299</v>
      </c>
      <c r="H246" s="72">
        <f t="shared" si="73"/>
        <v>7782497.8651539646</v>
      </c>
      <c r="I246" s="110">
        <f t="shared" si="73"/>
        <v>8743127.5952077676</v>
      </c>
      <c r="J246" s="96"/>
    </row>
    <row r="247" spans="1:10">
      <c r="A247" s="103"/>
      <c r="B247" s="67" t="s">
        <v>242</v>
      </c>
      <c r="C247" s="72">
        <f t="shared" si="71"/>
        <v>578623.93901467754</v>
      </c>
      <c r="D247" s="72">
        <f t="shared" si="73"/>
        <v>595520.65223703149</v>
      </c>
      <c r="E247" s="72">
        <f t="shared" si="73"/>
        <v>623085.70552406891</v>
      </c>
      <c r="F247" s="72">
        <f t="shared" si="73"/>
        <v>645813.36829283612</v>
      </c>
      <c r="G247" s="72">
        <f t="shared" si="73"/>
        <v>668541.03106160311</v>
      </c>
      <c r="H247" s="72">
        <f t="shared" si="73"/>
        <v>691268.69383037032</v>
      </c>
      <c r="I247" s="110">
        <f t="shared" si="73"/>
        <v>713996.35659913742</v>
      </c>
      <c r="J247" s="96"/>
    </row>
    <row r="248" spans="1:10" ht="15.75" thickBot="1">
      <c r="A248" s="111"/>
      <c r="B248" s="112" t="s">
        <v>233</v>
      </c>
      <c r="C248" s="72">
        <f t="shared" si="71"/>
        <v>538033.26885880088</v>
      </c>
      <c r="D248" s="72">
        <f t="shared" si="73"/>
        <v>585120.09898496035</v>
      </c>
      <c r="E248" s="72">
        <f t="shared" si="73"/>
        <v>656983.75755068904</v>
      </c>
      <c r="F248" s="72">
        <f t="shared" si="73"/>
        <v>726395.5640262363</v>
      </c>
      <c r="G248" s="72">
        <f t="shared" si="73"/>
        <v>797601.62874202651</v>
      </c>
      <c r="H248" s="72">
        <f t="shared" si="73"/>
        <v>862586.18169278663</v>
      </c>
      <c r="I248" s="110">
        <f t="shared" si="73"/>
        <v>1032263.3854182158</v>
      </c>
      <c r="J248" s="96"/>
    </row>
    <row r="249" spans="1:10">
      <c r="A249" s="103"/>
      <c r="B249" s="66" t="s">
        <v>382</v>
      </c>
      <c r="C249" s="72">
        <f t="shared" si="71"/>
        <v>5648525.7968623694</v>
      </c>
      <c r="D249" s="72">
        <f>D202*(1-D234)</f>
        <v>5493463.6347323479</v>
      </c>
      <c r="E249" s="72">
        <f t="shared" ref="E249:I249" si="74">E202*(1-E234)</f>
        <v>5182314.5821323059</v>
      </c>
      <c r="F249" s="72">
        <f t="shared" si="74"/>
        <v>4611167.6520819422</v>
      </c>
      <c r="G249" s="72">
        <f t="shared" si="74"/>
        <v>3855942.8138085552</v>
      </c>
      <c r="H249" s="72">
        <f t="shared" si="74"/>
        <v>3017886.3491820088</v>
      </c>
      <c r="I249" s="72">
        <f t="shared" si="74"/>
        <v>2177949.594947862</v>
      </c>
      <c r="J249" s="96"/>
    </row>
    <row r="250" spans="1:10">
      <c r="A250" s="103"/>
      <c r="B250" s="65" t="s">
        <v>383</v>
      </c>
      <c r="C250" s="72">
        <f t="shared" si="71"/>
        <v>533194.78349569347</v>
      </c>
      <c r="D250" s="72">
        <f t="shared" ref="D250:I250" si="75">D203</f>
        <v>516739.95233298559</v>
      </c>
      <c r="E250" s="72">
        <f t="shared" si="75"/>
        <v>485022.26249454223</v>
      </c>
      <c r="F250" s="72">
        <f t="shared" si="75"/>
        <v>427208.31234508794</v>
      </c>
      <c r="G250" s="72">
        <f t="shared" si="75"/>
        <v>353594.11216156749</v>
      </c>
      <c r="H250" s="72">
        <f t="shared" si="75"/>
        <v>273890.40599213482</v>
      </c>
      <c r="I250" s="72">
        <f t="shared" si="75"/>
        <v>195602.38051098475</v>
      </c>
      <c r="J250" s="96"/>
    </row>
    <row r="251" spans="1:10">
      <c r="A251" s="103"/>
      <c r="B251" s="144" t="s">
        <v>435</v>
      </c>
      <c r="C251" s="146">
        <v>0</v>
      </c>
      <c r="D251" s="146">
        <f>(D172-D241)/'Baseline Statistics'!E35*'Baseline Statistics'!E39+(D173-D242)/'Baseline Statistics'!E36*'Baseline Statistics'!E41+(D174-D243)/'Baseline Statistics'!E37*'Baseline Statistics'!E42+(D202-D249)/'Baseline Statistics'!E36*'Baseline Statistics'!E39</f>
        <v>51399.136201025409</v>
      </c>
      <c r="E251" s="146">
        <f>(E172-E241)/'Baseline Statistics'!$D35*'Baseline Statistics'!$D39+(E173-E242)/'Baseline Statistics'!$D36*'Baseline Statistics'!$D41+(E174-E243)/'Baseline Statistics'!$D37*'Baseline Statistics'!$D42+(E202-E249)/'Baseline Statistics'!$D36*'Baseline Statistics'!$D39</f>
        <v>115423.81707546586</v>
      </c>
      <c r="F251" s="146">
        <f>(F172-F241)/'Baseline Statistics'!$D35*'Baseline Statistics'!$D39+(F173-F242)/'Baseline Statistics'!$D36*'Baseline Statistics'!$D41+(F174-F243)/'Baseline Statistics'!$D37*'Baseline Statistics'!$D42+(F202-F249)/'Baseline Statistics'!$D36*'Baseline Statistics'!$D39</f>
        <v>191427.90307139076</v>
      </c>
      <c r="G251" s="146">
        <f>(G172-G241)/'Baseline Statistics'!$D35*'Baseline Statistics'!$D39+(G173-G242)/'Baseline Statistics'!$D36*'Baseline Statistics'!$D41+(G174-G243)/'Baseline Statistics'!$D37*'Baseline Statistics'!$D42+(G202-G249)/'Baseline Statistics'!$D36*'Baseline Statistics'!$D39</f>
        <v>280257.23143668601</v>
      </c>
      <c r="H251" s="146">
        <f>(H172-H241)/'Baseline Statistics'!$D35*'Baseline Statistics'!$D39+(H173-H242)/'Baseline Statistics'!$D36*'Baseline Statistics'!$D41+(H174-H243)/'Baseline Statistics'!$D37*'Baseline Statistics'!$D42+(H202-H249)/'Baseline Statistics'!$D36*'Baseline Statistics'!$D39</f>
        <v>378863.96925060719</v>
      </c>
      <c r="I251" s="146">
        <f>(I172-I241)/'Baseline Statistics'!$D35*'Baseline Statistics'!$D39+(I173-I242)/'Baseline Statistics'!$D36*'Baseline Statistics'!$D41+(I174-I243)/'Baseline Statistics'!$D37*'Baseline Statistics'!$D42+(I202-I249)/'Baseline Statistics'!$D36*'Baseline Statistics'!$D39</f>
        <v>453389.36770830571</v>
      </c>
      <c r="J251" s="96"/>
    </row>
    <row r="252" spans="1:10" ht="15.75" thickBot="1">
      <c r="A252" s="111"/>
      <c r="B252" s="158"/>
      <c r="C252" s="158"/>
      <c r="D252" s="158"/>
      <c r="E252" s="158"/>
      <c r="F252" s="158"/>
      <c r="G252" s="158"/>
      <c r="H252" s="158"/>
      <c r="I252" s="159"/>
      <c r="J252"/>
    </row>
    <row r="253" spans="1:10" ht="15.75" thickBot="1">
      <c r="B253"/>
      <c r="C253"/>
      <c r="D253"/>
      <c r="E253"/>
      <c r="F253"/>
      <c r="G253"/>
      <c r="H253"/>
      <c r="I253"/>
      <c r="J253"/>
    </row>
    <row r="254" spans="1:10">
      <c r="A254" s="339">
        <v>1</v>
      </c>
      <c r="B254" s="115"/>
      <c r="C254" s="596" t="s">
        <v>453</v>
      </c>
      <c r="D254" s="597"/>
      <c r="E254" s="597"/>
      <c r="F254" s="597"/>
      <c r="G254" s="597"/>
      <c r="H254" s="597"/>
      <c r="I254" s="598"/>
      <c r="J254"/>
    </row>
    <row r="255" spans="1:10">
      <c r="A255"/>
      <c r="B255" s="58" t="s">
        <v>442</v>
      </c>
      <c r="C255" s="213">
        <f>'Baseline Statistics'!D4</f>
        <v>2022</v>
      </c>
      <c r="D255" s="213">
        <f>'Baseline Statistics'!E4</f>
        <v>2025</v>
      </c>
      <c r="E255" s="213">
        <f>'Baseline Statistics'!F4</f>
        <v>2030</v>
      </c>
      <c r="F255" s="213">
        <f>'Baseline Statistics'!G4</f>
        <v>2035</v>
      </c>
      <c r="G255" s="213">
        <f>'Baseline Statistics'!H4</f>
        <v>2040</v>
      </c>
      <c r="H255" s="213">
        <f>'Baseline Statistics'!I4</f>
        <v>2045</v>
      </c>
      <c r="I255" s="104">
        <f>'Baseline Statistics'!J4</f>
        <v>2051</v>
      </c>
      <c r="J255"/>
    </row>
    <row r="256" spans="1:10">
      <c r="A256"/>
      <c r="B256" s="213" t="s">
        <v>18</v>
      </c>
      <c r="C256" s="118">
        <f t="shared" ref="C256:I256" si="76">VLOOKUP($A254,$B257:$I260,COLUMN()-1,TRUE)</f>
        <v>0</v>
      </c>
      <c r="D256" s="118">
        <f t="shared" si="76"/>
        <v>0</v>
      </c>
      <c r="E256" s="118">
        <f t="shared" si="76"/>
        <v>0</v>
      </c>
      <c r="F256" s="118">
        <f t="shared" si="76"/>
        <v>0</v>
      </c>
      <c r="G256" s="118">
        <f t="shared" si="76"/>
        <v>0</v>
      </c>
      <c r="H256" s="118">
        <f t="shared" si="76"/>
        <v>0</v>
      </c>
      <c r="I256" s="118">
        <f t="shared" si="76"/>
        <v>0</v>
      </c>
      <c r="J256"/>
    </row>
    <row r="257" spans="1:10">
      <c r="A257"/>
      <c r="B257" s="213">
        <v>1</v>
      </c>
      <c r="C257" s="118">
        <v>0</v>
      </c>
      <c r="D257" s="120">
        <v>0</v>
      </c>
      <c r="E257" s="120">
        <v>0</v>
      </c>
      <c r="F257" s="120">
        <v>0</v>
      </c>
      <c r="G257" s="120">
        <v>0</v>
      </c>
      <c r="H257" s="120">
        <v>0</v>
      </c>
      <c r="I257" s="121">
        <v>0</v>
      </c>
      <c r="J257" t="s">
        <v>285</v>
      </c>
    </row>
    <row r="258" spans="1:10" ht="14.45" customHeight="1">
      <c r="A258"/>
      <c r="B258" s="213">
        <v>2</v>
      </c>
      <c r="C258" s="118">
        <v>0</v>
      </c>
      <c r="D258" s="120">
        <f>($I258-$C258)*1/6</f>
        <v>8.3333333333333332E-3</v>
      </c>
      <c r="E258" s="120">
        <f>($I258-$C258)*2/6</f>
        <v>1.6666666666666666E-2</v>
      </c>
      <c r="F258" s="120">
        <f>($I258-$C258)*3/6</f>
        <v>2.5000000000000005E-2</v>
      </c>
      <c r="G258" s="120">
        <f>($I258-$C258)*4/6</f>
        <v>3.3333333333333333E-2</v>
      </c>
      <c r="H258" s="120">
        <f>($I258-$C258)*5/6</f>
        <v>4.1666666666666664E-2</v>
      </c>
      <c r="I258" s="121">
        <v>0.05</v>
      </c>
      <c r="J258" t="s">
        <v>454</v>
      </c>
    </row>
    <row r="259" spans="1:10">
      <c r="A259"/>
      <c r="B259" s="213">
        <v>3</v>
      </c>
      <c r="C259" s="118">
        <v>0</v>
      </c>
      <c r="D259" s="120">
        <f>($I259-$C259)*1/6</f>
        <v>1.6666666666666666E-2</v>
      </c>
      <c r="E259" s="120">
        <f>($I259-$C259)*2/6</f>
        <v>3.3333333333333333E-2</v>
      </c>
      <c r="F259" s="120">
        <f>($I259-$C259)*3/6</f>
        <v>5.000000000000001E-2</v>
      </c>
      <c r="G259" s="120">
        <f>($I259-$C259)*4/6</f>
        <v>6.6666666666666666E-2</v>
      </c>
      <c r="H259" s="120">
        <f>($I259-$C259)*5/6</f>
        <v>8.3333333333333329E-2</v>
      </c>
      <c r="I259" s="121">
        <v>0.1</v>
      </c>
      <c r="J259" t="s">
        <v>392</v>
      </c>
    </row>
    <row r="260" spans="1:10">
      <c r="A260"/>
      <c r="B260" s="151">
        <v>4</v>
      </c>
      <c r="C260" s="118">
        <v>0</v>
      </c>
      <c r="D260" s="120">
        <f>($I260-$C260)*1/6</f>
        <v>6.6666666666666666E-2</v>
      </c>
      <c r="E260" s="120">
        <f>($I260-$C260)*2/6</f>
        <v>0.13333333333333333</v>
      </c>
      <c r="F260" s="120">
        <f>($I260-$C260)*3/6</f>
        <v>0.20000000000000004</v>
      </c>
      <c r="G260" s="120">
        <f>($I260-$C260)*4/6</f>
        <v>0.26666666666666666</v>
      </c>
      <c r="H260" s="120">
        <f>($I260-$C260)*5/6</f>
        <v>0.33333333333333331</v>
      </c>
      <c r="I260" s="121">
        <v>0.4</v>
      </c>
      <c r="J260" t="s">
        <v>455</v>
      </c>
    </row>
    <row r="261" spans="1:10">
      <c r="A261"/>
      <c r="B261"/>
      <c r="C261"/>
      <c r="D261"/>
      <c r="E261"/>
      <c r="F261"/>
      <c r="G261"/>
      <c r="H261"/>
      <c r="I261" s="116"/>
      <c r="J261"/>
    </row>
    <row r="262" spans="1:10">
      <c r="A262" s="103"/>
      <c r="B262" s="620" t="s">
        <v>352</v>
      </c>
      <c r="C262" s="623">
        <f>'Baseline Statistics'!D$4</f>
        <v>2022</v>
      </c>
      <c r="D262" s="623">
        <f>'Baseline Statistics'!E$4</f>
        <v>2025</v>
      </c>
      <c r="E262" s="623">
        <f>'Baseline Statistics'!F$4</f>
        <v>2030</v>
      </c>
      <c r="F262" s="623">
        <f>'Baseline Statistics'!G$4</f>
        <v>2035</v>
      </c>
      <c r="G262" s="623">
        <f>'Baseline Statistics'!H$4</f>
        <v>2040</v>
      </c>
      <c r="H262" s="623">
        <f>'Baseline Statistics'!I$4</f>
        <v>2045</v>
      </c>
      <c r="I262" s="623">
        <f>'Baseline Statistics'!J$4</f>
        <v>2051</v>
      </c>
      <c r="J262"/>
    </row>
    <row r="263" spans="1:10">
      <c r="A263" s="103"/>
      <c r="B263" s="620"/>
      <c r="C263" s="624"/>
      <c r="D263" s="624"/>
      <c r="E263" s="624"/>
      <c r="F263" s="624"/>
      <c r="G263" s="624"/>
      <c r="H263" s="624"/>
      <c r="I263" s="624"/>
      <c r="J263"/>
    </row>
    <row r="264" spans="1:10">
      <c r="A264" s="103"/>
      <c r="B264" s="620"/>
      <c r="C264" s="625"/>
      <c r="D264" s="625"/>
      <c r="E264" s="625"/>
      <c r="F264" s="625"/>
      <c r="G264" s="625"/>
      <c r="H264" s="625"/>
      <c r="I264" s="625"/>
      <c r="J264"/>
    </row>
    <row r="265" spans="1:10">
      <c r="A265" s="103"/>
      <c r="B265" s="65" t="s">
        <v>377</v>
      </c>
      <c r="C265" s="72">
        <f t="shared" ref="C265:I274" si="77">C239*(1-C$256)/(1-$C$256)</f>
        <v>36790440.061202846</v>
      </c>
      <c r="D265" s="72">
        <f t="shared" si="77"/>
        <v>39839971.676333986</v>
      </c>
      <c r="E265" s="72">
        <f t="shared" si="77"/>
        <v>44459990.732041337</v>
      </c>
      <c r="F265" s="72">
        <f t="shared" si="77"/>
        <v>48553442.310982853</v>
      </c>
      <c r="G265" s="72">
        <f t="shared" si="77"/>
        <v>52649930.613198042</v>
      </c>
      <c r="H265" s="72">
        <f t="shared" si="77"/>
        <v>56222520.962587722</v>
      </c>
      <c r="I265" s="110">
        <f t="shared" si="77"/>
        <v>66423803.361507051</v>
      </c>
      <c r="J265"/>
    </row>
    <row r="266" spans="1:10">
      <c r="A266" s="103"/>
      <c r="B266" s="66" t="s">
        <v>378</v>
      </c>
      <c r="C266" s="72">
        <f t="shared" si="77"/>
        <v>8353453.6432471676</v>
      </c>
      <c r="D266" s="72">
        <f t="shared" si="77"/>
        <v>9084519.3141500428</v>
      </c>
      <c r="E266" s="72">
        <f t="shared" si="77"/>
        <v>10200267.679927215</v>
      </c>
      <c r="F266" s="72">
        <f t="shared" si="77"/>
        <v>11277948.822056914</v>
      </c>
      <c r="G266" s="72">
        <f t="shared" si="77"/>
        <v>12383487.447917452</v>
      </c>
      <c r="H266" s="72">
        <f t="shared" si="77"/>
        <v>13392431.470566316</v>
      </c>
      <c r="I266" s="110">
        <f t="shared" si="77"/>
        <v>16026823.686948292</v>
      </c>
      <c r="J266"/>
    </row>
    <row r="267" spans="1:10">
      <c r="A267" s="103"/>
      <c r="B267" s="65" t="s">
        <v>379</v>
      </c>
      <c r="C267" s="72">
        <f t="shared" si="77"/>
        <v>3404243.6177032739</v>
      </c>
      <c r="D267" s="72">
        <f t="shared" si="77"/>
        <v>3629579.7717453674</v>
      </c>
      <c r="E267" s="72">
        <f t="shared" si="77"/>
        <v>3996987.541739217</v>
      </c>
      <c r="F267" s="72">
        <f t="shared" si="77"/>
        <v>4335895.6257399451</v>
      </c>
      <c r="G267" s="72">
        <f t="shared" si="77"/>
        <v>4672763.2521235496</v>
      </c>
      <c r="H267" s="72">
        <f t="shared" si="77"/>
        <v>5007114.2363532763</v>
      </c>
      <c r="I267" s="110">
        <f t="shared" si="77"/>
        <v>5937578.1539448975</v>
      </c>
      <c r="J267"/>
    </row>
    <row r="268" spans="1:10">
      <c r="A268" s="103"/>
      <c r="B268" s="66" t="s">
        <v>380</v>
      </c>
      <c r="C268" s="72">
        <f t="shared" si="77"/>
        <v>18536711.417872287</v>
      </c>
      <c r="D268" s="72">
        <f t="shared" si="77"/>
        <v>20031912.639725681</v>
      </c>
      <c r="E268" s="72">
        <f t="shared" si="77"/>
        <v>22056995.644500777</v>
      </c>
      <c r="F268" s="72">
        <f t="shared" si="77"/>
        <v>23999451.228290543</v>
      </c>
      <c r="G268" s="72">
        <f t="shared" si="77"/>
        <v>26129084.229692195</v>
      </c>
      <c r="H268" s="72">
        <f t="shared" si="77"/>
        <v>28124635.416373469</v>
      </c>
      <c r="I268" s="110">
        <f t="shared" si="77"/>
        <v>30307364.020666622</v>
      </c>
      <c r="J268"/>
    </row>
    <row r="269" spans="1:10">
      <c r="A269" s="103"/>
      <c r="B269" s="65" t="s">
        <v>452</v>
      </c>
      <c r="C269" s="72">
        <f t="shared" si="77"/>
        <v>875123.71500684612</v>
      </c>
      <c r="D269" s="72">
        <f t="shared" si="77"/>
        <v>931494.55362426804</v>
      </c>
      <c r="E269" s="72">
        <f t="shared" si="77"/>
        <v>1023199.4365141202</v>
      </c>
      <c r="F269" s="72">
        <f t="shared" si="77"/>
        <v>1106204.4251978821</v>
      </c>
      <c r="G269" s="72">
        <f t="shared" si="77"/>
        <v>1187083.2216072078</v>
      </c>
      <c r="H269" s="72">
        <f t="shared" si="77"/>
        <v>1253996.8023445657</v>
      </c>
      <c r="I269" s="110">
        <f t="shared" si="77"/>
        <v>1500667.4254293162</v>
      </c>
      <c r="J269"/>
    </row>
    <row r="270" spans="1:10">
      <c r="A270" s="103"/>
      <c r="B270" s="67" t="s">
        <v>337</v>
      </c>
      <c r="C270" s="72">
        <f t="shared" si="77"/>
        <v>603881.656249461</v>
      </c>
      <c r="D270" s="72">
        <f t="shared" si="77"/>
        <v>665643.56515147153</v>
      </c>
      <c r="E270" s="72">
        <f t="shared" si="77"/>
        <v>747306.64743476186</v>
      </c>
      <c r="F270" s="72">
        <f t="shared" si="77"/>
        <v>828755.31219715695</v>
      </c>
      <c r="G270" s="72">
        <f t="shared" si="77"/>
        <v>919320.81422762433</v>
      </c>
      <c r="H270" s="72">
        <f t="shared" si="77"/>
        <v>998694.24661278259</v>
      </c>
      <c r="I270" s="110">
        <f t="shared" si="77"/>
        <v>1086075.4556539292</v>
      </c>
      <c r="J270" s="96"/>
    </row>
    <row r="271" spans="1:10">
      <c r="A271" s="103"/>
      <c r="B271" s="67" t="s">
        <v>340</v>
      </c>
      <c r="C271" s="72">
        <f t="shared" si="77"/>
        <v>307048.79688692791</v>
      </c>
      <c r="D271" s="72">
        <f t="shared" si="77"/>
        <v>338452.16810303985</v>
      </c>
      <c r="E271" s="72">
        <f t="shared" si="77"/>
        <v>379974.46126374527</v>
      </c>
      <c r="F271" s="72">
        <f t="shared" si="77"/>
        <v>421387.73200070107</v>
      </c>
      <c r="G271" s="72">
        <f t="shared" si="77"/>
        <v>467436.53667978919</v>
      </c>
      <c r="H271" s="72">
        <f t="shared" si="77"/>
        <v>507794.63775213069</v>
      </c>
      <c r="I271" s="72">
        <f t="shared" si="77"/>
        <v>552224.3614056767</v>
      </c>
      <c r="J271" s="96"/>
    </row>
    <row r="272" spans="1:10">
      <c r="A272" s="103"/>
      <c r="B272" s="65" t="s">
        <v>239</v>
      </c>
      <c r="C272" s="72">
        <f t="shared" si="77"/>
        <v>4350044.3909544628</v>
      </c>
      <c r="D272" s="72">
        <f t="shared" si="77"/>
        <v>4887964.6813748134</v>
      </c>
      <c r="E272" s="72">
        <f t="shared" si="77"/>
        <v>5613239.6850871164</v>
      </c>
      <c r="F272" s="72">
        <f t="shared" si="77"/>
        <v>6261052.1103504375</v>
      </c>
      <c r="G272" s="72">
        <f t="shared" si="77"/>
        <v>7024231.328462299</v>
      </c>
      <c r="H272" s="72">
        <f t="shared" si="77"/>
        <v>7782497.8651539646</v>
      </c>
      <c r="I272" s="110">
        <f t="shared" si="77"/>
        <v>8743127.5952077676</v>
      </c>
      <c r="J272" s="96"/>
    </row>
    <row r="273" spans="1:10">
      <c r="A273" s="103"/>
      <c r="B273" s="67" t="s">
        <v>242</v>
      </c>
      <c r="C273" s="72">
        <f t="shared" si="77"/>
        <v>578623.93901467754</v>
      </c>
      <c r="D273" s="72">
        <f t="shared" si="77"/>
        <v>595520.65223703149</v>
      </c>
      <c r="E273" s="72">
        <f t="shared" si="77"/>
        <v>623085.70552406891</v>
      </c>
      <c r="F273" s="72">
        <f t="shared" si="77"/>
        <v>645813.36829283612</v>
      </c>
      <c r="G273" s="72">
        <f t="shared" si="77"/>
        <v>668541.03106160311</v>
      </c>
      <c r="H273" s="72">
        <f t="shared" si="77"/>
        <v>691268.69383037032</v>
      </c>
      <c r="I273" s="110">
        <f t="shared" si="77"/>
        <v>713996.35659913742</v>
      </c>
      <c r="J273" s="96"/>
    </row>
    <row r="274" spans="1:10">
      <c r="A274" s="96"/>
      <c r="B274" s="65" t="s">
        <v>233</v>
      </c>
      <c r="C274" s="72">
        <f t="shared" si="77"/>
        <v>538033.26885880088</v>
      </c>
      <c r="D274" s="72">
        <f t="shared" si="77"/>
        <v>585120.09898496035</v>
      </c>
      <c r="E274" s="72">
        <f t="shared" si="77"/>
        <v>656983.75755068904</v>
      </c>
      <c r="F274" s="72">
        <f t="shared" si="77"/>
        <v>726395.5640262363</v>
      </c>
      <c r="G274" s="72">
        <f t="shared" si="77"/>
        <v>797601.62874202651</v>
      </c>
      <c r="H274" s="72">
        <f t="shared" si="77"/>
        <v>862586.18169278663</v>
      </c>
      <c r="I274" s="72">
        <f t="shared" si="77"/>
        <v>1032263.3854182158</v>
      </c>
      <c r="J274" s="96"/>
    </row>
    <row r="275" spans="1:10">
      <c r="B275" s="355" t="s">
        <v>382</v>
      </c>
      <c r="C275" s="72">
        <f t="shared" ref="C275:I276" si="78">C73*(1-C$256)/(1-$C$256)</f>
        <v>5648525.7968623694</v>
      </c>
      <c r="D275" s="72">
        <f t="shared" si="78"/>
        <v>5493463.6347323479</v>
      </c>
      <c r="E275" s="72">
        <f t="shared" si="78"/>
        <v>5182314.5821323059</v>
      </c>
      <c r="F275" s="72">
        <f t="shared" si="78"/>
        <v>4611167.6520819422</v>
      </c>
      <c r="G275" s="72">
        <f t="shared" si="78"/>
        <v>3855942.8138085552</v>
      </c>
      <c r="H275" s="72">
        <f t="shared" si="78"/>
        <v>3017886.3491820088</v>
      </c>
      <c r="I275" s="72">
        <f t="shared" si="78"/>
        <v>2177949.594947862</v>
      </c>
      <c r="J275" s="96"/>
    </row>
    <row r="276" spans="1:10">
      <c r="B276" s="65" t="s">
        <v>383</v>
      </c>
      <c r="C276" s="356">
        <f t="shared" si="78"/>
        <v>533194.78349569347</v>
      </c>
      <c r="D276" s="356">
        <f t="shared" si="78"/>
        <v>518557.63055727247</v>
      </c>
      <c r="E276" s="356">
        <f t="shared" si="78"/>
        <v>489186.59505131352</v>
      </c>
      <c r="F276" s="356">
        <f t="shared" si="78"/>
        <v>435272.9590577248</v>
      </c>
      <c r="G276" s="356">
        <f t="shared" si="78"/>
        <v>363983.21751889191</v>
      </c>
      <c r="H276" s="356">
        <f t="shared" si="78"/>
        <v>284874.55248244439</v>
      </c>
      <c r="I276" s="356">
        <f t="shared" si="78"/>
        <v>205588.39677917713</v>
      </c>
      <c r="J276" s="96"/>
    </row>
    <row r="277" spans="1:10">
      <c r="B277" s="353" t="s">
        <v>435</v>
      </c>
      <c r="C277" s="354">
        <f>C271-$C271+C251</f>
        <v>0</v>
      </c>
      <c r="D277" s="354">
        <f t="shared" ref="D277:I277" si="79">D271-$C271+D251</f>
        <v>82802.507417137342</v>
      </c>
      <c r="E277" s="354">
        <f t="shared" si="79"/>
        <v>188349.48145228322</v>
      </c>
      <c r="F277" s="354">
        <f t="shared" si="79"/>
        <v>305766.83818516391</v>
      </c>
      <c r="G277" s="354">
        <f t="shared" si="79"/>
        <v>440644.97122954729</v>
      </c>
      <c r="H277" s="354">
        <f t="shared" si="79"/>
        <v>579609.81011581002</v>
      </c>
      <c r="I277" s="354">
        <f t="shared" si="79"/>
        <v>698564.93222705449</v>
      </c>
      <c r="J277"/>
    </row>
    <row r="278" spans="1:10">
      <c r="B278"/>
      <c r="C278"/>
      <c r="D278"/>
      <c r="E278"/>
      <c r="F278"/>
      <c r="G278"/>
      <c r="H278"/>
      <c r="I278"/>
      <c r="J278"/>
    </row>
    <row r="279" spans="1:10">
      <c r="B279" s="628" t="s">
        <v>456</v>
      </c>
      <c r="C279" s="623">
        <f>'Baseline Statistics'!D$4</f>
        <v>2022</v>
      </c>
      <c r="D279" s="623">
        <f>'Baseline Statistics'!E$4</f>
        <v>2025</v>
      </c>
      <c r="E279" s="623">
        <f>'Baseline Statistics'!F$4</f>
        <v>2030</v>
      </c>
      <c r="F279" s="623">
        <f>'Baseline Statistics'!G$4</f>
        <v>2035</v>
      </c>
      <c r="G279" s="623">
        <f>'Baseline Statistics'!H$4</f>
        <v>2040</v>
      </c>
      <c r="H279" s="623">
        <f>'Baseline Statistics'!I$4</f>
        <v>2045</v>
      </c>
      <c r="I279" s="623">
        <f>'Baseline Statistics'!J$4</f>
        <v>2051</v>
      </c>
      <c r="J279"/>
    </row>
    <row r="280" spans="1:10">
      <c r="B280" s="620"/>
      <c r="C280" s="624"/>
      <c r="D280" s="624"/>
      <c r="E280" s="624"/>
      <c r="F280" s="624"/>
      <c r="G280" s="624"/>
      <c r="H280" s="624"/>
      <c r="I280" s="624"/>
      <c r="J280"/>
    </row>
    <row r="281" spans="1:10">
      <c r="B281" s="620"/>
      <c r="C281" s="625"/>
      <c r="D281" s="625"/>
      <c r="E281" s="625"/>
      <c r="F281" s="625"/>
      <c r="G281" s="625"/>
      <c r="H281" s="625"/>
      <c r="I281" s="625"/>
      <c r="J281"/>
    </row>
    <row r="282" spans="1:10">
      <c r="B282" t="s">
        <v>230</v>
      </c>
      <c r="C282" s="80">
        <f>C265+C267+C276</f>
        <v>40727878.462401815</v>
      </c>
      <c r="D282" s="80">
        <f t="shared" ref="D282:I282" si="80">D265+D267+D276</f>
        <v>43988109.078636624</v>
      </c>
      <c r="E282" s="80">
        <f t="shared" si="80"/>
        <v>48946164.868831865</v>
      </c>
      <c r="F282" s="80">
        <f t="shared" si="80"/>
        <v>53324610.895780526</v>
      </c>
      <c r="G282" s="80">
        <f t="shared" si="80"/>
        <v>57686677.08284048</v>
      </c>
      <c r="H282" s="80">
        <f t="shared" si="80"/>
        <v>61514509.751423441</v>
      </c>
      <c r="I282" s="80">
        <f t="shared" si="80"/>
        <v>72566969.912231132</v>
      </c>
      <c r="J282" t="s">
        <v>227</v>
      </c>
    </row>
    <row r="283" spans="1:10">
      <c r="B283" t="s">
        <v>226</v>
      </c>
      <c r="C283" s="80">
        <f>SUM(C266,C268:C270,C275)</f>
        <v>34017696.22923813</v>
      </c>
      <c r="D283" s="80">
        <f t="shared" ref="D283:I283" si="81">SUM(D266,D268:D270,D275)</f>
        <v>36207033.707383811</v>
      </c>
      <c r="E283" s="80">
        <f t="shared" si="81"/>
        <v>39210083.990509182</v>
      </c>
      <c r="F283" s="80">
        <f t="shared" si="81"/>
        <v>41823527.43982444</v>
      </c>
      <c r="G283" s="80">
        <f t="shared" si="81"/>
        <v>44474918.527253032</v>
      </c>
      <c r="H283" s="80">
        <f t="shared" si="81"/>
        <v>46787644.285079144</v>
      </c>
      <c r="I283" s="80">
        <f t="shared" si="81"/>
        <v>51098880.183646016</v>
      </c>
      <c r="J283" t="s">
        <v>227</v>
      </c>
    </row>
    <row r="284" spans="1:10">
      <c r="B284" t="s">
        <v>239</v>
      </c>
      <c r="C284" s="80">
        <f>C272</f>
        <v>4350044.3909544628</v>
      </c>
      <c r="D284" s="80">
        <f t="shared" ref="D284:I284" si="82">D272</f>
        <v>4887964.6813748134</v>
      </c>
      <c r="E284" s="80">
        <f t="shared" si="82"/>
        <v>5613239.6850871164</v>
      </c>
      <c r="F284" s="80">
        <f t="shared" si="82"/>
        <v>6261052.1103504375</v>
      </c>
      <c r="G284" s="80">
        <f t="shared" si="82"/>
        <v>7024231.328462299</v>
      </c>
      <c r="H284" s="80">
        <f t="shared" si="82"/>
        <v>7782497.8651539646</v>
      </c>
      <c r="I284" s="80">
        <f t="shared" si="82"/>
        <v>8743127.5952077676</v>
      </c>
      <c r="J284" t="s">
        <v>227</v>
      </c>
    </row>
    <row r="285" spans="1:10">
      <c r="B285" t="s">
        <v>242</v>
      </c>
      <c r="C285" s="80">
        <f t="shared" ref="C285:I285" si="83">C273</f>
        <v>578623.93901467754</v>
      </c>
      <c r="D285" s="80">
        <f t="shared" si="83"/>
        <v>595520.65223703149</v>
      </c>
      <c r="E285" s="80">
        <f t="shared" si="83"/>
        <v>623085.70552406891</v>
      </c>
      <c r="F285" s="80">
        <f t="shared" si="83"/>
        <v>645813.36829283612</v>
      </c>
      <c r="G285" s="80">
        <f t="shared" si="83"/>
        <v>668541.03106160311</v>
      </c>
      <c r="H285" s="80">
        <f t="shared" si="83"/>
        <v>691268.69383037032</v>
      </c>
      <c r="I285" s="80">
        <f t="shared" si="83"/>
        <v>713996.35659913742</v>
      </c>
      <c r="J285" t="s">
        <v>227</v>
      </c>
    </row>
    <row r="286" spans="1:10">
      <c r="B286" t="s">
        <v>233</v>
      </c>
      <c r="C286" s="80">
        <f t="shared" ref="C286:I286" si="84">C274</f>
        <v>538033.26885880088</v>
      </c>
      <c r="D286" s="80">
        <f t="shared" si="84"/>
        <v>585120.09898496035</v>
      </c>
      <c r="E286" s="80">
        <f t="shared" si="84"/>
        <v>656983.75755068904</v>
      </c>
      <c r="F286" s="80">
        <f t="shared" si="84"/>
        <v>726395.5640262363</v>
      </c>
      <c r="G286" s="80">
        <f t="shared" si="84"/>
        <v>797601.62874202651</v>
      </c>
      <c r="H286" s="80">
        <f t="shared" si="84"/>
        <v>862586.18169278663</v>
      </c>
      <c r="I286" s="80">
        <f t="shared" si="84"/>
        <v>1032263.3854182158</v>
      </c>
      <c r="J286" t="s">
        <v>227</v>
      </c>
    </row>
    <row r="287" spans="1:10">
      <c r="B287" t="s">
        <v>457</v>
      </c>
      <c r="C287" s="80">
        <f t="shared" ref="C287:I287" si="85">C277+C251+C204</f>
        <v>0</v>
      </c>
      <c r="D287" s="80">
        <f t="shared" si="85"/>
        <v>333428.37753523316</v>
      </c>
      <c r="E287" s="80">
        <f t="shared" si="85"/>
        <v>846116.50028434792</v>
      </c>
      <c r="F287" s="80">
        <f t="shared" si="85"/>
        <v>1800034.6398588174</v>
      </c>
      <c r="G287" s="80">
        <f t="shared" si="85"/>
        <v>2920960.557442042</v>
      </c>
      <c r="H287" s="80">
        <f t="shared" si="85"/>
        <v>4167770.8146354584</v>
      </c>
      <c r="I287" s="80">
        <f t="shared" si="85"/>
        <v>5982489.2057928834</v>
      </c>
      <c r="J287" t="s">
        <v>317</v>
      </c>
    </row>
    <row r="288" spans="1:10" ht="15.75" thickBot="1">
      <c r="B288"/>
      <c r="C288"/>
      <c r="D288"/>
      <c r="E288"/>
      <c r="F288"/>
      <c r="G288"/>
      <c r="H288"/>
      <c r="I288"/>
      <c r="J288"/>
    </row>
    <row r="289" spans="1:10">
      <c r="A289" s="339">
        <v>1</v>
      </c>
      <c r="B289" s="125"/>
      <c r="C289" s="596" t="s">
        <v>458</v>
      </c>
      <c r="D289" s="597"/>
      <c r="E289" s="597"/>
      <c r="F289" s="597"/>
      <c r="G289" s="597"/>
      <c r="H289" s="597"/>
      <c r="I289" s="598"/>
      <c r="J289"/>
    </row>
    <row r="290" spans="1:10">
      <c r="A290"/>
      <c r="B290" s="126" t="s">
        <v>17</v>
      </c>
      <c r="C290" s="213">
        <f>'Baseline Statistics'!D201</f>
        <v>0</v>
      </c>
      <c r="D290" s="213">
        <f>'Baseline Statistics'!E201</f>
        <v>0</v>
      </c>
      <c r="E290" s="213">
        <f>'Baseline Statistics'!F201</f>
        <v>0</v>
      </c>
      <c r="F290" s="213">
        <f>'Baseline Statistics'!G201</f>
        <v>0</v>
      </c>
      <c r="G290" s="213">
        <f>'Baseline Statistics'!H201</f>
        <v>0</v>
      </c>
      <c r="H290" s="213">
        <f>'Baseline Statistics'!I201</f>
        <v>0</v>
      </c>
      <c r="I290" s="104">
        <f>'Baseline Statistics'!J201</f>
        <v>0</v>
      </c>
      <c r="J290"/>
    </row>
    <row r="291" spans="1:10">
      <c r="A291"/>
      <c r="B291" s="127" t="s">
        <v>18</v>
      </c>
      <c r="C291" s="83">
        <f t="shared" ref="C291:I291" si="86">VLOOKUP($A289,$B292:$I295,COLUMN()-1,TRUE)</f>
        <v>1</v>
      </c>
      <c r="D291" s="83">
        <f t="shared" si="86"/>
        <v>1</v>
      </c>
      <c r="E291" s="83">
        <f t="shared" si="86"/>
        <v>1</v>
      </c>
      <c r="F291" s="83">
        <f t="shared" si="86"/>
        <v>1</v>
      </c>
      <c r="G291" s="83">
        <f t="shared" si="86"/>
        <v>1</v>
      </c>
      <c r="H291" s="83">
        <f t="shared" si="86"/>
        <v>1</v>
      </c>
      <c r="I291" s="106">
        <f t="shared" si="86"/>
        <v>1</v>
      </c>
      <c r="J291"/>
    </row>
    <row r="292" spans="1:10">
      <c r="A292"/>
      <c r="B292" s="127">
        <v>1</v>
      </c>
      <c r="C292" s="83">
        <v>1</v>
      </c>
      <c r="D292" s="83">
        <v>1</v>
      </c>
      <c r="E292" s="83">
        <v>1</v>
      </c>
      <c r="F292" s="83">
        <v>1</v>
      </c>
      <c r="G292" s="83">
        <v>1</v>
      </c>
      <c r="H292" s="83">
        <v>1</v>
      </c>
      <c r="I292" s="106">
        <v>1</v>
      </c>
      <c r="J292"/>
    </row>
    <row r="293" spans="1:10" ht="14.45" customHeight="1">
      <c r="A293"/>
      <c r="B293" s="127">
        <v>2</v>
      </c>
      <c r="C293" s="83">
        <v>1</v>
      </c>
      <c r="D293" s="83">
        <v>1</v>
      </c>
      <c r="E293" s="83">
        <v>1</v>
      </c>
      <c r="F293" s="83">
        <v>1</v>
      </c>
      <c r="G293" s="83">
        <v>1</v>
      </c>
      <c r="H293" s="83">
        <v>1</v>
      </c>
      <c r="I293" s="106">
        <v>1</v>
      </c>
      <c r="J293"/>
    </row>
    <row r="294" spans="1:10">
      <c r="A294"/>
      <c r="B294" s="127">
        <v>3</v>
      </c>
      <c r="C294" s="83">
        <v>1</v>
      </c>
      <c r="D294" s="81">
        <v>0.99</v>
      </c>
      <c r="E294" s="81">
        <v>0.98</v>
      </c>
      <c r="F294" s="81">
        <v>0.96</v>
      </c>
      <c r="G294" s="81">
        <v>0.94</v>
      </c>
      <c r="H294" s="81">
        <v>0.92</v>
      </c>
      <c r="I294" s="105">
        <v>0.9</v>
      </c>
      <c r="J294"/>
    </row>
    <row r="295" spans="1:10" ht="15.75" thickBot="1">
      <c r="A295"/>
      <c r="B295" s="127">
        <v>4</v>
      </c>
      <c r="C295" s="84">
        <v>1</v>
      </c>
      <c r="D295" s="82">
        <v>0.95</v>
      </c>
      <c r="E295" s="82">
        <v>0.88</v>
      </c>
      <c r="F295" s="82">
        <v>0.82</v>
      </c>
      <c r="G295" s="82">
        <v>0.76</v>
      </c>
      <c r="H295" s="82">
        <v>0.68</v>
      </c>
      <c r="I295" s="107">
        <v>0.6</v>
      </c>
      <c r="J295"/>
    </row>
    <row r="296" spans="1:10">
      <c r="A296"/>
      <c r="B296" s="488"/>
      <c r="C296" s="99"/>
      <c r="D296" s="100"/>
      <c r="E296" s="101"/>
      <c r="F296" s="102"/>
      <c r="G296" s="102"/>
      <c r="H296" s="102"/>
      <c r="I296" s="108"/>
      <c r="J296"/>
    </row>
    <row r="297" spans="1:10">
      <c r="A297"/>
      <c r="B297" s="642" t="s">
        <v>352</v>
      </c>
      <c r="C297" s="623">
        <f>'Baseline Statistics'!D$4</f>
        <v>2022</v>
      </c>
      <c r="D297" s="623">
        <f>'Baseline Statistics'!E$4</f>
        <v>2025</v>
      </c>
      <c r="E297" s="623">
        <f>'Baseline Statistics'!F$4</f>
        <v>2030</v>
      </c>
      <c r="F297" s="623">
        <f>'Baseline Statistics'!G$4</f>
        <v>2035</v>
      </c>
      <c r="G297" s="623">
        <f>'Baseline Statistics'!H$4</f>
        <v>2040</v>
      </c>
      <c r="H297" s="623">
        <f>'Baseline Statistics'!I$4</f>
        <v>2045</v>
      </c>
      <c r="I297" s="643">
        <f>'Baseline Statistics'!J$4</f>
        <v>2051</v>
      </c>
      <c r="J297"/>
    </row>
    <row r="298" spans="1:10">
      <c r="A298"/>
      <c r="B298" s="642"/>
      <c r="C298" s="624"/>
      <c r="D298" s="624"/>
      <c r="E298" s="624"/>
      <c r="F298" s="624"/>
      <c r="G298" s="624"/>
      <c r="H298" s="624"/>
      <c r="I298" s="644"/>
      <c r="J298"/>
    </row>
    <row r="299" spans="1:10">
      <c r="A299"/>
      <c r="B299" s="642"/>
      <c r="C299" s="625"/>
      <c r="D299" s="625"/>
      <c r="E299" s="625"/>
      <c r="F299" s="625"/>
      <c r="G299" s="625"/>
      <c r="H299" s="625"/>
      <c r="I299" s="645"/>
      <c r="J299"/>
    </row>
    <row r="300" spans="1:10">
      <c r="A300"/>
      <c r="B300" s="489" t="str">
        <f>B75</f>
        <v>Light Fuel Oil (Marine)</v>
      </c>
      <c r="C300" s="89">
        <f>C75*C$291</f>
        <v>0</v>
      </c>
      <c r="D300" s="89">
        <f>D75*D$291</f>
        <v>0</v>
      </c>
      <c r="E300" s="89">
        <f t="shared" ref="E300:I300" si="87">E75*E$291</f>
        <v>0</v>
      </c>
      <c r="F300" s="89">
        <f t="shared" si="87"/>
        <v>0</v>
      </c>
      <c r="G300" s="89">
        <f t="shared" si="87"/>
        <v>0</v>
      </c>
      <c r="H300" s="89">
        <f t="shared" si="87"/>
        <v>0</v>
      </c>
      <c r="I300" s="363">
        <f t="shared" si="87"/>
        <v>0</v>
      </c>
      <c r="J300"/>
    </row>
    <row r="301" spans="1:10" ht="15.75" thickBot="1">
      <c r="A301"/>
      <c r="B301" s="490" t="str">
        <f>B76</f>
        <v>Heavy Fuel Oil (Marine)</v>
      </c>
      <c r="C301" s="487">
        <f>C76*C$291</f>
        <v>0</v>
      </c>
      <c r="D301" s="487">
        <f t="shared" ref="D301:I301" si="88">D76*D$291</f>
        <v>0</v>
      </c>
      <c r="E301" s="487">
        <f t="shared" si="88"/>
        <v>0</v>
      </c>
      <c r="F301" s="487">
        <f t="shared" si="88"/>
        <v>0</v>
      </c>
      <c r="G301" s="487">
        <f t="shared" si="88"/>
        <v>0</v>
      </c>
      <c r="H301" s="487">
        <f t="shared" si="88"/>
        <v>0</v>
      </c>
      <c r="I301" s="491">
        <f t="shared" si="88"/>
        <v>0</v>
      </c>
      <c r="J301"/>
    </row>
    <row r="302" spans="1:10">
      <c r="A302"/>
      <c r="B302"/>
      <c r="C302"/>
      <c r="D302"/>
      <c r="E302"/>
      <c r="F302"/>
      <c r="G302"/>
      <c r="H302"/>
      <c r="I302"/>
      <c r="J302"/>
    </row>
    <row r="303" spans="1:10">
      <c r="A303"/>
      <c r="B303"/>
      <c r="C303"/>
      <c r="D303"/>
      <c r="E303"/>
      <c r="F303"/>
      <c r="G303"/>
      <c r="H303"/>
      <c r="I303"/>
      <c r="J303"/>
    </row>
    <row r="304" spans="1:10">
      <c r="A304"/>
      <c r="B304"/>
      <c r="C304"/>
      <c r="D304"/>
      <c r="E304"/>
      <c r="F304"/>
      <c r="G304"/>
      <c r="H304"/>
      <c r="I304"/>
      <c r="J304"/>
    </row>
    <row r="305" spans="1:10" customFormat="1"/>
    <row r="306" spans="1:10" customFormat="1"/>
    <row r="307" spans="1:10">
      <c r="A307"/>
      <c r="B307" s="622" t="s">
        <v>929</v>
      </c>
      <c r="C307" s="622"/>
      <c r="D307" s="622"/>
      <c r="E307" s="622"/>
      <c r="F307"/>
      <c r="G307"/>
      <c r="H307"/>
      <c r="I307"/>
      <c r="J307"/>
    </row>
    <row r="308" spans="1:10">
      <c r="A308"/>
      <c r="B308" s="622"/>
      <c r="C308" s="622"/>
      <c r="D308" s="622"/>
      <c r="E308" s="622"/>
      <c r="F308"/>
      <c r="G308"/>
      <c r="H308"/>
      <c r="I308"/>
      <c r="J308"/>
    </row>
    <row r="309" spans="1:10" customFormat="1">
      <c r="B309" s="35"/>
      <c r="C309" s="527">
        <v>2020</v>
      </c>
      <c r="D309" s="527">
        <v>2021</v>
      </c>
      <c r="E309" s="527">
        <v>2022</v>
      </c>
    </row>
    <row r="310" spans="1:10" customFormat="1">
      <c r="B310" s="528" t="s">
        <v>914</v>
      </c>
      <c r="C310" s="529">
        <v>5681.67</v>
      </c>
      <c r="D310" s="529">
        <v>5890.23</v>
      </c>
      <c r="E310" s="529">
        <v>5945.17</v>
      </c>
    </row>
    <row r="311" spans="1:10" customFormat="1" ht="30">
      <c r="B311" s="530" t="s">
        <v>915</v>
      </c>
      <c r="C311" s="531">
        <v>475.83</v>
      </c>
      <c r="D311" s="531">
        <v>447.47</v>
      </c>
      <c r="E311" s="531">
        <v>449.02</v>
      </c>
    </row>
    <row r="312" spans="1:10" customFormat="1">
      <c r="B312" s="532" t="s">
        <v>230</v>
      </c>
      <c r="C312" s="46">
        <v>34.93</v>
      </c>
      <c r="D312" s="46">
        <v>28.71</v>
      </c>
      <c r="E312" s="46">
        <v>33.14</v>
      </c>
    </row>
    <row r="313" spans="1:10" customFormat="1">
      <c r="B313" s="533" t="s">
        <v>916</v>
      </c>
      <c r="C313" s="46">
        <v>32.03</v>
      </c>
      <c r="D313" s="46">
        <v>26.67</v>
      </c>
      <c r="E313" s="46">
        <v>30.75</v>
      </c>
    </row>
    <row r="314" spans="1:10" customFormat="1">
      <c r="B314" s="533" t="s">
        <v>917</v>
      </c>
      <c r="C314" s="46">
        <v>2.9</v>
      </c>
      <c r="D314" s="46">
        <v>2.04</v>
      </c>
      <c r="E314" s="46">
        <v>2.39</v>
      </c>
    </row>
    <row r="315" spans="1:10" customFormat="1">
      <c r="B315" s="532" t="s">
        <v>226</v>
      </c>
      <c r="C315" s="46">
        <v>420.26</v>
      </c>
      <c r="D315" s="46">
        <v>403.28</v>
      </c>
      <c r="E315" s="46">
        <v>413.52</v>
      </c>
    </row>
    <row r="316" spans="1:10" customFormat="1">
      <c r="B316" s="532" t="s">
        <v>250</v>
      </c>
      <c r="C316" s="46">
        <v>18.38</v>
      </c>
      <c r="D316" s="46">
        <v>13.13</v>
      </c>
      <c r="E316" s="46" t="s">
        <v>918</v>
      </c>
    </row>
    <row r="317" spans="1:10" customFormat="1">
      <c r="B317" s="532" t="s">
        <v>233</v>
      </c>
      <c r="C317" s="46">
        <v>2.2599999999999998</v>
      </c>
      <c r="D317" s="46">
        <v>2.35</v>
      </c>
      <c r="E317" s="46">
        <v>2.36</v>
      </c>
    </row>
    <row r="318" spans="1:10">
      <c r="A318"/>
      <c r="B318" s="534"/>
      <c r="C318" s="535"/>
      <c r="D318" s="535"/>
      <c r="E318" s="535"/>
      <c r="F318"/>
      <c r="G318"/>
      <c r="H318"/>
      <c r="I318"/>
      <c r="J318"/>
    </row>
    <row r="319" spans="1:10" customFormat="1">
      <c r="B319" s="530" t="s">
        <v>722</v>
      </c>
      <c r="C319" s="531">
        <v>428.75</v>
      </c>
      <c r="D319" s="531">
        <v>446.39</v>
      </c>
      <c r="E319" s="531">
        <v>443.94</v>
      </c>
    </row>
    <row r="320" spans="1:10" customFormat="1">
      <c r="B320" s="532" t="s">
        <v>230</v>
      </c>
      <c r="C320" s="46">
        <v>2.1</v>
      </c>
      <c r="D320" s="46">
        <v>2.02</v>
      </c>
      <c r="E320" s="46">
        <v>2.36</v>
      </c>
    </row>
    <row r="321" spans="1:10" customFormat="1">
      <c r="B321" s="533" t="s">
        <v>916</v>
      </c>
      <c r="C321" s="46">
        <v>1.69</v>
      </c>
      <c r="D321" s="46">
        <v>1.55</v>
      </c>
      <c r="E321" s="46">
        <v>1.81</v>
      </c>
    </row>
    <row r="322" spans="1:10" customFormat="1">
      <c r="B322" s="533" t="s">
        <v>917</v>
      </c>
      <c r="C322" s="46">
        <v>0.42</v>
      </c>
      <c r="D322" s="46">
        <v>0.47</v>
      </c>
      <c r="E322" s="46">
        <v>0.55000000000000004</v>
      </c>
    </row>
    <row r="323" spans="1:10" customFormat="1">
      <c r="B323" s="532" t="s">
        <v>226</v>
      </c>
      <c r="C323" s="46">
        <v>339.42</v>
      </c>
      <c r="D323" s="46">
        <v>365.66</v>
      </c>
      <c r="E323" s="46">
        <v>365.89</v>
      </c>
    </row>
    <row r="324" spans="1:10" customFormat="1">
      <c r="B324" s="532" t="s">
        <v>250</v>
      </c>
      <c r="C324" s="46">
        <v>14.79</v>
      </c>
      <c r="D324" s="46">
        <v>3.29</v>
      </c>
      <c r="E324" s="46" t="s">
        <v>918</v>
      </c>
    </row>
    <row r="325" spans="1:10" customFormat="1">
      <c r="B325" s="532" t="s">
        <v>233</v>
      </c>
      <c r="C325" s="46">
        <v>72.44</v>
      </c>
      <c r="D325" s="46">
        <v>75.42</v>
      </c>
      <c r="E325" s="46">
        <v>75.69</v>
      </c>
    </row>
    <row r="326" spans="1:10">
      <c r="A326"/>
      <c r="B326" s="534"/>
      <c r="C326" s="535"/>
      <c r="D326" s="535"/>
      <c r="E326" s="535"/>
      <c r="F326"/>
      <c r="G326"/>
      <c r="H326"/>
      <c r="I326"/>
      <c r="J326"/>
    </row>
    <row r="327" spans="1:10" customFormat="1">
      <c r="B327" s="536" t="s">
        <v>919</v>
      </c>
      <c r="C327" s="531">
        <v>226.1</v>
      </c>
      <c r="D327" s="531">
        <v>231.99</v>
      </c>
      <c r="E327" s="531">
        <v>265.7</v>
      </c>
    </row>
    <row r="328" spans="1:10" customFormat="1">
      <c r="B328" s="532" t="s">
        <v>230</v>
      </c>
      <c r="C328" s="46">
        <v>23.79</v>
      </c>
      <c r="D328" s="46">
        <v>27.48</v>
      </c>
      <c r="E328" s="46">
        <v>47.07</v>
      </c>
    </row>
    <row r="329" spans="1:10" customFormat="1">
      <c r="B329" s="533" t="s">
        <v>916</v>
      </c>
      <c r="C329" s="46">
        <v>22.71</v>
      </c>
      <c r="D329" s="46">
        <v>25.69</v>
      </c>
      <c r="E329" s="46">
        <v>41.21</v>
      </c>
    </row>
    <row r="330" spans="1:10" customFormat="1">
      <c r="B330" s="533" t="s">
        <v>917</v>
      </c>
      <c r="C330" s="46">
        <v>1.08</v>
      </c>
      <c r="D330" s="46">
        <v>1.79</v>
      </c>
      <c r="E330" s="46">
        <v>5.86</v>
      </c>
    </row>
    <row r="331" spans="1:10" customFormat="1">
      <c r="B331" s="532" t="s">
        <v>226</v>
      </c>
      <c r="C331" s="46">
        <v>128.97</v>
      </c>
      <c r="D331" s="46">
        <v>145.37</v>
      </c>
      <c r="E331" s="46">
        <v>171.83</v>
      </c>
    </row>
    <row r="332" spans="1:10" customFormat="1">
      <c r="B332" s="532" t="s">
        <v>250</v>
      </c>
      <c r="C332" s="46">
        <v>38.909999999999997</v>
      </c>
      <c r="D332" s="46">
        <v>23.29</v>
      </c>
      <c r="E332" s="46">
        <v>10.84</v>
      </c>
    </row>
    <row r="333" spans="1:10" customFormat="1">
      <c r="B333" s="532" t="s">
        <v>233</v>
      </c>
      <c r="C333" s="46">
        <v>34.43</v>
      </c>
      <c r="D333" s="46">
        <v>35.840000000000003</v>
      </c>
      <c r="E333" s="46">
        <v>35.97</v>
      </c>
    </row>
    <row r="334" spans="1:10">
      <c r="A334"/>
      <c r="B334" s="537"/>
      <c r="C334" s="538"/>
      <c r="D334" s="538"/>
      <c r="E334" s="538"/>
      <c r="F334"/>
      <c r="G334"/>
      <c r="H334"/>
      <c r="I334"/>
      <c r="J334"/>
    </row>
    <row r="335" spans="1:10" customFormat="1">
      <c r="B335" s="536" t="s">
        <v>470</v>
      </c>
      <c r="C335" s="531">
        <v>422.8</v>
      </c>
      <c r="D335" s="531">
        <v>429.18</v>
      </c>
      <c r="E335" s="531">
        <v>433.77</v>
      </c>
    </row>
    <row r="336" spans="1:10" customFormat="1">
      <c r="B336" s="532" t="s">
        <v>230</v>
      </c>
      <c r="C336" s="46">
        <v>290.35000000000002</v>
      </c>
      <c r="D336" s="46">
        <v>296</v>
      </c>
      <c r="E336" s="46">
        <v>301.35000000000002</v>
      </c>
    </row>
    <row r="337" spans="1:10" customFormat="1">
      <c r="B337" s="533" t="s">
        <v>916</v>
      </c>
      <c r="C337" s="46">
        <v>289.55</v>
      </c>
      <c r="D337" s="46">
        <v>295.17</v>
      </c>
      <c r="E337" s="46">
        <v>300.54000000000002</v>
      </c>
    </row>
    <row r="338" spans="1:10" customFormat="1">
      <c r="B338" s="533" t="s">
        <v>917</v>
      </c>
      <c r="C338" s="46">
        <v>0.8</v>
      </c>
      <c r="D338" s="46">
        <v>0.83</v>
      </c>
      <c r="E338" s="46">
        <v>0.81</v>
      </c>
    </row>
    <row r="339" spans="1:10" customFormat="1">
      <c r="B339" s="532" t="s">
        <v>226</v>
      </c>
      <c r="C339" s="46">
        <v>59.03</v>
      </c>
      <c r="D339" s="46">
        <v>56.74</v>
      </c>
      <c r="E339" s="46">
        <v>55.72</v>
      </c>
    </row>
    <row r="340" spans="1:10" customFormat="1">
      <c r="B340" s="532" t="s">
        <v>250</v>
      </c>
      <c r="C340" s="46" t="s">
        <v>918</v>
      </c>
      <c r="D340" s="46" t="s">
        <v>918</v>
      </c>
      <c r="E340" s="46" t="s">
        <v>918</v>
      </c>
    </row>
    <row r="341" spans="1:10" customFormat="1">
      <c r="B341" s="532" t="s">
        <v>233</v>
      </c>
      <c r="C341" s="46">
        <v>73.42</v>
      </c>
      <c r="D341" s="46">
        <v>76.44</v>
      </c>
      <c r="E341" s="46">
        <v>76.709999999999994</v>
      </c>
    </row>
    <row r="342" spans="1:10">
      <c r="A342"/>
      <c r="B342" s="537"/>
      <c r="C342" s="538"/>
      <c r="D342" s="538"/>
      <c r="E342" s="538"/>
      <c r="F342"/>
      <c r="G342"/>
      <c r="H342"/>
      <c r="I342"/>
      <c r="J342"/>
    </row>
    <row r="343" spans="1:10" customFormat="1">
      <c r="B343" s="536" t="s">
        <v>920</v>
      </c>
      <c r="C343" s="539">
        <v>4128.1899999999996</v>
      </c>
      <c r="D343" s="539">
        <v>4335.2</v>
      </c>
      <c r="E343" s="539">
        <v>4352.74</v>
      </c>
    </row>
    <row r="344" spans="1:10" customFormat="1">
      <c r="B344" s="540" t="s">
        <v>921</v>
      </c>
      <c r="C344" s="541">
        <v>3819.71</v>
      </c>
      <c r="D344" s="541">
        <v>4012.97</v>
      </c>
      <c r="E344" s="541">
        <v>4011.52</v>
      </c>
    </row>
    <row r="345" spans="1:10" customFormat="1">
      <c r="B345" s="542" t="s">
        <v>230</v>
      </c>
      <c r="C345" s="543">
        <v>1795.09</v>
      </c>
      <c r="D345" s="543">
        <v>1824.39</v>
      </c>
      <c r="E345" s="543">
        <v>1791.15</v>
      </c>
    </row>
    <row r="346" spans="1:10" customFormat="1">
      <c r="B346" s="533" t="s">
        <v>916</v>
      </c>
      <c r="C346" s="543">
        <v>1288.54</v>
      </c>
      <c r="D346" s="543">
        <v>1294.08</v>
      </c>
      <c r="E346" s="543">
        <v>1279.1300000000001</v>
      </c>
    </row>
    <row r="347" spans="1:10" customFormat="1">
      <c r="B347" s="533" t="s">
        <v>917</v>
      </c>
      <c r="C347" s="46">
        <v>506.54</v>
      </c>
      <c r="D347" s="46">
        <v>530.30999999999995</v>
      </c>
      <c r="E347" s="46">
        <v>512.03</v>
      </c>
    </row>
    <row r="348" spans="1:10" customFormat="1">
      <c r="B348" s="542" t="s">
        <v>226</v>
      </c>
      <c r="C348" s="543">
        <v>2021.92</v>
      </c>
      <c r="D348" s="543">
        <v>2185.77</v>
      </c>
      <c r="E348" s="543">
        <v>2217.5500000000002</v>
      </c>
    </row>
    <row r="349" spans="1:10" customFormat="1">
      <c r="B349" s="542" t="s">
        <v>233</v>
      </c>
      <c r="C349" s="46">
        <v>2.7</v>
      </c>
      <c r="D349" s="46">
        <v>2.81</v>
      </c>
      <c r="E349" s="46">
        <v>2.82</v>
      </c>
    </row>
    <row r="350" spans="1:10" customFormat="1">
      <c r="B350" s="540" t="s">
        <v>922</v>
      </c>
      <c r="C350" s="544">
        <v>85.63</v>
      </c>
      <c r="D350" s="544">
        <v>63.38</v>
      </c>
      <c r="E350" s="544">
        <v>16.45</v>
      </c>
    </row>
    <row r="351" spans="1:10" customFormat="1">
      <c r="B351" s="542" t="s">
        <v>250</v>
      </c>
      <c r="C351" s="46">
        <v>85.63</v>
      </c>
      <c r="D351" s="46">
        <v>63.38</v>
      </c>
      <c r="E351" s="46">
        <v>16.45</v>
      </c>
    </row>
    <row r="352" spans="1:10" customFormat="1">
      <c r="B352" s="540" t="s">
        <v>923</v>
      </c>
      <c r="C352" s="544">
        <v>222.84</v>
      </c>
      <c r="D352" s="544">
        <v>258.85000000000002</v>
      </c>
      <c r="E352" s="544">
        <v>324.77</v>
      </c>
    </row>
    <row r="353" spans="1:10" customFormat="1">
      <c r="B353" s="542" t="s">
        <v>924</v>
      </c>
      <c r="C353" s="46">
        <v>222.84</v>
      </c>
      <c r="D353" s="46">
        <v>258.85000000000002</v>
      </c>
      <c r="E353" s="46">
        <v>324.77</v>
      </c>
    </row>
    <row r="354" spans="1:10" customFormat="1">
      <c r="B354" s="533" t="s">
        <v>925</v>
      </c>
      <c r="C354" s="46">
        <v>214.41</v>
      </c>
      <c r="D354" s="46">
        <v>251.43</v>
      </c>
      <c r="E354" s="46">
        <v>316.98</v>
      </c>
    </row>
    <row r="355" spans="1:10" customFormat="1">
      <c r="B355" s="533" t="s">
        <v>926</v>
      </c>
      <c r="C355" s="46">
        <v>7.2</v>
      </c>
      <c r="D355" s="46">
        <v>6.56</v>
      </c>
      <c r="E355" s="46">
        <v>6.77</v>
      </c>
    </row>
    <row r="356" spans="1:10" customFormat="1">
      <c r="B356" s="533" t="s">
        <v>927</v>
      </c>
      <c r="C356" s="46">
        <v>1.23</v>
      </c>
      <c r="D356" s="46">
        <v>0.86</v>
      </c>
      <c r="E356" s="46">
        <v>1.02</v>
      </c>
    </row>
    <row r="357" spans="1:10">
      <c r="A357"/>
      <c r="B357" s="46"/>
      <c r="C357" s="535"/>
      <c r="D357" s="535"/>
      <c r="E357" s="535"/>
      <c r="F357"/>
      <c r="G357"/>
      <c r="H357"/>
      <c r="I357"/>
      <c r="J357"/>
    </row>
    <row r="358" spans="1:10" customFormat="1">
      <c r="B358" s="536" t="s">
        <v>928</v>
      </c>
      <c r="C358" s="539">
        <v>5681.67</v>
      </c>
      <c r="D358" s="539">
        <v>5890.23</v>
      </c>
      <c r="E358" s="539">
        <v>5945.17</v>
      </c>
    </row>
    <row r="359" spans="1:10" customFormat="1">
      <c r="B359" s="532" t="s">
        <v>230</v>
      </c>
      <c r="C359" s="545">
        <v>2146.27</v>
      </c>
      <c r="D359" s="545">
        <v>2178.6</v>
      </c>
      <c r="E359" s="545">
        <v>2175.0700000000002</v>
      </c>
    </row>
    <row r="360" spans="1:10" customFormat="1">
      <c r="B360" s="533" t="s">
        <v>916</v>
      </c>
      <c r="C360" s="545">
        <v>1634.52</v>
      </c>
      <c r="D360" s="545">
        <v>1643.15</v>
      </c>
      <c r="E360" s="545">
        <v>1653.44</v>
      </c>
    </row>
    <row r="361" spans="1:10" customFormat="1">
      <c r="B361" s="533" t="s">
        <v>917</v>
      </c>
      <c r="C361" s="546">
        <v>511.75</v>
      </c>
      <c r="D361" s="546">
        <v>535.45000000000005</v>
      </c>
      <c r="E361" s="546">
        <v>521.63</v>
      </c>
    </row>
    <row r="362" spans="1:10" customFormat="1">
      <c r="B362" s="532" t="s">
        <v>226</v>
      </c>
      <c r="C362" s="545">
        <v>2969.61</v>
      </c>
      <c r="D362" s="545">
        <v>3156.82</v>
      </c>
      <c r="E362" s="545">
        <v>3224.5</v>
      </c>
    </row>
    <row r="363" spans="1:10" customFormat="1">
      <c r="B363" s="532" t="s">
        <v>250</v>
      </c>
      <c r="C363" s="546">
        <v>157.71</v>
      </c>
      <c r="D363" s="546">
        <v>103.1</v>
      </c>
      <c r="E363" s="546">
        <v>27.28</v>
      </c>
    </row>
    <row r="364" spans="1:10" customFormat="1">
      <c r="B364" s="532" t="s">
        <v>233</v>
      </c>
      <c r="C364" s="546">
        <v>185.24</v>
      </c>
      <c r="D364" s="546">
        <v>192.86</v>
      </c>
      <c r="E364" s="546">
        <v>193.55</v>
      </c>
    </row>
    <row r="365" spans="1:10" customFormat="1">
      <c r="B365" s="532" t="s">
        <v>924</v>
      </c>
      <c r="C365" s="546">
        <v>222.84</v>
      </c>
      <c r="D365" s="546">
        <v>258.85000000000002</v>
      </c>
      <c r="E365" s="546">
        <v>324.77</v>
      </c>
    </row>
    <row r="366" spans="1:10" customFormat="1">
      <c r="B366" s="533" t="s">
        <v>925</v>
      </c>
      <c r="C366" s="546">
        <v>214.41</v>
      </c>
      <c r="D366" s="546">
        <v>251.43</v>
      </c>
      <c r="E366" s="546">
        <v>316.98</v>
      </c>
    </row>
    <row r="367" spans="1:10" customFormat="1">
      <c r="B367" s="533" t="s">
        <v>926</v>
      </c>
      <c r="C367" s="546">
        <v>7.2</v>
      </c>
      <c r="D367" s="546">
        <v>6.56</v>
      </c>
      <c r="E367" s="546">
        <v>6.77</v>
      </c>
    </row>
    <row r="368" spans="1:10" customFormat="1">
      <c r="B368" s="533" t="s">
        <v>927</v>
      </c>
      <c r="C368" s="546">
        <v>1.23</v>
      </c>
      <c r="D368" s="546">
        <v>0.86</v>
      </c>
      <c r="E368" s="546">
        <v>1.02</v>
      </c>
    </row>
    <row r="369" spans="1:10">
      <c r="A369"/>
      <c r="B369"/>
      <c r="C369"/>
      <c r="D369"/>
      <c r="E369"/>
      <c r="F369"/>
      <c r="G369"/>
      <c r="H369"/>
      <c r="I369"/>
      <c r="J369"/>
    </row>
    <row r="370" spans="1:10">
      <c r="A370"/>
      <c r="B370"/>
      <c r="C370"/>
      <c r="D370"/>
      <c r="E370"/>
      <c r="F370"/>
      <c r="G370"/>
      <c r="H370"/>
      <c r="I370"/>
      <c r="J370"/>
    </row>
    <row r="371" spans="1:10">
      <c r="A371"/>
      <c r="B371"/>
      <c r="C371"/>
      <c r="D371"/>
      <c r="E371"/>
      <c r="F371"/>
      <c r="G371"/>
      <c r="H371"/>
      <c r="I371"/>
      <c r="J371"/>
    </row>
    <row r="372" spans="1:10">
      <c r="A372"/>
      <c r="B372"/>
      <c r="C372"/>
      <c r="D372"/>
      <c r="E372"/>
      <c r="F372"/>
      <c r="G372"/>
      <c r="H372"/>
      <c r="I372"/>
      <c r="J372"/>
    </row>
    <row r="373" spans="1:10">
      <c r="A373"/>
      <c r="B373"/>
      <c r="C373"/>
      <c r="D373"/>
      <c r="E373"/>
      <c r="F373"/>
      <c r="G373"/>
      <c r="H373"/>
      <c r="I373"/>
      <c r="J373"/>
    </row>
    <row r="374" spans="1:10">
      <c r="B374"/>
      <c r="C374"/>
      <c r="D374"/>
      <c r="E374"/>
      <c r="F374"/>
      <c r="G374"/>
      <c r="H374"/>
      <c r="I374"/>
      <c r="J374"/>
    </row>
    <row r="375" spans="1:10">
      <c r="B375"/>
      <c r="C375"/>
      <c r="D375"/>
      <c r="E375"/>
      <c r="F375"/>
      <c r="G375"/>
      <c r="H375"/>
      <c r="I375"/>
      <c r="J375"/>
    </row>
    <row r="376" spans="1:10">
      <c r="B376"/>
      <c r="C376"/>
      <c r="D376"/>
      <c r="E376"/>
      <c r="F376"/>
      <c r="G376"/>
      <c r="H376"/>
      <c r="I376"/>
      <c r="J376"/>
    </row>
    <row r="377" spans="1:10">
      <c r="B377"/>
      <c r="C377"/>
      <c r="D377"/>
      <c r="E377"/>
      <c r="F377"/>
      <c r="G377"/>
      <c r="H377"/>
      <c r="I377"/>
      <c r="J377"/>
    </row>
    <row r="378" spans="1:10">
      <c r="B378"/>
      <c r="C378"/>
      <c r="D378"/>
      <c r="E378"/>
      <c r="F378"/>
      <c r="G378"/>
      <c r="H378"/>
      <c r="I378"/>
      <c r="J378"/>
    </row>
    <row r="379" spans="1:10">
      <c r="B379"/>
      <c r="C379"/>
      <c r="D379"/>
      <c r="E379"/>
      <c r="F379"/>
      <c r="G379"/>
      <c r="H379"/>
      <c r="I379"/>
      <c r="J379"/>
    </row>
    <row r="380" spans="1:10">
      <c r="B380"/>
      <c r="C380"/>
      <c r="D380"/>
      <c r="E380"/>
      <c r="F380"/>
      <c r="G380"/>
      <c r="H380"/>
      <c r="I380"/>
      <c r="J380"/>
    </row>
    <row r="381" spans="1:10">
      <c r="B381"/>
      <c r="C381"/>
      <c r="D381"/>
      <c r="E381"/>
      <c r="F381"/>
      <c r="G381"/>
      <c r="H381"/>
      <c r="I381"/>
      <c r="J381"/>
    </row>
    <row r="382" spans="1:10">
      <c r="B382"/>
      <c r="C382"/>
      <c r="D382"/>
      <c r="E382"/>
      <c r="F382"/>
      <c r="G382"/>
      <c r="H382"/>
      <c r="I382"/>
      <c r="J382"/>
    </row>
    <row r="383" spans="1:10">
      <c r="B383"/>
      <c r="C383"/>
      <c r="D383"/>
      <c r="E383"/>
      <c r="F383"/>
      <c r="G383"/>
      <c r="H383"/>
      <c r="I383"/>
      <c r="J383"/>
    </row>
    <row r="384" spans="1:10">
      <c r="B384"/>
      <c r="C384"/>
      <c r="D384"/>
      <c r="E384"/>
      <c r="F384"/>
      <c r="G384"/>
      <c r="H384"/>
      <c r="I384"/>
      <c r="J384"/>
    </row>
    <row r="385" spans="2:10">
      <c r="B385"/>
      <c r="C385"/>
      <c r="D385"/>
      <c r="E385"/>
      <c r="F385"/>
      <c r="G385"/>
      <c r="H385"/>
      <c r="I385"/>
      <c r="J385"/>
    </row>
    <row r="386" spans="2:10">
      <c r="B386"/>
      <c r="C386"/>
      <c r="D386"/>
      <c r="E386"/>
      <c r="F386"/>
      <c r="G386"/>
      <c r="H386"/>
      <c r="I386"/>
      <c r="J386"/>
    </row>
    <row r="387" spans="2:10">
      <c r="B387"/>
      <c r="C387"/>
      <c r="D387"/>
      <c r="E387"/>
      <c r="F387"/>
      <c r="G387"/>
      <c r="H387"/>
      <c r="I387"/>
      <c r="J387"/>
    </row>
    <row r="388" spans="2:10">
      <c r="B388"/>
      <c r="C388"/>
      <c r="D388"/>
      <c r="E388"/>
      <c r="F388"/>
      <c r="G388"/>
      <c r="H388"/>
      <c r="I388"/>
      <c r="J388"/>
    </row>
    <row r="389" spans="2:10">
      <c r="B389"/>
      <c r="C389"/>
      <c r="D389"/>
      <c r="E389"/>
      <c r="F389"/>
      <c r="G389"/>
      <c r="H389"/>
      <c r="I389"/>
      <c r="J389"/>
    </row>
    <row r="390" spans="2:10">
      <c r="B390"/>
      <c r="C390"/>
      <c r="D390"/>
      <c r="E390"/>
      <c r="F390"/>
      <c r="G390"/>
      <c r="H390"/>
      <c r="I390"/>
      <c r="J390"/>
    </row>
    <row r="391" spans="2:10">
      <c r="B391"/>
      <c r="C391"/>
      <c r="D391"/>
      <c r="E391"/>
      <c r="F391"/>
      <c r="G391"/>
      <c r="H391"/>
      <c r="I391"/>
      <c r="J391"/>
    </row>
    <row r="392" spans="2:10">
      <c r="B392"/>
      <c r="C392"/>
      <c r="D392"/>
      <c r="E392"/>
      <c r="F392"/>
      <c r="G392"/>
      <c r="H392"/>
      <c r="I392"/>
      <c r="J392"/>
    </row>
    <row r="393" spans="2:10">
      <c r="B393"/>
      <c r="C393"/>
      <c r="D393"/>
      <c r="E393"/>
      <c r="F393"/>
      <c r="G393"/>
      <c r="H393"/>
      <c r="I393"/>
      <c r="J393"/>
    </row>
    <row r="394" spans="2:10">
      <c r="B394"/>
      <c r="C394"/>
      <c r="D394"/>
      <c r="E394"/>
      <c r="F394"/>
      <c r="G394"/>
      <c r="H394"/>
      <c r="I394"/>
      <c r="J394"/>
    </row>
    <row r="395" spans="2:10">
      <c r="B395"/>
      <c r="C395"/>
      <c r="D395"/>
      <c r="E395"/>
      <c r="F395"/>
      <c r="G395"/>
      <c r="H395"/>
      <c r="I395"/>
      <c r="J395"/>
    </row>
    <row r="396" spans="2:10">
      <c r="B396"/>
      <c r="C396"/>
      <c r="D396"/>
      <c r="E396"/>
      <c r="F396"/>
      <c r="G396"/>
      <c r="H396"/>
      <c r="I396"/>
      <c r="J396"/>
    </row>
    <row r="397" spans="2:10">
      <c r="B397"/>
      <c r="C397"/>
      <c r="D397"/>
      <c r="E397"/>
      <c r="F397"/>
      <c r="G397"/>
      <c r="H397"/>
      <c r="I397"/>
      <c r="J397"/>
    </row>
    <row r="398" spans="2:10">
      <c r="B398"/>
      <c r="C398"/>
      <c r="D398"/>
      <c r="E398"/>
      <c r="F398"/>
      <c r="G398"/>
      <c r="H398"/>
      <c r="I398"/>
      <c r="J398"/>
    </row>
    <row r="399" spans="2:10">
      <c r="B399"/>
      <c r="C399"/>
      <c r="D399"/>
      <c r="E399"/>
      <c r="F399"/>
      <c r="G399"/>
      <c r="H399"/>
      <c r="I399"/>
      <c r="J399"/>
    </row>
    <row r="400" spans="2:10">
      <c r="B400"/>
      <c r="C400"/>
      <c r="D400"/>
      <c r="E400"/>
      <c r="F400"/>
      <c r="G400"/>
      <c r="H400"/>
      <c r="I400"/>
      <c r="J400"/>
    </row>
    <row r="401" spans="2:10">
      <c r="B401"/>
      <c r="C401"/>
      <c r="D401"/>
      <c r="E401"/>
      <c r="F401"/>
      <c r="G401"/>
      <c r="H401"/>
      <c r="I401"/>
      <c r="J401"/>
    </row>
    <row r="402" spans="2:10">
      <c r="B402"/>
      <c r="C402"/>
      <c r="D402"/>
      <c r="E402"/>
      <c r="F402"/>
      <c r="G402"/>
      <c r="H402"/>
      <c r="I402"/>
      <c r="J402"/>
    </row>
    <row r="403" spans="2:10">
      <c r="B403"/>
      <c r="C403"/>
      <c r="D403"/>
      <c r="E403"/>
      <c r="F403"/>
      <c r="G403"/>
      <c r="H403"/>
      <c r="I403"/>
      <c r="J403"/>
    </row>
    <row r="404" spans="2:10">
      <c r="B404"/>
      <c r="C404"/>
      <c r="D404"/>
      <c r="E404"/>
      <c r="F404"/>
      <c r="G404"/>
      <c r="H404"/>
      <c r="I404"/>
      <c r="J404"/>
    </row>
    <row r="405" spans="2:10">
      <c r="B405"/>
      <c r="C405"/>
      <c r="D405"/>
      <c r="E405"/>
      <c r="F405"/>
      <c r="G405"/>
      <c r="H405"/>
      <c r="I405"/>
      <c r="J405"/>
    </row>
    <row r="406" spans="2:10">
      <c r="B406"/>
      <c r="C406"/>
      <c r="D406"/>
      <c r="E406"/>
      <c r="F406"/>
      <c r="G406"/>
      <c r="H406"/>
      <c r="I406"/>
      <c r="J406"/>
    </row>
    <row r="407" spans="2:10">
      <c r="B407"/>
      <c r="C407"/>
      <c r="D407"/>
      <c r="E407"/>
      <c r="F407"/>
      <c r="G407"/>
      <c r="H407"/>
      <c r="I407"/>
      <c r="J407"/>
    </row>
    <row r="408" spans="2:10">
      <c r="B408"/>
      <c r="C408"/>
      <c r="D408"/>
      <c r="E408"/>
      <c r="F408"/>
      <c r="G408"/>
      <c r="H408"/>
      <c r="I408"/>
      <c r="J408"/>
    </row>
    <row r="409" spans="2:10">
      <c r="B409"/>
      <c r="C409"/>
      <c r="D409"/>
      <c r="E409"/>
      <c r="F409"/>
      <c r="G409"/>
      <c r="H409"/>
      <c r="I409"/>
      <c r="J409"/>
    </row>
    <row r="410" spans="2:10">
      <c r="B410"/>
      <c r="C410"/>
      <c r="D410"/>
      <c r="E410"/>
      <c r="F410"/>
      <c r="G410"/>
      <c r="H410"/>
      <c r="I410"/>
      <c r="J410"/>
    </row>
    <row r="411" spans="2:10">
      <c r="B411"/>
      <c r="C411"/>
      <c r="D411"/>
      <c r="E411"/>
      <c r="F411"/>
      <c r="G411"/>
      <c r="H411"/>
      <c r="I411"/>
      <c r="J411"/>
    </row>
    <row r="412" spans="2:10">
      <c r="B412"/>
      <c r="C412"/>
      <c r="D412"/>
      <c r="E412"/>
      <c r="F412"/>
      <c r="G412"/>
      <c r="H412"/>
      <c r="I412"/>
      <c r="J412"/>
    </row>
    <row r="413" spans="2:10">
      <c r="B413"/>
      <c r="C413"/>
      <c r="D413"/>
      <c r="E413"/>
      <c r="F413"/>
      <c r="G413"/>
      <c r="H413"/>
      <c r="I413"/>
      <c r="J413"/>
    </row>
    <row r="414" spans="2:10">
      <c r="B414"/>
      <c r="C414"/>
      <c r="D414"/>
      <c r="E414"/>
      <c r="F414"/>
      <c r="G414"/>
      <c r="H414"/>
      <c r="I414"/>
      <c r="J414"/>
    </row>
    <row r="415" spans="2:10">
      <c r="B415"/>
      <c r="C415"/>
      <c r="D415"/>
      <c r="E415"/>
      <c r="F415"/>
      <c r="G415"/>
      <c r="H415"/>
      <c r="I415"/>
      <c r="J415"/>
    </row>
    <row r="416" spans="2:10">
      <c r="B416"/>
      <c r="C416"/>
      <c r="D416"/>
      <c r="E416"/>
      <c r="F416"/>
      <c r="G416"/>
      <c r="H416"/>
      <c r="I416"/>
      <c r="J416"/>
    </row>
    <row r="417" spans="2:10">
      <c r="B417"/>
      <c r="C417"/>
      <c r="D417"/>
      <c r="E417"/>
      <c r="F417"/>
      <c r="G417"/>
      <c r="H417"/>
      <c r="I417"/>
      <c r="J417"/>
    </row>
    <row r="418" spans="2:10">
      <c r="B418"/>
      <c r="C418"/>
      <c r="D418"/>
      <c r="E418"/>
      <c r="F418"/>
      <c r="G418"/>
      <c r="H418"/>
      <c r="I418"/>
      <c r="J418"/>
    </row>
    <row r="419" spans="2:10">
      <c r="B419"/>
      <c r="C419"/>
      <c r="D419"/>
      <c r="E419"/>
      <c r="F419"/>
      <c r="G419"/>
      <c r="H419"/>
      <c r="I419"/>
      <c r="J419"/>
    </row>
    <row r="420" spans="2:10">
      <c r="B420"/>
      <c r="C420"/>
      <c r="D420"/>
      <c r="E420"/>
      <c r="F420"/>
      <c r="G420"/>
      <c r="H420"/>
      <c r="I420"/>
      <c r="J420"/>
    </row>
    <row r="421" spans="2:10">
      <c r="B421"/>
      <c r="C421"/>
      <c r="D421"/>
      <c r="E421"/>
      <c r="F421"/>
      <c r="G421"/>
      <c r="H421"/>
      <c r="I421"/>
      <c r="J421"/>
    </row>
    <row r="422" spans="2:10">
      <c r="B422"/>
      <c r="C422"/>
      <c r="D422"/>
      <c r="E422"/>
      <c r="F422"/>
      <c r="G422"/>
      <c r="H422"/>
      <c r="I422"/>
      <c r="J422"/>
    </row>
    <row r="423" spans="2:10">
      <c r="B423"/>
      <c r="C423"/>
      <c r="D423"/>
      <c r="E423"/>
      <c r="F423"/>
      <c r="G423"/>
      <c r="H423"/>
      <c r="I423"/>
      <c r="J423"/>
    </row>
    <row r="424" spans="2:10">
      <c r="B424"/>
      <c r="C424"/>
      <c r="D424"/>
      <c r="E424"/>
      <c r="F424"/>
      <c r="G424"/>
      <c r="H424"/>
      <c r="I424"/>
      <c r="J424"/>
    </row>
    <row r="425" spans="2:10">
      <c r="B425"/>
      <c r="C425"/>
      <c r="D425"/>
      <c r="E425"/>
      <c r="F425"/>
      <c r="G425"/>
      <c r="H425"/>
      <c r="I425"/>
      <c r="J425"/>
    </row>
    <row r="426" spans="2:10">
      <c r="B426"/>
      <c r="C426"/>
      <c r="D426"/>
      <c r="E426"/>
      <c r="F426"/>
      <c r="G426"/>
      <c r="H426"/>
      <c r="I426"/>
      <c r="J426"/>
    </row>
    <row r="427" spans="2:10">
      <c r="B427"/>
      <c r="C427"/>
      <c r="D427"/>
      <c r="E427"/>
      <c r="F427"/>
      <c r="G427"/>
      <c r="H427"/>
      <c r="I427"/>
      <c r="J427"/>
    </row>
    <row r="428" spans="2:10">
      <c r="B428"/>
      <c r="C428"/>
      <c r="D428"/>
      <c r="E428"/>
      <c r="F428"/>
      <c r="G428"/>
      <c r="H428"/>
      <c r="I428"/>
      <c r="J428"/>
    </row>
    <row r="429" spans="2:10">
      <c r="B429"/>
      <c r="C429"/>
      <c r="D429"/>
      <c r="E429"/>
      <c r="F429"/>
      <c r="G429"/>
      <c r="H429"/>
      <c r="I429"/>
      <c r="J429"/>
    </row>
    <row r="430" spans="2:10">
      <c r="B430"/>
      <c r="C430"/>
      <c r="D430"/>
      <c r="E430"/>
      <c r="F430"/>
      <c r="G430"/>
      <c r="H430"/>
      <c r="I430"/>
      <c r="J430"/>
    </row>
    <row r="431" spans="2:10">
      <c r="B431"/>
      <c r="C431"/>
      <c r="D431"/>
      <c r="E431"/>
      <c r="F431"/>
      <c r="G431"/>
      <c r="H431"/>
      <c r="I431"/>
      <c r="J431"/>
    </row>
    <row r="432" spans="2:10">
      <c r="B432"/>
      <c r="C432"/>
      <c r="D432"/>
      <c r="E432"/>
      <c r="F432"/>
      <c r="G432"/>
      <c r="H432"/>
      <c r="I432"/>
      <c r="J432"/>
    </row>
    <row r="433" spans="2:10">
      <c r="B433"/>
      <c r="C433"/>
      <c r="D433"/>
      <c r="E433"/>
      <c r="F433"/>
      <c r="G433"/>
      <c r="H433"/>
      <c r="I433"/>
      <c r="J433"/>
    </row>
  </sheetData>
  <protectedRanges>
    <protectedRange sqref="C5:C19" name="Range2"/>
    <protectedRange sqref="A1:A1048576" name="Range1"/>
  </protectedRanges>
  <mergeCells count="127">
    <mergeCell ref="G279:G281"/>
    <mergeCell ref="H279:H281"/>
    <mergeCell ref="I279:I281"/>
    <mergeCell ref="C189:C191"/>
    <mergeCell ref="F189:F191"/>
    <mergeCell ref="G189:G191"/>
    <mergeCell ref="H189:H191"/>
    <mergeCell ref="I189:I191"/>
    <mergeCell ref="E236:E238"/>
    <mergeCell ref="C254:I254"/>
    <mergeCell ref="C236:C238"/>
    <mergeCell ref="F236:F238"/>
    <mergeCell ref="G236:G238"/>
    <mergeCell ref="H236:H238"/>
    <mergeCell ref="I236:I238"/>
    <mergeCell ref="C262:C264"/>
    <mergeCell ref="F262:F264"/>
    <mergeCell ref="G262:G264"/>
    <mergeCell ref="H262:H264"/>
    <mergeCell ref="I262:I264"/>
    <mergeCell ref="B218:I218"/>
    <mergeCell ref="C211:I211"/>
    <mergeCell ref="E279:E281"/>
    <mergeCell ref="B279:B281"/>
    <mergeCell ref="B297:B299"/>
    <mergeCell ref="C297:C299"/>
    <mergeCell ref="D297:D299"/>
    <mergeCell ref="E297:E299"/>
    <mergeCell ref="F297:F299"/>
    <mergeCell ref="G297:G299"/>
    <mergeCell ref="H297:H299"/>
    <mergeCell ref="C289:I289"/>
    <mergeCell ref="I297:I299"/>
    <mergeCell ref="B159:B161"/>
    <mergeCell ref="D159:D161"/>
    <mergeCell ref="E159:E161"/>
    <mergeCell ref="B189:B191"/>
    <mergeCell ref="D189:D191"/>
    <mergeCell ref="E189:E191"/>
    <mergeCell ref="B167:B169"/>
    <mergeCell ref="D167:D169"/>
    <mergeCell ref="E167:E169"/>
    <mergeCell ref="C159:C161"/>
    <mergeCell ref="B262:B264"/>
    <mergeCell ref="D262:D264"/>
    <mergeCell ref="E262:E264"/>
    <mergeCell ref="B236:B238"/>
    <mergeCell ref="D236:D238"/>
    <mergeCell ref="C181:I181"/>
    <mergeCell ref="C167:C169"/>
    <mergeCell ref="F167:F169"/>
    <mergeCell ref="G167:G169"/>
    <mergeCell ref="H167:H169"/>
    <mergeCell ref="C219:I219"/>
    <mergeCell ref="I167:I169"/>
    <mergeCell ref="C279:C281"/>
    <mergeCell ref="F279:F281"/>
    <mergeCell ref="C22:C24"/>
    <mergeCell ref="I60:I62"/>
    <mergeCell ref="C86:C88"/>
    <mergeCell ref="F86:F88"/>
    <mergeCell ref="I86:I88"/>
    <mergeCell ref="F28:F30"/>
    <mergeCell ref="G28:G30"/>
    <mergeCell ref="H28:H30"/>
    <mergeCell ref="I28:I30"/>
    <mergeCell ref="C28:C30"/>
    <mergeCell ref="I44:I46"/>
    <mergeCell ref="C112:C114"/>
    <mergeCell ref="F112:F114"/>
    <mergeCell ref="G112:G114"/>
    <mergeCell ref="H112:H114"/>
    <mergeCell ref="I112:I114"/>
    <mergeCell ref="E112:E114"/>
    <mergeCell ref="F159:F161"/>
    <mergeCell ref="G159:G161"/>
    <mergeCell ref="H159:H161"/>
    <mergeCell ref="I159:I161"/>
    <mergeCell ref="C152:I152"/>
    <mergeCell ref="B2:B4"/>
    <mergeCell ref="C78:I78"/>
    <mergeCell ref="D2:D4"/>
    <mergeCell ref="C2:C4"/>
    <mergeCell ref="B22:B24"/>
    <mergeCell ref="D22:D24"/>
    <mergeCell ref="E22:E24"/>
    <mergeCell ref="B86:B88"/>
    <mergeCell ref="D86:D88"/>
    <mergeCell ref="E86:E88"/>
    <mergeCell ref="B28:B30"/>
    <mergeCell ref="D28:D30"/>
    <mergeCell ref="E28:E30"/>
    <mergeCell ref="B60:B62"/>
    <mergeCell ref="D60:D62"/>
    <mergeCell ref="E60:E62"/>
    <mergeCell ref="F22:F24"/>
    <mergeCell ref="G22:G24"/>
    <mergeCell ref="H22:H24"/>
    <mergeCell ref="G86:G88"/>
    <mergeCell ref="H86:H88"/>
    <mergeCell ref="H60:H62"/>
    <mergeCell ref="G60:G62"/>
    <mergeCell ref="I22:I24"/>
    <mergeCell ref="B307:E308"/>
    <mergeCell ref="C60:C62"/>
    <mergeCell ref="B44:B46"/>
    <mergeCell ref="C44:C46"/>
    <mergeCell ref="D44:D46"/>
    <mergeCell ref="E44:E46"/>
    <mergeCell ref="F44:F46"/>
    <mergeCell ref="G44:G46"/>
    <mergeCell ref="H44:H46"/>
    <mergeCell ref="F60:F62"/>
    <mergeCell ref="B140:B142"/>
    <mergeCell ref="D140:D142"/>
    <mergeCell ref="E140:E142"/>
    <mergeCell ref="C133:I133"/>
    <mergeCell ref="C126:I126"/>
    <mergeCell ref="C101:I101"/>
    <mergeCell ref="B112:B114"/>
    <mergeCell ref="D112:D114"/>
    <mergeCell ref="C140:C142"/>
    <mergeCell ref="F140:F142"/>
    <mergeCell ref="G140:G142"/>
    <mergeCell ref="H140:H142"/>
    <mergeCell ref="I140:I142"/>
    <mergeCell ref="D279:D281"/>
  </mergeCells>
  <pageMargins left="0.7" right="0.7" top="0.75" bottom="0.75" header="0.3" footer="0.3"/>
  <pageSetup paperSize="9" orientation="portrait" r:id="rId1"/>
  <ignoredErrors>
    <ignoredError sqref="C172:I172 C177:I179" unlockedFormula="1"/>
  </ignoredErrors>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926B1-DC3E-4DE7-A68A-E53D4A6FA439}">
  <sheetPr codeName="Sheet8">
    <tabColor theme="9" tint="0.59999389629810485"/>
  </sheetPr>
  <dimension ref="A2:T204"/>
  <sheetViews>
    <sheetView workbookViewId="0">
      <selection activeCell="A160" sqref="A160"/>
    </sheetView>
  </sheetViews>
  <sheetFormatPr defaultRowHeight="15"/>
  <cols>
    <col min="1" max="1" width="15.42578125" customWidth="1"/>
    <col min="2" max="2" width="14.85546875" customWidth="1"/>
    <col min="3" max="3" width="13" customWidth="1"/>
    <col min="4" max="4" width="11.85546875" customWidth="1"/>
    <col min="5" max="5" width="13.5703125" bestFit="1" customWidth="1"/>
    <col min="6" max="6" width="14" customWidth="1"/>
    <col min="7" max="7" width="12.7109375" customWidth="1"/>
    <col min="8" max="8" width="12.85546875" customWidth="1"/>
    <col min="9" max="9" width="12" customWidth="1"/>
    <col min="10" max="10" width="29" customWidth="1"/>
    <col min="11" max="11" width="15.28515625" customWidth="1"/>
    <col min="12" max="12" width="12.28515625" customWidth="1"/>
    <col min="13" max="13" width="41.28515625" customWidth="1"/>
    <col min="16" max="16" width="13.5703125" bestFit="1" customWidth="1"/>
    <col min="17" max="17" width="20.28515625" bestFit="1" customWidth="1"/>
    <col min="21" max="21" width="42.28515625" bestFit="1" customWidth="1"/>
    <col min="22" max="22" width="22.7109375" bestFit="1" customWidth="1"/>
    <col min="23" max="23" width="23.7109375" bestFit="1" customWidth="1"/>
    <col min="24" max="24" width="21.7109375" bestFit="1" customWidth="1"/>
    <col min="26" max="26" width="42.28515625" bestFit="1" customWidth="1"/>
  </cols>
  <sheetData>
    <row r="2" spans="1:20" ht="14.45" customHeight="1">
      <c r="A2" s="620" t="s">
        <v>275</v>
      </c>
      <c r="B2" s="620" t="s">
        <v>459</v>
      </c>
      <c r="C2" s="617">
        <f>C16</f>
        <v>2022</v>
      </c>
      <c r="D2" s="603" t="s">
        <v>202</v>
      </c>
      <c r="F2" s="620" t="s">
        <v>275</v>
      </c>
      <c r="G2" s="620" t="s">
        <v>459</v>
      </c>
      <c r="H2" s="617">
        <f>C16</f>
        <v>2022</v>
      </c>
      <c r="I2" s="603" t="s">
        <v>202</v>
      </c>
      <c r="K2" s="620" t="s">
        <v>275</v>
      </c>
      <c r="L2" s="620" t="s">
        <v>459</v>
      </c>
      <c r="M2" s="617">
        <f>C16</f>
        <v>2022</v>
      </c>
      <c r="N2" s="603" t="s">
        <v>202</v>
      </c>
    </row>
    <row r="3" spans="1:20">
      <c r="A3" s="621"/>
      <c r="B3" s="621"/>
      <c r="C3" s="618"/>
      <c r="D3" s="604"/>
      <c r="F3" s="621"/>
      <c r="G3" s="621"/>
      <c r="H3" s="618"/>
      <c r="I3" s="604"/>
      <c r="K3" s="621"/>
      <c r="L3" s="621"/>
      <c r="M3" s="618"/>
      <c r="N3" s="604"/>
    </row>
    <row r="4" spans="1:20">
      <c r="A4" s="621"/>
      <c r="B4" s="621"/>
      <c r="C4" s="619"/>
      <c r="D4" s="611"/>
      <c r="F4" s="621"/>
      <c r="G4" s="621"/>
      <c r="H4" s="619"/>
      <c r="I4" s="611"/>
      <c r="K4" s="621"/>
      <c r="L4" s="621"/>
      <c r="M4" s="619"/>
      <c r="N4" s="611"/>
      <c r="T4" s="185"/>
    </row>
    <row r="5" spans="1:20" ht="14.45" customHeight="1">
      <c r="A5" s="620" t="s">
        <v>460</v>
      </c>
      <c r="B5" s="343" t="s">
        <v>461</v>
      </c>
      <c r="C5" s="231">
        <f>'Baseline Usage'!AC11</f>
        <v>491635837.99527794</v>
      </c>
      <c r="D5" t="s">
        <v>317</v>
      </c>
      <c r="F5" s="620" t="s">
        <v>462</v>
      </c>
      <c r="G5" s="342" t="s">
        <v>342</v>
      </c>
      <c r="H5" s="231">
        <f>'Baseline Usage'!AC21</f>
        <v>952892.18637525779</v>
      </c>
      <c r="I5" t="s">
        <v>220</v>
      </c>
      <c r="J5" s="349"/>
      <c r="K5" s="620" t="s">
        <v>463</v>
      </c>
      <c r="L5" s="343" t="s">
        <v>464</v>
      </c>
      <c r="M5" s="231">
        <f>'Baseline Usage'!AT11</f>
        <v>518.45038286485646</v>
      </c>
      <c r="N5" t="s">
        <v>465</v>
      </c>
      <c r="T5" s="185"/>
    </row>
    <row r="6" spans="1:20">
      <c r="A6" s="621"/>
      <c r="B6" s="343" t="s">
        <v>466</v>
      </c>
      <c r="C6" s="231">
        <f>'Baseline Usage'!AC12</f>
        <v>324736.94976915832</v>
      </c>
      <c r="D6" t="s">
        <v>317</v>
      </c>
      <c r="F6" s="653"/>
      <c r="G6" s="343" t="s">
        <v>228</v>
      </c>
      <c r="H6" s="231">
        <f>'Baseline Usage'!AC22</f>
        <v>784288.83699619456</v>
      </c>
      <c r="I6" t="s">
        <v>220</v>
      </c>
      <c r="J6" s="349"/>
      <c r="K6" s="621"/>
      <c r="L6" s="343" t="s">
        <v>467</v>
      </c>
      <c r="M6" s="231">
        <f>'Baseline Usage'!AT12</f>
        <v>48309206.675347328</v>
      </c>
      <c r="N6" t="s">
        <v>468</v>
      </c>
      <c r="T6" s="185"/>
    </row>
    <row r="7" spans="1:20">
      <c r="A7" s="621"/>
      <c r="B7" s="343" t="s">
        <v>342</v>
      </c>
      <c r="C7" s="231">
        <f>'Baseline Usage'!AC13</f>
        <v>491960574.94504714</v>
      </c>
      <c r="D7" t="s">
        <v>317</v>
      </c>
      <c r="F7" s="653"/>
      <c r="G7" s="343" t="s">
        <v>469</v>
      </c>
      <c r="H7" s="231">
        <f>'Baseline Usage'!AC23</f>
        <v>94534.974496165116</v>
      </c>
      <c r="I7" t="s">
        <v>220</v>
      </c>
      <c r="J7" s="349"/>
      <c r="K7" s="621"/>
      <c r="T7" s="185"/>
    </row>
    <row r="8" spans="1:20">
      <c r="B8" s="343" t="s">
        <v>228</v>
      </c>
      <c r="C8" s="231">
        <f>'Baseline Usage'!AC15</f>
        <v>211486678.15864664</v>
      </c>
      <c r="D8" t="s">
        <v>317</v>
      </c>
      <c r="G8" s="343" t="s">
        <v>470</v>
      </c>
      <c r="H8" s="231">
        <f>'Baseline Usage'!AC24</f>
        <v>74068.374882898177</v>
      </c>
      <c r="I8" t="s">
        <v>220</v>
      </c>
      <c r="J8" s="349"/>
      <c r="T8" s="185"/>
    </row>
    <row r="9" spans="1:20">
      <c r="B9" s="343" t="s">
        <v>469</v>
      </c>
      <c r="C9" s="231">
        <f>'Baseline Usage'!AC16</f>
        <v>122239252.16110656</v>
      </c>
      <c r="D9" t="s">
        <v>317</v>
      </c>
      <c r="H9" s="231"/>
      <c r="K9" s="620" t="s">
        <v>212</v>
      </c>
      <c r="L9" s="343" t="s">
        <v>471</v>
      </c>
      <c r="M9" s="231">
        <f>'Baseline Usage'!AT15</f>
        <v>1948.7104189049967</v>
      </c>
      <c r="N9" t="s">
        <v>209</v>
      </c>
      <c r="T9" s="185"/>
    </row>
    <row r="10" spans="1:20">
      <c r="B10" s="343" t="s">
        <v>470</v>
      </c>
      <c r="C10" s="231">
        <f>'Baseline Usage'!AC17</f>
        <v>157909907.67552468</v>
      </c>
      <c r="D10" t="s">
        <v>317</v>
      </c>
      <c r="F10" s="626" t="s">
        <v>472</v>
      </c>
      <c r="G10" s="342" t="s">
        <v>342</v>
      </c>
      <c r="H10" s="275">
        <f>SUM(H11:H13)</f>
        <v>378207.00553191494</v>
      </c>
      <c r="I10" t="s">
        <v>220</v>
      </c>
      <c r="K10" s="621"/>
      <c r="L10" s="343" t="s">
        <v>473</v>
      </c>
      <c r="M10" s="231">
        <f>'Baseline Usage'!AT16</f>
        <v>565.77070824742259</v>
      </c>
      <c r="N10" t="s">
        <v>209</v>
      </c>
      <c r="T10" s="185"/>
    </row>
    <row r="11" spans="1:20">
      <c r="B11" s="343" t="s">
        <v>228</v>
      </c>
      <c r="C11" s="231">
        <f>C8*0.0036</f>
        <v>761352.04137112794</v>
      </c>
      <c r="D11" t="s">
        <v>220</v>
      </c>
      <c r="F11" s="627"/>
      <c r="G11" s="343" t="s">
        <v>228</v>
      </c>
      <c r="H11" s="275">
        <f>'Baseline Usage'!AC27</f>
        <v>357135.92553191498</v>
      </c>
      <c r="I11" t="s">
        <v>220</v>
      </c>
      <c r="K11" s="621"/>
      <c r="L11" s="343" t="s">
        <v>342</v>
      </c>
      <c r="M11" s="231">
        <f>'Baseline Usage'!AT17</f>
        <v>2514.4811271524195</v>
      </c>
      <c r="N11" t="s">
        <v>209</v>
      </c>
    </row>
    <row r="12" spans="1:20">
      <c r="B12" s="343" t="s">
        <v>469</v>
      </c>
      <c r="C12" s="231">
        <f>C9*0.0036</f>
        <v>440061.30777998362</v>
      </c>
      <c r="D12" t="s">
        <v>220</v>
      </c>
      <c r="F12" s="628"/>
      <c r="G12" s="343" t="s">
        <v>469</v>
      </c>
      <c r="H12" s="275">
        <f>'Baseline Usage'!AC28</f>
        <v>16945.48</v>
      </c>
      <c r="I12" t="s">
        <v>220</v>
      </c>
      <c r="L12" s="343" t="s">
        <v>474</v>
      </c>
      <c r="M12" s="268">
        <f>'Baseline Usage'!AT18</f>
        <v>2.1967944118333353E-2</v>
      </c>
      <c r="N12" t="s">
        <v>209</v>
      </c>
    </row>
    <row r="13" spans="1:20">
      <c r="B13" s="343" t="s">
        <v>470</v>
      </c>
      <c r="C13" s="231">
        <f>C10*0.0036</f>
        <v>568475.66763188888</v>
      </c>
      <c r="D13" t="s">
        <v>220</v>
      </c>
      <c r="G13" s="343" t="s">
        <v>470</v>
      </c>
      <c r="H13" s="275">
        <f>'Baseline Usage'!AC29</f>
        <v>4125.6000000000004</v>
      </c>
      <c r="I13" t="s">
        <v>220</v>
      </c>
      <c r="L13" s="343" t="s">
        <v>475</v>
      </c>
      <c r="M13" s="268">
        <f>'Baseline Usage'!AT19</f>
        <v>0.1264857384858982</v>
      </c>
      <c r="N13" t="s">
        <v>209</v>
      </c>
    </row>
    <row r="15" spans="1:20">
      <c r="P15" s="255"/>
    </row>
    <row r="16" spans="1:20">
      <c r="C16" s="284">
        <f>'Baseline Statistics'!D4</f>
        <v>2022</v>
      </c>
      <c r="D16" s="284">
        <f>'Baseline Statistics'!E4</f>
        <v>2025</v>
      </c>
      <c r="E16" s="284">
        <f>'Baseline Statistics'!F4</f>
        <v>2030</v>
      </c>
      <c r="F16" s="284">
        <f>'Baseline Statistics'!G4</f>
        <v>2035</v>
      </c>
      <c r="G16" s="284">
        <f>'Baseline Statistics'!H4</f>
        <v>2040</v>
      </c>
      <c r="H16" s="284">
        <f>'Baseline Statistics'!I4</f>
        <v>2045</v>
      </c>
      <c r="I16" s="285">
        <f>'Baseline Statistics'!J4</f>
        <v>2051</v>
      </c>
      <c r="K16" s="620" t="s">
        <v>476</v>
      </c>
      <c r="L16" s="342" t="s">
        <v>342</v>
      </c>
      <c r="M16" s="231">
        <f>SUM(M17:M19)</f>
        <v>3100988.2086901735</v>
      </c>
      <c r="N16" t="s">
        <v>220</v>
      </c>
      <c r="P16" s="255"/>
    </row>
    <row r="17" spans="1:17" ht="25.5">
      <c r="A17" s="620" t="s">
        <v>477</v>
      </c>
      <c r="B17" s="343" t="s">
        <v>478</v>
      </c>
      <c r="C17" s="280">
        <f>'2. Industry'!C57</f>
        <v>1</v>
      </c>
      <c r="D17" s="280">
        <f>'2. Industry'!D57</f>
        <v>1.08</v>
      </c>
      <c r="E17" s="280">
        <f>'2. Industry'!E57</f>
        <v>1.1599999999999999</v>
      </c>
      <c r="F17" s="280">
        <f>'2. Industry'!F57</f>
        <v>1.22</v>
      </c>
      <c r="G17" s="280">
        <f>'2. Industry'!G57</f>
        <v>1.29</v>
      </c>
      <c r="H17" s="280">
        <f>'2. Industry'!H57</f>
        <v>1.36</v>
      </c>
      <c r="I17" s="280">
        <f>'2. Industry'!I57</f>
        <v>1.45</v>
      </c>
      <c r="K17" s="621"/>
      <c r="L17" s="343" t="s">
        <v>228</v>
      </c>
      <c r="M17" s="231">
        <f>H6+H11+C11</f>
        <v>1902776.8038992374</v>
      </c>
      <c r="N17" t="s">
        <v>220</v>
      </c>
      <c r="P17" s="255"/>
      <c r="Q17" s="129"/>
    </row>
    <row r="18" spans="1:17">
      <c r="A18" s="621"/>
      <c r="B18" s="343" t="s">
        <v>361</v>
      </c>
      <c r="C18" s="280">
        <f>'2. Industry'!C58</f>
        <v>1</v>
      </c>
      <c r="D18" s="280">
        <f>'2. Industry'!D58</f>
        <v>1.0476000000000001</v>
      </c>
      <c r="E18" s="280">
        <f>'2. Industry'!E58</f>
        <v>1.0903999999999998</v>
      </c>
      <c r="F18" s="280">
        <f>'2. Industry'!F58</f>
        <v>1.0980000000000001</v>
      </c>
      <c r="G18" s="280">
        <f>'2. Industry'!G58</f>
        <v>1.1223000000000001</v>
      </c>
      <c r="H18" s="280">
        <f>'2. Industry'!H58</f>
        <v>1.1424000000000001</v>
      </c>
      <c r="I18" s="280">
        <f>'2. Industry'!I58</f>
        <v>1.1599999999999999</v>
      </c>
      <c r="K18" s="621"/>
      <c r="L18" s="343" t="s">
        <v>469</v>
      </c>
      <c r="M18" s="231">
        <f>H7+H12+C12</f>
        <v>551541.76227614877</v>
      </c>
      <c r="N18" t="s">
        <v>220</v>
      </c>
      <c r="Q18" s="185"/>
    </row>
    <row r="19" spans="1:17" ht="14.45" customHeight="1">
      <c r="A19" s="621"/>
      <c r="B19" s="343" t="s">
        <v>469</v>
      </c>
      <c r="C19" s="280">
        <f>'Baseline Statistics'!D25</f>
        <v>1</v>
      </c>
      <c r="D19" s="280">
        <f>'Baseline Statistics'!E25</f>
        <v>1.0330166864625292</v>
      </c>
      <c r="E19" s="280">
        <f>'Baseline Statistics'!F25</f>
        <v>1.0835170205839484</v>
      </c>
      <c r="F19" s="280">
        <f>'Baseline Statistics'!G25</f>
        <v>1.1247034063136032</v>
      </c>
      <c r="G19" s="280">
        <f>'Baseline Statistics'!H25</f>
        <v>1.1668435773098884</v>
      </c>
      <c r="H19" s="280">
        <f>'Baseline Statistics'!I25</f>
        <v>1.2089837483061736</v>
      </c>
      <c r="I19" s="280">
        <f>'Baseline Statistics'!J25</f>
        <v>1.2530314898357193</v>
      </c>
      <c r="L19" s="343" t="s">
        <v>470</v>
      </c>
      <c r="M19" s="231">
        <f>H8+H13+C13</f>
        <v>646669.64251478703</v>
      </c>
      <c r="N19" t="s">
        <v>220</v>
      </c>
    </row>
    <row r="20" spans="1:17">
      <c r="A20" s="286"/>
      <c r="B20" s="343" t="s">
        <v>470</v>
      </c>
      <c r="C20" s="288">
        <f>'Landuse b. Housing Growth'!D27</f>
        <v>1</v>
      </c>
      <c r="D20" s="288">
        <f>'Landuse b. Housing Growth'!E27</f>
        <v>1.0410104834012814</v>
      </c>
      <c r="E20" s="288">
        <f>'Landuse b. Housing Growth'!F27</f>
        <v>1.1077460687245195</v>
      </c>
      <c r="F20" s="288">
        <f>'Landuse b. Housing Growth'!G27</f>
        <v>1.1699359347699476</v>
      </c>
      <c r="G20" s="288">
        <f>'Landuse b. Housing Growth'!H27</f>
        <v>1.2321258008153755</v>
      </c>
      <c r="H20" s="288">
        <f>'Landuse b. Housing Growth'!I27</f>
        <v>1.2941904484566105</v>
      </c>
      <c r="I20" s="288">
        <f>'Landuse b. Housing Growth'!J27</f>
        <v>1.4662783925451368</v>
      </c>
    </row>
    <row r="21" spans="1:17">
      <c r="A21" s="286"/>
    </row>
    <row r="22" spans="1:17">
      <c r="A22" s="286"/>
    </row>
    <row r="23" spans="1:17" ht="13.9" customHeight="1">
      <c r="A23" s="620" t="s">
        <v>479</v>
      </c>
      <c r="B23" s="343" t="s">
        <v>228</v>
      </c>
      <c r="C23" s="231">
        <f>$C8*('Baseline Usage'!$AJ82*C17+C18*'Baseline Usage'!$AJ83)</f>
        <v>211486678.15864664</v>
      </c>
      <c r="D23" s="231">
        <f>$C8*('Baseline Usage'!$AJ82*D17+D18*'Baseline Usage'!$AJ83)</f>
        <v>223514838.21472865</v>
      </c>
      <c r="E23" s="231">
        <f>$C8*('Baseline Usage'!$AJ82*E17+E18*'Baseline Usage'!$AJ83)</f>
        <v>234818439.13057208</v>
      </c>
      <c r="F23" s="231">
        <f>$C8*('Baseline Usage'!$AJ82*F17+F18*'Baseline Usage'!$AJ83)</f>
        <v>239597869.20582086</v>
      </c>
      <c r="G23" s="231">
        <f>$C8*('Baseline Usage'!$AJ82*G17+G18*'Baseline Usage'!$AJ83)</f>
        <v>247503529.86257222</v>
      </c>
      <c r="H23" s="231">
        <f>$C8*('Baseline Usage'!$AJ82*H17+H18*'Baseline Usage'!$AJ83)</f>
        <v>254775201.27161497</v>
      </c>
      <c r="I23" s="231">
        <f>$C8*('Baseline Usage'!$AJ82*I17+I18*'Baseline Usage'!$AJ83)</f>
        <v>262880235.27396268</v>
      </c>
      <c r="J23" t="s">
        <v>25</v>
      </c>
      <c r="K23" s="652" t="s">
        <v>480</v>
      </c>
      <c r="L23" s="652"/>
      <c r="M23" s="652"/>
      <c r="N23" s="652"/>
      <c r="O23" s="652"/>
    </row>
    <row r="24" spans="1:17">
      <c r="A24" s="621"/>
      <c r="B24" s="343" t="s">
        <v>469</v>
      </c>
      <c r="C24" s="231">
        <f t="shared" ref="C24:I25" si="0">$C9*C19</f>
        <v>122239252.16110656</v>
      </c>
      <c r="D24" s="231">
        <f t="shared" si="0"/>
        <v>126275187.22312386</v>
      </c>
      <c r="E24" s="231">
        <f t="shared" si="0"/>
        <v>132448310.30001216</v>
      </c>
      <c r="F24" s="231">
        <f t="shared" si="0"/>
        <v>137482903.29082403</v>
      </c>
      <c r="G24" s="231">
        <f t="shared" si="0"/>
        <v>142634086.27935109</v>
      </c>
      <c r="H24" s="231">
        <f t="shared" si="0"/>
        <v>147785269.26787814</v>
      </c>
      <c r="I24" s="231">
        <f t="shared" si="0"/>
        <v>153169632.25183553</v>
      </c>
      <c r="J24" t="s">
        <v>25</v>
      </c>
      <c r="K24" t="s">
        <v>200</v>
      </c>
      <c r="L24" t="s">
        <v>481</v>
      </c>
      <c r="M24" t="s">
        <v>202</v>
      </c>
      <c r="N24" t="s">
        <v>482</v>
      </c>
      <c r="O24" t="s">
        <v>483</v>
      </c>
      <c r="P24" t="s">
        <v>484</v>
      </c>
      <c r="Q24" s="231"/>
    </row>
    <row r="25" spans="1:17">
      <c r="A25" s="621"/>
      <c r="B25" s="343" t="s">
        <v>470</v>
      </c>
      <c r="C25" s="231">
        <f t="shared" si="0"/>
        <v>157909907.67552468</v>
      </c>
      <c r="D25" s="231">
        <f t="shared" si="0"/>
        <v>164385869.32314968</v>
      </c>
      <c r="E25" s="231">
        <f t="shared" si="0"/>
        <v>174924079.44021431</v>
      </c>
      <c r="F25" s="231">
        <f t="shared" si="0"/>
        <v>184744475.44580111</v>
      </c>
      <c r="G25" s="231">
        <f t="shared" si="0"/>
        <v>194564871.45138785</v>
      </c>
      <c r="H25" s="231">
        <f t="shared" si="0"/>
        <v>204365494.23032925</v>
      </c>
      <c r="I25" s="231">
        <f t="shared" si="0"/>
        <v>231539885.59341928</v>
      </c>
      <c r="J25" t="s">
        <v>25</v>
      </c>
      <c r="K25" t="s">
        <v>485</v>
      </c>
      <c r="L25" s="231">
        <f>'4. Buildings'!C13*'Baseline Usage'!AJ49+'4. Buildings'!C12*'Baseline Usage'!AJ65+'4. Buildings'!C11*'Baseline Usage'!AJ81</f>
        <v>575209.16640505858</v>
      </c>
      <c r="M25" t="s">
        <v>220</v>
      </c>
      <c r="N25" s="185">
        <f>L25/SUM('4. Buildings'!C11:C13)</f>
        <v>0.32499730827787993</v>
      </c>
      <c r="O25" s="185">
        <f>L25/SUM(L$25:L$27)</f>
        <v>0.30454379291652223</v>
      </c>
      <c r="P25" s="276" t="s">
        <v>273</v>
      </c>
      <c r="Q25" s="231"/>
    </row>
    <row r="26" spans="1:17">
      <c r="A26" s="620" t="s">
        <v>462</v>
      </c>
      <c r="B26" s="343" t="s">
        <v>228</v>
      </c>
      <c r="C26" s="231">
        <f>$H6*(C17*'Baseline Usage'!$AK82+C18*'Baseline Usage'!$AK83)</f>
        <v>784288.83699619456</v>
      </c>
      <c r="D26" s="231">
        <f>$H6*(D17*'Baseline Usage'!$AK82+D18*'Baseline Usage'!$AK83)</f>
        <v>824678.97523892613</v>
      </c>
      <c r="E26" s="231">
        <f>$H6*(E17*'Baseline Usage'!$AK82+E18*'Baseline Usage'!$AK83)</f>
        <v>861757.56256062537</v>
      </c>
      <c r="F26" s="231">
        <f>$H6*(F17*'Baseline Usage'!$AK82+F18*'Baseline Usage'!$AK83)</f>
        <v>872663.79522580106</v>
      </c>
      <c r="G26" s="231">
        <f>$H6*(G17*'Baseline Usage'!$AK82+G18*'Baseline Usage'!$AK83)</f>
        <v>896035.28942154499</v>
      </c>
      <c r="H26" s="231">
        <f>$H6*(H17*'Baseline Usage'!$AK82+H18*'Baseline Usage'!$AK83)</f>
        <v>916509.17656138656</v>
      </c>
      <c r="I26" s="231">
        <f>$H6*(I17*'Baseline Usage'!$AK82+I18*'Baseline Usage'!$AK83)</f>
        <v>937145.94549881539</v>
      </c>
      <c r="J26" t="s">
        <v>220</v>
      </c>
      <c r="K26" t="s">
        <v>486</v>
      </c>
      <c r="L26" s="231">
        <f>'4. Buildings'!H8*'Baseline Usage'!AK49+'4. Buildings'!H7*'Baseline Usage'!AK65+'4. Buildings'!H6*'Baseline Usage'!AK81</f>
        <v>935363.1153380113</v>
      </c>
      <c r="M26" t="s">
        <v>220</v>
      </c>
      <c r="N26" s="185">
        <f>L26/'4. Buildings'!H5</f>
        <v>0.98160435011653735</v>
      </c>
      <c r="O26" s="185">
        <f>L26/SUM(L$25:L$27)</f>
        <v>0.49522686274205951</v>
      </c>
      <c r="P26" s="185">
        <f>O26/(O$26+O$27)</f>
        <v>0.7120892123731033</v>
      </c>
      <c r="Q26" s="231"/>
    </row>
    <row r="27" spans="1:17">
      <c r="A27" s="653"/>
      <c r="B27" s="343" t="s">
        <v>469</v>
      </c>
      <c r="C27" s="231">
        <f t="shared" ref="C27:I28" si="1">$H7*C19</f>
        <v>94534.974496165116</v>
      </c>
      <c r="D27" s="231">
        <f t="shared" si="1"/>
        <v>97656.206108848201</v>
      </c>
      <c r="E27" s="231">
        <f t="shared" si="1"/>
        <v>102430.25390706437</v>
      </c>
      <c r="F27" s="231">
        <f t="shared" si="1"/>
        <v>106323.80783160651</v>
      </c>
      <c r="G27" s="231">
        <f t="shared" si="1"/>
        <v>110307.52782200437</v>
      </c>
      <c r="H27" s="231">
        <f t="shared" si="1"/>
        <v>114291.24781240223</v>
      </c>
      <c r="I27" s="231">
        <f t="shared" si="1"/>
        <v>118455.29993451151</v>
      </c>
      <c r="J27" t="s">
        <v>220</v>
      </c>
      <c r="K27" s="231" t="s">
        <v>223</v>
      </c>
      <c r="L27" s="231">
        <f>'4. Buildings'!H13*'Baseline Usage'!AL49+'4. Buildings'!H12*'Baseline Usage'!AL65+'4. Buildings'!H11*'Baseline Usage'!AL81</f>
        <v>378184.54004750855</v>
      </c>
      <c r="M27" t="s">
        <v>220</v>
      </c>
      <c r="N27" s="185">
        <f>L27/'4. Buildings'!H10</f>
        <v>0.99994060003099416</v>
      </c>
      <c r="O27" s="185">
        <f>L27/SUM(L$25:L$27)</f>
        <v>0.20022934434141831</v>
      </c>
      <c r="P27" s="185">
        <f>O27/(O$26+O$27)</f>
        <v>0.28791078762689676</v>
      </c>
      <c r="Q27" s="231"/>
    </row>
    <row r="28" spans="1:17">
      <c r="A28" s="653"/>
      <c r="B28" s="343" t="s">
        <v>470</v>
      </c>
      <c r="C28" s="231">
        <f t="shared" si="1"/>
        <v>74068.374882898177</v>
      </c>
      <c r="D28" s="231">
        <f t="shared" si="1"/>
        <v>77105.954741593159</v>
      </c>
      <c r="E28" s="231">
        <f t="shared" si="1"/>
        <v>82048.951093344396</v>
      </c>
      <c r="F28" s="231">
        <f t="shared" si="1"/>
        <v>86655.253405514391</v>
      </c>
      <c r="G28" s="231">
        <f t="shared" si="1"/>
        <v>91261.555717684358</v>
      </c>
      <c r="H28" s="231">
        <f t="shared" si="1"/>
        <v>95858.583306150336</v>
      </c>
      <c r="I28" s="231">
        <f t="shared" si="1"/>
        <v>108604.85766172652</v>
      </c>
      <c r="J28" t="s">
        <v>220</v>
      </c>
      <c r="Q28" s="185"/>
    </row>
    <row r="29" spans="1:17">
      <c r="A29" s="626" t="s">
        <v>472</v>
      </c>
      <c r="B29" s="343" t="s">
        <v>228</v>
      </c>
      <c r="C29" s="231">
        <f>$H11*(C17*'Baseline Usage'!$AL82+C18*'Baseline Usage'!$AL83)</f>
        <v>357135.92553191498</v>
      </c>
      <c r="D29" s="231">
        <f>$H11*(D17*'Baseline Usage'!$AL82+D18*'Baseline Usage'!$AL83)</f>
        <v>375463.32851465163</v>
      </c>
      <c r="E29" s="231">
        <f>$H11*(E17*'Baseline Usage'!$AL82+E18*'Baseline Usage'!$AL83)</f>
        <v>392273.18022926716</v>
      </c>
      <c r="F29" s="231">
        <f>$H11*(F17*'Baseline Usage'!$AL82+F18*'Baseline Usage'!$AL83)</f>
        <v>397134.73441752821</v>
      </c>
      <c r="G29" s="231">
        <f>$H11*(G17*'Baseline Usage'!$AL82+G18*'Baseline Usage'!$AL83)</f>
        <v>407685.89650619385</v>
      </c>
      <c r="H29" s="231">
        <f>$H11*(H17*'Baseline Usage'!$AL82+H18*'Baseline Usage'!$AL83)</f>
        <v>416909.2012352536</v>
      </c>
      <c r="I29" s="231">
        <f>$H11*(I17*'Baseline Usage'!$AL82+I18*'Baseline Usage'!$AL83)</f>
        <v>426161.70290563459</v>
      </c>
      <c r="J29" t="s">
        <v>220</v>
      </c>
      <c r="Q29" s="185"/>
    </row>
    <row r="30" spans="1:17">
      <c r="A30" s="627"/>
      <c r="B30" s="343" t="s">
        <v>469</v>
      </c>
      <c r="C30" s="231">
        <f t="shared" ref="C30:I31" si="2">$H12*C19</f>
        <v>16945.48</v>
      </c>
      <c r="D30" s="231">
        <f t="shared" si="2"/>
        <v>17504.963600117058</v>
      </c>
      <c r="E30" s="231">
        <f t="shared" si="2"/>
        <v>18360.716001964884</v>
      </c>
      <c r="F30" s="231">
        <f t="shared" si="2"/>
        <v>19058.639077619038</v>
      </c>
      <c r="G30" s="231">
        <f t="shared" si="2"/>
        <v>19772.724502433168</v>
      </c>
      <c r="H30" s="231">
        <f t="shared" si="2"/>
        <v>20486.809927247297</v>
      </c>
      <c r="I30" s="231">
        <f t="shared" si="2"/>
        <v>21233.220050381384</v>
      </c>
      <c r="J30" t="s">
        <v>220</v>
      </c>
      <c r="Q30" s="185"/>
    </row>
    <row r="31" spans="1:17">
      <c r="A31" s="628"/>
      <c r="B31" s="343" t="s">
        <v>470</v>
      </c>
      <c r="C31" s="231">
        <f t="shared" si="2"/>
        <v>4125.6000000000004</v>
      </c>
      <c r="D31" s="231">
        <f t="shared" si="2"/>
        <v>4294.7928503203275</v>
      </c>
      <c r="E31" s="231">
        <f t="shared" si="2"/>
        <v>4570.1171811298782</v>
      </c>
      <c r="F31" s="231">
        <f t="shared" si="2"/>
        <v>4826.6876924868966</v>
      </c>
      <c r="G31" s="231">
        <f t="shared" si="2"/>
        <v>5083.2582038439132</v>
      </c>
      <c r="H31" s="231">
        <f t="shared" si="2"/>
        <v>5339.3121141525926</v>
      </c>
      <c r="I31" s="231">
        <f t="shared" si="2"/>
        <v>6049.278136284217</v>
      </c>
      <c r="J31" t="s">
        <v>220</v>
      </c>
      <c r="Q31" s="185"/>
    </row>
    <row r="32" spans="1:17">
      <c r="A32" s="286"/>
      <c r="Q32" s="185"/>
    </row>
    <row r="33" spans="1:16">
      <c r="A33" s="626" t="s">
        <v>487</v>
      </c>
      <c r="B33" s="343" t="s">
        <v>485</v>
      </c>
      <c r="C33" s="231">
        <f>'2. Industry'!C49</f>
        <v>150949820.88301694</v>
      </c>
      <c r="D33" s="231">
        <f>'2. Industry'!D49</f>
        <v>158135032.35704854</v>
      </c>
      <c r="E33" s="231">
        <f>'2. Industry'!E49</f>
        <v>164595684.69084165</v>
      </c>
      <c r="F33" s="231">
        <f>'2. Industry'!F49</f>
        <v>165742903.32955262</v>
      </c>
      <c r="G33" s="231">
        <f>'2. Industry'!G49</f>
        <v>169410983.97700992</v>
      </c>
      <c r="H33" s="231">
        <f>'2. Industry'!H49</f>
        <v>172445075.37675855</v>
      </c>
      <c r="I33" s="231">
        <f>'2. Industry'!I49</f>
        <v>175101792.22429967</v>
      </c>
      <c r="J33" t="s">
        <v>317</v>
      </c>
    </row>
    <row r="34" spans="1:16">
      <c r="A34" s="627"/>
      <c r="B34" s="343" t="s">
        <v>218</v>
      </c>
      <c r="C34" s="231">
        <f>'2. Industry'!C50</f>
        <v>689906.4418816095</v>
      </c>
      <c r="D34" s="231">
        <f>'2. Industry'!D50</f>
        <v>722745.98851517413</v>
      </c>
      <c r="E34" s="231">
        <f>'2. Industry'!E50</f>
        <v>752273.98422770691</v>
      </c>
      <c r="F34" s="231">
        <f>'2. Industry'!F50</f>
        <v>757517.27318600717</v>
      </c>
      <c r="G34" s="231">
        <f>'2. Industry'!G50</f>
        <v>774281.99972373038</v>
      </c>
      <c r="H34" s="231">
        <f>'2. Industry'!H50</f>
        <v>788149.11920555076</v>
      </c>
      <c r="I34" s="231">
        <f>'2. Industry'!I50</f>
        <v>800291.47258266702</v>
      </c>
      <c r="J34" t="s">
        <v>220</v>
      </c>
    </row>
    <row r="35" spans="1:16" ht="15.75" thickBot="1">
      <c r="A35" s="628">
        <v>4</v>
      </c>
      <c r="B35" s="343" t="s">
        <v>223</v>
      </c>
      <c r="C35" s="231">
        <f>'2. Industry'!C51</f>
        <v>316156.51419186947</v>
      </c>
      <c r="D35" s="231">
        <f>'2. Industry'!D51</f>
        <v>331205.56426740246</v>
      </c>
      <c r="E35" s="231">
        <f>'2. Industry'!E51</f>
        <v>344737.06307481445</v>
      </c>
      <c r="F35" s="231">
        <f>'2. Industry'!F51</f>
        <v>347139.85258267267</v>
      </c>
      <c r="G35" s="231">
        <f>'2. Industry'!G51</f>
        <v>354822.4558775351</v>
      </c>
      <c r="H35" s="231">
        <f>'2. Industry'!H51</f>
        <v>361177.2018127917</v>
      </c>
      <c r="I35" s="231">
        <f>'2. Industry'!I51</f>
        <v>366741.55646256858</v>
      </c>
      <c r="J35" t="s">
        <v>220</v>
      </c>
    </row>
    <row r="36" spans="1:16">
      <c r="A36" s="286"/>
      <c r="M36" s="631" t="s">
        <v>490</v>
      </c>
      <c r="N36" s="648"/>
      <c r="O36" s="648"/>
      <c r="P36" s="649"/>
    </row>
    <row r="37" spans="1:16" ht="15.75" thickBot="1">
      <c r="M37" s="559"/>
      <c r="N37" s="192" t="s">
        <v>233</v>
      </c>
      <c r="O37" s="192" t="s">
        <v>226</v>
      </c>
      <c r="P37" s="560" t="s">
        <v>230</v>
      </c>
    </row>
    <row r="38" spans="1:16">
      <c r="A38" s="339">
        <v>1</v>
      </c>
      <c r="B38" s="125"/>
      <c r="C38" s="596" t="s">
        <v>16</v>
      </c>
      <c r="D38" s="597"/>
      <c r="E38" s="597"/>
      <c r="F38" s="597"/>
      <c r="G38" s="597"/>
      <c r="H38" s="597"/>
      <c r="I38" s="598"/>
      <c r="M38" s="416" t="s">
        <v>493</v>
      </c>
      <c r="N38">
        <v>0.64454616322532932</v>
      </c>
      <c r="O38">
        <v>0.16265091909509877</v>
      </c>
      <c r="P38" s="116">
        <v>0</v>
      </c>
    </row>
    <row r="39" spans="1:16">
      <c r="B39" s="126" t="s">
        <v>17</v>
      </c>
      <c r="C39" s="585">
        <f>'Baseline Statistics'!D4</f>
        <v>2022</v>
      </c>
      <c r="D39" s="585">
        <f>'Baseline Statistics'!E4</f>
        <v>2025</v>
      </c>
      <c r="E39" s="585">
        <f>'Baseline Statistics'!F4</f>
        <v>2030</v>
      </c>
      <c r="F39" s="585">
        <f>'Baseline Statistics'!G4</f>
        <v>2035</v>
      </c>
      <c r="G39" s="585">
        <f>'Baseline Statistics'!H4</f>
        <v>2040</v>
      </c>
      <c r="H39" s="585">
        <f>'Baseline Statistics'!I4</f>
        <v>2045</v>
      </c>
      <c r="I39" s="586">
        <f>'Baseline Statistics'!J4</f>
        <v>2051</v>
      </c>
      <c r="M39" s="416" t="s">
        <v>494</v>
      </c>
      <c r="N39">
        <v>0</v>
      </c>
      <c r="O39">
        <v>0.22224753360085514</v>
      </c>
      <c r="P39" s="116">
        <v>0</v>
      </c>
    </row>
    <row r="40" spans="1:16">
      <c r="B40" s="563" t="s">
        <v>18</v>
      </c>
      <c r="C40" s="564">
        <f t="shared" ref="C40:I40" si="3">VLOOKUP($A38,$B41:$I44,COLUMN()-1,TRUE)</f>
        <v>1</v>
      </c>
      <c r="D40" s="564">
        <f t="shared" si="3"/>
        <v>1</v>
      </c>
      <c r="E40" s="564">
        <f t="shared" si="3"/>
        <v>1</v>
      </c>
      <c r="F40" s="564">
        <f t="shared" si="3"/>
        <v>1</v>
      </c>
      <c r="G40" s="564">
        <f t="shared" si="3"/>
        <v>1</v>
      </c>
      <c r="H40" s="564">
        <f t="shared" si="3"/>
        <v>1</v>
      </c>
      <c r="I40" s="565">
        <f t="shared" si="3"/>
        <v>1</v>
      </c>
      <c r="M40" s="416" t="s">
        <v>495</v>
      </c>
      <c r="N40">
        <v>0.64454616322532932</v>
      </c>
      <c r="O40">
        <v>0.38489845269595391</v>
      </c>
      <c r="P40" s="116">
        <v>0</v>
      </c>
    </row>
    <row r="41" spans="1:16" ht="15.75" thickBot="1">
      <c r="B41" s="563">
        <v>1</v>
      </c>
      <c r="C41" s="564">
        <v>1</v>
      </c>
      <c r="D41" s="566">
        <v>1</v>
      </c>
      <c r="E41" s="566">
        <v>1</v>
      </c>
      <c r="F41" s="566">
        <v>1</v>
      </c>
      <c r="G41" s="566">
        <v>1</v>
      </c>
      <c r="H41" s="566">
        <v>1</v>
      </c>
      <c r="I41" s="567">
        <v>1</v>
      </c>
      <c r="J41" t="s">
        <v>19</v>
      </c>
      <c r="M41" s="419" t="s">
        <v>497</v>
      </c>
      <c r="N41" s="158">
        <v>0.35545383677467068</v>
      </c>
      <c r="O41" s="158">
        <v>0.61510154730404609</v>
      </c>
      <c r="P41" s="159">
        <v>1</v>
      </c>
    </row>
    <row r="42" spans="1:16">
      <c r="B42" s="563">
        <v>2</v>
      </c>
      <c r="C42" s="564">
        <v>1</v>
      </c>
      <c r="D42" s="564">
        <v>0.95</v>
      </c>
      <c r="E42" s="564">
        <v>0.9</v>
      </c>
      <c r="F42" s="564">
        <v>0.85</v>
      </c>
      <c r="G42" s="564">
        <v>0.8</v>
      </c>
      <c r="H42" s="564">
        <v>0.8</v>
      </c>
      <c r="I42" s="565">
        <v>0.8</v>
      </c>
      <c r="J42" t="s">
        <v>20</v>
      </c>
    </row>
    <row r="43" spans="1:16">
      <c r="B43" s="563">
        <v>3</v>
      </c>
      <c r="C43" s="564">
        <v>1</v>
      </c>
      <c r="D43" s="566">
        <v>0.94</v>
      </c>
      <c r="E43" s="566">
        <v>0.88</v>
      </c>
      <c r="F43" s="566">
        <v>0.8</v>
      </c>
      <c r="G43" s="566">
        <v>0.7</v>
      </c>
      <c r="H43" s="566">
        <v>0.65</v>
      </c>
      <c r="I43" s="567">
        <v>0.6</v>
      </c>
      <c r="J43" t="s">
        <v>21</v>
      </c>
    </row>
    <row r="44" spans="1:16" ht="15.75" thickBot="1">
      <c r="B44" s="563">
        <v>4</v>
      </c>
      <c r="C44" s="84">
        <v>1</v>
      </c>
      <c r="D44" s="82">
        <v>0.88</v>
      </c>
      <c r="E44" s="82">
        <v>0.77</v>
      </c>
      <c r="F44" s="82">
        <v>0.66</v>
      </c>
      <c r="G44" s="82">
        <v>0.55000000000000004</v>
      </c>
      <c r="H44" s="82">
        <v>0.44</v>
      </c>
      <c r="I44" s="107">
        <v>0.33</v>
      </c>
      <c r="J44" t="s">
        <v>22</v>
      </c>
    </row>
    <row r="45" spans="1:16">
      <c r="B45" s="248"/>
      <c r="C45" s="589"/>
      <c r="D45" s="589"/>
      <c r="E45" s="589"/>
      <c r="F45" s="589"/>
      <c r="G45" s="589"/>
      <c r="H45" s="589"/>
      <c r="I45" s="116"/>
      <c r="J45" s="231"/>
      <c r="M45" s="631" t="s">
        <v>724</v>
      </c>
      <c r="N45" s="648"/>
      <c r="O45" s="648"/>
      <c r="P45" s="649"/>
    </row>
    <row r="46" spans="1:16" ht="27.6" customHeight="1" thickBot="1">
      <c r="B46" s="568" t="s">
        <v>488</v>
      </c>
      <c r="C46" s="584">
        <f>'Baseline Statistics'!D4</f>
        <v>2022</v>
      </c>
      <c r="D46" s="584">
        <f>'Baseline Statistics'!E4</f>
        <v>2025</v>
      </c>
      <c r="E46" s="584">
        <f>'Baseline Statistics'!F4</f>
        <v>2030</v>
      </c>
      <c r="F46" s="584">
        <f>'Baseline Statistics'!G4</f>
        <v>2035</v>
      </c>
      <c r="G46" s="584">
        <f>'Baseline Statistics'!H4</f>
        <v>2040</v>
      </c>
      <c r="H46" s="584">
        <f>'Baseline Statistics'!I4</f>
        <v>2045</v>
      </c>
      <c r="I46" s="587">
        <f>'Baseline Statistics'!J4</f>
        <v>2051</v>
      </c>
      <c r="J46" s="231"/>
      <c r="M46" s="419" t="s">
        <v>725</v>
      </c>
      <c r="N46" s="158" t="s">
        <v>235</v>
      </c>
      <c r="O46" s="158" t="s">
        <v>486</v>
      </c>
      <c r="P46" s="159" t="s">
        <v>223</v>
      </c>
    </row>
    <row r="47" spans="1:16" ht="30">
      <c r="B47" s="266" t="s">
        <v>24</v>
      </c>
      <c r="C47" s="590">
        <f>C23*(C$40*($N$76+$N$75)+(1-$N$76-$N$75))</f>
        <v>211486678.15864664</v>
      </c>
      <c r="D47" s="590">
        <f t="shared" ref="D47:I47" si="4">D23*(D$40*($N$76+$N$75)+(1-$N$76-$N$75))</f>
        <v>223514838.21472865</v>
      </c>
      <c r="E47" s="590">
        <f t="shared" si="4"/>
        <v>234818439.13057208</v>
      </c>
      <c r="F47" s="590">
        <f t="shared" si="4"/>
        <v>239597869.20582086</v>
      </c>
      <c r="G47" s="590">
        <f t="shared" si="4"/>
        <v>247503529.86257222</v>
      </c>
      <c r="H47" s="590">
        <f t="shared" si="4"/>
        <v>254775201.27161497</v>
      </c>
      <c r="I47" s="251">
        <f t="shared" si="4"/>
        <v>262880235.27396268</v>
      </c>
      <c r="J47" t="s">
        <v>25</v>
      </c>
      <c r="M47" s="416" t="s">
        <v>494</v>
      </c>
      <c r="N47" s="185">
        <f>'Baseline Usage'!AJ42</f>
        <v>0.27</v>
      </c>
      <c r="O47" s="185">
        <f>'Baseline Usage'!AK42</f>
        <v>0.47343295973432997</v>
      </c>
      <c r="P47" s="185">
        <f>'Baseline Usage'!AL42</f>
        <v>6.24326606680062E-2</v>
      </c>
    </row>
    <row r="48" spans="1:16" ht="30">
      <c r="B48" s="266" t="s">
        <v>26</v>
      </c>
      <c r="C48" s="590">
        <f>C24*(C$40*($N$59+$N$62)+(1-$N$59-$N$62))</f>
        <v>122239252.16110656</v>
      </c>
      <c r="D48" s="590">
        <f t="shared" ref="D48:I48" si="5">D24*(D$40*($N$59+$N$62)+(1-$N$59-$N$62))</f>
        <v>126275187.22312386</v>
      </c>
      <c r="E48" s="590">
        <f t="shared" si="5"/>
        <v>132448310.30001216</v>
      </c>
      <c r="F48" s="590">
        <f t="shared" si="5"/>
        <v>137482903.29082403</v>
      </c>
      <c r="G48" s="590">
        <f t="shared" si="5"/>
        <v>142634086.27935109</v>
      </c>
      <c r="H48" s="590">
        <f t="shared" si="5"/>
        <v>147785269.26787814</v>
      </c>
      <c r="I48" s="251">
        <f t="shared" si="5"/>
        <v>153169632.25183553</v>
      </c>
      <c r="J48" t="s">
        <v>25</v>
      </c>
      <c r="K48" s="231">
        <f>I25*(I40*(SUM(N47:N49))+(1-SUM(N47:N49)))</f>
        <v>231539885.59341928</v>
      </c>
      <c r="M48" s="416" t="s">
        <v>726</v>
      </c>
      <c r="N48" s="185">
        <f>'Baseline Usage'!AJ43</f>
        <v>0.17</v>
      </c>
      <c r="O48" s="185">
        <f>'Baseline Usage'!AK43</f>
        <v>0</v>
      </c>
      <c r="P48" s="185">
        <f>'Baseline Usage'!AL43</f>
        <v>0</v>
      </c>
    </row>
    <row r="49" spans="1:16" ht="30.75" thickBot="1">
      <c r="B49" s="267" t="s">
        <v>27</v>
      </c>
      <c r="C49" s="253">
        <f t="shared" ref="C49:H49" si="6">C25*(C$40*($N$48+$N$49+$N$51+$N$53)+1-($N$48+$N$49+$N$51+$N$53))</f>
        <v>157909907.67552468</v>
      </c>
      <c r="D49" s="253">
        <f t="shared" si="6"/>
        <v>164385869.32314968</v>
      </c>
      <c r="E49" s="253">
        <f t="shared" si="6"/>
        <v>174924079.44021431</v>
      </c>
      <c r="F49" s="253">
        <f t="shared" si="6"/>
        <v>184744475.44580111</v>
      </c>
      <c r="G49" s="253">
        <f t="shared" si="6"/>
        <v>194564871.45138785</v>
      </c>
      <c r="H49" s="253">
        <f t="shared" si="6"/>
        <v>204365494.23032925</v>
      </c>
      <c r="I49" s="254">
        <f>I25*(I$40*($N$48+$N$49+$N$51+$N$53)+1-($N$48+$N$49+$N$51+$N$53))</f>
        <v>231539885.59341928</v>
      </c>
      <c r="J49" s="231" t="s">
        <v>25</v>
      </c>
      <c r="M49" s="416" t="s">
        <v>727</v>
      </c>
      <c r="N49" s="185">
        <f>'Baseline Usage'!AJ44</f>
        <v>0.2</v>
      </c>
      <c r="O49" s="185">
        <f>'Baseline Usage'!AK44</f>
        <v>0</v>
      </c>
      <c r="P49" s="185">
        <f>'Baseline Usage'!AL44</f>
        <v>0</v>
      </c>
    </row>
    <row r="50" spans="1:16" ht="15.75" thickBot="1">
      <c r="B50" s="291"/>
      <c r="C50" s="231"/>
      <c r="D50" s="231"/>
      <c r="E50" s="231"/>
      <c r="F50" s="231"/>
      <c r="G50" s="231"/>
      <c r="H50" s="231"/>
      <c r="I50" s="231"/>
      <c r="J50" s="231"/>
      <c r="M50" s="416" t="s">
        <v>493</v>
      </c>
      <c r="N50" s="185">
        <f>'Baseline Usage'!AJ45</f>
        <v>0.15</v>
      </c>
      <c r="O50" s="185">
        <f>'Baseline Usage'!AK45</f>
        <v>0.375856950576751</v>
      </c>
      <c r="P50" s="185">
        <f>'Baseline Usage'!AL45</f>
        <v>0.93212195335022296</v>
      </c>
    </row>
    <row r="51" spans="1:16" ht="25.5">
      <c r="B51" s="296" t="s">
        <v>489</v>
      </c>
      <c r="C51" s="583">
        <f>'Baseline Statistics'!D4</f>
        <v>2022</v>
      </c>
      <c r="D51" s="583">
        <f>'Baseline Statistics'!E4</f>
        <v>2025</v>
      </c>
      <c r="E51" s="583">
        <f>'Baseline Statistics'!F4</f>
        <v>2030</v>
      </c>
      <c r="F51" s="583">
        <f>'Baseline Statistics'!G4</f>
        <v>2035</v>
      </c>
      <c r="G51" s="583">
        <f>'Baseline Statistics'!H4</f>
        <v>2040</v>
      </c>
      <c r="H51" s="583">
        <f>'Baseline Statistics'!I4</f>
        <v>2045</v>
      </c>
      <c r="I51" s="588">
        <f>'Baseline Statistics'!J4</f>
        <v>2051</v>
      </c>
      <c r="J51" s="231"/>
      <c r="M51" s="416" t="s">
        <v>728</v>
      </c>
      <c r="N51" s="185">
        <f>'Baseline Usage'!AJ46</f>
        <v>0.13</v>
      </c>
      <c r="O51" s="185">
        <f>'Baseline Usage'!AK46</f>
        <v>0</v>
      </c>
      <c r="P51" s="185">
        <f>'Baseline Usage'!AL46</f>
        <v>0</v>
      </c>
    </row>
    <row r="52" spans="1:16">
      <c r="B52" s="248" t="s">
        <v>234</v>
      </c>
      <c r="C52" s="591">
        <f>$N$77/(1-('Baseline Usage'!$AJ71+'Baseline Usage'!$AJ70)+('Baseline Usage'!$AJ71+'Baseline Usage'!$AJ70)*C$40)</f>
        <v>7.6907848559927532E-3</v>
      </c>
      <c r="D52" s="591">
        <f>$N$77/(1-('Baseline Usage'!$AJ71+'Baseline Usage'!$AJ70)+('Baseline Usage'!$AJ71+'Baseline Usage'!$AJ70)*D$40)</f>
        <v>7.6907848559927532E-3</v>
      </c>
      <c r="E52" s="591">
        <f>$N$77/(1-('Baseline Usage'!$AJ71+'Baseline Usage'!$AJ70)+('Baseline Usage'!$AJ71+'Baseline Usage'!$AJ70)*E$40)</f>
        <v>7.6907848559927532E-3</v>
      </c>
      <c r="F52" s="591">
        <f>$N$77/(1-('Baseline Usage'!$AJ71+'Baseline Usage'!$AJ70)+('Baseline Usage'!$AJ71+'Baseline Usage'!$AJ70)*F$40)</f>
        <v>7.6907848559927532E-3</v>
      </c>
      <c r="G52" s="591">
        <f>$N$77/(1-('Baseline Usage'!$AJ71+'Baseline Usage'!$AJ70)+('Baseline Usage'!$AJ71+'Baseline Usage'!$AJ70)*G$40)</f>
        <v>7.6907848559927532E-3</v>
      </c>
      <c r="H52" s="591">
        <f>$N$77/(1-('Baseline Usage'!$AJ71+'Baseline Usage'!$AJ70)+('Baseline Usage'!$AJ71+'Baseline Usage'!$AJ70)*H$40)</f>
        <v>7.6907848559927532E-3</v>
      </c>
      <c r="I52" s="294">
        <f>$N$77/(1-('Baseline Usage'!$AJ71+'Baseline Usage'!$AJ70)+('Baseline Usage'!$AJ71+'Baseline Usage'!$AJ70)*I$40)</f>
        <v>7.6907848559927532E-3</v>
      </c>
      <c r="J52" s="231"/>
      <c r="M52" s="416" t="s">
        <v>729</v>
      </c>
      <c r="N52" s="185">
        <f>'Baseline Usage'!AJ47</f>
        <v>0.05</v>
      </c>
      <c r="O52" s="185">
        <f>'Baseline Usage'!AK47</f>
        <v>0.150710089688919</v>
      </c>
      <c r="P52" s="185">
        <f>'Baseline Usage'!AL47</f>
        <v>5.4453859817710599E-3</v>
      </c>
    </row>
    <row r="53" spans="1:16">
      <c r="B53" s="248" t="s">
        <v>236</v>
      </c>
      <c r="C53" s="591">
        <f>'Baseline Usage'!$AJ$58/(1-('Baseline Usage'!$AJ57+'Baseline Usage'!$AJ54)+('Baseline Usage'!$AJ57+'Baseline Usage'!$AJ54)*C$40)</f>
        <v>0.19055719196366977</v>
      </c>
      <c r="D53" s="591">
        <f>'Baseline Usage'!$AJ$58/(1-('Baseline Usage'!$AJ57+'Baseline Usage'!$AJ54)+('Baseline Usage'!$AJ57+'Baseline Usage'!$AJ54)*D$40)</f>
        <v>0.19055719196366977</v>
      </c>
      <c r="E53" s="591">
        <f>'Baseline Usage'!$AJ$58/(1-('Baseline Usage'!$AJ57+'Baseline Usage'!$AJ54)+('Baseline Usage'!$AJ57+'Baseline Usage'!$AJ54)*E$40)</f>
        <v>0.19055719196366977</v>
      </c>
      <c r="F53" s="591">
        <f>'Baseline Usage'!$AJ$58/(1-('Baseline Usage'!$AJ57+'Baseline Usage'!$AJ54)+('Baseline Usage'!$AJ57+'Baseline Usage'!$AJ54)*F$40)</f>
        <v>0.19055719196366977</v>
      </c>
      <c r="G53" s="591">
        <f>'Baseline Usage'!$AJ$58/(1-('Baseline Usage'!$AJ57+'Baseline Usage'!$AJ54)+('Baseline Usage'!$AJ57+'Baseline Usage'!$AJ54)*G$40)</f>
        <v>0.19055719196366977</v>
      </c>
      <c r="H53" s="591">
        <f>'Baseline Usage'!$AJ$58/(1-('Baseline Usage'!$AJ57+'Baseline Usage'!$AJ54)+('Baseline Usage'!$AJ57+'Baseline Usage'!$AJ54)*H$40)</f>
        <v>0.19055719196366977</v>
      </c>
      <c r="I53" s="294">
        <f>'Baseline Usage'!$AJ$58/(1-('Baseline Usage'!$AJ57+'Baseline Usage'!$AJ54)+('Baseline Usage'!$AJ57+'Baseline Usage'!$AJ54)*I$40)</f>
        <v>0.19055719196366977</v>
      </c>
      <c r="J53" s="231"/>
      <c r="M53" s="416" t="s">
        <v>730</v>
      </c>
      <c r="N53" s="185">
        <f>'Baseline Usage'!AJ48</f>
        <v>0.03</v>
      </c>
      <c r="O53" s="185">
        <f>'Baseline Usage'!AK48</f>
        <v>0</v>
      </c>
      <c r="P53" s="185">
        <f>'Baseline Usage'!AL48</f>
        <v>0</v>
      </c>
    </row>
    <row r="54" spans="1:16" ht="15.75" thickBot="1">
      <c r="B54" s="248" t="s">
        <v>27</v>
      </c>
      <c r="C54" s="591">
        <f>$N50/(1-('Baseline Usage'!$AJ46+'Baseline Usage'!$AJ44+'Baseline Usage'!$AJ43)+('Baseline Usage'!$AJ46+'Baseline Usage'!$AJ44+'Baseline Usage'!$AJ43)*C40)</f>
        <v>0.15</v>
      </c>
      <c r="D54" s="591">
        <f>$N50/(1-('Baseline Usage'!$AJ46+'Baseline Usage'!$AJ44+'Baseline Usage'!$AJ43)+('Baseline Usage'!$AJ46+'Baseline Usage'!$AJ44+'Baseline Usage'!$AJ43)*D40)</f>
        <v>0.15</v>
      </c>
      <c r="E54" s="591">
        <f>$N50/(1-('Baseline Usage'!$AJ46+'Baseline Usage'!$AJ44+'Baseline Usage'!$AJ43)+('Baseline Usage'!$AJ46+'Baseline Usage'!$AJ44+'Baseline Usage'!$AJ43)*E40)</f>
        <v>0.15</v>
      </c>
      <c r="F54" s="591">
        <f>$N50/(1-('Baseline Usage'!$AJ46+'Baseline Usage'!$AJ44+'Baseline Usage'!$AJ43)+('Baseline Usage'!$AJ46+'Baseline Usage'!$AJ44+'Baseline Usage'!$AJ43)*F40)</f>
        <v>0.15</v>
      </c>
      <c r="G54" s="591">
        <f>$N50/(1-('Baseline Usage'!$AJ46+'Baseline Usage'!$AJ44+'Baseline Usage'!$AJ43)+('Baseline Usage'!$AJ46+'Baseline Usage'!$AJ44+'Baseline Usage'!$AJ43)*G40)</f>
        <v>0.15</v>
      </c>
      <c r="H54" s="591">
        <f>$N50/(1-('Baseline Usage'!$AJ46+'Baseline Usage'!$AJ44+'Baseline Usage'!$AJ43)+('Baseline Usage'!$AJ46+'Baseline Usage'!$AJ44+'Baseline Usage'!$AJ43)*H40)</f>
        <v>0.15</v>
      </c>
      <c r="I54" s="294">
        <f>$N50/(1-('Baseline Usage'!$AJ46+'Baseline Usage'!$AJ44+'Baseline Usage'!$AJ43)+('Baseline Usage'!$AJ46+'Baseline Usage'!$AJ44+'Baseline Usage'!$AJ43)*I40)</f>
        <v>0.15</v>
      </c>
      <c r="J54" s="231"/>
      <c r="M54" s="419" t="s">
        <v>731</v>
      </c>
      <c r="N54" s="185">
        <f>'Baseline Usage'!AJ49</f>
        <v>0.45000000000000007</v>
      </c>
      <c r="O54" s="185">
        <f>'Baseline Usage'!AK49</f>
        <v>0.84928991031108092</v>
      </c>
      <c r="P54" s="185">
        <f>'Baseline Usage'!AL49</f>
        <v>0.9945546140182292</v>
      </c>
    </row>
    <row r="55" spans="1:16">
      <c r="B55" s="248"/>
      <c r="C55" s="592"/>
      <c r="D55" s="592"/>
      <c r="E55" s="592"/>
      <c r="F55" s="592"/>
      <c r="G55" s="592"/>
      <c r="H55" s="592"/>
      <c r="I55" s="299"/>
    </row>
    <row r="56" spans="1:16" ht="15.75" thickBot="1">
      <c r="B56" s="248"/>
      <c r="C56" s="592"/>
      <c r="D56" s="592"/>
      <c r="E56" s="592"/>
      <c r="F56" s="592"/>
      <c r="G56" s="592"/>
      <c r="H56" s="592"/>
      <c r="I56" s="299"/>
    </row>
    <row r="57" spans="1:16">
      <c r="A57" s="339">
        <v>1</v>
      </c>
      <c r="B57" s="125"/>
      <c r="C57" s="596" t="s">
        <v>491</v>
      </c>
      <c r="D57" s="597"/>
      <c r="E57" s="597"/>
      <c r="F57" s="597"/>
      <c r="G57" s="597"/>
      <c r="H57" s="597"/>
      <c r="I57" s="598"/>
      <c r="J57" t="s">
        <v>492</v>
      </c>
      <c r="M57" s="631" t="s">
        <v>732</v>
      </c>
      <c r="N57" s="648"/>
      <c r="O57" s="648"/>
      <c r="P57" s="649"/>
    </row>
    <row r="58" spans="1:16" ht="15.75" thickBot="1">
      <c r="B58" s="126" t="s">
        <v>17</v>
      </c>
      <c r="C58" s="561">
        <f>C51</f>
        <v>2022</v>
      </c>
      <c r="D58" s="561">
        <f t="shared" ref="D58:I58" si="7">D51</f>
        <v>2025</v>
      </c>
      <c r="E58" s="561">
        <f t="shared" si="7"/>
        <v>2030</v>
      </c>
      <c r="F58" s="561">
        <f t="shared" si="7"/>
        <v>2035</v>
      </c>
      <c r="G58" s="561">
        <f t="shared" si="7"/>
        <v>2040</v>
      </c>
      <c r="H58" s="561">
        <f t="shared" si="7"/>
        <v>2045</v>
      </c>
      <c r="I58" s="562">
        <f t="shared" si="7"/>
        <v>2051</v>
      </c>
      <c r="M58" s="419" t="s">
        <v>725</v>
      </c>
      <c r="N58" s="158" t="s">
        <v>235</v>
      </c>
      <c r="O58" s="158" t="s">
        <v>486</v>
      </c>
      <c r="P58" s="159" t="s">
        <v>223</v>
      </c>
    </row>
    <row r="59" spans="1:16">
      <c r="B59" s="563" t="s">
        <v>18</v>
      </c>
      <c r="C59" s="564">
        <f t="shared" ref="C59:I59" si="8">VLOOKUP($A57,$B60:$I63,COLUMN()-1,TRUE)</f>
        <v>1</v>
      </c>
      <c r="D59" s="564">
        <f t="shared" si="8"/>
        <v>1</v>
      </c>
      <c r="E59" s="564">
        <f t="shared" si="8"/>
        <v>1</v>
      </c>
      <c r="F59" s="564">
        <f t="shared" si="8"/>
        <v>1</v>
      </c>
      <c r="G59" s="564">
        <f t="shared" si="8"/>
        <v>1</v>
      </c>
      <c r="H59" s="564">
        <f t="shared" si="8"/>
        <v>1</v>
      </c>
      <c r="I59" s="565">
        <f t="shared" si="8"/>
        <v>1</v>
      </c>
      <c r="M59" s="248" t="s">
        <v>735</v>
      </c>
      <c r="N59" s="185">
        <f>'Baseline Usage'!AJ54</f>
        <v>0.11228215941881201</v>
      </c>
      <c r="O59" s="185">
        <f>'Baseline Usage'!AK54</f>
        <v>0</v>
      </c>
      <c r="P59" s="185">
        <f>'Baseline Usage'!AL54</f>
        <v>0</v>
      </c>
    </row>
    <row r="60" spans="1:16">
      <c r="B60" s="563">
        <v>1</v>
      </c>
      <c r="C60" s="564">
        <v>1</v>
      </c>
      <c r="D60" s="566">
        <v>1</v>
      </c>
      <c r="E60" s="566">
        <v>1</v>
      </c>
      <c r="F60" s="566">
        <v>1</v>
      </c>
      <c r="G60" s="566">
        <v>1</v>
      </c>
      <c r="H60" s="566">
        <v>1</v>
      </c>
      <c r="I60" s="567">
        <v>1</v>
      </c>
      <c r="J60" t="s">
        <v>285</v>
      </c>
      <c r="M60" s="248" t="s">
        <v>737</v>
      </c>
      <c r="N60" s="185">
        <f>'Baseline Usage'!AJ55</f>
        <v>3.3253345971336536E-2</v>
      </c>
      <c r="O60" s="185">
        <f>'Baseline Usage'!AK55</f>
        <v>6.7054863987970573E-2</v>
      </c>
      <c r="P60" s="185">
        <f>'Baseline Usage'!AL55</f>
        <v>0</v>
      </c>
    </row>
    <row r="61" spans="1:16">
      <c r="B61" s="563">
        <v>2</v>
      </c>
      <c r="C61" s="564">
        <v>1</v>
      </c>
      <c r="D61" s="564">
        <v>0.99</v>
      </c>
      <c r="E61" s="564">
        <v>0.98</v>
      </c>
      <c r="F61" s="564">
        <v>0.97</v>
      </c>
      <c r="G61" s="564">
        <v>0.96</v>
      </c>
      <c r="H61" s="564">
        <v>0.95</v>
      </c>
      <c r="I61" s="565">
        <v>0.9</v>
      </c>
      <c r="J61" t="s">
        <v>496</v>
      </c>
      <c r="M61" s="248" t="s">
        <v>738</v>
      </c>
      <c r="N61" s="185">
        <f>'Baseline Usage'!AJ56</f>
        <v>7.6907848559927532E-3</v>
      </c>
      <c r="O61" s="185">
        <f>'Baseline Usage'!AK56</f>
        <v>0</v>
      </c>
      <c r="P61" s="185">
        <f>'Baseline Usage'!AL56</f>
        <v>0.12262653085858072</v>
      </c>
    </row>
    <row r="62" spans="1:16">
      <c r="B62" s="563">
        <v>3</v>
      </c>
      <c r="C62" s="564">
        <v>1</v>
      </c>
      <c r="D62" s="566">
        <v>0.95</v>
      </c>
      <c r="E62" s="566">
        <v>0.9</v>
      </c>
      <c r="F62" s="566">
        <v>0.85</v>
      </c>
      <c r="G62" s="566">
        <v>0.8</v>
      </c>
      <c r="H62" s="566">
        <v>0.75</v>
      </c>
      <c r="I62" s="567">
        <v>0.7</v>
      </c>
      <c r="J62" t="s">
        <v>498</v>
      </c>
      <c r="M62" s="248" t="s">
        <v>728</v>
      </c>
      <c r="N62" s="185">
        <f>'Baseline Usage'!AJ57</f>
        <v>0.23298518834024226</v>
      </c>
      <c r="O62" s="185">
        <f>'Baseline Usage'!AK57</f>
        <v>0</v>
      </c>
      <c r="P62" s="185">
        <f>'Baseline Usage'!AL57</f>
        <v>0</v>
      </c>
    </row>
    <row r="63" spans="1:16" ht="15.75" thickBot="1">
      <c r="B63" s="563">
        <v>4</v>
      </c>
      <c r="C63" s="84">
        <v>1</v>
      </c>
      <c r="D63" s="82">
        <v>0.95</v>
      </c>
      <c r="E63" s="82">
        <v>0.85</v>
      </c>
      <c r="F63" s="82">
        <v>0.75</v>
      </c>
      <c r="G63" s="82">
        <v>0.65</v>
      </c>
      <c r="H63" s="82">
        <v>0.6</v>
      </c>
      <c r="I63" s="107">
        <v>0.5</v>
      </c>
      <c r="J63" t="s">
        <v>499</v>
      </c>
      <c r="M63" s="248" t="s">
        <v>739</v>
      </c>
      <c r="N63" s="185">
        <f>'Baseline Usage'!AJ58</f>
        <v>0.19055719196366977</v>
      </c>
      <c r="O63" s="185">
        <f>'Baseline Usage'!AK58</f>
        <v>0.84009567011973885</v>
      </c>
      <c r="P63" s="185">
        <f>'Baseline Usage'!AL58</f>
        <v>0.57150815684162648</v>
      </c>
    </row>
    <row r="64" spans="1:16">
      <c r="B64" s="248"/>
      <c r="C64" s="589"/>
      <c r="D64" s="589"/>
      <c r="E64" s="589"/>
      <c r="F64" s="589"/>
      <c r="G64" s="589"/>
      <c r="H64" s="589"/>
      <c r="I64" s="116"/>
      <c r="M64" s="248" t="s">
        <v>741</v>
      </c>
      <c r="N64" s="185">
        <f>'Baseline Usage'!AJ59</f>
        <v>9.7305825679542615E-2</v>
      </c>
      <c r="O64" s="185">
        <f>'Baseline Usage'!AK59</f>
        <v>9.2561850025986339E-2</v>
      </c>
      <c r="P64" s="185">
        <f>'Baseline Usage'!AL59</f>
        <v>0.30586531229979302</v>
      </c>
    </row>
    <row r="65" spans="2:16" ht="25.5">
      <c r="B65" s="568" t="s">
        <v>488</v>
      </c>
      <c r="C65" s="584">
        <f>'Baseline Statistics'!D4</f>
        <v>2022</v>
      </c>
      <c r="D65" s="584">
        <f>'Baseline Statistics'!E4</f>
        <v>2025</v>
      </c>
      <c r="E65" s="584">
        <f>'Baseline Statistics'!F4</f>
        <v>2030</v>
      </c>
      <c r="F65" s="584">
        <f>'Baseline Statistics'!G4</f>
        <v>2035</v>
      </c>
      <c r="G65" s="584">
        <f>'Baseline Statistics'!H4</f>
        <v>2040</v>
      </c>
      <c r="H65" s="584">
        <f>'Baseline Statistics'!I4</f>
        <v>2045</v>
      </c>
      <c r="I65" s="587">
        <f>'Baseline Statistics'!J4</f>
        <v>2051</v>
      </c>
      <c r="M65" s="248" t="s">
        <v>726</v>
      </c>
      <c r="N65" s="185">
        <f>'Baseline Usage'!AJ60</f>
        <v>0.16760871782258405</v>
      </c>
      <c r="O65" s="185">
        <f>'Baseline Usage'!AK60</f>
        <v>0</v>
      </c>
      <c r="P65" s="185">
        <f>'Baseline Usage'!AL60</f>
        <v>0</v>
      </c>
    </row>
    <row r="66" spans="2:16" ht="30">
      <c r="B66" s="266" t="s">
        <v>24</v>
      </c>
      <c r="C66" s="590">
        <f t="shared" ref="C66:I68" si="9">C47*(C$59*$C52+(1-$C52))</f>
        <v>211486678.15864664</v>
      </c>
      <c r="D66" s="590">
        <f t="shared" si="9"/>
        <v>223514838.21472865</v>
      </c>
      <c r="E66" s="590">
        <f t="shared" si="9"/>
        <v>234818439.13057208</v>
      </c>
      <c r="F66" s="590">
        <f t="shared" si="9"/>
        <v>239597869.20582086</v>
      </c>
      <c r="G66" s="590">
        <f t="shared" si="9"/>
        <v>247503529.86257222</v>
      </c>
      <c r="H66" s="590">
        <f t="shared" si="9"/>
        <v>254775201.27161497</v>
      </c>
      <c r="I66" s="251">
        <f t="shared" si="9"/>
        <v>262880235.27396268</v>
      </c>
      <c r="J66" t="s">
        <v>25</v>
      </c>
      <c r="K66" s="295"/>
      <c r="L66" s="295"/>
      <c r="M66" s="248" t="s">
        <v>744</v>
      </c>
      <c r="N66" s="185">
        <f>'Baseline Usage'!AJ61</f>
        <v>7.8087562165177898E-2</v>
      </c>
      <c r="O66" s="185">
        <f>'Baseline Usage'!AK61</f>
        <v>0</v>
      </c>
      <c r="P66" s="185">
        <f>'Baseline Usage'!AL61</f>
        <v>0</v>
      </c>
    </row>
    <row r="67" spans="2:16" ht="30">
      <c r="B67" s="266" t="s">
        <v>26</v>
      </c>
      <c r="C67" s="590">
        <f t="shared" si="9"/>
        <v>122239252.16110656</v>
      </c>
      <c r="D67" s="590">
        <f t="shared" si="9"/>
        <v>126275187.22312386</v>
      </c>
      <c r="E67" s="590">
        <f t="shared" si="9"/>
        <v>132448310.30001216</v>
      </c>
      <c r="F67" s="590">
        <f t="shared" si="9"/>
        <v>137482903.29082403</v>
      </c>
      <c r="G67" s="590">
        <f t="shared" si="9"/>
        <v>142634086.27935109</v>
      </c>
      <c r="H67" s="590">
        <f t="shared" si="9"/>
        <v>147785269.26787814</v>
      </c>
      <c r="I67" s="251">
        <f t="shared" si="9"/>
        <v>153169632.25183553</v>
      </c>
      <c r="J67" t="s">
        <v>25</v>
      </c>
      <c r="M67" s="248" t="s">
        <v>746</v>
      </c>
      <c r="N67" s="185">
        <f>'Baseline Usage'!AJ62</f>
        <v>7.9162892263022436E-2</v>
      </c>
      <c r="O67" s="185">
        <f>'Baseline Usage'!AK62</f>
        <v>0</v>
      </c>
      <c r="P67" s="185">
        <f>'Baseline Usage'!AL62</f>
        <v>0</v>
      </c>
    </row>
    <row r="68" spans="2:16" ht="30">
      <c r="B68" s="266" t="s">
        <v>500</v>
      </c>
      <c r="C68" s="590">
        <f t="shared" si="9"/>
        <v>157909907.67552468</v>
      </c>
      <c r="D68" s="590">
        <f t="shared" si="9"/>
        <v>164385869.32314968</v>
      </c>
      <c r="E68" s="590">
        <f t="shared" si="9"/>
        <v>174924079.44021431</v>
      </c>
      <c r="F68" s="590">
        <f t="shared" si="9"/>
        <v>184744475.44580111</v>
      </c>
      <c r="G68" s="590">
        <f t="shared" si="9"/>
        <v>194564871.45138785</v>
      </c>
      <c r="H68" s="590">
        <f t="shared" si="9"/>
        <v>204365494.23032925</v>
      </c>
      <c r="I68" s="251">
        <f t="shared" si="9"/>
        <v>231539885.59341928</v>
      </c>
      <c r="J68" t="s">
        <v>25</v>
      </c>
      <c r="M68" s="248" t="s">
        <v>748</v>
      </c>
      <c r="N68" s="185">
        <f>'Baseline Usage'!AJ63</f>
        <v>1.0663315196199001E-3</v>
      </c>
      <c r="O68" s="185">
        <f>'Baseline Usage'!AK63</f>
        <v>0</v>
      </c>
      <c r="P68" s="185">
        <f>'Baseline Usage'!AL63</f>
        <v>0</v>
      </c>
    </row>
    <row r="69" spans="2:16">
      <c r="B69" s="266" t="s">
        <v>501</v>
      </c>
      <c r="C69" s="590">
        <f>C26*(C$59*'Baseline Usage'!$AK72+(1-'Baseline Usage'!$AK72))</f>
        <v>784288.83699619456</v>
      </c>
      <c r="D69" s="590">
        <f>D26*(D$59*'Baseline Usage'!$AK72+(1-'Baseline Usage'!$AK72))</f>
        <v>824678.97523892613</v>
      </c>
      <c r="E69" s="590">
        <f>E26*(E$59*'Baseline Usage'!$AK72+(1-'Baseline Usage'!$AK72))</f>
        <v>861757.56256062537</v>
      </c>
      <c r="F69" s="590">
        <f>F26*(F$59*'Baseline Usage'!$AK72+(1-'Baseline Usage'!$AK72))</f>
        <v>872663.79522580106</v>
      </c>
      <c r="G69" s="590">
        <f>G26*(G$59*'Baseline Usage'!$AK72+(1-'Baseline Usage'!$AK72))</f>
        <v>896035.28942154499</v>
      </c>
      <c r="H69" s="590">
        <f>H26*(H$59*'Baseline Usage'!$AK72+(1-'Baseline Usage'!$AK72))</f>
        <v>916509.17656138656</v>
      </c>
      <c r="I69" s="251">
        <f>I26*(I$59*'Baseline Usage'!$AK72+(1-'Baseline Usage'!$AK72))</f>
        <v>937145.94549881539</v>
      </c>
      <c r="J69" t="s">
        <v>220</v>
      </c>
      <c r="M69" s="248" t="s">
        <v>342</v>
      </c>
      <c r="N69" s="185">
        <f>'Baseline Usage'!AJ64</f>
        <v>1</v>
      </c>
      <c r="O69" s="185">
        <f>'Baseline Usage'!AK64</f>
        <v>0</v>
      </c>
      <c r="P69" s="185">
        <f>'Baseline Usage'!AL64</f>
        <v>0</v>
      </c>
    </row>
    <row r="70" spans="2:16" ht="30.75" thickBot="1">
      <c r="B70" s="266" t="s">
        <v>502</v>
      </c>
      <c r="C70" s="590">
        <f>C27*(C$59*'Baseline Usage'!$AK58+(1-'Baseline Usage'!$AK58))</f>
        <v>94534.974496165116</v>
      </c>
      <c r="D70" s="590">
        <f>D27*(D$59*'Baseline Usage'!$AK58+(1-'Baseline Usage'!$AK58))</f>
        <v>97656.206108848201</v>
      </c>
      <c r="E70" s="590">
        <f>E27*(E$59*'Baseline Usage'!$AK58+(1-'Baseline Usage'!$AK58))</f>
        <v>102430.25390706437</v>
      </c>
      <c r="F70" s="590">
        <f>F27*(F$59*'Baseline Usage'!$AK58+(1-'Baseline Usage'!$AK58))</f>
        <v>106323.80783160651</v>
      </c>
      <c r="G70" s="590">
        <f>G27*(G$59*'Baseline Usage'!$AK58+(1-'Baseline Usage'!$AK58))</f>
        <v>110307.52782200437</v>
      </c>
      <c r="H70" s="590">
        <f>H27*(H$59*'Baseline Usage'!$AK58+(1-'Baseline Usage'!$AK58))</f>
        <v>114291.24781240223</v>
      </c>
      <c r="I70" s="251">
        <f>I27*(I$59*'Baseline Usage'!$AK58+(1-'Baseline Usage'!$AK58))</f>
        <v>118455.29993451151</v>
      </c>
      <c r="J70" t="s">
        <v>220</v>
      </c>
      <c r="K70" s="231"/>
      <c r="L70" s="185"/>
      <c r="M70" s="252" t="s">
        <v>731</v>
      </c>
      <c r="N70" s="185">
        <f>'Baseline Usage'!AJ65</f>
        <v>0.29555380249920515</v>
      </c>
      <c r="O70" s="185">
        <f>'Baseline Usage'!AK65</f>
        <v>0.93265752014572523</v>
      </c>
      <c r="P70" s="185">
        <f>'Baseline Usage'!AL65</f>
        <v>1.0000000000000002</v>
      </c>
    </row>
    <row r="71" spans="2:16">
      <c r="B71" s="266" t="s">
        <v>503</v>
      </c>
      <c r="C71" s="590">
        <f>C28*(C$59*'Baseline Usage'!$AK45+(1-'Baseline Usage'!$AK45))</f>
        <v>74068.374882898177</v>
      </c>
      <c r="D71" s="590">
        <f>D28*(D$59*'Baseline Usage'!$AK45+(1-'Baseline Usage'!$AK45))</f>
        <v>77105.954741593159</v>
      </c>
      <c r="E71" s="590">
        <f>E28*(E$59*'Baseline Usage'!$AK45+(1-'Baseline Usage'!$AK45))</f>
        <v>82048.951093344396</v>
      </c>
      <c r="F71" s="590">
        <f>F28*(F$59*'Baseline Usage'!$AK45+(1-'Baseline Usage'!$AK45))</f>
        <v>86655.253405514391</v>
      </c>
      <c r="G71" s="590">
        <f>G28*(G$59*'Baseline Usage'!$AK45+(1-'Baseline Usage'!$AK45))</f>
        <v>91261.555717684358</v>
      </c>
      <c r="H71" s="590">
        <f>H28*(H$59*'Baseline Usage'!$AK45+(1-'Baseline Usage'!$AK45))</f>
        <v>95858.583306150336</v>
      </c>
      <c r="I71" s="251">
        <f>I28*(I$59*'Baseline Usage'!$AK45+(1-'Baseline Usage'!$AK45))</f>
        <v>108604.85766172652</v>
      </c>
      <c r="J71" t="s">
        <v>220</v>
      </c>
    </row>
    <row r="72" spans="2:16" ht="15.75" thickBot="1">
      <c r="B72" s="266" t="s">
        <v>504</v>
      </c>
      <c r="C72" s="590">
        <f>C29*(C$59*'Baseline Usage'!$AJ72+(1-'Baseline Usage'!$AJ72))</f>
        <v>357135.92553191498</v>
      </c>
      <c r="D72" s="590">
        <f>D29*(D$59*'Baseline Usage'!$AJ72+(1-'Baseline Usage'!$AJ72))</f>
        <v>375463.32851465163</v>
      </c>
      <c r="E72" s="590">
        <f>E29*(E$59*'Baseline Usage'!$AJ72+(1-'Baseline Usage'!$AJ72))</f>
        <v>392273.18022926716</v>
      </c>
      <c r="F72" s="590">
        <f>F29*(F$59*'Baseline Usage'!$AJ72+(1-'Baseline Usage'!$AJ72))</f>
        <v>397134.73441752821</v>
      </c>
      <c r="G72" s="590">
        <f>G29*(G$59*'Baseline Usage'!$AJ72+(1-'Baseline Usage'!$AJ72))</f>
        <v>407685.89650619385</v>
      </c>
      <c r="H72" s="590">
        <f>H29*(H$59*'Baseline Usage'!$AJ72+(1-'Baseline Usage'!$AJ72))</f>
        <v>416909.2012352536</v>
      </c>
      <c r="I72" s="251">
        <f>I29*(I$59*'Baseline Usage'!$AJ72+(1-'Baseline Usage'!$AJ72))</f>
        <v>426161.70290563459</v>
      </c>
      <c r="J72" t="s">
        <v>220</v>
      </c>
    </row>
    <row r="73" spans="2:16" ht="30">
      <c r="B73" s="266" t="s">
        <v>505</v>
      </c>
      <c r="C73" s="590">
        <f>C30*(C$59*'Baseline Usage'!$AJ58+(1-'Baseline Usage'!$AJ58))</f>
        <v>16945.48</v>
      </c>
      <c r="D73" s="590">
        <f>D30*(D$59*'Baseline Usage'!$AJ58+(1-'Baseline Usage'!$AJ58))</f>
        <v>17504.963600117058</v>
      </c>
      <c r="E73" s="590">
        <f>E30*(E$59*'Baseline Usage'!$AJ58+(1-'Baseline Usage'!$AJ58))</f>
        <v>18360.716001964884</v>
      </c>
      <c r="F73" s="590">
        <f>F30*(F$59*'Baseline Usage'!$AJ58+(1-'Baseline Usage'!$AJ58))</f>
        <v>19058.639077619038</v>
      </c>
      <c r="G73" s="590">
        <f>G30*(G$59*'Baseline Usage'!$AJ58+(1-'Baseline Usage'!$AJ58))</f>
        <v>19772.724502433168</v>
      </c>
      <c r="H73" s="590">
        <f>H30*(H$59*'Baseline Usage'!$AJ58+(1-'Baseline Usage'!$AJ58))</f>
        <v>20486.809927247297</v>
      </c>
      <c r="I73" s="251">
        <f>I30*(I$59*'Baseline Usage'!$AJ58+(1-'Baseline Usage'!$AJ58))</f>
        <v>21233.220050381384</v>
      </c>
      <c r="J73" t="s">
        <v>220</v>
      </c>
      <c r="M73" s="631" t="s">
        <v>753</v>
      </c>
      <c r="N73" s="648"/>
      <c r="O73" s="648"/>
      <c r="P73" s="649"/>
    </row>
    <row r="74" spans="2:16" ht="30.75" thickBot="1">
      <c r="B74" s="266" t="s">
        <v>506</v>
      </c>
      <c r="C74" s="590">
        <f t="shared" ref="C74:I74" si="10">C31*(C$59*$P$50+(1-$P$50))</f>
        <v>4125.6000000000004</v>
      </c>
      <c r="D74" s="590">
        <f t="shared" si="10"/>
        <v>4294.7928503203275</v>
      </c>
      <c r="E74" s="590">
        <f t="shared" si="10"/>
        <v>4570.1171811298782</v>
      </c>
      <c r="F74" s="590">
        <f t="shared" si="10"/>
        <v>4826.6876924868966</v>
      </c>
      <c r="G74" s="590">
        <f t="shared" si="10"/>
        <v>5083.2582038439132</v>
      </c>
      <c r="H74" s="590">
        <f t="shared" si="10"/>
        <v>5339.3121141525926</v>
      </c>
      <c r="I74" s="251">
        <f t="shared" si="10"/>
        <v>6049.278136284217</v>
      </c>
      <c r="J74" t="s">
        <v>220</v>
      </c>
      <c r="M74" s="419" t="s">
        <v>725</v>
      </c>
      <c r="N74" s="158" t="s">
        <v>235</v>
      </c>
      <c r="O74" s="158" t="s">
        <v>486</v>
      </c>
      <c r="P74" s="159" t="s">
        <v>223</v>
      </c>
    </row>
    <row r="75" spans="2:16">
      <c r="B75" s="248" t="s">
        <v>225</v>
      </c>
      <c r="C75" s="590">
        <f>('2. Industry'!C52+'Baseline Usage'!$AC$38+'Baseline Usage'!$AC$39)*(C$59*$O$38+1-$O$38)</f>
        <v>6647038.0699615199</v>
      </c>
      <c r="D75" s="590">
        <f>('2. Industry'!D52+'Baseline Usage'!$AC$38+'Baseline Usage'!$AC$39)*(D$59*$O$38+1-$O$38)</f>
        <v>6846689.8784710793</v>
      </c>
      <c r="E75" s="590">
        <f>('2. Industry'!E52+'Baseline Usage'!$AC$38+'Baseline Usage'!$AC$39)*(E$59*$O$38+1-$O$38)</f>
        <v>7036529.8774563558</v>
      </c>
      <c r="F75" s="590">
        <f>('2. Industry'!F52+'Baseline Usage'!$AC$38+'Baseline Usage'!$AC$39)*(F$59*$O$38+1-$O$38)</f>
        <v>7128828.7655817922</v>
      </c>
      <c r="G75" s="590">
        <f>('2. Industry'!G52+'Baseline Usage'!$AC$38+'Baseline Usage'!$AC$39)*(G$59*$O$38+1-$O$38)</f>
        <v>7268058.4948513452</v>
      </c>
      <c r="H75" s="590">
        <f>('2. Industry'!H52+'Baseline Usage'!$AC$38+'Baseline Usage'!$AC$39)*(H$59*$O$38+1-$O$38)</f>
        <v>7398702.8907871526</v>
      </c>
      <c r="I75" s="251">
        <f>('2. Industry'!I52+'Baseline Usage'!$AC$38+'Baseline Usage'!$AC$39)*(I$59*$O$38+1-$O$38)</f>
        <v>7549824.810277503</v>
      </c>
      <c r="J75" t="s">
        <v>227</v>
      </c>
      <c r="M75" s="248" t="s">
        <v>735</v>
      </c>
      <c r="N75" s="185">
        <f>'Baseline Usage'!AJ54</f>
        <v>0.11228215941881201</v>
      </c>
      <c r="O75" s="185">
        <f>'Baseline Usage'!AK54</f>
        <v>0</v>
      </c>
      <c r="P75" s="185">
        <f>'Baseline Usage'!AL54</f>
        <v>0</v>
      </c>
    </row>
    <row r="76" spans="2:16">
      <c r="B76" s="248" t="s">
        <v>229</v>
      </c>
      <c r="C76" s="569">
        <f>('2. Industry'!C53+'Baseline Usage'!$AC$43+'Baseline Usage'!$AC$44)*(C$59*$P$38+1-$P$38)</f>
        <v>3036441.2774501257</v>
      </c>
      <c r="D76" s="569">
        <f>('2. Industry'!D50+'Baseline Usage'!$AC$43+'Baseline Usage'!$AC$44)*(D$59*$P$38+1-$P$38)</f>
        <v>2240966.6272402368</v>
      </c>
      <c r="E76" s="569">
        <f>('2. Industry'!E50+'Baseline Usage'!$AC$43+'Baseline Usage'!$AC$44)*(E$59*$P$38+1-$P$38)</f>
        <v>2270494.6229527695</v>
      </c>
      <c r="F76" s="569">
        <f>('2. Industry'!F50+'Baseline Usage'!$AC$43+'Baseline Usage'!$AC$44)*(F$59*$P$38+1-$P$38)</f>
        <v>2275737.9119110699</v>
      </c>
      <c r="G76" s="569">
        <f>('2. Industry'!G50+'Baseline Usage'!$AC$43+'Baseline Usage'!$AC$44)*(G$59*$P$38+1-$P$38)</f>
        <v>2292502.6384487934</v>
      </c>
      <c r="H76" s="569">
        <f>('2. Industry'!H50+'Baseline Usage'!$AC$43+'Baseline Usage'!$AC$44)*(H$59*$P$38+1-$P$38)</f>
        <v>2306369.7579306136</v>
      </c>
      <c r="I76" s="570">
        <f>('2. Industry'!I50+'Baseline Usage'!$AC$43+'Baseline Usage'!$AC$44)*(I$59*$P$38+1-$P$38)</f>
        <v>2318512.11130773</v>
      </c>
      <c r="J76" t="s">
        <v>227</v>
      </c>
      <c r="M76" s="248" t="s">
        <v>728</v>
      </c>
      <c r="N76" s="185">
        <f>'Baseline Usage'!AJ55</f>
        <v>3.3253345971336536E-2</v>
      </c>
      <c r="O76" s="185">
        <f>'Baseline Usage'!AK55</f>
        <v>6.7054863987970573E-2</v>
      </c>
      <c r="P76" s="185">
        <f>'Baseline Usage'!AL55</f>
        <v>0</v>
      </c>
    </row>
    <row r="77" spans="2:16" ht="15.75" thickBot="1">
      <c r="B77" s="252" t="s">
        <v>232</v>
      </c>
      <c r="C77" s="571">
        <f>('2. Industry'!C54+'Baseline Usage'!$AC$50+'Baseline Usage'!$AC$51)*(C$59*$N$38+1-$N$38)</f>
        <v>3705105.7731958758</v>
      </c>
      <c r="D77" s="571">
        <f>('2. Industry'!D51+'Baseline Usage'!$AC$50+'Baseline Usage'!$AC$51)*(D$59*$N$38+1-$N$38)</f>
        <v>2538337.0733601861</v>
      </c>
      <c r="E77" s="571">
        <f>('2. Industry'!E51+'Baseline Usage'!$AC$50+'Baseline Usage'!$AC$51)*(E$59*$N$38+1-$N$38)</f>
        <v>2551868.5721675977</v>
      </c>
      <c r="F77" s="571">
        <f>('2. Industry'!F51+'Baseline Usage'!$AC$50+'Baseline Usage'!$AC$51)*(F$59*$N$38+1-$N$38)</f>
        <v>2554271.3616754562</v>
      </c>
      <c r="G77" s="571">
        <f>('2. Industry'!G51+'Baseline Usage'!$AC$50+'Baseline Usage'!$AC$51)*(G$59*$N$38+1-$N$38)</f>
        <v>2561953.9649703186</v>
      </c>
      <c r="H77" s="571">
        <f>('2. Industry'!H51+'Baseline Usage'!$AC$50+'Baseline Usage'!$AC$51)*(H$59*$N$38+1-$N$38)</f>
        <v>2568308.7109055752</v>
      </c>
      <c r="I77" s="572">
        <f>('2. Industry'!I51+'Baseline Usage'!$AC$50+'Baseline Usage'!$AC$51)*(I$59*$N$38+1-$N$38)</f>
        <v>2573873.0655553518</v>
      </c>
      <c r="J77" t="s">
        <v>227</v>
      </c>
      <c r="M77" s="248" t="s">
        <v>739</v>
      </c>
      <c r="N77" s="185">
        <f>'Baseline Usage'!AJ56</f>
        <v>7.6907848559927532E-3</v>
      </c>
      <c r="O77" s="185">
        <f>'Baseline Usage'!AK56</f>
        <v>0</v>
      </c>
      <c r="P77" s="185">
        <f>'Baseline Usage'!AL56</f>
        <v>0.12262653085858072</v>
      </c>
    </row>
    <row r="78" spans="2:16">
      <c r="B78" s="291"/>
      <c r="C78" s="231"/>
      <c r="D78" s="231"/>
      <c r="E78" s="231"/>
      <c r="F78" s="231"/>
      <c r="G78" s="231"/>
      <c r="H78" s="231"/>
      <c r="I78" s="231"/>
      <c r="M78" s="248" t="s">
        <v>758</v>
      </c>
      <c r="N78" s="185">
        <f>'Baseline Usage'!AJ57</f>
        <v>0.23298518834024226</v>
      </c>
      <c r="O78" s="185">
        <f>'Baseline Usage'!AK57</f>
        <v>0</v>
      </c>
      <c r="P78" s="185">
        <f>'Baseline Usage'!AL57</f>
        <v>0</v>
      </c>
    </row>
    <row r="79" spans="2:16" ht="15.75" thickBot="1">
      <c r="B79" s="291"/>
      <c r="C79" s="231"/>
      <c r="D79" s="231"/>
      <c r="E79" s="231"/>
      <c r="F79" s="231"/>
      <c r="G79" s="231"/>
      <c r="H79" s="231"/>
      <c r="I79" s="231"/>
      <c r="M79" s="248" t="s">
        <v>760</v>
      </c>
      <c r="N79" s="185">
        <f>'Baseline Usage'!AJ58</f>
        <v>0.19055719196366977</v>
      </c>
      <c r="O79" s="185">
        <f>'Baseline Usage'!AK58</f>
        <v>0.84009567011973885</v>
      </c>
      <c r="P79" s="185">
        <f>'Baseline Usage'!AL58</f>
        <v>0.57150815684162648</v>
      </c>
    </row>
    <row r="80" spans="2:16" ht="25.5">
      <c r="B80" s="296" t="s">
        <v>942</v>
      </c>
      <c r="C80" s="583">
        <f>'Baseline Statistics'!D4</f>
        <v>2022</v>
      </c>
      <c r="D80" s="583">
        <f>'Baseline Statistics'!E4</f>
        <v>2025</v>
      </c>
      <c r="E80" s="583">
        <f>'Baseline Statistics'!F4</f>
        <v>2030</v>
      </c>
      <c r="F80" s="583">
        <f>'Baseline Statistics'!G4</f>
        <v>2035</v>
      </c>
      <c r="G80" s="583">
        <f>'Baseline Statistics'!H4</f>
        <v>2040</v>
      </c>
      <c r="H80" s="583">
        <f>'Baseline Statistics'!I4</f>
        <v>2045</v>
      </c>
      <c r="I80" s="583">
        <f>'Baseline Statistics'!J4</f>
        <v>2051</v>
      </c>
      <c r="M80" s="248" t="s">
        <v>746</v>
      </c>
      <c r="N80" s="185">
        <f>'Baseline Usage'!AJ59</f>
        <v>9.7305825679542615E-2</v>
      </c>
      <c r="O80" s="185">
        <f>'Baseline Usage'!AK59</f>
        <v>9.2561850025986339E-2</v>
      </c>
      <c r="P80" s="185">
        <f>'Baseline Usage'!AL59</f>
        <v>0.30586531229979302</v>
      </c>
    </row>
    <row r="81" spans="2:16">
      <c r="B81" s="266" t="s">
        <v>501</v>
      </c>
      <c r="C81" s="245">
        <f>O77</f>
        <v>0</v>
      </c>
      <c r="D81" s="245">
        <f>($C81*D$59)/($C81*D$59+(1-$C81))</f>
        <v>0</v>
      </c>
      <c r="E81" s="245">
        <f t="shared" ref="E81:I83" si="11">($C81*E$59)/($C81*E$59+(1-$C81))</f>
        <v>0</v>
      </c>
      <c r="F81" s="245">
        <f t="shared" si="11"/>
        <v>0</v>
      </c>
      <c r="G81" s="245">
        <f t="shared" si="11"/>
        <v>0</v>
      </c>
      <c r="H81" s="245">
        <f>($C81*H$59)/($C81*H$59+(1-$C81))</f>
        <v>0</v>
      </c>
      <c r="I81" s="294">
        <f t="shared" si="11"/>
        <v>0</v>
      </c>
      <c r="M81" s="248" t="s">
        <v>738</v>
      </c>
      <c r="N81" s="185">
        <f>'Baseline Usage'!AJ60</f>
        <v>0.16760871782258405</v>
      </c>
      <c r="O81" s="185">
        <f>'Baseline Usage'!AK60</f>
        <v>0</v>
      </c>
      <c r="P81" s="185">
        <f>'Baseline Usage'!AL60</f>
        <v>0</v>
      </c>
    </row>
    <row r="82" spans="2:16" ht="30">
      <c r="B82" s="266" t="s">
        <v>502</v>
      </c>
      <c r="C82" s="245">
        <f>O63</f>
        <v>0.84009567011973885</v>
      </c>
      <c r="D82" s="245">
        <f t="shared" ref="D82" si="12">($C82*D$59)/($C82*D$59+(1-$C82))</f>
        <v>0.84009567011973885</v>
      </c>
      <c r="E82" s="245">
        <f t="shared" si="11"/>
        <v>0.84009567011973885</v>
      </c>
      <c r="F82" s="245">
        <f t="shared" si="11"/>
        <v>0.84009567011973885</v>
      </c>
      <c r="G82" s="245">
        <f t="shared" si="11"/>
        <v>0.84009567011973885</v>
      </c>
      <c r="H82" s="245">
        <f t="shared" si="11"/>
        <v>0.84009567011973885</v>
      </c>
      <c r="I82" s="294">
        <f>($C82*I$59)/($C82*I$59+(1-$C82))</f>
        <v>0.84009567011973885</v>
      </c>
      <c r="M82" s="248" t="s">
        <v>726</v>
      </c>
      <c r="N82" s="185">
        <f>'Baseline Usage'!AJ61</f>
        <v>7.8087562165177898E-2</v>
      </c>
      <c r="O82" s="185">
        <f>'Baseline Usage'!AK61</f>
        <v>0</v>
      </c>
      <c r="P82" s="185">
        <f>'Baseline Usage'!AL61</f>
        <v>0</v>
      </c>
    </row>
    <row r="83" spans="2:16">
      <c r="B83" s="266" t="s">
        <v>503</v>
      </c>
      <c r="C83" s="245">
        <f>O50</f>
        <v>0.375856950576751</v>
      </c>
      <c r="D83" s="245">
        <f>($C83*D$59)/($C83*D$59+(1-$C83))</f>
        <v>0.375856950576751</v>
      </c>
      <c r="E83" s="245">
        <f t="shared" si="11"/>
        <v>0.375856950576751</v>
      </c>
      <c r="F83" s="245">
        <f t="shared" si="11"/>
        <v>0.375856950576751</v>
      </c>
      <c r="G83" s="245">
        <f t="shared" si="11"/>
        <v>0.375856950576751</v>
      </c>
      <c r="H83" s="245">
        <f t="shared" si="11"/>
        <v>0.375856950576751</v>
      </c>
      <c r="I83" s="294">
        <f t="shared" si="11"/>
        <v>0.375856950576751</v>
      </c>
      <c r="M83" s="248" t="s">
        <v>748</v>
      </c>
      <c r="N83" s="185">
        <f>'Baseline Usage'!AJ62</f>
        <v>7.9162892263022436E-2</v>
      </c>
      <c r="O83" s="185">
        <f>'Baseline Usage'!AK62</f>
        <v>0</v>
      </c>
      <c r="P83" s="185">
        <f>'Baseline Usage'!AL62</f>
        <v>0</v>
      </c>
    </row>
    <row r="84" spans="2:16">
      <c r="B84" s="266" t="s">
        <v>504</v>
      </c>
      <c r="C84" s="245">
        <f>P77</f>
        <v>0.12262653085858072</v>
      </c>
      <c r="D84" s="245">
        <f t="shared" ref="D84:I89" si="13">($C84*D$59)/($C84*D$59+(1-$C84))</f>
        <v>0.12262653085858072</v>
      </c>
      <c r="E84" s="245">
        <f t="shared" si="13"/>
        <v>0.12262653085858072</v>
      </c>
      <c r="F84" s="245">
        <f t="shared" si="13"/>
        <v>0.12262653085858072</v>
      </c>
      <c r="G84" s="245">
        <f t="shared" si="13"/>
        <v>0.12262653085858072</v>
      </c>
      <c r="H84" s="245">
        <f>($C84*H$59)/($C84*H$59+(1-$C84))</f>
        <v>0.12262653085858072</v>
      </c>
      <c r="I84" s="294">
        <f>($C84*I$59)/($C84*I$59+(1-$C84))</f>
        <v>0.12262653085858072</v>
      </c>
      <c r="M84" s="248" t="s">
        <v>741</v>
      </c>
      <c r="N84" s="185">
        <f>'Baseline Usage'!AJ63</f>
        <v>1.0663315196199001E-3</v>
      </c>
      <c r="O84" s="185">
        <f>'Baseline Usage'!AK63</f>
        <v>0</v>
      </c>
      <c r="P84" s="185">
        <f>'Baseline Usage'!AL63</f>
        <v>0</v>
      </c>
    </row>
    <row r="85" spans="2:16" ht="30">
      <c r="B85" s="266" t="s">
        <v>505</v>
      </c>
      <c r="C85" s="245">
        <f>P63</f>
        <v>0.57150815684162648</v>
      </c>
      <c r="D85" s="245">
        <f t="shared" si="13"/>
        <v>0.57150815684162648</v>
      </c>
      <c r="E85" s="245">
        <f t="shared" si="13"/>
        <v>0.57150815684162648</v>
      </c>
      <c r="F85" s="245">
        <f t="shared" si="13"/>
        <v>0.57150815684162648</v>
      </c>
      <c r="G85" s="245">
        <f t="shared" si="13"/>
        <v>0.57150815684162648</v>
      </c>
      <c r="H85" s="245">
        <f t="shared" si="13"/>
        <v>0.57150815684162648</v>
      </c>
      <c r="I85" s="294">
        <f t="shared" si="13"/>
        <v>0.57150815684162648</v>
      </c>
      <c r="M85" s="248" t="s">
        <v>342</v>
      </c>
      <c r="N85" s="185">
        <f>'Baseline Usage'!AJ64</f>
        <v>1</v>
      </c>
      <c r="O85" s="185">
        <f>'Baseline Usage'!AK64</f>
        <v>0</v>
      </c>
      <c r="P85" s="185">
        <f>'Baseline Usage'!AL64</f>
        <v>0</v>
      </c>
    </row>
    <row r="86" spans="2:16" ht="30">
      <c r="B86" s="266" t="s">
        <v>506</v>
      </c>
      <c r="C86" s="245">
        <f>P50</f>
        <v>0.93212195335022296</v>
      </c>
      <c r="D86" s="245">
        <f t="shared" si="13"/>
        <v>0.93212195335022296</v>
      </c>
      <c r="E86" s="245">
        <f t="shared" si="13"/>
        <v>0.93212195335022296</v>
      </c>
      <c r="F86" s="245">
        <f t="shared" si="13"/>
        <v>0.93212195335022296</v>
      </c>
      <c r="G86" s="245">
        <f t="shared" si="13"/>
        <v>0.93212195335022296</v>
      </c>
      <c r="H86" s="245">
        <f t="shared" si="13"/>
        <v>0.93212195335022296</v>
      </c>
      <c r="I86" s="294">
        <f t="shared" si="13"/>
        <v>0.93212195335022296</v>
      </c>
      <c r="M86" s="248" t="s">
        <v>731</v>
      </c>
      <c r="N86" s="185">
        <f>'Baseline Usage'!AJ65</f>
        <v>0.29555380249920515</v>
      </c>
      <c r="O86" s="185">
        <f>'Baseline Usage'!AK65</f>
        <v>0.93265752014572523</v>
      </c>
      <c r="P86" s="185">
        <f>'Baseline Usage'!AL65</f>
        <v>1.0000000000000002</v>
      </c>
    </row>
    <row r="87" spans="2:16">
      <c r="B87" s="248" t="s">
        <v>225</v>
      </c>
      <c r="C87" s="245">
        <f>O38</f>
        <v>0.16265091909509877</v>
      </c>
      <c r="D87" s="245">
        <f t="shared" si="13"/>
        <v>0.16265091909509877</v>
      </c>
      <c r="E87" s="245">
        <f t="shared" si="13"/>
        <v>0.16265091909509877</v>
      </c>
      <c r="F87" s="245">
        <f t="shared" si="13"/>
        <v>0.16265091909509877</v>
      </c>
      <c r="G87" s="245">
        <f t="shared" si="13"/>
        <v>0.16265091909509877</v>
      </c>
      <c r="H87" s="245">
        <f t="shared" si="13"/>
        <v>0.16265091909509877</v>
      </c>
      <c r="I87" s="294">
        <f t="shared" si="13"/>
        <v>0.16265091909509877</v>
      </c>
      <c r="M87" s="416" t="s">
        <v>765</v>
      </c>
      <c r="N87" s="185">
        <f>'Baseline Usage'!AJ66</f>
        <v>0</v>
      </c>
      <c r="O87" s="185">
        <f>'Baseline Usage'!AK66</f>
        <v>0</v>
      </c>
      <c r="P87" s="185">
        <f>'Baseline Usage'!AL66</f>
        <v>0</v>
      </c>
    </row>
    <row r="88" spans="2:16" ht="15.75" thickBot="1">
      <c r="B88" s="248" t="s">
        <v>229</v>
      </c>
      <c r="C88" s="245">
        <f>P38</f>
        <v>0</v>
      </c>
      <c r="D88" s="245">
        <f t="shared" si="13"/>
        <v>0</v>
      </c>
      <c r="E88" s="245">
        <f t="shared" si="13"/>
        <v>0</v>
      </c>
      <c r="F88" s="245">
        <f t="shared" si="13"/>
        <v>0</v>
      </c>
      <c r="G88" s="245">
        <f t="shared" si="13"/>
        <v>0</v>
      </c>
      <c r="H88" s="245">
        <f t="shared" si="13"/>
        <v>0</v>
      </c>
      <c r="I88" s="294">
        <f t="shared" si="13"/>
        <v>0</v>
      </c>
      <c r="M88" s="252" t="s">
        <v>766</v>
      </c>
      <c r="N88" s="185">
        <f>'Baseline Usage'!AJ67</f>
        <v>0</v>
      </c>
      <c r="O88" s="185">
        <f>'Baseline Usage'!AK67</f>
        <v>0</v>
      </c>
      <c r="P88" s="185">
        <f>'Baseline Usage'!AL67</f>
        <v>0</v>
      </c>
    </row>
    <row r="89" spans="2:16" ht="15.75" thickBot="1">
      <c r="B89" s="252" t="s">
        <v>232</v>
      </c>
      <c r="C89" s="573">
        <f>N38</f>
        <v>0.64454616322532932</v>
      </c>
      <c r="D89" s="573">
        <f t="shared" si="13"/>
        <v>0.64454616322532932</v>
      </c>
      <c r="E89" s="573">
        <f t="shared" si="13"/>
        <v>0.64454616322532932</v>
      </c>
      <c r="F89" s="573">
        <f t="shared" si="13"/>
        <v>0.64454616322532932</v>
      </c>
      <c r="G89" s="573">
        <f t="shared" si="13"/>
        <v>0.64454616322532932</v>
      </c>
      <c r="H89" s="573">
        <f t="shared" si="13"/>
        <v>0.64454616322532932</v>
      </c>
      <c r="I89" s="574">
        <f t="shared" si="13"/>
        <v>0.64454616322532932</v>
      </c>
    </row>
    <row r="90" spans="2:16" ht="26.25" thickBot="1">
      <c r="B90" s="296" t="s">
        <v>943</v>
      </c>
      <c r="C90" s="297">
        <f t="shared" ref="C90:I90" si="14">C80</f>
        <v>2022</v>
      </c>
      <c r="D90" s="297">
        <f t="shared" si="14"/>
        <v>2025</v>
      </c>
      <c r="E90" s="297">
        <f t="shared" si="14"/>
        <v>2030</v>
      </c>
      <c r="F90" s="297">
        <f t="shared" si="14"/>
        <v>2035</v>
      </c>
      <c r="G90" s="297">
        <f t="shared" si="14"/>
        <v>2040</v>
      </c>
      <c r="H90" s="297">
        <f t="shared" si="14"/>
        <v>2045</v>
      </c>
      <c r="I90" s="298">
        <f t="shared" si="14"/>
        <v>2051</v>
      </c>
    </row>
    <row r="91" spans="2:16">
      <c r="B91" s="266" t="s">
        <v>501</v>
      </c>
      <c r="C91" s="185">
        <f t="shared" ref="C91:I91" si="15">(C81+$O$84)/(1+C81-$C81)</f>
        <v>0</v>
      </c>
      <c r="D91" s="185">
        <f t="shared" si="15"/>
        <v>0</v>
      </c>
      <c r="E91" s="185">
        <f t="shared" si="15"/>
        <v>0</v>
      </c>
      <c r="F91" s="185">
        <f t="shared" si="15"/>
        <v>0</v>
      </c>
      <c r="G91" s="185">
        <f t="shared" si="15"/>
        <v>0</v>
      </c>
      <c r="H91" s="185">
        <f t="shared" si="15"/>
        <v>0</v>
      </c>
      <c r="I91" s="299">
        <f t="shared" si="15"/>
        <v>0</v>
      </c>
      <c r="M91" s="271" t="s">
        <v>511</v>
      </c>
      <c r="N91" s="272"/>
      <c r="O91" s="272"/>
      <c r="P91" s="273">
        <v>3</v>
      </c>
    </row>
    <row r="92" spans="2:16" ht="30">
      <c r="B92" s="266" t="s">
        <v>502</v>
      </c>
      <c r="C92" s="185">
        <f t="shared" ref="C92:I92" si="16">(C82+$O$64)/(1+C82-$C82)</f>
        <v>0.93265752014572523</v>
      </c>
      <c r="D92" s="185">
        <f t="shared" si="16"/>
        <v>0.93265752014572523</v>
      </c>
      <c r="E92" s="185">
        <f t="shared" si="16"/>
        <v>0.93265752014572523</v>
      </c>
      <c r="F92" s="185">
        <f t="shared" si="16"/>
        <v>0.93265752014572523</v>
      </c>
      <c r="G92" s="185">
        <f t="shared" si="16"/>
        <v>0.93265752014572523</v>
      </c>
      <c r="H92" s="185">
        <f t="shared" si="16"/>
        <v>0.93265752014572523</v>
      </c>
      <c r="I92" s="299">
        <f t="shared" si="16"/>
        <v>0.93265752014572523</v>
      </c>
      <c r="M92" s="248" t="s">
        <v>512</v>
      </c>
      <c r="P92" s="116">
        <v>1</v>
      </c>
    </row>
    <row r="93" spans="2:16">
      <c r="B93" s="266" t="s">
        <v>503</v>
      </c>
      <c r="C93" s="185">
        <f t="shared" ref="C93:I93" si="17">(C83+$O$47)/(1+C83-$C83)</f>
        <v>0.84928991031108092</v>
      </c>
      <c r="D93" s="185">
        <f t="shared" si="17"/>
        <v>0.84928991031108092</v>
      </c>
      <c r="E93" s="185">
        <f t="shared" si="17"/>
        <v>0.84928991031108092</v>
      </c>
      <c r="F93" s="185">
        <f t="shared" si="17"/>
        <v>0.84928991031108092</v>
      </c>
      <c r="G93" s="185">
        <f t="shared" si="17"/>
        <v>0.84928991031108092</v>
      </c>
      <c r="H93" s="185">
        <f t="shared" si="17"/>
        <v>0.84928991031108092</v>
      </c>
      <c r="I93" s="299">
        <f t="shared" si="17"/>
        <v>0.84928991031108092</v>
      </c>
      <c r="M93" s="248" t="s">
        <v>513</v>
      </c>
      <c r="P93" s="116">
        <v>0.1</v>
      </c>
    </row>
    <row r="94" spans="2:16" ht="15.75" thickBot="1">
      <c r="B94" s="266" t="s">
        <v>504</v>
      </c>
      <c r="C94" s="185">
        <f t="shared" ref="C94:I94" si="18">(C84+$P$84)/(1+C84-$C84)</f>
        <v>0.12262653085858072</v>
      </c>
      <c r="D94" s="185">
        <f t="shared" si="18"/>
        <v>0.12262653085858072</v>
      </c>
      <c r="E94" s="185">
        <f t="shared" si="18"/>
        <v>0.12262653085858072</v>
      </c>
      <c r="F94" s="185">
        <f t="shared" si="18"/>
        <v>0.12262653085858072</v>
      </c>
      <c r="G94" s="185">
        <f t="shared" si="18"/>
        <v>0.12262653085858072</v>
      </c>
      <c r="H94" s="185">
        <f t="shared" si="18"/>
        <v>0.12262653085858072</v>
      </c>
      <c r="I94" s="299">
        <f t="shared" si="18"/>
        <v>0.12262653085858072</v>
      </c>
      <c r="M94" s="252" t="s">
        <v>514</v>
      </c>
      <c r="N94" s="158"/>
      <c r="O94" s="158"/>
      <c r="P94" s="159">
        <f>0.9/0.99</f>
        <v>0.90909090909090917</v>
      </c>
    </row>
    <row r="95" spans="2:16" ht="30">
      <c r="B95" s="266" t="s">
        <v>505</v>
      </c>
      <c r="C95" s="185">
        <f t="shared" ref="C95:I95" si="19">(C85+$P$64)/(1+C85-$C85)</f>
        <v>0.87737346914141945</v>
      </c>
      <c r="D95" s="185">
        <f t="shared" si="19"/>
        <v>0.87737346914141945</v>
      </c>
      <c r="E95" s="185">
        <f t="shared" si="19"/>
        <v>0.87737346914141945</v>
      </c>
      <c r="F95" s="185">
        <f t="shared" si="19"/>
        <v>0.87737346914141945</v>
      </c>
      <c r="G95" s="185">
        <f t="shared" si="19"/>
        <v>0.87737346914141945</v>
      </c>
      <c r="H95" s="185">
        <f t="shared" si="19"/>
        <v>0.87737346914141945</v>
      </c>
      <c r="I95" s="299">
        <f t="shared" si="19"/>
        <v>0.87737346914141945</v>
      </c>
    </row>
    <row r="96" spans="2:16" ht="30">
      <c r="B96" s="266" t="s">
        <v>506</v>
      </c>
      <c r="C96" s="185">
        <f t="shared" ref="C96:I96" si="20">(C86+$P$47)/(1+C86-$C86)</f>
        <v>0.9945546140182292</v>
      </c>
      <c r="D96" s="185">
        <f t="shared" si="20"/>
        <v>0.9945546140182292</v>
      </c>
      <c r="E96" s="185">
        <f t="shared" si="20"/>
        <v>0.9945546140182292</v>
      </c>
      <c r="F96" s="185">
        <f t="shared" si="20"/>
        <v>0.9945546140182292</v>
      </c>
      <c r="G96" s="185">
        <f t="shared" si="20"/>
        <v>0.9945546140182292</v>
      </c>
      <c r="H96" s="185">
        <f t="shared" si="20"/>
        <v>0.9945546140182292</v>
      </c>
      <c r="I96" s="299">
        <f t="shared" si="20"/>
        <v>0.9945546140182292</v>
      </c>
    </row>
    <row r="97" spans="1:9">
      <c r="B97" s="248" t="s">
        <v>225</v>
      </c>
      <c r="C97" s="185">
        <f t="shared" ref="C97:I97" si="21">(C87+$O$39)/(1+C87-$C87)</f>
        <v>0.38489845269595391</v>
      </c>
      <c r="D97" s="185">
        <f t="shared" si="21"/>
        <v>0.38489845269595391</v>
      </c>
      <c r="E97" s="185">
        <f t="shared" si="21"/>
        <v>0.38489845269595391</v>
      </c>
      <c r="F97" s="185">
        <f t="shared" si="21"/>
        <v>0.38489845269595391</v>
      </c>
      <c r="G97" s="185">
        <f t="shared" si="21"/>
        <v>0.38489845269595391</v>
      </c>
      <c r="H97" s="185">
        <f t="shared" si="21"/>
        <v>0.38489845269595391</v>
      </c>
      <c r="I97" s="299">
        <f t="shared" si="21"/>
        <v>0.38489845269595391</v>
      </c>
    </row>
    <row r="98" spans="1:9">
      <c r="B98" s="248" t="s">
        <v>229</v>
      </c>
      <c r="C98" s="185">
        <f>(C88)/(1+C88-$C88)</f>
        <v>0</v>
      </c>
      <c r="D98" s="185">
        <f t="shared" ref="D98:I99" si="22">(D88)/(1+D88-$C88)</f>
        <v>0</v>
      </c>
      <c r="E98" s="185">
        <f t="shared" si="22"/>
        <v>0</v>
      </c>
      <c r="F98" s="185">
        <f t="shared" si="22"/>
        <v>0</v>
      </c>
      <c r="G98" s="185">
        <f t="shared" si="22"/>
        <v>0</v>
      </c>
      <c r="H98" s="185">
        <f t="shared" si="22"/>
        <v>0</v>
      </c>
      <c r="I98" s="299">
        <f t="shared" si="22"/>
        <v>0</v>
      </c>
    </row>
    <row r="99" spans="1:9" ht="15.75" thickBot="1">
      <c r="B99" s="252" t="s">
        <v>232</v>
      </c>
      <c r="C99" s="185">
        <f>(C89)/(1+C89-$C89)</f>
        <v>0.64454616322532932</v>
      </c>
      <c r="D99" s="185">
        <f t="shared" si="22"/>
        <v>0.64454616322532932</v>
      </c>
      <c r="E99" s="185">
        <f t="shared" si="22"/>
        <v>0.64454616322532932</v>
      </c>
      <c r="F99" s="185">
        <f t="shared" si="22"/>
        <v>0.64454616322532932</v>
      </c>
      <c r="G99" s="185">
        <f t="shared" si="22"/>
        <v>0.64454616322532932</v>
      </c>
      <c r="H99" s="185">
        <f t="shared" si="22"/>
        <v>0.64454616322532932</v>
      </c>
      <c r="I99" s="299">
        <f t="shared" si="22"/>
        <v>0.64454616322532932</v>
      </c>
    </row>
    <row r="100" spans="1:9" ht="25.5">
      <c r="B100" s="296" t="s">
        <v>944</v>
      </c>
      <c r="C100" s="297">
        <f>C90</f>
        <v>2022</v>
      </c>
      <c r="D100" s="297">
        <f t="shared" ref="D100:I100" si="23">D90</f>
        <v>2025</v>
      </c>
      <c r="E100" s="297">
        <f t="shared" si="23"/>
        <v>2030</v>
      </c>
      <c r="F100" s="297">
        <f t="shared" si="23"/>
        <v>2035</v>
      </c>
      <c r="G100" s="297">
        <f t="shared" si="23"/>
        <v>2040</v>
      </c>
      <c r="H100" s="297">
        <f t="shared" si="23"/>
        <v>2045</v>
      </c>
      <c r="I100" s="298">
        <f t="shared" si="23"/>
        <v>2051</v>
      </c>
    </row>
    <row r="101" spans="1:9" ht="29.45" customHeight="1">
      <c r="B101" s="266" t="s">
        <v>501</v>
      </c>
      <c r="C101" s="590">
        <f t="shared" ref="C101:I101" si="24">C26*(1-$O$88)</f>
        <v>784288.83699619456</v>
      </c>
      <c r="D101" s="590">
        <f t="shared" si="24"/>
        <v>824678.97523892613</v>
      </c>
      <c r="E101" s="590">
        <f t="shared" si="24"/>
        <v>861757.56256062537</v>
      </c>
      <c r="F101" s="590">
        <f t="shared" si="24"/>
        <v>872663.79522580106</v>
      </c>
      <c r="G101" s="590">
        <f t="shared" si="24"/>
        <v>896035.28942154499</v>
      </c>
      <c r="H101" s="590">
        <f t="shared" si="24"/>
        <v>916509.17656138656</v>
      </c>
      <c r="I101" s="251">
        <f t="shared" si="24"/>
        <v>937145.94549881539</v>
      </c>
    </row>
    <row r="102" spans="1:9" ht="30">
      <c r="B102" s="266" t="s">
        <v>502</v>
      </c>
      <c r="C102" s="590">
        <f t="shared" ref="C102:I102" si="25">C27*(1-$O$70)</f>
        <v>6366.2196155323791</v>
      </c>
      <c r="D102" s="590">
        <f t="shared" si="25"/>
        <v>6576.4110925300147</v>
      </c>
      <c r="E102" s="590">
        <f t="shared" si="25"/>
        <v>6897.9073102047323</v>
      </c>
      <c r="F102" s="590">
        <f t="shared" si="25"/>
        <v>7160.1088869297437</v>
      </c>
      <c r="G102" s="590">
        <f t="shared" si="25"/>
        <v>7428.3824701281828</v>
      </c>
      <c r="H102" s="590">
        <f t="shared" si="25"/>
        <v>7696.6560533266229</v>
      </c>
      <c r="I102" s="251">
        <f t="shared" si="25"/>
        <v>7977.0736494719167</v>
      </c>
    </row>
    <row r="103" spans="1:9">
      <c r="B103" s="266" t="s">
        <v>503</v>
      </c>
      <c r="C103" s="590">
        <f t="shared" ref="C103:I103" si="26">C28*(1-$O$54)</f>
        <v>11162.851421714066</v>
      </c>
      <c r="D103" s="590">
        <f t="shared" si="26"/>
        <v>11620.64535465524</v>
      </c>
      <c r="E103" s="590">
        <f t="shared" si="26"/>
        <v>12365.60477815967</v>
      </c>
      <c r="F103" s="590">
        <f t="shared" si="26"/>
        <v>13059.821012761084</v>
      </c>
      <c r="G103" s="590">
        <f t="shared" si="26"/>
        <v>13754.037247362496</v>
      </c>
      <c r="H103" s="590">
        <f t="shared" si="26"/>
        <v>14446.855687522639</v>
      </c>
      <c r="I103" s="251">
        <f t="shared" si="26"/>
        <v>16367.847838851094</v>
      </c>
    </row>
    <row r="104" spans="1:9">
      <c r="B104" s="266" t="s">
        <v>504</v>
      </c>
      <c r="C104" s="590">
        <f t="shared" ref="C104:I106" si="27">C29*(1-$P$86)</f>
        <v>-7.9300105489269464E-11</v>
      </c>
      <c r="D104" s="590">
        <f t="shared" si="27"/>
        <v>-8.3369606443873063E-11</v>
      </c>
      <c r="E104" s="590">
        <f t="shared" si="27"/>
        <v>-8.710214332669323E-11</v>
      </c>
      <c r="F104" s="590">
        <f t="shared" si="27"/>
        <v>-8.8181625205747284E-11</v>
      </c>
      <c r="G104" s="590">
        <f t="shared" si="27"/>
        <v>-9.0524453823225015E-11</v>
      </c>
      <c r="H104" s="590">
        <f t="shared" si="27"/>
        <v>-9.2572438877892259E-11</v>
      </c>
      <c r="I104" s="251">
        <f t="shared" si="27"/>
        <v>-9.46269069558602E-11</v>
      </c>
    </row>
    <row r="105" spans="1:9" ht="30">
      <c r="B105" s="266" t="s">
        <v>505</v>
      </c>
      <c r="C105" s="590">
        <f t="shared" si="27"/>
        <v>-3.7626524118650194E-12</v>
      </c>
      <c r="D105" s="590">
        <f t="shared" si="27"/>
        <v>-3.886882726815046E-12</v>
      </c>
      <c r="E105" s="590">
        <f t="shared" si="27"/>
        <v>-4.0768979307969929E-12</v>
      </c>
      <c r="F105" s="590">
        <f t="shared" si="27"/>
        <v>-4.2318679843986825E-12</v>
      </c>
      <c r="G105" s="590">
        <f t="shared" si="27"/>
        <v>-4.390426800434259E-12</v>
      </c>
      <c r="H105" s="590">
        <f t="shared" si="27"/>
        <v>-4.5489856164698355E-12</v>
      </c>
      <c r="I105" s="251">
        <f t="shared" si="27"/>
        <v>-4.7147219573731877E-12</v>
      </c>
    </row>
    <row r="106" spans="1:9" ht="30">
      <c r="B106" s="266" t="s">
        <v>506</v>
      </c>
      <c r="C106" s="590">
        <f t="shared" si="27"/>
        <v>-9.1606722207870925E-13</v>
      </c>
      <c r="D106" s="590">
        <f t="shared" si="27"/>
        <v>-9.5363558168422624E-13</v>
      </c>
      <c r="E106" s="590">
        <f t="shared" si="27"/>
        <v>-1.0147698639450815E-12</v>
      </c>
      <c r="F106" s="590">
        <f t="shared" si="27"/>
        <v>-1.071739961774764E-12</v>
      </c>
      <c r="G106" s="590">
        <f t="shared" si="27"/>
        <v>-1.128710059604446E-12</v>
      </c>
      <c r="H106" s="590">
        <f t="shared" si="27"/>
        <v>-1.1855654489584461E-12</v>
      </c>
      <c r="I106" s="251">
        <f t="shared" si="27"/>
        <v>-1.3432095738528587E-12</v>
      </c>
    </row>
    <row r="107" spans="1:9">
      <c r="B107" s="248" t="s">
        <v>225</v>
      </c>
      <c r="C107" s="590">
        <f>('2. Industry'!C52+'Baseline Usage'!$AC$38+'Baseline Usage'!$AC$39)*$O41</f>
        <v>4088603.4018222312</v>
      </c>
      <c r="D107" s="590">
        <f>('2. Industry'!D52+'Baseline Usage'!$AC$38+'Baseline Usage'!$AC$39)*$O41</f>
        <v>4211409.5381585117</v>
      </c>
      <c r="E107" s="590">
        <f>('2. Industry'!E52+'Baseline Usage'!$AC$38+'Baseline Usage'!$AC$39)*$O41</f>
        <v>4328180.4152745539</v>
      </c>
      <c r="F107" s="590">
        <f>('2. Industry'!F52+'Baseline Usage'!$AC$38+'Baseline Usage'!$AC$39)*$O41</f>
        <v>4384953.604174953</v>
      </c>
      <c r="G107" s="590">
        <f>('2. Industry'!G52+'Baseline Usage'!$AC$38+'Baseline Usage'!$AC$39)*$O41</f>
        <v>4470594.026079379</v>
      </c>
      <c r="H107" s="590">
        <f>('2. Industry'!H52+'Baseline Usage'!$AC$38+'Baseline Usage'!$AC$39)*$O41</f>
        <v>4550953.5961660966</v>
      </c>
      <c r="I107" s="251">
        <f>('2. Industry'!I52+'Baseline Usage'!$AC$38+'Baseline Usage'!$AC$39)*$O41</f>
        <v>4643908.9226761684</v>
      </c>
    </row>
    <row r="108" spans="1:9">
      <c r="B108" s="248" t="s">
        <v>229</v>
      </c>
      <c r="C108" s="590">
        <f>('2. Industry'!C53+'Baseline Usage'!$AC$43+'Baseline Usage'!$AC$44)*$P41</f>
        <v>3036441.2774501257</v>
      </c>
      <c r="D108" s="590">
        <f>('2. Industry'!D53+'Baseline Usage'!$AC$43+'Baseline Usage'!$AC$44)*$P41</f>
        <v>3108708.5798534388</v>
      </c>
      <c r="E108" s="590">
        <f>('2. Industry'!E53+'Baseline Usage'!$AC$43+'Baseline Usage'!$AC$44)*$P41</f>
        <v>3173688.4231908713</v>
      </c>
      <c r="F108" s="590">
        <f>('2. Industry'!F53+'Baseline Usage'!$AC$43+'Baseline Usage'!$AC$44)*$P41</f>
        <v>3185226.9000451816</v>
      </c>
      <c r="G108" s="590">
        <f>('2. Industry'!G53+'Baseline Usage'!$AC$43+'Baseline Usage'!$AC$44)*$P41</f>
        <v>3222119.6615662011</v>
      </c>
      <c r="H108" s="590">
        <f>('2. Industry'!H53+'Baseline Usage'!$AC$43+'Baseline Usage'!$AC$44)*$P41</f>
        <v>3252635.8964045746</v>
      </c>
      <c r="I108" s="251">
        <f>('2. Industry'!I53+'Baseline Usage'!$AC$43+'Baseline Usage'!$AC$44)*$P41</f>
        <v>3279356.5796461357</v>
      </c>
    </row>
    <row r="109" spans="1:9" ht="15.75" thickBot="1">
      <c r="B109" s="252" t="s">
        <v>232</v>
      </c>
      <c r="C109" s="253">
        <f>('2. Industry'!C54+'Baseline Usage'!$AC$50+'Baseline Usage'!$AC$51)*$N41</f>
        <v>1316994.0627384568</v>
      </c>
      <c r="D109" s="253">
        <f>('2. Industry'!D54+'Baseline Usage'!$AC$50+'Baseline Usage'!$AC$51)*$N41</f>
        <v>1353459.0711038131</v>
      </c>
      <c r="E109" s="253">
        <f>('2. Industry'!E54+'Baseline Usage'!$AC$50+'Baseline Usage'!$AC$51)*$N41</f>
        <v>1389015.6576025235</v>
      </c>
      <c r="F109" s="253">
        <f>('2. Industry'!F54+'Baseline Usage'!$AC$50+'Baseline Usage'!$AC$51)*$N41</f>
        <v>1411046.3608655534</v>
      </c>
      <c r="G109" s="253">
        <f>('2. Industry'!G54+'Baseline Usage'!$AC$50+'Baseline Usage'!$AC$51)*$N41</f>
        <v>1439669.6766464279</v>
      </c>
      <c r="H109" s="253">
        <f>('2. Industry'!H54+'Baseline Usage'!$AC$50+'Baseline Usage'!$AC$51)*$N41</f>
        <v>1467498.1232939872</v>
      </c>
      <c r="I109" s="254">
        <f>('2. Industry'!I54+'Baseline Usage'!$AC$50+'Baseline Usage'!$AC$51)*$N41</f>
        <v>1501717.5564329496</v>
      </c>
    </row>
    <row r="110" spans="1:9">
      <c r="B110" s="575"/>
      <c r="C110" s="576"/>
      <c r="D110" s="576"/>
      <c r="E110" s="576"/>
      <c r="F110" s="576"/>
      <c r="G110" s="576"/>
      <c r="H110" s="576"/>
      <c r="I110" s="577"/>
    </row>
    <row r="111" spans="1:9">
      <c r="A111" s="339">
        <v>1</v>
      </c>
      <c r="B111" s="246"/>
      <c r="C111" s="654" t="s">
        <v>507</v>
      </c>
      <c r="D111" s="655"/>
      <c r="E111" s="655"/>
      <c r="F111" s="655"/>
      <c r="G111" s="655"/>
      <c r="H111" s="655"/>
      <c r="I111" s="656"/>
    </row>
    <row r="112" spans="1:9">
      <c r="B112" s="126" t="s">
        <v>17</v>
      </c>
      <c r="C112" s="585">
        <f>'Baseline Statistics'!D4</f>
        <v>2022</v>
      </c>
      <c r="D112" s="585">
        <f>'Baseline Statistics'!E4</f>
        <v>2025</v>
      </c>
      <c r="E112" s="585">
        <f>'Baseline Statistics'!F4</f>
        <v>2030</v>
      </c>
      <c r="F112" s="585">
        <f>'Baseline Statistics'!G4</f>
        <v>2035</v>
      </c>
      <c r="G112" s="585">
        <f>'Baseline Statistics'!H4</f>
        <v>2040</v>
      </c>
      <c r="H112" s="585">
        <f>'Baseline Statistics'!I4</f>
        <v>2045</v>
      </c>
      <c r="I112" s="586">
        <f>'Baseline Statistics'!J4</f>
        <v>2051</v>
      </c>
    </row>
    <row r="113" spans="2:11">
      <c r="B113" s="563" t="s">
        <v>18</v>
      </c>
      <c r="C113" s="564">
        <f t="shared" ref="C113:I113" si="28">VLOOKUP($A111,$B114:$I117,COLUMN()-1,TRUE)</f>
        <v>0.31</v>
      </c>
      <c r="D113" s="564">
        <f t="shared" si="28"/>
        <v>0.31</v>
      </c>
      <c r="E113" s="564">
        <f t="shared" si="28"/>
        <v>0.31</v>
      </c>
      <c r="F113" s="564">
        <f t="shared" si="28"/>
        <v>0.31</v>
      </c>
      <c r="G113" s="564">
        <f t="shared" si="28"/>
        <v>0.31</v>
      </c>
      <c r="H113" s="564">
        <f t="shared" si="28"/>
        <v>0.31</v>
      </c>
      <c r="I113" s="565">
        <f t="shared" si="28"/>
        <v>0.31</v>
      </c>
    </row>
    <row r="114" spans="2:11">
      <c r="B114" s="563">
        <v>1</v>
      </c>
      <c r="C114" s="564">
        <v>0.31</v>
      </c>
      <c r="D114" s="566">
        <v>0.31</v>
      </c>
      <c r="E114" s="566">
        <v>0.31</v>
      </c>
      <c r="F114" s="566">
        <v>0.31</v>
      </c>
      <c r="G114" s="566">
        <v>0.31</v>
      </c>
      <c r="H114" s="566">
        <v>0.31</v>
      </c>
      <c r="I114" s="567">
        <v>0.31</v>
      </c>
      <c r="J114" t="s">
        <v>285</v>
      </c>
    </row>
    <row r="115" spans="2:11">
      <c r="B115" s="563">
        <v>2</v>
      </c>
      <c r="C115" s="564">
        <v>0.31</v>
      </c>
      <c r="D115" s="564">
        <v>0.34</v>
      </c>
      <c r="E115" s="564">
        <v>0.38</v>
      </c>
      <c r="F115" s="564">
        <v>0.42</v>
      </c>
      <c r="G115" s="564">
        <v>0.46</v>
      </c>
      <c r="H115" s="564">
        <v>0.48</v>
      </c>
      <c r="I115" s="565">
        <v>0.5</v>
      </c>
      <c r="J115" t="s">
        <v>508</v>
      </c>
    </row>
    <row r="116" spans="2:11">
      <c r="B116" s="563">
        <v>3</v>
      </c>
      <c r="C116" s="564">
        <v>0.31</v>
      </c>
      <c r="D116" s="566">
        <v>0.35</v>
      </c>
      <c r="E116" s="566">
        <v>0.45</v>
      </c>
      <c r="F116" s="566">
        <v>0.55000000000000004</v>
      </c>
      <c r="G116" s="566">
        <v>0.65</v>
      </c>
      <c r="H116" s="566">
        <v>0.72</v>
      </c>
      <c r="I116" s="567">
        <v>0.75</v>
      </c>
      <c r="J116" t="s">
        <v>509</v>
      </c>
    </row>
    <row r="117" spans="2:11">
      <c r="B117" s="563">
        <v>4</v>
      </c>
      <c r="C117" s="578">
        <v>0.31</v>
      </c>
      <c r="D117" s="579">
        <v>0.35</v>
      </c>
      <c r="E117" s="579">
        <v>0.6</v>
      </c>
      <c r="F117" s="579">
        <v>0.8</v>
      </c>
      <c r="G117" s="579">
        <v>1</v>
      </c>
      <c r="H117" s="579">
        <v>1</v>
      </c>
      <c r="I117" s="580">
        <v>1</v>
      </c>
      <c r="J117" t="s">
        <v>510</v>
      </c>
    </row>
    <row r="118" spans="2:11">
      <c r="B118" s="248"/>
      <c r="C118" s="581"/>
      <c r="D118" s="581"/>
      <c r="E118" s="581"/>
      <c r="F118" s="581"/>
      <c r="G118" s="581"/>
      <c r="H118" s="581"/>
      <c r="I118" s="582"/>
    </row>
    <row r="119" spans="2:11" ht="25.5">
      <c r="B119" s="568" t="s">
        <v>488</v>
      </c>
      <c r="C119" s="584">
        <f>'Baseline Statistics'!D4</f>
        <v>2022</v>
      </c>
      <c r="D119" s="584">
        <f>'Baseline Statistics'!E4</f>
        <v>2025</v>
      </c>
      <c r="E119" s="584">
        <f>'Baseline Statistics'!F4</f>
        <v>2030</v>
      </c>
      <c r="F119" s="584">
        <f>'Baseline Statistics'!G4</f>
        <v>2035</v>
      </c>
      <c r="G119" s="584">
        <f>'Baseline Statistics'!H4</f>
        <v>2040</v>
      </c>
      <c r="H119" s="584">
        <f>'Baseline Statistics'!I4</f>
        <v>2045</v>
      </c>
      <c r="I119" s="587">
        <f>'Baseline Statistics'!J4</f>
        <v>2051</v>
      </c>
    </row>
    <row r="120" spans="2:11" ht="30">
      <c r="B120" s="266" t="s">
        <v>24</v>
      </c>
      <c r="C120" s="231">
        <f t="shared" ref="C120:I120" si="29">C66+(C69-C123)*$P$94/0.0036+(C72-C126)*$P$94/0.0036+(SUM(C75:C77)-SUM(C129:C131))*$P94/0.0036</f>
        <v>211486678.15864664</v>
      </c>
      <c r="D120" s="231">
        <f t="shared" si="29"/>
        <v>223514838.21472865</v>
      </c>
      <c r="E120" s="231">
        <f t="shared" si="29"/>
        <v>234818439.13057208</v>
      </c>
      <c r="F120" s="231">
        <f t="shared" si="29"/>
        <v>239597869.20582086</v>
      </c>
      <c r="G120" s="231">
        <f t="shared" si="29"/>
        <v>247503529.86257222</v>
      </c>
      <c r="H120" s="231">
        <f t="shared" si="29"/>
        <v>254775201.27161497</v>
      </c>
      <c r="I120" s="251">
        <f t="shared" si="29"/>
        <v>262880235.27396268</v>
      </c>
      <c r="J120" t="s">
        <v>25</v>
      </c>
    </row>
    <row r="121" spans="2:11" ht="30">
      <c r="B121" s="266" t="s">
        <v>26</v>
      </c>
      <c r="C121" s="231">
        <f t="shared" ref="C121:I121" si="30">C67+(C70-C124)*$P$94/0.0036+(C73-C127)*$P$94/0.0036</f>
        <v>122239252.16110656</v>
      </c>
      <c r="D121" s="231">
        <f t="shared" si="30"/>
        <v>126275187.22312386</v>
      </c>
      <c r="E121" s="231">
        <f t="shared" si="30"/>
        <v>132448310.30001216</v>
      </c>
      <c r="F121" s="231">
        <f t="shared" si="30"/>
        <v>137482903.29082403</v>
      </c>
      <c r="G121" s="231">
        <f t="shared" si="30"/>
        <v>142634086.27935109</v>
      </c>
      <c r="H121" s="231">
        <f t="shared" si="30"/>
        <v>147785269.26787814</v>
      </c>
      <c r="I121" s="251">
        <f t="shared" si="30"/>
        <v>153169632.25183553</v>
      </c>
      <c r="J121" t="s">
        <v>25</v>
      </c>
    </row>
    <row r="122" spans="2:11" ht="30">
      <c r="B122" s="266" t="s">
        <v>500</v>
      </c>
      <c r="C122" s="231">
        <f>C68+(C71-C125)/0.0036+(C74-C128)/0.0036</f>
        <v>157909907.67552468</v>
      </c>
      <c r="D122" s="231">
        <f t="shared" ref="D122:I122" si="31">D68+(D71-D125)/$P$91*$P$92/0.0036+(D74-D128)/$P$91*$P$93/0.0036</f>
        <v>164385869.32314968</v>
      </c>
      <c r="E122" s="231">
        <f t="shared" si="31"/>
        <v>174924079.44021431</v>
      </c>
      <c r="F122" s="231">
        <f t="shared" si="31"/>
        <v>184744475.44580111</v>
      </c>
      <c r="G122" s="231">
        <f t="shared" si="31"/>
        <v>194564871.45138785</v>
      </c>
      <c r="H122" s="231">
        <f t="shared" si="31"/>
        <v>204365494.23032925</v>
      </c>
      <c r="I122" s="251">
        <f t="shared" si="31"/>
        <v>231539885.59341928</v>
      </c>
      <c r="J122" t="s">
        <v>25</v>
      </c>
    </row>
    <row r="123" spans="2:11">
      <c r="B123" s="266" t="s">
        <v>501</v>
      </c>
      <c r="C123" s="231">
        <f t="shared" ref="C123:I123" si="32">C69*(1-(C113-$C113)/(1-$C113))</f>
        <v>784288.83699619456</v>
      </c>
      <c r="D123" s="231">
        <f t="shared" si="32"/>
        <v>824678.97523892613</v>
      </c>
      <c r="E123" s="231">
        <f t="shared" si="32"/>
        <v>861757.56256062537</v>
      </c>
      <c r="F123" s="231">
        <f t="shared" si="32"/>
        <v>872663.79522580106</v>
      </c>
      <c r="G123" s="231">
        <f t="shared" si="32"/>
        <v>896035.28942154499</v>
      </c>
      <c r="H123" s="231">
        <f t="shared" si="32"/>
        <v>916509.17656138656</v>
      </c>
      <c r="I123" s="251">
        <f t="shared" si="32"/>
        <v>937145.94549881539</v>
      </c>
      <c r="J123" t="s">
        <v>220</v>
      </c>
    </row>
    <row r="124" spans="2:11" ht="30">
      <c r="B124" s="266" t="s">
        <v>502</v>
      </c>
      <c r="C124" s="231">
        <f>(C70-C102)*(1-(C$113-$C$113)/(1-$C$113))+C102</f>
        <v>94534.974496165116</v>
      </c>
      <c r="D124" s="231">
        <f t="shared" ref="D124:I124" si="33">(D70-D102)*(1-(D$113-$C$113)/(1-$C$113))+D102</f>
        <v>97656.206108848201</v>
      </c>
      <c r="E124" s="231">
        <f t="shared" si="33"/>
        <v>102430.25390706437</v>
      </c>
      <c r="F124" s="231">
        <f t="shared" si="33"/>
        <v>106323.80783160651</v>
      </c>
      <c r="G124" s="231">
        <f t="shared" si="33"/>
        <v>110307.52782200437</v>
      </c>
      <c r="H124" s="231">
        <f t="shared" si="33"/>
        <v>114291.24781240223</v>
      </c>
      <c r="I124" s="251">
        <f t="shared" si="33"/>
        <v>118455.29993451151</v>
      </c>
      <c r="J124" t="s">
        <v>220</v>
      </c>
    </row>
    <row r="125" spans="2:11">
      <c r="B125" s="266" t="s">
        <v>503</v>
      </c>
      <c r="C125" s="231">
        <f t="shared" ref="C125:I131" si="34">(C71-C103)*(1-(C$113-$C$113)/(1-$C$113))+C103</f>
        <v>74068.374882898177</v>
      </c>
      <c r="D125" s="231">
        <f t="shared" si="34"/>
        <v>77105.954741593159</v>
      </c>
      <c r="E125" s="231">
        <f t="shared" si="34"/>
        <v>82048.951093344396</v>
      </c>
      <c r="F125" s="231">
        <f t="shared" si="34"/>
        <v>86655.253405514391</v>
      </c>
      <c r="G125" s="231">
        <f t="shared" si="34"/>
        <v>91261.555717684358</v>
      </c>
      <c r="H125" s="231">
        <f t="shared" si="34"/>
        <v>95858.583306150336</v>
      </c>
      <c r="I125" s="251">
        <f t="shared" si="34"/>
        <v>108604.85766172652</v>
      </c>
      <c r="J125" t="s">
        <v>220</v>
      </c>
    </row>
    <row r="126" spans="2:11">
      <c r="B126" s="266" t="s">
        <v>504</v>
      </c>
      <c r="C126" s="231">
        <f t="shared" si="34"/>
        <v>357135.92553191498</v>
      </c>
      <c r="D126" s="231">
        <f t="shared" si="34"/>
        <v>375463.32851465163</v>
      </c>
      <c r="E126" s="231">
        <f t="shared" si="34"/>
        <v>392273.18022926716</v>
      </c>
      <c r="F126" s="231">
        <f>(F72-F104)*(1-(F$113-$C$113)/(1-$C$113))+F104</f>
        <v>397134.73441752821</v>
      </c>
      <c r="G126" s="231">
        <f t="shared" si="34"/>
        <v>407685.89650619385</v>
      </c>
      <c r="H126" s="231">
        <f t="shared" si="34"/>
        <v>416909.2012352536</v>
      </c>
      <c r="I126" s="251">
        <f t="shared" si="34"/>
        <v>426161.70290563459</v>
      </c>
      <c r="J126" t="s">
        <v>220</v>
      </c>
      <c r="K126" t="s">
        <v>521</v>
      </c>
    </row>
    <row r="127" spans="2:11" ht="30">
      <c r="B127" s="266" t="s">
        <v>505</v>
      </c>
      <c r="C127" s="231">
        <f t="shared" si="34"/>
        <v>16945.48</v>
      </c>
      <c r="D127" s="231">
        <f t="shared" si="34"/>
        <v>17504.963600117058</v>
      </c>
      <c r="E127" s="231">
        <f t="shared" si="34"/>
        <v>18360.716001964884</v>
      </c>
      <c r="F127" s="231">
        <f t="shared" si="34"/>
        <v>19058.639077619038</v>
      </c>
      <c r="G127" s="231">
        <f t="shared" si="34"/>
        <v>19772.724502433168</v>
      </c>
      <c r="H127" s="231">
        <f t="shared" si="34"/>
        <v>20486.809927247297</v>
      </c>
      <c r="I127" s="251">
        <f t="shared" si="34"/>
        <v>21233.220050381384</v>
      </c>
      <c r="J127" t="s">
        <v>220</v>
      </c>
    </row>
    <row r="128" spans="2:11" ht="30">
      <c r="B128" s="266" t="s">
        <v>506</v>
      </c>
      <c r="C128" s="231">
        <f t="shared" si="34"/>
        <v>4125.6000000000004</v>
      </c>
      <c r="D128" s="231">
        <f t="shared" si="34"/>
        <v>4294.7928503203275</v>
      </c>
      <c r="E128" s="231">
        <f t="shared" si="34"/>
        <v>4570.1171811298782</v>
      </c>
      <c r="F128" s="231">
        <f t="shared" si="34"/>
        <v>4826.6876924868966</v>
      </c>
      <c r="G128" s="231">
        <f t="shared" si="34"/>
        <v>5083.2582038439132</v>
      </c>
      <c r="H128" s="231">
        <f t="shared" si="34"/>
        <v>5339.3121141525926</v>
      </c>
      <c r="I128" s="251">
        <f t="shared" si="34"/>
        <v>6049.278136284217</v>
      </c>
      <c r="J128" t="s">
        <v>220</v>
      </c>
    </row>
    <row r="129" spans="1:10">
      <c r="B129" s="248" t="s">
        <v>225</v>
      </c>
      <c r="C129" s="275">
        <f t="shared" si="34"/>
        <v>6647038.0699615199</v>
      </c>
      <c r="D129" s="275">
        <f t="shared" si="34"/>
        <v>6846689.8784710793</v>
      </c>
      <c r="E129" s="275">
        <f t="shared" si="34"/>
        <v>7036529.8774563558</v>
      </c>
      <c r="F129" s="275">
        <f t="shared" si="34"/>
        <v>7128828.7655817922</v>
      </c>
      <c r="G129" s="275">
        <f t="shared" si="34"/>
        <v>7268058.4948513452</v>
      </c>
      <c r="H129" s="275">
        <f t="shared" si="34"/>
        <v>7398702.8907871526</v>
      </c>
      <c r="I129" s="593">
        <f t="shared" si="34"/>
        <v>7549824.810277503</v>
      </c>
      <c r="J129" t="s">
        <v>227</v>
      </c>
    </row>
    <row r="130" spans="1:10">
      <c r="B130" s="248" t="s">
        <v>229</v>
      </c>
      <c r="C130" s="275">
        <f t="shared" si="34"/>
        <v>3036441.2774501257</v>
      </c>
      <c r="D130" s="275">
        <f t="shared" si="34"/>
        <v>2240966.6272402368</v>
      </c>
      <c r="E130" s="275">
        <f t="shared" si="34"/>
        <v>2270494.6229527695</v>
      </c>
      <c r="F130" s="275">
        <f t="shared" si="34"/>
        <v>2275737.9119110699</v>
      </c>
      <c r="G130" s="275">
        <f t="shared" si="34"/>
        <v>2292502.6384487934</v>
      </c>
      <c r="H130" s="275">
        <f t="shared" si="34"/>
        <v>2306369.7579306136</v>
      </c>
      <c r="I130" s="593">
        <f t="shared" si="34"/>
        <v>2318512.11130773</v>
      </c>
      <c r="J130" t="s">
        <v>227</v>
      </c>
    </row>
    <row r="131" spans="1:10" ht="15.75" thickBot="1">
      <c r="B131" s="252" t="s">
        <v>232</v>
      </c>
      <c r="C131" s="594">
        <f t="shared" si="34"/>
        <v>3705105.7731958758</v>
      </c>
      <c r="D131" s="594">
        <f t="shared" si="34"/>
        <v>2538337.0733601861</v>
      </c>
      <c r="E131" s="594">
        <f t="shared" si="34"/>
        <v>2551868.5721675977</v>
      </c>
      <c r="F131" s="594">
        <f t="shared" si="34"/>
        <v>2554271.3616754562</v>
      </c>
      <c r="G131" s="594">
        <f t="shared" si="34"/>
        <v>2561953.9649703186</v>
      </c>
      <c r="H131" s="594">
        <f t="shared" si="34"/>
        <v>2568308.7109055752</v>
      </c>
      <c r="I131" s="595">
        <f t="shared" si="34"/>
        <v>2573873.0655553518</v>
      </c>
      <c r="J131" t="s">
        <v>227</v>
      </c>
    </row>
    <row r="132" spans="1:10">
      <c r="B132" s="291"/>
      <c r="C132" s="231"/>
      <c r="D132" s="231"/>
      <c r="E132" s="231"/>
      <c r="F132" s="231"/>
      <c r="G132" s="231"/>
      <c r="H132" s="231"/>
      <c r="I132" s="231"/>
    </row>
    <row r="133" spans="1:10">
      <c r="A133" s="657" t="s">
        <v>515</v>
      </c>
      <c r="B133" s="558" t="s">
        <v>485</v>
      </c>
      <c r="C133" s="231">
        <f>C25*'Baseline Usage'!$AJ42</f>
        <v>42635675.072391666</v>
      </c>
      <c r="D133" s="231">
        <f>D25*'Baseline Usage'!$AJ42</f>
        <v>44384184.717250414</v>
      </c>
      <c r="E133" s="231">
        <f>E25*'Baseline Usage'!$AJ42</f>
        <v>47229501.448857866</v>
      </c>
      <c r="F133" s="231">
        <f>F25*'Baseline Usage'!$AJ42</f>
        <v>49881008.370366305</v>
      </c>
      <c r="G133" s="231">
        <f>G25*'Baseline Usage'!$AJ42</f>
        <v>52532515.291874722</v>
      </c>
      <c r="H133" s="231">
        <f>H25*'Baseline Usage'!$AJ42</f>
        <v>55178683.442188896</v>
      </c>
      <c r="I133" s="231">
        <f>I25*'Baseline Usage'!$AJ42</f>
        <v>62515769.110223211</v>
      </c>
      <c r="J133" t="s">
        <v>317</v>
      </c>
    </row>
    <row r="134" spans="1:10">
      <c r="A134" s="627"/>
      <c r="B134" s="558" t="s">
        <v>218</v>
      </c>
      <c r="C134" s="231">
        <f>C28*'Baseline Usage'!$AK42</f>
        <v>35066.409943522391</v>
      </c>
      <c r="D134" s="231">
        <f>D28*'Baseline Usage'!$AK42</f>
        <v>36504.500366453743</v>
      </c>
      <c r="E134" s="231">
        <f>E28*'Baseline Usage'!$AK42</f>
        <v>38844.677759219325</v>
      </c>
      <c r="F134" s="231">
        <f>F28*'Baseline Usage'!$AK42</f>
        <v>41025.453096301055</v>
      </c>
      <c r="G134" s="231">
        <f>G28*'Baseline Usage'!$AK42</f>
        <v>43206.22843338277</v>
      </c>
      <c r="H134" s="231">
        <f>H28*'Baseline Usage'!$AK42</f>
        <v>45382.612810570587</v>
      </c>
      <c r="I134" s="231">
        <f>I28*'Baseline Usage'!$AK42</f>
        <v>51417.119204316812</v>
      </c>
      <c r="J134" t="s">
        <v>220</v>
      </c>
    </row>
    <row r="135" spans="1:10">
      <c r="A135" s="628"/>
      <c r="B135" s="558" t="s">
        <v>223</v>
      </c>
      <c r="C135" s="231">
        <f>C31*'Baseline Usage'!$AL42</f>
        <v>257.57218485192641</v>
      </c>
      <c r="D135" s="231">
        <f>D31*'Baseline Usage'!$AL42</f>
        <v>268.13534466342816</v>
      </c>
      <c r="E135" s="231">
        <f>E31*'Baseline Usage'!$AL42</f>
        <v>285.32457518250669</v>
      </c>
      <c r="F135" s="231">
        <f>F31*'Baseline Usage'!$AL42</f>
        <v>301.34295485547625</v>
      </c>
      <c r="G135" s="231">
        <f>G31*'Baseline Usage'!$AL42</f>
        <v>317.3613345284457</v>
      </c>
      <c r="H135" s="231">
        <f>H31*'Baseline Usage'!$AL42</f>
        <v>333.34746142346359</v>
      </c>
      <c r="I135" s="231">
        <f>I31*'Baseline Usage'!$AL42</f>
        <v>377.67252916902146</v>
      </c>
      <c r="J135" t="s">
        <v>220</v>
      </c>
    </row>
    <row r="137" spans="1:10">
      <c r="A137" s="657" t="s">
        <v>516</v>
      </c>
      <c r="B137" s="558" t="s">
        <v>485</v>
      </c>
      <c r="C137" s="231">
        <f t="shared" ref="C137:I137" si="35">C133+(C134-C138)*$P$94/0.0036+(C135-C139)*$P$94/0.0036</f>
        <v>42635675.072391666</v>
      </c>
      <c r="D137" s="231">
        <f t="shared" si="35"/>
        <v>44384184.717250414</v>
      </c>
      <c r="E137" s="231">
        <f t="shared" si="35"/>
        <v>47229501.448857866</v>
      </c>
      <c r="F137" s="231">
        <f t="shared" si="35"/>
        <v>49881008.370366305</v>
      </c>
      <c r="G137" s="231">
        <f t="shared" si="35"/>
        <v>52532515.291874722</v>
      </c>
      <c r="H137" s="231">
        <f t="shared" si="35"/>
        <v>55178683.442188896</v>
      </c>
      <c r="I137" s="231">
        <f t="shared" si="35"/>
        <v>62515769.110223211</v>
      </c>
      <c r="J137" t="s">
        <v>317</v>
      </c>
    </row>
    <row r="138" spans="1:10">
      <c r="A138" s="627"/>
      <c r="B138" s="558" t="s">
        <v>218</v>
      </c>
      <c r="C138" s="231">
        <f t="shared" ref="C138:I139" si="36">C134*(1-C81*(C$113-$C$113)/(1-$C$113))</f>
        <v>35066.409943522391</v>
      </c>
      <c r="D138" s="231">
        <f t="shared" si="36"/>
        <v>36504.500366453743</v>
      </c>
      <c r="E138" s="231">
        <f t="shared" si="36"/>
        <v>38844.677759219325</v>
      </c>
      <c r="F138" s="231">
        <f t="shared" si="36"/>
        <v>41025.453096301055</v>
      </c>
      <c r="G138" s="231">
        <f t="shared" si="36"/>
        <v>43206.22843338277</v>
      </c>
      <c r="H138" s="231">
        <f t="shared" si="36"/>
        <v>45382.612810570587</v>
      </c>
      <c r="I138" s="231">
        <f t="shared" si="36"/>
        <v>51417.119204316812</v>
      </c>
      <c r="J138" t="s">
        <v>220</v>
      </c>
    </row>
    <row r="139" spans="1:10">
      <c r="A139" s="628"/>
      <c r="B139" s="558" t="s">
        <v>223</v>
      </c>
      <c r="C139" s="231">
        <f t="shared" si="36"/>
        <v>257.57218485192641</v>
      </c>
      <c r="D139" s="231">
        <f t="shared" si="36"/>
        <v>268.13534466342816</v>
      </c>
      <c r="E139" s="231">
        <f t="shared" si="36"/>
        <v>285.32457518250669</v>
      </c>
      <c r="F139" s="231">
        <f t="shared" si="36"/>
        <v>301.34295485547625</v>
      </c>
      <c r="G139" s="231">
        <f t="shared" si="36"/>
        <v>317.3613345284457</v>
      </c>
      <c r="H139" s="231">
        <f t="shared" si="36"/>
        <v>333.34746142346359</v>
      </c>
      <c r="I139" s="231">
        <f t="shared" si="36"/>
        <v>377.67252916902146</v>
      </c>
      <c r="J139" t="s">
        <v>220</v>
      </c>
    </row>
    <row r="141" spans="1:10">
      <c r="A141" s="657" t="s">
        <v>517</v>
      </c>
      <c r="B141" s="558" t="s">
        <v>485</v>
      </c>
      <c r="C141" s="275">
        <f>C137*-'5. Energy'!C$58</f>
        <v>0</v>
      </c>
      <c r="D141" s="275">
        <f>D137*-'5. Energy'!D$58</f>
        <v>0</v>
      </c>
      <c r="E141" s="275">
        <f>E137*-'5. Energy'!E$58</f>
        <v>0</v>
      </c>
      <c r="F141" s="275">
        <f>F137*-'5. Energy'!F$58</f>
        <v>0</v>
      </c>
      <c r="G141" s="275">
        <f>G137*-'5. Energy'!G$58</f>
        <v>0</v>
      </c>
      <c r="H141" s="275">
        <f>H137*-'5. Energy'!H$58</f>
        <v>0</v>
      </c>
      <c r="I141" s="275">
        <f>I137*-'5. Energy'!I$58</f>
        <v>0</v>
      </c>
      <c r="J141" t="s">
        <v>317</v>
      </c>
    </row>
    <row r="142" spans="1:10">
      <c r="A142" s="627"/>
      <c r="B142" s="558" t="s">
        <v>218</v>
      </c>
      <c r="C142" s="275">
        <f>C138*-'5. Energy'!C$58</f>
        <v>0</v>
      </c>
      <c r="D142" s="275">
        <f>D138*-'5. Energy'!D$58</f>
        <v>0</v>
      </c>
      <c r="E142" s="275">
        <f>E138*-'5. Energy'!E$58</f>
        <v>0</v>
      </c>
      <c r="F142" s="275">
        <f>F138*-'5. Energy'!F$58</f>
        <v>0</v>
      </c>
      <c r="G142" s="275">
        <f>G138*-'5. Energy'!G$58</f>
        <v>0</v>
      </c>
      <c r="H142" s="275">
        <f>H138*-'5. Energy'!H$58</f>
        <v>0</v>
      </c>
      <c r="I142" s="275">
        <f>I138*-'5. Energy'!I$58</f>
        <v>0</v>
      </c>
      <c r="J142" t="s">
        <v>220</v>
      </c>
    </row>
    <row r="143" spans="1:10">
      <c r="A143" s="628"/>
      <c r="B143" s="558" t="s">
        <v>223</v>
      </c>
      <c r="C143" s="275">
        <f>C139*-'5. Energy'!C$58</f>
        <v>0</v>
      </c>
      <c r="D143" s="275">
        <f>D139*-'5. Energy'!D$58</f>
        <v>0</v>
      </c>
      <c r="E143" s="275">
        <f>E139*-'5. Energy'!E$58</f>
        <v>0</v>
      </c>
      <c r="F143" s="275">
        <f>F139*-'5. Energy'!F$58</f>
        <v>0</v>
      </c>
      <c r="G143" s="275">
        <f>G139*-'5. Energy'!G$58</f>
        <v>0</v>
      </c>
      <c r="H143" s="275">
        <f>H139*-'5. Energy'!H$58</f>
        <v>0</v>
      </c>
      <c r="I143" s="275">
        <f>I139*-'5. Energy'!I$58</f>
        <v>0</v>
      </c>
      <c r="J143" t="s">
        <v>220</v>
      </c>
    </row>
    <row r="145" spans="1:10">
      <c r="A145" s="657" t="s">
        <v>518</v>
      </c>
      <c r="B145" s="558" t="s">
        <v>223</v>
      </c>
      <c r="C145" s="231">
        <f t="shared" ref="C145:H145" si="37">SUM(C126:C128,C143)</f>
        <v>378207.00553191494</v>
      </c>
      <c r="D145" s="231">
        <f t="shared" si="37"/>
        <v>397263.08496508904</v>
      </c>
      <c r="E145" s="231">
        <f t="shared" si="37"/>
        <v>415204.01341236191</v>
      </c>
      <c r="F145" s="231">
        <f t="shared" si="37"/>
        <v>421020.06118763413</v>
      </c>
      <c r="G145" s="231">
        <f t="shared" si="37"/>
        <v>432541.8792124709</v>
      </c>
      <c r="H145" s="231">
        <f t="shared" si="37"/>
        <v>442735.32327665348</v>
      </c>
      <c r="I145" s="231">
        <f>SUM(I126:I128,I143)</f>
        <v>453444.20109230018</v>
      </c>
      <c r="J145" t="s">
        <v>220</v>
      </c>
    </row>
    <row r="146" spans="1:10">
      <c r="A146" s="627"/>
      <c r="B146" s="558" t="s">
        <v>501</v>
      </c>
      <c r="C146" s="231">
        <f t="shared" ref="C146:H146" si="38">C123</f>
        <v>784288.83699619456</v>
      </c>
      <c r="D146" s="231">
        <f t="shared" si="38"/>
        <v>824678.97523892613</v>
      </c>
      <c r="E146" s="231">
        <f t="shared" si="38"/>
        <v>861757.56256062537</v>
      </c>
      <c r="F146" s="231">
        <f t="shared" si="38"/>
        <v>872663.79522580106</v>
      </c>
      <c r="G146" s="231">
        <f t="shared" si="38"/>
        <v>896035.28942154499</v>
      </c>
      <c r="H146" s="231">
        <f t="shared" si="38"/>
        <v>916509.17656138656</v>
      </c>
      <c r="I146" s="231">
        <f>I123</f>
        <v>937145.94549881539</v>
      </c>
      <c r="J146" t="s">
        <v>220</v>
      </c>
    </row>
    <row r="147" spans="1:10">
      <c r="A147" s="628"/>
      <c r="B147" s="558" t="s">
        <v>519</v>
      </c>
      <c r="C147" s="231">
        <f>-MIN('1. Landuse'!C66,(C145+C146))</f>
        <v>0</v>
      </c>
      <c r="D147" s="231">
        <f>-MIN('1. Landuse'!D66,(D145+D146))</f>
        <v>0</v>
      </c>
      <c r="E147" s="231">
        <f>-MIN('1. Landuse'!E66,(E145+E146))</f>
        <v>0</v>
      </c>
      <c r="F147" s="231">
        <f>-MIN('1. Landuse'!F66,(F145+F146))</f>
        <v>0</v>
      </c>
      <c r="G147" s="231">
        <f>-MIN('1. Landuse'!G66,(G145+G146))</f>
        <v>0</v>
      </c>
      <c r="H147" s="231">
        <f>-MIN('1. Landuse'!H66,(H145+H146))</f>
        <v>0</v>
      </c>
      <c r="I147" s="231">
        <f>-MIN('1. Landuse'!I66,(I145+I146))</f>
        <v>0</v>
      </c>
      <c r="J147" t="s">
        <v>220</v>
      </c>
    </row>
    <row r="148" spans="1:10">
      <c r="B148" s="558" t="s">
        <v>520</v>
      </c>
      <c r="C148" s="231">
        <f t="shared" ref="C148:H148" si="39">MIN(C147+C145,0)</f>
        <v>0</v>
      </c>
      <c r="D148" s="231">
        <f t="shared" si="39"/>
        <v>0</v>
      </c>
      <c r="E148" s="231">
        <f t="shared" si="39"/>
        <v>0</v>
      </c>
      <c r="F148" s="231">
        <f t="shared" si="39"/>
        <v>0</v>
      </c>
      <c r="G148" s="231">
        <f t="shared" si="39"/>
        <v>0</v>
      </c>
      <c r="H148" s="231">
        <f t="shared" si="39"/>
        <v>0</v>
      </c>
      <c r="I148" s="231">
        <f>MIN(I147+I145,0)</f>
        <v>0</v>
      </c>
      <c r="J148" t="s">
        <v>220</v>
      </c>
    </row>
    <row r="149" spans="1:10">
      <c r="B149" s="291"/>
      <c r="C149" s="231"/>
      <c r="D149" s="231"/>
      <c r="E149" s="231"/>
      <c r="F149" s="231"/>
      <c r="G149" s="231"/>
      <c r="H149" s="231"/>
      <c r="I149" s="231"/>
    </row>
    <row r="150" spans="1:10" ht="38.25">
      <c r="A150" s="657" t="s">
        <v>522</v>
      </c>
      <c r="B150" s="558" t="s">
        <v>523</v>
      </c>
      <c r="C150" s="231">
        <f>'5. Energy'!C75</f>
        <v>211486678.15864664</v>
      </c>
      <c r="D150" s="231">
        <f>'5. Energy'!D75</f>
        <v>223188949.65530843</v>
      </c>
      <c r="E150" s="231">
        <f>'5. Energy'!E75</f>
        <v>233942860.8011452</v>
      </c>
      <c r="F150" s="231">
        <f>'5. Energy'!F75</f>
        <v>237767558.50429538</v>
      </c>
      <c r="G150" s="231">
        <f>'5. Energy'!G75</f>
        <v>243638972.99759743</v>
      </c>
      <c r="H150" s="231">
        <f>'5. Energy'!H75</f>
        <v>247662257.03519106</v>
      </c>
      <c r="I150" s="231">
        <f>'5. Energy'!I75</f>
        <v>252064227.81159237</v>
      </c>
      <c r="J150" t="s">
        <v>317</v>
      </c>
    </row>
    <row r="151" spans="1:10" ht="38.25">
      <c r="A151" s="627"/>
      <c r="B151" s="558" t="s">
        <v>524</v>
      </c>
      <c r="C151" s="231">
        <f>'5. Energy'!C76</f>
        <v>122239252.16110656</v>
      </c>
      <c r="D151" s="231">
        <f>'5. Energy'!D76</f>
        <v>126091075.78254411</v>
      </c>
      <c r="E151" s="231">
        <f>'5. Energy'!E76</f>
        <v>131954444.18499461</v>
      </c>
      <c r="F151" s="231">
        <f>'5. Energy'!F76</f>
        <v>136432658.43679395</v>
      </c>
      <c r="G151" s="231">
        <f>'5. Energy'!G76</f>
        <v>140406976.4776592</v>
      </c>
      <c r="H151" s="231">
        <f>'5. Energy'!H76</f>
        <v>143659324.61541316</v>
      </c>
      <c r="I151" s="231">
        <f>'5. Energy'!I76</f>
        <v>146867584.15865028</v>
      </c>
      <c r="J151" t="s">
        <v>317</v>
      </c>
    </row>
    <row r="152" spans="1:10" ht="25.5">
      <c r="A152" s="628"/>
      <c r="B152" s="558" t="s">
        <v>27</v>
      </c>
      <c r="C152" s="231">
        <f>C122+C141</f>
        <v>157909907.67552468</v>
      </c>
      <c r="D152" s="231">
        <f t="shared" ref="D152:I152" si="40">D122+D141</f>
        <v>164385869.32314968</v>
      </c>
      <c r="E152" s="231">
        <f t="shared" si="40"/>
        <v>174924079.44021431</v>
      </c>
      <c r="F152" s="231">
        <f t="shared" si="40"/>
        <v>184744475.44580111</v>
      </c>
      <c r="G152" s="231">
        <f t="shared" si="40"/>
        <v>194564871.45138785</v>
      </c>
      <c r="H152" s="231">
        <f t="shared" si="40"/>
        <v>204365494.23032925</v>
      </c>
      <c r="I152" s="231">
        <f t="shared" si="40"/>
        <v>231539885.59341928</v>
      </c>
      <c r="J152" t="s">
        <v>317</v>
      </c>
    </row>
    <row r="153" spans="1:10" ht="25.5">
      <c r="B153" s="558" t="s">
        <v>525</v>
      </c>
      <c r="C153" s="231">
        <f>MAX(C152-'5. Energy'!C55,0)</f>
        <v>157909907.67552468</v>
      </c>
      <c r="D153" s="231">
        <f>MAX(D152-'5. Energy'!D55,0)</f>
        <v>164053374.82314968</v>
      </c>
      <c r="E153" s="231">
        <f>MAX(E152-'5. Energy'!E55,0)</f>
        <v>173110412.34021431</v>
      </c>
      <c r="F153" s="231">
        <f>MAX(F152-'5. Energy'!F55,0)</f>
        <v>180824544.0458011</v>
      </c>
      <c r="G153" s="231">
        <f>MAX(G152-'5. Energy'!G55,0)</f>
        <v>185255974.05138785</v>
      </c>
      <c r="H153" s="231">
        <f>MAX(H152-'5. Energy'!H55,0)</f>
        <v>189217923.03032926</v>
      </c>
      <c r="I153" s="231">
        <f>MAX(I152-'5. Energy'!I55,0)</f>
        <v>204473803.09341928</v>
      </c>
      <c r="J153" t="s">
        <v>317</v>
      </c>
    </row>
    <row r="154" spans="1:10">
      <c r="B154" s="558" t="s">
        <v>218</v>
      </c>
      <c r="C154" s="440">
        <f t="shared" ref="C154:I154" si="41">SUM(C123:C125,C142,C148)</f>
        <v>952892.18637525791</v>
      </c>
      <c r="D154" s="440">
        <f t="shared" si="41"/>
        <v>999441.13608936756</v>
      </c>
      <c r="E154" s="440">
        <f t="shared" si="41"/>
        <v>1046236.7675610341</v>
      </c>
      <c r="F154" s="440">
        <f t="shared" si="41"/>
        <v>1065642.8564629219</v>
      </c>
      <c r="G154" s="440">
        <f t="shared" si="41"/>
        <v>1097604.3729612338</v>
      </c>
      <c r="H154" s="440">
        <f t="shared" si="41"/>
        <v>1126659.007679939</v>
      </c>
      <c r="I154" s="440">
        <f t="shared" si="41"/>
        <v>1164206.1030950532</v>
      </c>
      <c r="J154" t="s">
        <v>220</v>
      </c>
    </row>
    <row r="155" spans="1:10">
      <c r="B155" s="558" t="s">
        <v>223</v>
      </c>
      <c r="C155" s="440">
        <f t="shared" ref="C155:I155" si="42">MAX(C145+C147,0)</f>
        <v>378207.00553191494</v>
      </c>
      <c r="D155" s="440">
        <f t="shared" si="42"/>
        <v>397263.08496508904</v>
      </c>
      <c r="E155" s="440">
        <f t="shared" si="42"/>
        <v>415204.01341236191</v>
      </c>
      <c r="F155" s="440">
        <f t="shared" si="42"/>
        <v>421020.06118763413</v>
      </c>
      <c r="G155" s="440">
        <f t="shared" si="42"/>
        <v>432541.8792124709</v>
      </c>
      <c r="H155" s="440">
        <f t="shared" si="42"/>
        <v>442735.32327665348</v>
      </c>
      <c r="I155" s="440">
        <f t="shared" si="42"/>
        <v>453444.20109230018</v>
      </c>
      <c r="J155" t="s">
        <v>220</v>
      </c>
    </row>
    <row r="156" spans="1:10" ht="15.75" thickBot="1"/>
    <row r="157" spans="1:10">
      <c r="A157" s="339">
        <v>1</v>
      </c>
      <c r="B157" s="125"/>
      <c r="C157" s="596" t="s">
        <v>526</v>
      </c>
      <c r="D157" s="597"/>
      <c r="E157" s="597"/>
      <c r="F157" s="597"/>
      <c r="G157" s="597"/>
      <c r="H157" s="597"/>
      <c r="I157" s="598"/>
    </row>
    <row r="158" spans="1:10">
      <c r="B158" s="126" t="s">
        <v>17</v>
      </c>
      <c r="C158" s="213">
        <f>'Baseline Statistics'!D4</f>
        <v>2022</v>
      </c>
      <c r="D158" s="213">
        <f>'Baseline Statistics'!E4</f>
        <v>2025</v>
      </c>
      <c r="E158" s="213">
        <f>'Baseline Statistics'!F4</f>
        <v>2030</v>
      </c>
      <c r="F158" s="213">
        <f>'Baseline Statistics'!G4</f>
        <v>2035</v>
      </c>
      <c r="G158" s="213">
        <f>'Baseline Statistics'!H4</f>
        <v>2040</v>
      </c>
      <c r="H158" s="213">
        <f>'Baseline Statistics'!I4</f>
        <v>2045</v>
      </c>
      <c r="I158" s="104">
        <f>'Baseline Statistics'!J4</f>
        <v>2051</v>
      </c>
    </row>
    <row r="159" spans="1:10">
      <c r="B159" s="127" t="s">
        <v>18</v>
      </c>
      <c r="C159" s="83">
        <f t="shared" ref="C159:I159" si="43">VLOOKUP($A157,$B160:$I163,COLUMN()-1,TRUE)</f>
        <v>1</v>
      </c>
      <c r="D159" s="83">
        <f t="shared" si="43"/>
        <v>1.02</v>
      </c>
      <c r="E159" s="83">
        <f t="shared" si="43"/>
        <v>1.04</v>
      </c>
      <c r="F159" s="83">
        <f t="shared" si="43"/>
        <v>1.06</v>
      </c>
      <c r="G159" s="83">
        <f t="shared" si="43"/>
        <v>1.08</v>
      </c>
      <c r="H159" s="83">
        <f t="shared" si="43"/>
        <v>1.0900000000000001</v>
      </c>
      <c r="I159" s="106">
        <f t="shared" si="43"/>
        <v>1.1000000000000001</v>
      </c>
      <c r="J159" t="s">
        <v>527</v>
      </c>
    </row>
    <row r="160" spans="1:10">
      <c r="B160" s="127">
        <v>1</v>
      </c>
      <c r="C160" s="83">
        <v>1</v>
      </c>
      <c r="D160" s="81">
        <v>1.02</v>
      </c>
      <c r="E160" s="81">
        <v>1.04</v>
      </c>
      <c r="F160" s="81">
        <v>1.06</v>
      </c>
      <c r="G160" s="81">
        <v>1.08</v>
      </c>
      <c r="H160" s="81">
        <v>1.0900000000000001</v>
      </c>
      <c r="I160" s="105">
        <v>1.1000000000000001</v>
      </c>
      <c r="J160" t="s">
        <v>527</v>
      </c>
    </row>
    <row r="161" spans="1:10">
      <c r="B161" s="127">
        <v>2</v>
      </c>
      <c r="C161" s="83">
        <v>1</v>
      </c>
      <c r="D161" s="83">
        <v>1</v>
      </c>
      <c r="E161" s="83">
        <v>1</v>
      </c>
      <c r="F161" s="83">
        <v>1</v>
      </c>
      <c r="G161" s="83">
        <v>1</v>
      </c>
      <c r="H161" s="83">
        <v>1</v>
      </c>
      <c r="I161" s="106">
        <v>1</v>
      </c>
      <c r="J161" t="s">
        <v>285</v>
      </c>
    </row>
    <row r="162" spans="1:10">
      <c r="B162" s="127">
        <v>3</v>
      </c>
      <c r="C162" s="83">
        <v>1</v>
      </c>
      <c r="D162" s="81">
        <v>0.99</v>
      </c>
      <c r="E162" s="81">
        <v>0.98</v>
      </c>
      <c r="F162" s="81">
        <v>0.96</v>
      </c>
      <c r="G162" s="81">
        <v>0.94</v>
      </c>
      <c r="H162" s="81">
        <v>0.92</v>
      </c>
      <c r="I162" s="105">
        <v>0.9</v>
      </c>
      <c r="J162" t="s">
        <v>528</v>
      </c>
    </row>
    <row r="163" spans="1:10" ht="15.75" thickBot="1">
      <c r="B163" s="127">
        <v>4</v>
      </c>
      <c r="C163" s="84">
        <v>1</v>
      </c>
      <c r="D163" s="82">
        <v>0.95</v>
      </c>
      <c r="E163" s="82">
        <v>0.88</v>
      </c>
      <c r="F163" s="82">
        <v>0.82</v>
      </c>
      <c r="G163" s="82">
        <v>0.76</v>
      </c>
      <c r="H163" s="82">
        <v>0.68</v>
      </c>
      <c r="I163" s="107">
        <v>0.6</v>
      </c>
      <c r="J163" t="s">
        <v>529</v>
      </c>
    </row>
    <row r="164" spans="1:10">
      <c r="B164" s="248"/>
      <c r="I164" s="116"/>
    </row>
    <row r="165" spans="1:10" ht="25.5">
      <c r="B165" s="335" t="s">
        <v>488</v>
      </c>
      <c r="C165" s="336">
        <f>C180</f>
        <v>2022</v>
      </c>
      <c r="D165" s="336">
        <f t="shared" ref="D165:I165" si="44">D180</f>
        <v>2025</v>
      </c>
      <c r="E165" s="336">
        <f t="shared" si="44"/>
        <v>2030</v>
      </c>
      <c r="F165" s="336">
        <f t="shared" si="44"/>
        <v>2035</v>
      </c>
      <c r="G165" s="336">
        <f t="shared" si="44"/>
        <v>2040</v>
      </c>
      <c r="H165" s="336">
        <f t="shared" si="44"/>
        <v>2045</v>
      </c>
      <c r="I165" s="337">
        <f t="shared" si="44"/>
        <v>2051</v>
      </c>
    </row>
    <row r="166" spans="1:10" ht="25.5">
      <c r="B166" s="269" t="s">
        <v>530</v>
      </c>
      <c r="C166" s="231">
        <f>$M$5*C159</f>
        <v>518.45038286485646</v>
      </c>
      <c r="D166" s="231">
        <f t="shared" ref="D166:I166" si="45">$M$5*D159</f>
        <v>528.81939052215364</v>
      </c>
      <c r="E166" s="231">
        <f t="shared" si="45"/>
        <v>539.1883981794507</v>
      </c>
      <c r="F166" s="231">
        <f t="shared" si="45"/>
        <v>549.55740583674788</v>
      </c>
      <c r="G166" s="231">
        <f t="shared" si="45"/>
        <v>559.92641349404505</v>
      </c>
      <c r="H166" s="231">
        <f t="shared" si="45"/>
        <v>565.11091732269358</v>
      </c>
      <c r="I166" s="251">
        <f t="shared" si="45"/>
        <v>570.29542115134211</v>
      </c>
      <c r="J166" t="s">
        <v>531</v>
      </c>
    </row>
    <row r="167" spans="1:10">
      <c r="B167" s="269" t="s">
        <v>532</v>
      </c>
      <c r="C167" s="231">
        <f>C166*'Baseline Statistics'!D17/1000</f>
        <v>48309.206675347326</v>
      </c>
      <c r="D167" s="231">
        <f>D166*'Baseline Statistics'!E17/1000</f>
        <v>50714.308370465056</v>
      </c>
      <c r="E167" s="231">
        <f>E166*'Baseline Statistics'!F17/1000</f>
        <v>54102.163873326084</v>
      </c>
      <c r="F167" s="231">
        <f>F166*'Baseline Statistics'!G17/1000</f>
        <v>57153.970207021783</v>
      </c>
      <c r="G167" s="231">
        <f>G166*'Baseline Statistics'!H17/1000</f>
        <v>60281.677676768893</v>
      </c>
      <c r="H167" s="231">
        <f>H166*'Baseline Statistics'!I17/1000</f>
        <v>62908.14731636225</v>
      </c>
      <c r="I167" s="251">
        <f>I166*'Baseline Statistics'!J17/1000</f>
        <v>65572.567523981314</v>
      </c>
      <c r="J167" t="s">
        <v>215</v>
      </c>
    </row>
    <row r="168" spans="1:10" ht="25.5">
      <c r="B168" s="269" t="s">
        <v>533</v>
      </c>
      <c r="C168" s="231">
        <f>$M12*SUM('Landuse b. Housing Growth'!D16:D17,'Landuse b. Housing Growth'!D19)*'Baseline Statistics'!D28</f>
        <v>0</v>
      </c>
      <c r="D168" s="231">
        <f>$M12*SUM('Landuse b. Housing Growth'!E16:E17,'Landuse b. Housing Growth'!E19)*'Baseline Statistics'!E28</f>
        <v>51.838033975915209</v>
      </c>
      <c r="E168" s="231">
        <f>$M12*SUM('Landuse b. Housing Growth'!F16:F17,'Landuse b. Housing Growth'!F19)*'Baseline Statistics'!F28</f>
        <v>136.29939943872654</v>
      </c>
      <c r="F168" s="231">
        <f>$M12*SUM('Landuse b. Housing Growth'!G16:G17,'Landuse b. Housing Growth'!G19)*'Baseline Statistics'!G28</f>
        <v>214.21721581168461</v>
      </c>
      <c r="G168" s="231">
        <f>$M12*SUM('Landuse b. Housing Growth'!H16:H17,'Landuse b. Housing Growth'!H19)*'Baseline Statistics'!H28</f>
        <v>291.66591913155918</v>
      </c>
      <c r="H168" s="231">
        <f>$M12*SUM('Landuse b. Housing Growth'!I16:I17,'Landuse b. Housing Growth'!I19)*'Baseline Statistics'!I28</f>
        <v>368.57755215240252</v>
      </c>
      <c r="I168" s="251">
        <f>$M12*SUM('Landuse b. Housing Growth'!J16:J17,'Landuse b. Housing Growth'!J19)*'Baseline Statistics'!J28</f>
        <v>582.49475421916679</v>
      </c>
      <c r="J168" t="s">
        <v>209</v>
      </c>
    </row>
    <row r="169" spans="1:10" ht="25.5">
      <c r="B169" s="269" t="s">
        <v>534</v>
      </c>
      <c r="C169" s="231">
        <f>$M13*'Landuse b. Housing Growth'!D18*'Baseline Statistics'!D28</f>
        <v>0</v>
      </c>
      <c r="D169" s="231">
        <f>$M13*'Landuse b. Housing Growth'!E18*'Baseline Statistics'!E28</f>
        <v>36.750619879926532</v>
      </c>
      <c r="E169" s="231">
        <f>$M13*'Landuse b. Housing Growth'!F18*'Baseline Statistics'!F28</f>
        <v>96.979414114845056</v>
      </c>
      <c r="F169" s="231">
        <f>$M13*'Landuse b. Housing Growth'!G18*'Baseline Statistics'!G28</f>
        <v>152.5052099084871</v>
      </c>
      <c r="G169" s="231">
        <f>$M13*'Landuse b. Housing Growth'!H18*'Baseline Statistics'!H28</f>
        <v>207.69667110047448</v>
      </c>
      <c r="H169" s="231">
        <f>$M13*'Landuse b. Housing Growth'!I18*'Baseline Statistics'!I28</f>
        <v>262.24909666568249</v>
      </c>
      <c r="I169" s="251">
        <f>$M13*'Landuse b. Housing Growth'!J18*'Baseline Statistics'!J28</f>
        <v>414.68919893892172</v>
      </c>
      <c r="J169" t="s">
        <v>209</v>
      </c>
    </row>
    <row r="170" spans="1:10" ht="15.75" thickBot="1">
      <c r="B170" s="270" t="s">
        <v>207</v>
      </c>
      <c r="C170" s="441">
        <f>$M$11+SUM(C168:C169)</f>
        <v>2514.4811271524195</v>
      </c>
      <c r="D170" s="441">
        <f t="shared" ref="D170:I170" si="46">$M$11+SUM(D168:D169)</f>
        <v>2603.0697810082611</v>
      </c>
      <c r="E170" s="441">
        <f t="shared" si="46"/>
        <v>2747.7599407059911</v>
      </c>
      <c r="F170" s="441">
        <f t="shared" si="46"/>
        <v>2881.203552872591</v>
      </c>
      <c r="G170" s="441">
        <f t="shared" si="46"/>
        <v>3013.8437173844532</v>
      </c>
      <c r="H170" s="441">
        <f t="shared" si="46"/>
        <v>3145.3077759705047</v>
      </c>
      <c r="I170" s="442">
        <f t="shared" si="46"/>
        <v>3511.6650803105081</v>
      </c>
      <c r="J170" t="s">
        <v>209</v>
      </c>
    </row>
    <row r="171" spans="1:10" ht="15.75" thickBot="1"/>
    <row r="172" spans="1:10">
      <c r="A172" s="339">
        <v>1</v>
      </c>
      <c r="B172" s="125"/>
      <c r="C172" s="596" t="s">
        <v>535</v>
      </c>
      <c r="D172" s="597"/>
      <c r="E172" s="597"/>
      <c r="F172" s="597"/>
      <c r="G172" s="597"/>
      <c r="H172" s="597"/>
      <c r="I172" s="598"/>
    </row>
    <row r="173" spans="1:10">
      <c r="B173" s="126" t="s">
        <v>17</v>
      </c>
      <c r="C173" s="213">
        <f>'Baseline Statistics'!D4</f>
        <v>2022</v>
      </c>
      <c r="D173" s="213">
        <f>'Baseline Statistics'!E4</f>
        <v>2025</v>
      </c>
      <c r="E173" s="213">
        <f>'Baseline Statistics'!F4</f>
        <v>2030</v>
      </c>
      <c r="F173" s="213">
        <f>'Baseline Statistics'!G4</f>
        <v>2035</v>
      </c>
      <c r="G173" s="213">
        <f>'Baseline Statistics'!H4</f>
        <v>2040</v>
      </c>
      <c r="H173" s="213">
        <f>'Baseline Statistics'!I4</f>
        <v>2045</v>
      </c>
      <c r="I173" s="104">
        <f>'Baseline Statistics'!J4</f>
        <v>2051</v>
      </c>
    </row>
    <row r="174" spans="1:10">
      <c r="B174" s="127" t="s">
        <v>18</v>
      </c>
      <c r="C174" s="83">
        <f t="shared" ref="C174:I174" si="47">VLOOKUP($A172,$B175:$I178,COLUMN()-1,TRUE)</f>
        <v>0.38</v>
      </c>
      <c r="D174" s="83">
        <f t="shared" si="47"/>
        <v>0.3</v>
      </c>
      <c r="E174" s="83">
        <f t="shared" si="47"/>
        <v>0.25</v>
      </c>
      <c r="F174" s="83">
        <f t="shared" si="47"/>
        <v>0.2</v>
      </c>
      <c r="G174" s="83">
        <f t="shared" si="47"/>
        <v>0.2</v>
      </c>
      <c r="H174" s="83">
        <f t="shared" si="47"/>
        <v>0.2</v>
      </c>
      <c r="I174" s="106">
        <f t="shared" si="47"/>
        <v>0.2</v>
      </c>
    </row>
    <row r="175" spans="1:10">
      <c r="B175" s="127">
        <v>1</v>
      </c>
      <c r="C175" s="83">
        <v>0.38</v>
      </c>
      <c r="D175" s="81">
        <v>0.3</v>
      </c>
      <c r="E175" s="81">
        <v>0.25</v>
      </c>
      <c r="F175" s="81">
        <v>0.2</v>
      </c>
      <c r="G175" s="81">
        <v>0.2</v>
      </c>
      <c r="H175" s="81">
        <v>0.2</v>
      </c>
      <c r="I175" s="105">
        <v>0.2</v>
      </c>
      <c r="J175" t="s">
        <v>536</v>
      </c>
    </row>
    <row r="176" spans="1:10">
      <c r="B176" s="127">
        <v>2</v>
      </c>
      <c r="C176" s="83">
        <v>0.38</v>
      </c>
      <c r="D176" s="83">
        <v>0.38</v>
      </c>
      <c r="E176" s="83">
        <v>0.38</v>
      </c>
      <c r="F176" s="83">
        <v>0.38</v>
      </c>
      <c r="G176" s="83">
        <v>0.38</v>
      </c>
      <c r="H176" s="83">
        <v>0.38</v>
      </c>
      <c r="I176" s="106">
        <v>0.38</v>
      </c>
      <c r="J176" t="s">
        <v>537</v>
      </c>
    </row>
    <row r="177" spans="1:10">
      <c r="B177" s="127">
        <v>3</v>
      </c>
      <c r="C177" s="83">
        <v>0.38</v>
      </c>
      <c r="D177" s="81">
        <v>0.4</v>
      </c>
      <c r="E177" s="81">
        <v>0.42</v>
      </c>
      <c r="F177" s="81">
        <v>0.44</v>
      </c>
      <c r="G177" s="81">
        <v>0.46</v>
      </c>
      <c r="H177" s="81">
        <v>0.48</v>
      </c>
      <c r="I177" s="105">
        <v>0.5</v>
      </c>
      <c r="J177" t="s">
        <v>538</v>
      </c>
    </row>
    <row r="178" spans="1:10" ht="15.75" thickBot="1">
      <c r="B178" s="127">
        <v>4</v>
      </c>
      <c r="C178" s="84">
        <v>0.38</v>
      </c>
      <c r="D178" s="82">
        <v>0.44</v>
      </c>
      <c r="E178" s="82">
        <v>0.5</v>
      </c>
      <c r="F178" s="82">
        <v>0.6</v>
      </c>
      <c r="G178" s="82">
        <v>0.7</v>
      </c>
      <c r="H178" s="82">
        <v>0.72</v>
      </c>
      <c r="I178" s="107">
        <v>0.75</v>
      </c>
      <c r="J178" t="s">
        <v>539</v>
      </c>
    </row>
    <row r="179" spans="1:10">
      <c r="B179" s="248"/>
      <c r="I179" s="116"/>
    </row>
    <row r="180" spans="1:10" ht="15" customHeight="1">
      <c r="B180" s="335" t="s">
        <v>488</v>
      </c>
      <c r="C180" s="336">
        <f>'Baseline Statistics'!D4</f>
        <v>2022</v>
      </c>
      <c r="D180" s="336">
        <f>'Baseline Statistics'!E4</f>
        <v>2025</v>
      </c>
      <c r="E180" s="336">
        <f>'Baseline Statistics'!F4</f>
        <v>2030</v>
      </c>
      <c r="F180" s="336">
        <f>'Baseline Statistics'!G4</f>
        <v>2035</v>
      </c>
      <c r="G180" s="336">
        <f>'Baseline Statistics'!H4</f>
        <v>2040</v>
      </c>
      <c r="H180" s="336">
        <f>'Baseline Statistics'!I4</f>
        <v>2045</v>
      </c>
      <c r="I180" s="337">
        <f>'Baseline Statistics'!J4</f>
        <v>2051</v>
      </c>
    </row>
    <row r="181" spans="1:10">
      <c r="B181" s="269" t="s">
        <v>532</v>
      </c>
      <c r="C181" s="231">
        <f>C167</f>
        <v>48309.206675347326</v>
      </c>
      <c r="D181" s="231">
        <f t="shared" ref="D181:I181" si="48">D167</f>
        <v>50714.308370465056</v>
      </c>
      <c r="E181" s="231">
        <f t="shared" si="48"/>
        <v>54102.163873326084</v>
      </c>
      <c r="F181" s="231">
        <f t="shared" si="48"/>
        <v>57153.970207021783</v>
      </c>
      <c r="G181" s="231">
        <f t="shared" si="48"/>
        <v>60281.677676768893</v>
      </c>
      <c r="H181" s="231">
        <f t="shared" si="48"/>
        <v>62908.14731636225</v>
      </c>
      <c r="I181" s="251">
        <f t="shared" si="48"/>
        <v>65572.567523981314</v>
      </c>
      <c r="J181" t="s">
        <v>215</v>
      </c>
    </row>
    <row r="182" spans="1:10">
      <c r="B182" s="269" t="s">
        <v>540</v>
      </c>
      <c r="C182" s="231">
        <f>C181*(1-'Baseline Usage'!$AT13)</f>
        <v>41198.091452736197</v>
      </c>
      <c r="D182" s="231">
        <f>D181*(1-'Baseline Usage'!$AT13)</f>
        <v>43249.162178332597</v>
      </c>
      <c r="E182" s="231">
        <f>E181*(1-'Baseline Usage'!$AT13)</f>
        <v>46138.325351172483</v>
      </c>
      <c r="F182" s="231">
        <f>F181*(1-'Baseline Usage'!$AT13)</f>
        <v>48740.905792548176</v>
      </c>
      <c r="G182" s="231">
        <f>G181*(1-'Baseline Usage'!$AT13)</f>
        <v>51408.214722748511</v>
      </c>
      <c r="H182" s="231">
        <f>H181*(1-'Baseline Usage'!$AT13)</f>
        <v>53648.068031393726</v>
      </c>
      <c r="I182" s="251">
        <f>I181*(1-'Baseline Usage'!$AT13)</f>
        <v>55920.285584451267</v>
      </c>
      <c r="J182" t="s">
        <v>541</v>
      </c>
    </row>
    <row r="183" spans="1:10">
      <c r="B183" s="269" t="s">
        <v>542</v>
      </c>
      <c r="C183" s="231">
        <f>C182*C174</f>
        <v>15655.274752039755</v>
      </c>
      <c r="D183" s="231">
        <f t="shared" ref="D183:I183" si="49">D182*D174</f>
        <v>12974.748653499779</v>
      </c>
      <c r="E183" s="231">
        <f t="shared" si="49"/>
        <v>11534.581337793121</v>
      </c>
      <c r="F183" s="231">
        <f t="shared" si="49"/>
        <v>9748.1811585096348</v>
      </c>
      <c r="G183" s="231">
        <f t="shared" si="49"/>
        <v>10281.642944549703</v>
      </c>
      <c r="H183" s="231">
        <f t="shared" si="49"/>
        <v>10729.613606278746</v>
      </c>
      <c r="I183" s="251">
        <f t="shared" si="49"/>
        <v>11184.057116890253</v>
      </c>
      <c r="J183" t="s">
        <v>543</v>
      </c>
    </row>
    <row r="184" spans="1:10">
      <c r="G184" s="231"/>
      <c r="H184" s="231"/>
      <c r="I184" s="231"/>
    </row>
    <row r="185" spans="1:10" ht="15.75" thickBot="1"/>
    <row r="186" spans="1:10">
      <c r="A186" s="339">
        <v>1</v>
      </c>
      <c r="B186" s="125"/>
      <c r="C186" s="596" t="s">
        <v>544</v>
      </c>
      <c r="D186" s="597"/>
      <c r="E186" s="597"/>
      <c r="F186" s="597"/>
      <c r="G186" s="597"/>
      <c r="H186" s="597"/>
      <c r="I186" s="598"/>
      <c r="J186" t="s">
        <v>545</v>
      </c>
    </row>
    <row r="187" spans="1:10">
      <c r="B187" s="126" t="s">
        <v>17</v>
      </c>
      <c r="C187" s="213">
        <f>C173</f>
        <v>2022</v>
      </c>
      <c r="D187" s="213">
        <f t="shared" ref="D187:I187" si="50">D173</f>
        <v>2025</v>
      </c>
      <c r="E187" s="213">
        <f t="shared" si="50"/>
        <v>2030</v>
      </c>
      <c r="F187" s="213">
        <f t="shared" si="50"/>
        <v>2035</v>
      </c>
      <c r="G187" s="213">
        <f t="shared" si="50"/>
        <v>2040</v>
      </c>
      <c r="H187" s="213">
        <f t="shared" si="50"/>
        <v>2045</v>
      </c>
      <c r="I187" s="104">
        <f t="shared" si="50"/>
        <v>2051</v>
      </c>
    </row>
    <row r="188" spans="1:10">
      <c r="B188" s="127" t="s">
        <v>18</v>
      </c>
      <c r="C188" s="83">
        <f t="shared" ref="C188:I188" si="51">VLOOKUP($A186,$B189:$I192,COLUMN()-1,TRUE)</f>
        <v>0</v>
      </c>
      <c r="D188" s="83">
        <f t="shared" si="51"/>
        <v>0</v>
      </c>
      <c r="E188" s="83">
        <f t="shared" si="51"/>
        <v>0</v>
      </c>
      <c r="F188" s="83">
        <f t="shared" si="51"/>
        <v>0</v>
      </c>
      <c r="G188" s="83">
        <f t="shared" si="51"/>
        <v>0</v>
      </c>
      <c r="H188" s="83">
        <f t="shared" si="51"/>
        <v>0</v>
      </c>
      <c r="I188" s="106">
        <f t="shared" si="51"/>
        <v>0</v>
      </c>
    </row>
    <row r="189" spans="1:10">
      <c r="B189" s="127">
        <v>1</v>
      </c>
      <c r="C189" s="83">
        <v>0</v>
      </c>
      <c r="D189" s="81">
        <v>0</v>
      </c>
      <c r="E189" s="81">
        <v>0</v>
      </c>
      <c r="F189" s="81">
        <v>0</v>
      </c>
      <c r="G189" s="81">
        <v>0</v>
      </c>
      <c r="H189" s="81">
        <v>0</v>
      </c>
      <c r="I189" s="105">
        <v>0</v>
      </c>
    </row>
    <row r="190" spans="1:10">
      <c r="B190" s="127">
        <v>2</v>
      </c>
      <c r="C190" s="83">
        <v>0</v>
      </c>
      <c r="D190" s="83">
        <v>0.05</v>
      </c>
      <c r="E190" s="83">
        <v>0.1</v>
      </c>
      <c r="F190" s="83">
        <v>0.1</v>
      </c>
      <c r="G190" s="83">
        <v>0.1</v>
      </c>
      <c r="H190" s="83">
        <v>0.1</v>
      </c>
      <c r="I190" s="106">
        <v>0.1</v>
      </c>
    </row>
    <row r="191" spans="1:10">
      <c r="B191" s="127">
        <v>3</v>
      </c>
      <c r="C191" s="83">
        <v>0</v>
      </c>
      <c r="D191" s="81">
        <v>0.1</v>
      </c>
      <c r="E191" s="81">
        <v>0.2</v>
      </c>
      <c r="F191" s="81">
        <v>0.3</v>
      </c>
      <c r="G191" s="81">
        <v>0.4</v>
      </c>
      <c r="H191" s="81">
        <v>0.5</v>
      </c>
      <c r="I191" s="105">
        <v>0.5</v>
      </c>
    </row>
    <row r="192" spans="1:10" ht="15.75" thickBot="1">
      <c r="B192" s="127">
        <v>4</v>
      </c>
      <c r="C192" s="84">
        <v>0</v>
      </c>
      <c r="D192" s="82">
        <v>0.1</v>
      </c>
      <c r="E192" s="82">
        <v>0.3</v>
      </c>
      <c r="F192" s="82">
        <v>0.5</v>
      </c>
      <c r="G192" s="82">
        <v>0.7</v>
      </c>
      <c r="H192" s="82">
        <v>0.9</v>
      </c>
      <c r="I192" s="107">
        <v>1</v>
      </c>
    </row>
    <row r="193" spans="2:10">
      <c r="B193" s="248"/>
      <c r="I193" s="116"/>
    </row>
    <row r="194" spans="2:10" ht="25.5">
      <c r="B194" s="335" t="s">
        <v>488</v>
      </c>
      <c r="C194" s="336">
        <f>'Baseline Statistics'!D18</f>
        <v>88707</v>
      </c>
      <c r="D194" s="336">
        <f>'Baseline Statistics'!E18</f>
        <v>91298</v>
      </c>
      <c r="E194" s="336">
        <f>'Baseline Statistics'!F18</f>
        <v>95524</v>
      </c>
      <c r="F194" s="336">
        <f>'Baseline Statistics'!G18</f>
        <v>99008</v>
      </c>
      <c r="G194" s="336">
        <f>'Baseline Statistics'!H18</f>
        <v>102492</v>
      </c>
      <c r="H194" s="336">
        <f>'Baseline Statistics'!I18</f>
        <v>105977</v>
      </c>
      <c r="I194" s="337">
        <f>'Baseline Statistics'!J18</f>
        <v>109461</v>
      </c>
    </row>
    <row r="195" spans="2:10">
      <c r="B195" s="269" t="s">
        <v>532</v>
      </c>
      <c r="C195" s="231">
        <f t="shared" ref="C195:I195" si="52">C181</f>
        <v>48309.206675347326</v>
      </c>
      <c r="D195" s="231">
        <f t="shared" si="52"/>
        <v>50714.308370465056</v>
      </c>
      <c r="E195" s="231">
        <f t="shared" si="52"/>
        <v>54102.163873326084</v>
      </c>
      <c r="F195" s="231">
        <f t="shared" si="52"/>
        <v>57153.970207021783</v>
      </c>
      <c r="G195" s="231">
        <f t="shared" si="52"/>
        <v>60281.677676768893</v>
      </c>
      <c r="H195" s="231">
        <f t="shared" si="52"/>
        <v>62908.14731636225</v>
      </c>
      <c r="I195" s="251">
        <f t="shared" si="52"/>
        <v>65572.567523981314</v>
      </c>
    </row>
    <row r="196" spans="2:10">
      <c r="B196" s="269" t="s">
        <v>546</v>
      </c>
      <c r="C196" s="231">
        <f>C195*'Baseline Usage'!$AT13</f>
        <v>7111.1152226111262</v>
      </c>
      <c r="D196" s="231">
        <f>D195*'Baseline Usage'!$AT13</f>
        <v>7465.1461921324562</v>
      </c>
      <c r="E196" s="231">
        <f>E195*'Baseline Usage'!$AT13</f>
        <v>7963.8385221535991</v>
      </c>
      <c r="F196" s="231">
        <f>F195*'Baseline Usage'!$AT13</f>
        <v>8413.064414473607</v>
      </c>
      <c r="G196" s="231">
        <f>G195*'Baseline Usage'!$AT13</f>
        <v>8873.4629540203805</v>
      </c>
      <c r="H196" s="231">
        <f>H195*'Baseline Usage'!$AT13</f>
        <v>9260.079284968524</v>
      </c>
      <c r="I196" s="251">
        <f>I195*'Baseline Usage'!$AT13</f>
        <v>9652.2819395300485</v>
      </c>
    </row>
    <row r="197" spans="2:10" ht="15.75" thickBot="1">
      <c r="B197" s="270" t="s">
        <v>542</v>
      </c>
      <c r="C197" s="253">
        <f>C196*C188</f>
        <v>0</v>
      </c>
      <c r="D197" s="253">
        <f t="shared" ref="D197:I197" si="53">D196*D188</f>
        <v>0</v>
      </c>
      <c r="E197" s="253">
        <f t="shared" si="53"/>
        <v>0</v>
      </c>
      <c r="F197" s="253">
        <f t="shared" si="53"/>
        <v>0</v>
      </c>
      <c r="G197" s="253">
        <f t="shared" si="53"/>
        <v>0</v>
      </c>
      <c r="H197" s="253">
        <f t="shared" si="53"/>
        <v>0</v>
      </c>
      <c r="I197" s="254">
        <f t="shared" si="53"/>
        <v>0</v>
      </c>
    </row>
    <row r="198" spans="2:10">
      <c r="B198" s="231"/>
      <c r="C198" s="231"/>
      <c r="D198" s="231"/>
      <c r="E198" s="231"/>
      <c r="F198" s="231"/>
      <c r="G198" s="231"/>
      <c r="H198" s="231"/>
      <c r="I198" s="231"/>
    </row>
    <row r="199" spans="2:10" ht="15.75" thickBot="1">
      <c r="B199" s="231"/>
      <c r="C199" s="231"/>
      <c r="D199" s="231"/>
      <c r="E199" s="231"/>
      <c r="F199" s="231"/>
      <c r="G199" s="231"/>
      <c r="H199" s="231"/>
      <c r="I199" s="231"/>
    </row>
    <row r="200" spans="2:10">
      <c r="B200" s="650" t="s">
        <v>352</v>
      </c>
      <c r="C200" s="638">
        <f>'Baseline Statistics'!D$4</f>
        <v>2022</v>
      </c>
      <c r="D200" s="638">
        <f>'Baseline Statistics'!E$4</f>
        <v>2025</v>
      </c>
      <c r="E200" s="638">
        <f>'Baseline Statistics'!F$4</f>
        <v>2030</v>
      </c>
      <c r="F200" s="638">
        <f>'Baseline Statistics'!G$4</f>
        <v>2035</v>
      </c>
      <c r="G200" s="638">
        <f>'Baseline Statistics'!H$4</f>
        <v>2040</v>
      </c>
      <c r="H200" s="638">
        <f>'Baseline Statistics'!I$4</f>
        <v>2045</v>
      </c>
      <c r="I200" s="651">
        <f>'Baseline Statistics'!J$4</f>
        <v>2051</v>
      </c>
    </row>
    <row r="201" spans="2:10">
      <c r="B201" s="642"/>
      <c r="C201" s="624"/>
      <c r="D201" s="624"/>
      <c r="E201" s="624"/>
      <c r="F201" s="624"/>
      <c r="G201" s="624"/>
      <c r="H201" s="624"/>
      <c r="I201" s="644"/>
    </row>
    <row r="202" spans="2:10">
      <c r="B202" s="642"/>
      <c r="C202" s="625"/>
      <c r="D202" s="625"/>
      <c r="E202" s="625"/>
      <c r="F202" s="625"/>
      <c r="G202" s="625"/>
      <c r="H202" s="625"/>
      <c r="I202" s="645"/>
    </row>
    <row r="203" spans="2:10">
      <c r="B203" s="269" t="s">
        <v>213</v>
      </c>
      <c r="C203" s="231">
        <f t="shared" ref="C203:H203" si="54">C181-C183-C197</f>
        <v>32653.931923307573</v>
      </c>
      <c r="D203" s="231">
        <f t="shared" si="54"/>
        <v>37739.559716965276</v>
      </c>
      <c r="E203" s="231">
        <f t="shared" si="54"/>
        <v>42567.582535532965</v>
      </c>
      <c r="F203" s="231">
        <f t="shared" si="54"/>
        <v>47405.789048512146</v>
      </c>
      <c r="G203" s="231">
        <f t="shared" si="54"/>
        <v>50000.034732219188</v>
      </c>
      <c r="H203" s="231">
        <f t="shared" si="54"/>
        <v>52178.533710083502</v>
      </c>
      <c r="I203" s="251">
        <f>I181-I183-I197</f>
        <v>54388.51040709106</v>
      </c>
      <c r="J203" t="s">
        <v>217</v>
      </c>
    </row>
    <row r="204" spans="2:10" ht="15.75" thickBot="1">
      <c r="B204" s="270" t="s">
        <v>547</v>
      </c>
      <c r="C204" s="253">
        <f>C197</f>
        <v>0</v>
      </c>
      <c r="D204" s="253">
        <f t="shared" ref="D204:I204" si="55">D197</f>
        <v>0</v>
      </c>
      <c r="E204" s="253">
        <f t="shared" si="55"/>
        <v>0</v>
      </c>
      <c r="F204" s="253">
        <f t="shared" si="55"/>
        <v>0</v>
      </c>
      <c r="G204" s="253">
        <f t="shared" si="55"/>
        <v>0</v>
      </c>
      <c r="H204" s="253">
        <f t="shared" si="55"/>
        <v>0</v>
      </c>
      <c r="I204" s="254">
        <f t="shared" si="55"/>
        <v>0</v>
      </c>
      <c r="J204" t="s">
        <v>217</v>
      </c>
    </row>
  </sheetData>
  <protectedRanges>
    <protectedRange sqref="C5:C13 H5:H13 M5:M19 C17:I35 Y4:Y14" name="Range2"/>
    <protectedRange sqref="A1:A50 A172:A1048576 A156:A170" name="Range1"/>
    <protectedRange sqref="L25:P27" name="Range2_3"/>
    <protectedRange sqref="N47:P54 N59:P70" name="Range2_4"/>
    <protectedRange sqref="A51:A155" name="Range1_1"/>
  </protectedRanges>
  <mergeCells count="47">
    <mergeCell ref="C157:I157"/>
    <mergeCell ref="C172:I172"/>
    <mergeCell ref="C111:I111"/>
    <mergeCell ref="A23:A25"/>
    <mergeCell ref="A26:A28"/>
    <mergeCell ref="A29:A31"/>
    <mergeCell ref="A33:A35"/>
    <mergeCell ref="A133:A135"/>
    <mergeCell ref="A137:A139"/>
    <mergeCell ref="A141:A143"/>
    <mergeCell ref="A145:A147"/>
    <mergeCell ref="A150:A152"/>
    <mergeCell ref="K2:K4"/>
    <mergeCell ref="L2:L4"/>
    <mergeCell ref="A5:A7"/>
    <mergeCell ref="A17:A19"/>
    <mergeCell ref="A2:A4"/>
    <mergeCell ref="B2:B4"/>
    <mergeCell ref="D2:D4"/>
    <mergeCell ref="C2:C4"/>
    <mergeCell ref="G200:G202"/>
    <mergeCell ref="H200:H202"/>
    <mergeCell ref="I200:I202"/>
    <mergeCell ref="C186:I186"/>
    <mergeCell ref="N2:N4"/>
    <mergeCell ref="M2:M4"/>
    <mergeCell ref="K23:O23"/>
    <mergeCell ref="I2:I4"/>
    <mergeCell ref="F5:F7"/>
    <mergeCell ref="F10:F12"/>
    <mergeCell ref="H2:H4"/>
    <mergeCell ref="F2:F4"/>
    <mergeCell ref="G2:G4"/>
    <mergeCell ref="K16:K18"/>
    <mergeCell ref="K9:K11"/>
    <mergeCell ref="K5:K7"/>
    <mergeCell ref="B200:B202"/>
    <mergeCell ref="C200:C202"/>
    <mergeCell ref="D200:D202"/>
    <mergeCell ref="E200:E202"/>
    <mergeCell ref="F200:F202"/>
    <mergeCell ref="M36:P36"/>
    <mergeCell ref="M45:P45"/>
    <mergeCell ref="M57:P57"/>
    <mergeCell ref="M73:P73"/>
    <mergeCell ref="C57:I57"/>
    <mergeCell ref="C38:I38"/>
  </mergeCells>
  <pageMargins left="0.7" right="0.7" top="0.75" bottom="0.75" header="0.3" footer="0.3"/>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C3046-5C99-40A9-9F4B-E97967CD077C}">
  <sheetPr codeName="Sheet1">
    <tabColor theme="9" tint="0.59999389629810485"/>
  </sheetPr>
  <dimension ref="A2:M121"/>
  <sheetViews>
    <sheetView workbookViewId="0">
      <selection activeCell="C75" sqref="C75"/>
    </sheetView>
  </sheetViews>
  <sheetFormatPr defaultRowHeight="15"/>
  <cols>
    <col min="2" max="2" width="16.85546875" customWidth="1"/>
    <col min="3" max="3" width="9.85546875" customWidth="1"/>
    <col min="4" max="4" width="12.7109375" bestFit="1" customWidth="1"/>
    <col min="5" max="9" width="12" bestFit="1" customWidth="1"/>
    <col min="10" max="10" width="11" bestFit="1" customWidth="1"/>
    <col min="11" max="11" width="10.28515625" bestFit="1" customWidth="1"/>
  </cols>
  <sheetData>
    <row r="2" spans="1:11">
      <c r="A2" s="339">
        <v>4</v>
      </c>
      <c r="B2" s="212"/>
      <c r="C2" s="639" t="s">
        <v>548</v>
      </c>
      <c r="D2" s="640"/>
      <c r="E2" s="640"/>
      <c r="F2" s="640"/>
      <c r="G2" s="640"/>
      <c r="H2" s="640"/>
      <c r="I2" s="663"/>
    </row>
    <row r="3" spans="1:11">
      <c r="B3" s="213" t="s">
        <v>17</v>
      </c>
      <c r="C3" s="55">
        <f>E10</f>
        <v>2022</v>
      </c>
      <c r="D3" s="55">
        <f t="shared" ref="D3:I3" si="0">F10</f>
        <v>2025</v>
      </c>
      <c r="E3" s="55">
        <f t="shared" si="0"/>
        <v>2030</v>
      </c>
      <c r="F3" s="55">
        <f t="shared" si="0"/>
        <v>2035</v>
      </c>
      <c r="G3" s="55">
        <f t="shared" si="0"/>
        <v>2040</v>
      </c>
      <c r="H3" s="55">
        <f t="shared" si="0"/>
        <v>2045</v>
      </c>
      <c r="I3" s="55">
        <f t="shared" si="0"/>
        <v>2051</v>
      </c>
    </row>
    <row r="4" spans="1:11">
      <c r="B4" s="213" t="s">
        <v>18</v>
      </c>
      <c r="C4" s="81">
        <f>VLOOKUP($A2,$B5:$I8,COLUMN()-1,TRUE)</f>
        <v>0.82</v>
      </c>
      <c r="D4" s="81">
        <f t="shared" ref="D4:I4" si="1">VLOOKUP($A2,$B5:$I8,COLUMN()-1,TRUE)</f>
        <v>0.85</v>
      </c>
      <c r="E4" s="81">
        <f t="shared" si="1"/>
        <v>0.95</v>
      </c>
      <c r="F4" s="81">
        <f t="shared" si="1"/>
        <v>1</v>
      </c>
      <c r="G4" s="81">
        <f t="shared" si="1"/>
        <v>1</v>
      </c>
      <c r="H4" s="81">
        <f t="shared" si="1"/>
        <v>1</v>
      </c>
      <c r="I4" s="81">
        <f t="shared" si="1"/>
        <v>1</v>
      </c>
    </row>
    <row r="5" spans="1:11">
      <c r="B5" s="213">
        <v>1</v>
      </c>
      <c r="C5" s="81">
        <v>0.82</v>
      </c>
      <c r="D5" s="81">
        <v>0.82</v>
      </c>
      <c r="E5" s="81">
        <v>0.82</v>
      </c>
      <c r="F5" s="81">
        <v>0.82</v>
      </c>
      <c r="G5" s="81">
        <v>0.82</v>
      </c>
      <c r="H5" s="81">
        <v>0.82</v>
      </c>
      <c r="I5" s="81">
        <v>0.82</v>
      </c>
      <c r="J5" t="s">
        <v>285</v>
      </c>
    </row>
    <row r="6" spans="1:11">
      <c r="B6" s="213">
        <v>2</v>
      </c>
      <c r="C6" s="81">
        <v>0.82</v>
      </c>
      <c r="D6" s="81">
        <v>0.83</v>
      </c>
      <c r="E6" s="81">
        <v>0.84</v>
      </c>
      <c r="F6" s="81">
        <v>0.85</v>
      </c>
      <c r="G6" s="81">
        <v>0.86</v>
      </c>
      <c r="H6" s="81">
        <v>0.87</v>
      </c>
      <c r="I6" s="81">
        <v>0.88</v>
      </c>
      <c r="J6" t="s">
        <v>549</v>
      </c>
    </row>
    <row r="7" spans="1:11">
      <c r="B7" s="213">
        <v>3</v>
      </c>
      <c r="C7" s="81">
        <v>0.82</v>
      </c>
      <c r="D7" s="81">
        <v>0.84</v>
      </c>
      <c r="E7" s="81">
        <v>0.87</v>
      </c>
      <c r="F7" s="81">
        <v>0.9</v>
      </c>
      <c r="G7" s="81">
        <v>0.92</v>
      </c>
      <c r="H7" s="81">
        <v>0.93</v>
      </c>
      <c r="I7" s="81">
        <v>0.94</v>
      </c>
      <c r="J7" t="s">
        <v>550</v>
      </c>
    </row>
    <row r="8" spans="1:11">
      <c r="B8" s="213">
        <v>4</v>
      </c>
      <c r="C8" s="81">
        <v>0.82</v>
      </c>
      <c r="D8" s="81">
        <v>0.85</v>
      </c>
      <c r="E8" s="81">
        <v>0.95</v>
      </c>
      <c r="F8" s="81">
        <v>1</v>
      </c>
      <c r="G8" s="81">
        <v>1</v>
      </c>
      <c r="H8" s="81">
        <v>1</v>
      </c>
      <c r="I8" s="81">
        <v>1</v>
      </c>
      <c r="J8" t="s">
        <v>551</v>
      </c>
    </row>
    <row r="10" spans="1:11" ht="39.6" customHeight="1">
      <c r="B10" s="660" t="s">
        <v>460</v>
      </c>
      <c r="C10" s="661"/>
      <c r="D10" s="247" t="s">
        <v>202</v>
      </c>
      <c r="E10" s="247">
        <f>C31</f>
        <v>2022</v>
      </c>
      <c r="F10" s="247">
        <f t="shared" ref="F10:K10" si="2">D31</f>
        <v>2025</v>
      </c>
      <c r="G10" s="247">
        <f t="shared" si="2"/>
        <v>2030</v>
      </c>
      <c r="H10" s="247">
        <f t="shared" si="2"/>
        <v>2035</v>
      </c>
      <c r="I10" s="247">
        <f t="shared" si="2"/>
        <v>2040</v>
      </c>
      <c r="J10" s="247">
        <f t="shared" si="2"/>
        <v>2045</v>
      </c>
      <c r="K10" s="247">
        <f t="shared" si="2"/>
        <v>2051</v>
      </c>
    </row>
    <row r="11" spans="1:11">
      <c r="B11" s="662" t="s">
        <v>228</v>
      </c>
      <c r="C11" s="662"/>
      <c r="D11" t="s">
        <v>552</v>
      </c>
      <c r="E11" s="231">
        <f>'4. Buildings'!C150/1000000</f>
        <v>211.48667815864664</v>
      </c>
      <c r="F11" s="231">
        <f>'4. Buildings'!D150/1000000</f>
        <v>223.18894965530842</v>
      </c>
      <c r="G11" s="231">
        <f>'4. Buildings'!E150/1000000</f>
        <v>233.9428608011452</v>
      </c>
      <c r="H11" s="231">
        <f>'4. Buildings'!F150/1000000</f>
        <v>237.76755850429538</v>
      </c>
      <c r="I11" s="231">
        <f>'4. Buildings'!G150/1000000</f>
        <v>243.63897299759742</v>
      </c>
      <c r="J11" s="231">
        <f>'4. Buildings'!H150/1000000</f>
        <v>247.66225703519106</v>
      </c>
      <c r="K11" s="231">
        <f>'4. Buildings'!I150/1000000</f>
        <v>252.06422781159236</v>
      </c>
    </row>
    <row r="12" spans="1:11">
      <c r="B12" s="662" t="s">
        <v>469</v>
      </c>
      <c r="C12" s="662"/>
      <c r="D12" t="s">
        <v>552</v>
      </c>
      <c r="E12" s="231">
        <f>'4. Buildings'!C151/1000000</f>
        <v>122.23925216110656</v>
      </c>
      <c r="F12" s="231">
        <f>'4. Buildings'!D151/1000000</f>
        <v>126.09107578254411</v>
      </c>
      <c r="G12" s="231">
        <f>'4. Buildings'!E151/1000000</f>
        <v>131.9544441849946</v>
      </c>
      <c r="H12" s="231">
        <f>'4. Buildings'!F151/1000000</f>
        <v>136.43265843679396</v>
      </c>
      <c r="I12" s="231">
        <f>'4. Buildings'!G151/1000000</f>
        <v>140.40697647765919</v>
      </c>
      <c r="J12" s="231">
        <f>'4. Buildings'!H151/1000000</f>
        <v>143.65932461541317</v>
      </c>
      <c r="K12" s="231">
        <f>'4. Buildings'!I151/1000000</f>
        <v>146.86758415865029</v>
      </c>
    </row>
    <row r="13" spans="1:11">
      <c r="B13" s="662" t="s">
        <v>470</v>
      </c>
      <c r="C13" s="662"/>
      <c r="D13" t="s">
        <v>552</v>
      </c>
      <c r="E13" s="231">
        <f>'4. Buildings'!C152/1000000</f>
        <v>157.90990767552469</v>
      </c>
      <c r="F13" s="231">
        <f>'4. Buildings'!D152/1000000</f>
        <v>164.38586932314968</v>
      </c>
      <c r="G13" s="231">
        <f>'4. Buildings'!E152/1000000</f>
        <v>174.92407944021431</v>
      </c>
      <c r="H13" s="231">
        <f>'4. Buildings'!F152/1000000</f>
        <v>184.7444754458011</v>
      </c>
      <c r="I13" s="231">
        <f>'4. Buildings'!G152/1000000</f>
        <v>194.56487145138786</v>
      </c>
      <c r="J13" s="231">
        <f>'4. Buildings'!H152/1000000</f>
        <v>204.36549423032923</v>
      </c>
      <c r="K13" s="231">
        <f>'4. Buildings'!I152/1000000</f>
        <v>231.53988559341929</v>
      </c>
    </row>
    <row r="14" spans="1:11">
      <c r="B14" s="662" t="s">
        <v>553</v>
      </c>
      <c r="C14" s="662"/>
      <c r="D14" t="s">
        <v>552</v>
      </c>
      <c r="E14" s="231">
        <f>'3. Transport'!C277/1000000</f>
        <v>0</v>
      </c>
      <c r="F14" s="231">
        <f>'3. Transport'!D277/1000000</f>
        <v>8.2802507417137336E-2</v>
      </c>
      <c r="G14" s="231">
        <f>'3. Transport'!E277/1000000</f>
        <v>0.18834948145228322</v>
      </c>
      <c r="H14" s="231">
        <f>'3. Transport'!F277/1000000</f>
        <v>0.30576683818516392</v>
      </c>
      <c r="I14" s="231">
        <f>'3. Transport'!G277/1000000</f>
        <v>0.44064497122954727</v>
      </c>
      <c r="J14" s="231">
        <f>'3. Transport'!H277/1000000</f>
        <v>0.57960981011581003</v>
      </c>
      <c r="K14" s="231">
        <f>'3. Transport'!I277/1000000</f>
        <v>0.69856493222705451</v>
      </c>
    </row>
    <row r="15" spans="1:11">
      <c r="B15" s="662" t="s">
        <v>342</v>
      </c>
      <c r="C15" s="662"/>
      <c r="D15" t="s">
        <v>552</v>
      </c>
      <c r="E15" s="231">
        <f t="shared" ref="E15:K15" si="3">SUM(E11:E14)</f>
        <v>491.63583799527794</v>
      </c>
      <c r="F15" s="231">
        <f t="shared" si="3"/>
        <v>513.74869726841928</v>
      </c>
      <c r="G15" s="231">
        <f t="shared" si="3"/>
        <v>541.00973390780644</v>
      </c>
      <c r="H15" s="231">
        <f t="shared" si="3"/>
        <v>559.25045922507559</v>
      </c>
      <c r="I15" s="231">
        <f t="shared" si="3"/>
        <v>579.05146589787398</v>
      </c>
      <c r="J15" s="231">
        <f t="shared" si="3"/>
        <v>596.26668569104925</v>
      </c>
      <c r="K15" s="231">
        <f t="shared" si="3"/>
        <v>631.17026249588901</v>
      </c>
    </row>
    <row r="17" spans="1:12" ht="31.9" customHeight="1">
      <c r="B17" s="664" t="s">
        <v>554</v>
      </c>
      <c r="C17" s="664"/>
      <c r="D17" s="247" t="s">
        <v>202</v>
      </c>
      <c r="E17" s="247">
        <f>C31</f>
        <v>2022</v>
      </c>
      <c r="F17" s="247">
        <f t="shared" ref="F17:K17" si="4">D31</f>
        <v>2025</v>
      </c>
      <c r="G17" s="247">
        <f t="shared" si="4"/>
        <v>2030</v>
      </c>
      <c r="H17" s="247">
        <f t="shared" si="4"/>
        <v>2035</v>
      </c>
      <c r="I17" s="247">
        <f t="shared" si="4"/>
        <v>2040</v>
      </c>
      <c r="J17" s="247">
        <f t="shared" si="4"/>
        <v>2045</v>
      </c>
      <c r="K17" s="247">
        <f t="shared" si="4"/>
        <v>2051</v>
      </c>
    </row>
    <row r="18" spans="1:12" ht="14.45" customHeight="1">
      <c r="B18" s="664"/>
      <c r="C18" s="664"/>
      <c r="D18" t="s">
        <v>552</v>
      </c>
      <c r="E18" s="208">
        <f>'Baseline Usage'!$AC54*E15/$E15</f>
        <v>39916</v>
      </c>
      <c r="F18" s="208">
        <f>'Baseline Usage'!$AC54*F15/$E15</f>
        <v>41711.346926590784</v>
      </c>
      <c r="G18" s="208">
        <f>'Baseline Usage'!$AC54*G15/$E15</f>
        <v>43924.675277377595</v>
      </c>
      <c r="H18" s="208">
        <f>'Baseline Usage'!$AC54*H15/$E15</f>
        <v>45405.642968286877</v>
      </c>
      <c r="I18" s="208">
        <f>'Baseline Usage'!$AC54*I15/$E15</f>
        <v>47013.290176379567</v>
      </c>
      <c r="J18" s="208">
        <f>'Baseline Usage'!$AC54*J15/$E15</f>
        <v>48410.996893746633</v>
      </c>
      <c r="K18" s="208">
        <f>'Baseline Usage'!$AC54*K15/$E15</f>
        <v>51244.824422315382</v>
      </c>
      <c r="L18" t="s">
        <v>555</v>
      </c>
    </row>
    <row r="19" spans="1:12">
      <c r="E19" s="208"/>
      <c r="F19" s="232"/>
      <c r="G19" s="232"/>
      <c r="H19" s="232"/>
      <c r="I19" s="232"/>
      <c r="J19" s="232"/>
      <c r="K19" s="232"/>
    </row>
    <row r="20" spans="1:12" ht="14.45" customHeight="1">
      <c r="B20" s="232"/>
      <c r="C20" s="232"/>
      <c r="D20" s="232"/>
      <c r="E20" s="232"/>
      <c r="F20" s="232"/>
      <c r="G20" s="232"/>
      <c r="H20" s="232"/>
      <c r="I20" s="232"/>
      <c r="J20" s="232"/>
      <c r="K20" s="232"/>
    </row>
    <row r="21" spans="1:12" ht="31.9" customHeight="1">
      <c r="B21" s="660" t="s">
        <v>556</v>
      </c>
      <c r="C21" s="661"/>
      <c r="D21" s="247" t="s">
        <v>202</v>
      </c>
      <c r="E21" s="247">
        <f>C31</f>
        <v>2022</v>
      </c>
      <c r="F21" s="247">
        <f t="shared" ref="F21:K21" si="5">D31</f>
        <v>2025</v>
      </c>
      <c r="G21" s="247">
        <f t="shared" si="5"/>
        <v>2030</v>
      </c>
      <c r="H21" s="247">
        <f t="shared" si="5"/>
        <v>2035</v>
      </c>
      <c r="I21" s="247">
        <f t="shared" si="5"/>
        <v>2040</v>
      </c>
      <c r="J21" s="247">
        <f t="shared" si="5"/>
        <v>2045</v>
      </c>
      <c r="K21" s="247">
        <f t="shared" si="5"/>
        <v>2051</v>
      </c>
    </row>
    <row r="22" spans="1:12">
      <c r="B22" s="662" t="s">
        <v>228</v>
      </c>
      <c r="C22" s="662"/>
      <c r="D22" s="190" t="s">
        <v>209</v>
      </c>
      <c r="E22" s="377">
        <f>E11*'Energy a. Electricity Supply'!M$21</f>
        <v>19070.910649675156</v>
      </c>
      <c r="F22" s="377">
        <f>F11*'Energy a. Electricity Supply'!N$21</f>
        <v>20310.850578009671</v>
      </c>
      <c r="G22" s="377">
        <f>G11*'Energy a. Electricity Supply'!O$21</f>
        <v>12034.747064254228</v>
      </c>
      <c r="H22" s="377">
        <f>H11*'Energy a. Electricity Supply'!P$21</f>
        <v>7557.3603778026491</v>
      </c>
      <c r="I22" s="377">
        <f>I11*'Energy a. Electricity Supply'!Q$21</f>
        <v>7876.7977151558252</v>
      </c>
      <c r="J22" s="377">
        <f>J11*'Energy a. Electricity Supply'!R$21</f>
        <v>8068.5999325199746</v>
      </c>
      <c r="K22" s="377">
        <f>K11*'Energy a. Electricity Supply'!S$21</f>
        <v>8347.119120116442</v>
      </c>
    </row>
    <row r="23" spans="1:12">
      <c r="B23" s="662" t="s">
        <v>469</v>
      </c>
      <c r="C23" s="662"/>
      <c r="D23" s="190" t="s">
        <v>209</v>
      </c>
      <c r="E23" s="377">
        <f>E12*'Energy a. Electricity Supply'!M$21</f>
        <v>11022.982043808996</v>
      </c>
      <c r="F23" s="377">
        <f>F12*'Energy a. Electricity Supply'!N$21</f>
        <v>11474.658594858596</v>
      </c>
      <c r="G23" s="377">
        <f>G12*'Energy a. Electricity Supply'!O$21</f>
        <v>6788.1462778234454</v>
      </c>
      <c r="H23" s="377">
        <f>H12*'Energy a. Electricity Supply'!P$21</f>
        <v>4336.4653007945244</v>
      </c>
      <c r="I23" s="377">
        <f>I12*'Energy a. Electricity Supply'!Q$21</f>
        <v>4539.3285725353544</v>
      </c>
      <c r="J23" s="377">
        <f>J12*'Energy a. Electricity Supply'!R$21</f>
        <v>4680.2836684682379</v>
      </c>
      <c r="K23" s="377">
        <f>K12*'Energy a. Electricity Supply'!S$21</f>
        <v>4863.5271672595536</v>
      </c>
    </row>
    <row r="24" spans="1:12">
      <c r="B24" s="662" t="s">
        <v>470</v>
      </c>
      <c r="C24" s="662"/>
      <c r="D24" s="190" t="s">
        <v>209</v>
      </c>
      <c r="E24" s="377">
        <f>E13*'Energy a. Electricity Supply'!M$21</f>
        <v>14239.600178122424</v>
      </c>
      <c r="F24" s="377">
        <f>F13*'Energy a. Electricity Supply'!N$21</f>
        <v>14959.597390978201</v>
      </c>
      <c r="G24" s="377">
        <f>G13*'Energy a. Electricity Supply'!O$21</f>
        <v>8998.6377199170656</v>
      </c>
      <c r="H24" s="377">
        <f>H13*'Energy a. Electricity Supply'!P$21</f>
        <v>5872.0398507469599</v>
      </c>
      <c r="I24" s="377">
        <f>I13*'Energy a. Electricity Supply'!Q$21</f>
        <v>6290.2421400084941</v>
      </c>
      <c r="J24" s="377">
        <f>J13*'Energy a. Electricity Supply'!R$21</f>
        <v>6658.0327285071235</v>
      </c>
      <c r="K24" s="377">
        <f>K13*'Energy a. Electricity Supply'!S$21</f>
        <v>7667.4545328621989</v>
      </c>
    </row>
    <row r="25" spans="1:12">
      <c r="B25" s="662" t="s">
        <v>197</v>
      </c>
      <c r="C25" s="662"/>
      <c r="D25" s="190" t="s">
        <v>209</v>
      </c>
      <c r="E25" s="377">
        <f>E14*'Energy a. Electricity Supply'!M21</f>
        <v>0</v>
      </c>
      <c r="F25" s="377">
        <f>F14*'Energy a. Electricity Supply'!N21</f>
        <v>7.5352716083451199</v>
      </c>
      <c r="G25" s="377">
        <f>G14*'Energy a. Electricity Supply'!O21</f>
        <v>9.6892820802445083</v>
      </c>
      <c r="H25" s="377">
        <f>H14*'Energy a. Electricity Supply'!P21</f>
        <v>9.718694183019954</v>
      </c>
      <c r="I25" s="377">
        <f>I14*'Energy a. Electricity Supply'!Q21</f>
        <v>14.245960980183698</v>
      </c>
      <c r="J25" s="377">
        <f>J14*'Energy a. Electricity Supply'!R21</f>
        <v>18.883134357141156</v>
      </c>
      <c r="K25" s="377">
        <f>K14*'Energy a. Electricity Supply'!S21</f>
        <v>23.133011586212582</v>
      </c>
      <c r="L25" s="232"/>
    </row>
    <row r="26" spans="1:12">
      <c r="B26" s="345"/>
      <c r="C26" s="345"/>
    </row>
    <row r="27" spans="1:12">
      <c r="B27" s="345"/>
      <c r="C27" s="345"/>
    </row>
    <row r="28" spans="1:12">
      <c r="B28" s="345"/>
      <c r="C28" s="345"/>
    </row>
    <row r="29" spans="1:12" ht="15.75" thickBot="1">
      <c r="J29" s="315"/>
    </row>
    <row r="30" spans="1:12">
      <c r="A30" s="339">
        <v>2</v>
      </c>
      <c r="B30" s="125"/>
      <c r="C30" s="596" t="s">
        <v>557</v>
      </c>
      <c r="D30" s="597"/>
      <c r="E30" s="597"/>
      <c r="F30" s="597"/>
      <c r="G30" s="597"/>
      <c r="H30" s="597"/>
      <c r="I30" s="598"/>
    </row>
    <row r="31" spans="1:12">
      <c r="B31" s="126" t="s">
        <v>17</v>
      </c>
      <c r="C31" s="213">
        <f>'Baseline Statistics'!D4</f>
        <v>2022</v>
      </c>
      <c r="D31" s="213">
        <f>'Baseline Statistics'!E4</f>
        <v>2025</v>
      </c>
      <c r="E31" s="213">
        <f>'Baseline Statistics'!F4</f>
        <v>2030</v>
      </c>
      <c r="F31" s="213">
        <f>'Baseline Statistics'!G4</f>
        <v>2035</v>
      </c>
      <c r="G31" s="213">
        <f>'Baseline Statistics'!H4</f>
        <v>2040</v>
      </c>
      <c r="H31" s="213">
        <f>'Baseline Statistics'!I4</f>
        <v>2045</v>
      </c>
      <c r="I31" s="104">
        <f>'Baseline Statistics'!J4</f>
        <v>2051</v>
      </c>
      <c r="J31" t="s">
        <v>558</v>
      </c>
    </row>
    <row r="32" spans="1:12">
      <c r="B32" s="127" t="s">
        <v>18</v>
      </c>
      <c r="C32" s="118">
        <f t="shared" ref="C32:I32" si="6">VLOOKUP($A30,$B33:$I36,COLUMN()-1,TRUE)</f>
        <v>1.1648223645894001E-2</v>
      </c>
      <c r="D32" s="118">
        <f t="shared" si="6"/>
        <v>1.4999999999999999E-2</v>
      </c>
      <c r="E32" s="118">
        <f t="shared" si="6"/>
        <v>0.03</v>
      </c>
      <c r="F32" s="118">
        <f t="shared" si="6"/>
        <v>0.05</v>
      </c>
      <c r="G32" s="118">
        <f t="shared" si="6"/>
        <v>0.1</v>
      </c>
      <c r="H32" s="118">
        <f t="shared" si="6"/>
        <v>0.15</v>
      </c>
      <c r="I32" s="118">
        <f t="shared" si="6"/>
        <v>0.25</v>
      </c>
    </row>
    <row r="33" spans="1:10">
      <c r="B33" s="127">
        <v>1</v>
      </c>
      <c r="C33" s="118">
        <f>'Baseline Usage'!$Z$61/'Baseline Statistics'!$D$27</f>
        <v>1.1648223645894001E-2</v>
      </c>
      <c r="D33" s="120">
        <v>1.4999999999999999E-2</v>
      </c>
      <c r="E33" s="120">
        <v>1.7999999999999999E-2</v>
      </c>
      <c r="F33" s="120">
        <v>0.02</v>
      </c>
      <c r="G33" s="120">
        <v>2.5000000000000001E-2</v>
      </c>
      <c r="H33" s="120">
        <v>0.03</v>
      </c>
      <c r="I33" s="121">
        <v>0.1</v>
      </c>
      <c r="J33" t="s">
        <v>559</v>
      </c>
    </row>
    <row r="34" spans="1:10">
      <c r="B34" s="127">
        <v>2</v>
      </c>
      <c r="C34" s="118">
        <f>'Baseline Usage'!$Z$61/'Baseline Statistics'!$D$27</f>
        <v>1.1648223645894001E-2</v>
      </c>
      <c r="D34" s="118">
        <v>1.4999999999999999E-2</v>
      </c>
      <c r="E34" s="118">
        <v>0.03</v>
      </c>
      <c r="F34" s="118">
        <v>0.05</v>
      </c>
      <c r="G34" s="118">
        <v>0.1</v>
      </c>
      <c r="H34" s="118">
        <v>0.15</v>
      </c>
      <c r="I34" s="119">
        <v>0.25</v>
      </c>
      <c r="J34" t="s">
        <v>560</v>
      </c>
    </row>
    <row r="35" spans="1:10">
      <c r="B35" s="127">
        <v>3</v>
      </c>
      <c r="C35" s="118">
        <f>'Baseline Usage'!$Z$61/'Baseline Statistics'!$D$27</f>
        <v>1.1648223645894001E-2</v>
      </c>
      <c r="D35" s="120">
        <v>0.02</v>
      </c>
      <c r="E35" s="120">
        <v>0.05</v>
      </c>
      <c r="F35" s="120">
        <v>0.1</v>
      </c>
      <c r="G35" s="120">
        <v>0.2</v>
      </c>
      <c r="H35" s="120">
        <v>0.35</v>
      </c>
      <c r="I35" s="121">
        <v>0.5</v>
      </c>
      <c r="J35" t="s">
        <v>561</v>
      </c>
    </row>
    <row r="36" spans="1:10" ht="15.75" thickBot="1">
      <c r="B36" s="127">
        <v>4</v>
      </c>
      <c r="C36" s="118">
        <f>'Baseline Usage'!$Z$61/'Baseline Statistics'!$D$27</f>
        <v>1.1648223645894001E-2</v>
      </c>
      <c r="D36" s="122">
        <v>0.03</v>
      </c>
      <c r="E36" s="122">
        <v>0.06</v>
      </c>
      <c r="F36" s="122">
        <v>0.12</v>
      </c>
      <c r="G36" s="122">
        <v>0.24</v>
      </c>
      <c r="H36" s="122">
        <v>0.57999999999999996</v>
      </c>
      <c r="I36" s="293">
        <v>1</v>
      </c>
      <c r="J36" t="s">
        <v>562</v>
      </c>
    </row>
    <row r="37" spans="1:10">
      <c r="B37" s="248"/>
      <c r="I37" s="116"/>
    </row>
    <row r="38" spans="1:10" ht="25.5">
      <c r="B38" s="249" t="s">
        <v>563</v>
      </c>
      <c r="C38" s="247">
        <f>C31</f>
        <v>2022</v>
      </c>
      <c r="D38" s="247">
        <f t="shared" ref="D38:I38" si="7">D31</f>
        <v>2025</v>
      </c>
      <c r="E38" s="247">
        <f t="shared" si="7"/>
        <v>2030</v>
      </c>
      <c r="F38" s="247">
        <f t="shared" si="7"/>
        <v>2035</v>
      </c>
      <c r="G38" s="247">
        <f t="shared" si="7"/>
        <v>2040</v>
      </c>
      <c r="H38" s="247">
        <f t="shared" si="7"/>
        <v>2045</v>
      </c>
      <c r="I38" s="247">
        <f t="shared" si="7"/>
        <v>2051</v>
      </c>
    </row>
    <row r="39" spans="1:10">
      <c r="B39" s="248" t="s">
        <v>564</v>
      </c>
      <c r="C39" s="231">
        <f>ROUND(C32*'Baseline Statistics'!D27,0)</f>
        <v>400</v>
      </c>
      <c r="D39" s="231">
        <f>ROUND(D32*'Baseline Statistics'!E27,0)</f>
        <v>530</v>
      </c>
      <c r="E39" s="231">
        <f>ROUND(E32*'Baseline Statistics'!F27,0)</f>
        <v>1107</v>
      </c>
      <c r="F39" s="231">
        <f>ROUND(F32*'Baseline Statistics'!G27,0)</f>
        <v>1919</v>
      </c>
      <c r="G39" s="231">
        <f>ROUND(G32*'Baseline Statistics'!H27,0)</f>
        <v>3986</v>
      </c>
      <c r="H39" s="231">
        <f>ROUND(H32*'Baseline Statistics'!I27,0)</f>
        <v>6201</v>
      </c>
      <c r="I39" s="251">
        <f>ROUND(I32*'Baseline Statistics'!J27,0)</f>
        <v>10705</v>
      </c>
    </row>
    <row r="40" spans="1:10" ht="15.75" thickBot="1">
      <c r="B40" s="248"/>
      <c r="I40" s="116"/>
    </row>
    <row r="41" spans="1:10">
      <c r="A41" s="339">
        <v>1</v>
      </c>
      <c r="B41" s="125"/>
      <c r="C41" s="596" t="s">
        <v>565</v>
      </c>
      <c r="D41" s="597"/>
      <c r="E41" s="597"/>
      <c r="F41" s="597"/>
      <c r="G41" s="597"/>
      <c r="H41" s="597"/>
      <c r="I41" s="598"/>
      <c r="J41" t="s">
        <v>566</v>
      </c>
    </row>
    <row r="42" spans="1:10">
      <c r="B42" s="126" t="s">
        <v>17</v>
      </c>
      <c r="C42" s="213">
        <f>'Baseline Statistics'!D4</f>
        <v>2022</v>
      </c>
      <c r="D42" s="213">
        <f>'Baseline Statistics'!E4</f>
        <v>2025</v>
      </c>
      <c r="E42" s="213">
        <f>'Baseline Statistics'!F4</f>
        <v>2030</v>
      </c>
      <c r="F42" s="213">
        <f>'Baseline Statistics'!G4</f>
        <v>2035</v>
      </c>
      <c r="G42" s="213">
        <f>'Baseline Statistics'!H4</f>
        <v>2040</v>
      </c>
      <c r="H42" s="213">
        <f>'Baseline Statistics'!I4</f>
        <v>2045</v>
      </c>
      <c r="I42" s="104">
        <f>'Baseline Statistics'!J4</f>
        <v>2051</v>
      </c>
    </row>
    <row r="43" spans="1:10">
      <c r="B43" s="127">
        <v>1</v>
      </c>
      <c r="C43" s="83">
        <f t="shared" ref="C43:I43" si="8">VLOOKUP($A41,$B44:$I47,COLUMN()-1,TRUE)</f>
        <v>1</v>
      </c>
      <c r="D43" s="83">
        <f t="shared" si="8"/>
        <v>1</v>
      </c>
      <c r="E43" s="83">
        <f t="shared" si="8"/>
        <v>1</v>
      </c>
      <c r="F43" s="83">
        <f t="shared" si="8"/>
        <v>1</v>
      </c>
      <c r="G43" s="83">
        <f t="shared" si="8"/>
        <v>1</v>
      </c>
      <c r="H43" s="83">
        <f t="shared" si="8"/>
        <v>1</v>
      </c>
      <c r="I43" s="83">
        <f t="shared" si="8"/>
        <v>1</v>
      </c>
    </row>
    <row r="44" spans="1:10">
      <c r="B44" s="127">
        <v>1</v>
      </c>
      <c r="C44" s="83">
        <v>1</v>
      </c>
      <c r="D44" s="81">
        <v>1</v>
      </c>
      <c r="E44" s="81">
        <v>1</v>
      </c>
      <c r="F44" s="81">
        <v>1</v>
      </c>
      <c r="G44" s="81">
        <v>1</v>
      </c>
      <c r="H44" s="81">
        <v>1</v>
      </c>
      <c r="I44" s="105">
        <v>1</v>
      </c>
      <c r="J44" t="s">
        <v>567</v>
      </c>
    </row>
    <row r="45" spans="1:10">
      <c r="B45" s="127">
        <v>2</v>
      </c>
      <c r="C45" s="83">
        <v>1</v>
      </c>
      <c r="D45" s="83">
        <v>0.75</v>
      </c>
      <c r="E45" s="83">
        <v>0.75</v>
      </c>
      <c r="F45" s="83">
        <v>0.75</v>
      </c>
      <c r="G45" s="83">
        <v>0.75</v>
      </c>
      <c r="H45" s="83">
        <v>0.75</v>
      </c>
      <c r="I45" s="106">
        <v>0.75</v>
      </c>
      <c r="J45" s="316" t="s">
        <v>568</v>
      </c>
    </row>
    <row r="46" spans="1:10">
      <c r="B46" s="127">
        <v>3</v>
      </c>
      <c r="C46" s="83">
        <v>1</v>
      </c>
      <c r="D46" s="81">
        <v>0.5</v>
      </c>
      <c r="E46" s="81">
        <v>0.5</v>
      </c>
      <c r="F46" s="81">
        <v>0.5</v>
      </c>
      <c r="G46" s="81">
        <v>0.5</v>
      </c>
      <c r="H46" s="81">
        <v>0.5</v>
      </c>
      <c r="I46" s="105">
        <v>0.5</v>
      </c>
      <c r="J46" t="s">
        <v>300</v>
      </c>
    </row>
    <row r="47" spans="1:10" ht="15.75" thickBot="1">
      <c r="B47" s="127">
        <v>4</v>
      </c>
      <c r="C47" s="84">
        <v>1</v>
      </c>
      <c r="D47" s="82">
        <v>0</v>
      </c>
      <c r="E47" s="82">
        <v>0</v>
      </c>
      <c r="F47" s="82">
        <v>0</v>
      </c>
      <c r="G47" s="82">
        <v>0</v>
      </c>
      <c r="H47" s="82">
        <v>0</v>
      </c>
      <c r="I47" s="107">
        <v>0</v>
      </c>
      <c r="J47" t="s">
        <v>569</v>
      </c>
    </row>
    <row r="48" spans="1:10">
      <c r="B48" s="248"/>
      <c r="I48" s="116"/>
    </row>
    <row r="49" spans="1:10">
      <c r="B49" s="305" t="s">
        <v>570</v>
      </c>
      <c r="C49" s="247">
        <f>C42</f>
        <v>2022</v>
      </c>
      <c r="D49" s="247">
        <f t="shared" ref="D49:I49" si="9">D42</f>
        <v>2025</v>
      </c>
      <c r="E49" s="247">
        <f t="shared" si="9"/>
        <v>2030</v>
      </c>
      <c r="F49" s="247">
        <f t="shared" si="9"/>
        <v>2035</v>
      </c>
      <c r="G49" s="247">
        <f t="shared" si="9"/>
        <v>2040</v>
      </c>
      <c r="H49" s="247">
        <f t="shared" si="9"/>
        <v>2045</v>
      </c>
      <c r="I49" s="247">
        <f t="shared" si="9"/>
        <v>2051</v>
      </c>
    </row>
    <row r="50" spans="1:10">
      <c r="B50" s="248" t="s">
        <v>571</v>
      </c>
      <c r="C50">
        <f>ROUND((C$39-$C$39)*C$43,0)</f>
        <v>0</v>
      </c>
      <c r="D50">
        <f t="shared" ref="D50:I50" si="10">ROUND((D$39-$C$39)*D$43,0)</f>
        <v>130</v>
      </c>
      <c r="E50">
        <f t="shared" si="10"/>
        <v>707</v>
      </c>
      <c r="F50">
        <f t="shared" si="10"/>
        <v>1519</v>
      </c>
      <c r="G50">
        <f t="shared" si="10"/>
        <v>3586</v>
      </c>
      <c r="H50">
        <f t="shared" si="10"/>
        <v>5801</v>
      </c>
      <c r="I50" s="116">
        <f t="shared" si="10"/>
        <v>10305</v>
      </c>
    </row>
    <row r="51" spans="1:10">
      <c r="B51" s="248" t="s">
        <v>572</v>
      </c>
      <c r="C51">
        <f t="shared" ref="C51:I51" si="11">ROUND((C$39-$C$39)*(1-C$43),0)</f>
        <v>0</v>
      </c>
      <c r="D51">
        <f t="shared" si="11"/>
        <v>0</v>
      </c>
      <c r="E51">
        <f t="shared" si="11"/>
        <v>0</v>
      </c>
      <c r="F51">
        <f t="shared" si="11"/>
        <v>0</v>
      </c>
      <c r="G51">
        <f t="shared" si="11"/>
        <v>0</v>
      </c>
      <c r="H51">
        <f t="shared" si="11"/>
        <v>0</v>
      </c>
      <c r="I51" s="116">
        <f t="shared" si="11"/>
        <v>0</v>
      </c>
    </row>
    <row r="52" spans="1:10">
      <c r="B52" s="248" t="s">
        <v>573</v>
      </c>
      <c r="C52">
        <v>0</v>
      </c>
      <c r="D52">
        <f>D50*'Baseline Usage'!$Z64</f>
        <v>585</v>
      </c>
      <c r="E52">
        <f>E50*'Baseline Usage'!$Z64</f>
        <v>3181.5</v>
      </c>
      <c r="F52">
        <f>F50*'Baseline Usage'!$Z64</f>
        <v>6835.5</v>
      </c>
      <c r="G52">
        <f>G50*'Baseline Usage'!$Z64</f>
        <v>16137</v>
      </c>
      <c r="H52">
        <f>H50*'Baseline Usage'!$Z64</f>
        <v>26104.5</v>
      </c>
      <c r="I52" s="116">
        <f>I50*'Baseline Usage'!$Z64</f>
        <v>46372.5</v>
      </c>
      <c r="J52" t="s">
        <v>574</v>
      </c>
    </row>
    <row r="53" spans="1:10">
      <c r="B53" s="300" t="s">
        <v>570</v>
      </c>
      <c r="C53" s="205">
        <f>C52*'Baseline Usage'!$Z60</f>
        <v>0</v>
      </c>
      <c r="D53" s="205">
        <f>D52*'Baseline Usage'!$Z60</f>
        <v>663000</v>
      </c>
      <c r="E53" s="205">
        <f>E52*'Baseline Usage'!$Z60</f>
        <v>3605699.9999999995</v>
      </c>
      <c r="F53" s="205">
        <f>F52*'Baseline Usage'!$Z60</f>
        <v>7746899.9999999991</v>
      </c>
      <c r="G53" s="205">
        <f>G52*'Baseline Usage'!$Z60</f>
        <v>18288600</v>
      </c>
      <c r="H53" s="205">
        <f>H52*'Baseline Usage'!$Z60</f>
        <v>29585099.999999996</v>
      </c>
      <c r="I53" s="301">
        <f>I52*'Baseline Usage'!$Z60</f>
        <v>52555500</v>
      </c>
      <c r="J53" t="s">
        <v>575</v>
      </c>
    </row>
    <row r="54" spans="1:10">
      <c r="B54" s="300" t="s">
        <v>576</v>
      </c>
      <c r="C54" s="302">
        <f>'3. Transport'!C183</f>
        <v>1.5E-3</v>
      </c>
      <c r="D54" s="302">
        <f>'3. Transport'!D183</f>
        <v>5.0000000000000001E-3</v>
      </c>
      <c r="E54" s="302">
        <f>'3. Transport'!E183</f>
        <v>0.01</v>
      </c>
      <c r="F54" s="302">
        <f>'3. Transport'!F183</f>
        <v>0.02</v>
      </c>
      <c r="G54" s="302">
        <f>'3. Transport'!G183</f>
        <v>0.03</v>
      </c>
      <c r="H54" s="302">
        <f>'3. Transport'!H183</f>
        <v>0.04</v>
      </c>
      <c r="I54" s="303">
        <f>'3. Transport'!I183</f>
        <v>0.05</v>
      </c>
    </row>
    <row r="55" spans="1:10">
      <c r="B55" s="300" t="s">
        <v>519</v>
      </c>
      <c r="C55" s="264">
        <f>C53*(C54*'Baseline Usage'!$Z72+(1-C54)*'Baseline Usage'!$Z71)</f>
        <v>0</v>
      </c>
      <c r="D55" s="264">
        <f>D53*(D54*'Baseline Usage'!$Z72+(1-D54)*'Baseline Usage'!$Z71)</f>
        <v>332494.49999999994</v>
      </c>
      <c r="E55" s="264">
        <f>E53*(E54*'Baseline Usage'!$Z72+(1-E54)*'Baseline Usage'!$Z71)</f>
        <v>1813667.0999999999</v>
      </c>
      <c r="F55" s="264">
        <f>F53*(F54*'Baseline Usage'!$Z72+(1-F54)*'Baseline Usage'!$Z71)</f>
        <v>3919931.3999999994</v>
      </c>
      <c r="G55" s="264">
        <f>G53*(G54*'Baseline Usage'!$Z72+(1-G54)*'Baseline Usage'!$Z71)</f>
        <v>9308897.4000000004</v>
      </c>
      <c r="H55" s="264">
        <f>H53*(H54*'Baseline Usage'!$Z72+(1-H54)*'Baseline Usage'!$Z71)</f>
        <v>15147571.199999999</v>
      </c>
      <c r="I55" s="304">
        <f>I53*(I54*'Baseline Usage'!$Z72+(1-I54)*'Baseline Usage'!$Z71)</f>
        <v>27066082.5</v>
      </c>
      <c r="J55" t="s">
        <v>575</v>
      </c>
    </row>
    <row r="56" spans="1:10">
      <c r="B56" s="300" t="s">
        <v>577</v>
      </c>
      <c r="C56" s="205">
        <v>0</v>
      </c>
      <c r="D56" s="264">
        <f t="shared" ref="D56:I56" si="12">D53-D55</f>
        <v>330505.50000000006</v>
      </c>
      <c r="E56" s="264">
        <f t="shared" si="12"/>
        <v>1792032.8999999997</v>
      </c>
      <c r="F56" s="264">
        <f t="shared" si="12"/>
        <v>3826968.5999999996</v>
      </c>
      <c r="G56" s="264">
        <f t="shared" si="12"/>
        <v>8979702.5999999996</v>
      </c>
      <c r="H56" s="264">
        <f t="shared" si="12"/>
        <v>14437528.799999997</v>
      </c>
      <c r="I56" s="304">
        <f t="shared" si="12"/>
        <v>25489417.5</v>
      </c>
      <c r="J56" t="s">
        <v>575</v>
      </c>
    </row>
    <row r="57" spans="1:10">
      <c r="B57" s="300" t="s">
        <v>578</v>
      </c>
      <c r="C57">
        <f>'Baseline Usage'!AC55</f>
        <v>98</v>
      </c>
      <c r="D57" s="264">
        <f>$C57*(D52+'Baseline Usage'!$Z62)/'Baseline Usage'!$Z62</f>
        <v>133.83125000000001</v>
      </c>
      <c r="E57" s="264">
        <f>$C57*(E52+'Baseline Usage'!$Z62)/'Baseline Usage'!$Z62</f>
        <v>292.86687499999999</v>
      </c>
      <c r="F57" s="264">
        <f>$C57*(F52+'Baseline Usage'!$Z62)/'Baseline Usage'!$Z62</f>
        <v>516.67437500000005</v>
      </c>
      <c r="G57" s="264">
        <f>$C57*(G52+'Baseline Usage'!$Z62)/'Baseline Usage'!$Z62</f>
        <v>1086.3912499999999</v>
      </c>
      <c r="H57" s="264">
        <f>$C57*(H52+'Baseline Usage'!$Z62)/'Baseline Usage'!$Z62</f>
        <v>1696.900625</v>
      </c>
      <c r="I57" s="304">
        <f>$C57*(I52+'Baseline Usage'!$Z62)/'Baseline Usage'!$Z62</f>
        <v>2938.3156250000002</v>
      </c>
      <c r="J57" t="s">
        <v>552</v>
      </c>
    </row>
    <row r="58" spans="1:10" ht="15.75" thickBot="1">
      <c r="B58" s="252" t="s">
        <v>579</v>
      </c>
      <c r="C58" s="158">
        <f>C32*(1-C43)*'Baseline Usage'!$Z69</f>
        <v>0</v>
      </c>
      <c r="D58" s="158">
        <f>D32*(1-D43)*'Baseline Usage'!$Z69</f>
        <v>0</v>
      </c>
      <c r="E58" s="158">
        <f>E32*(1-E43)*'Baseline Usage'!$Z69</f>
        <v>0</v>
      </c>
      <c r="F58" s="158">
        <f>F32*(1-F43)*'Baseline Usage'!$Z69</f>
        <v>0</v>
      </c>
      <c r="G58" s="158">
        <f>G32*(1-G43)*'Baseline Usage'!$Z69</f>
        <v>0</v>
      </c>
      <c r="H58" s="158">
        <f>H32*(1-H43)*'Baseline Usage'!$Z69</f>
        <v>0</v>
      </c>
      <c r="I58" s="159">
        <f>I32*(1-I43)*'Baseline Usage'!$Z69</f>
        <v>0</v>
      </c>
    </row>
    <row r="59" spans="1:10" ht="15.75" thickBot="1"/>
    <row r="60" spans="1:10">
      <c r="A60" s="339">
        <v>2</v>
      </c>
      <c r="B60" s="115"/>
      <c r="C60" s="596" t="s">
        <v>580</v>
      </c>
      <c r="D60" s="597"/>
      <c r="E60" s="597"/>
      <c r="F60" s="597"/>
      <c r="G60" s="597"/>
      <c r="H60" s="597"/>
      <c r="I60" s="598"/>
      <c r="J60" t="s">
        <v>581</v>
      </c>
    </row>
    <row r="61" spans="1:10">
      <c r="B61" s="58" t="s">
        <v>17</v>
      </c>
      <c r="C61" s="213">
        <f>'Baseline Statistics'!D4</f>
        <v>2022</v>
      </c>
      <c r="D61" s="213">
        <f>'Baseline Statistics'!E4</f>
        <v>2025</v>
      </c>
      <c r="E61" s="213">
        <f>'Baseline Statistics'!F4</f>
        <v>2030</v>
      </c>
      <c r="F61" s="213">
        <f>'Baseline Statistics'!G4</f>
        <v>2035</v>
      </c>
      <c r="G61" s="213">
        <f>'Baseline Statistics'!H4</f>
        <v>2040</v>
      </c>
      <c r="H61" s="213">
        <f>'Baseline Statistics'!I4</f>
        <v>2045</v>
      </c>
      <c r="I61" s="104">
        <f>'Baseline Statistics'!J4</f>
        <v>2051</v>
      </c>
    </row>
    <row r="62" spans="1:10">
      <c r="B62" s="213" t="s">
        <v>18</v>
      </c>
      <c r="C62" s="321">
        <f t="shared" ref="C62:I62" si="13">VLOOKUP($A60,$B63:$I66,COLUMN()-1,TRUE)</f>
        <v>0</v>
      </c>
      <c r="D62" s="321">
        <f t="shared" si="13"/>
        <v>2E-3</v>
      </c>
      <c r="E62" s="321">
        <f t="shared" si="13"/>
        <v>5.0000000000000001E-3</v>
      </c>
      <c r="F62" s="321">
        <f t="shared" si="13"/>
        <v>0.01</v>
      </c>
      <c r="G62" s="321">
        <f t="shared" si="13"/>
        <v>0.02</v>
      </c>
      <c r="H62" s="321">
        <f t="shared" si="13"/>
        <v>3.5000000000000003E-2</v>
      </c>
      <c r="I62" s="321">
        <f t="shared" si="13"/>
        <v>0.05</v>
      </c>
    </row>
    <row r="63" spans="1:10">
      <c r="B63" s="213">
        <v>1</v>
      </c>
      <c r="C63" s="83">
        <v>0</v>
      </c>
      <c r="D63" s="306">
        <v>2.9999999999999997E-4</v>
      </c>
      <c r="E63" s="306">
        <v>5.9999999999999995E-4</v>
      </c>
      <c r="F63" s="306">
        <v>8.9999999999999998E-4</v>
      </c>
      <c r="G63" s="306">
        <v>1.5E-3</v>
      </c>
      <c r="H63" s="306">
        <v>2E-3</v>
      </c>
      <c r="I63" s="307">
        <v>2.5000000000000001E-3</v>
      </c>
      <c r="J63" t="s">
        <v>582</v>
      </c>
    </row>
    <row r="64" spans="1:10">
      <c r="B64" s="213">
        <v>2</v>
      </c>
      <c r="C64" s="83">
        <v>0</v>
      </c>
      <c r="D64" s="118">
        <v>2E-3</v>
      </c>
      <c r="E64" s="118">
        <v>5.0000000000000001E-3</v>
      </c>
      <c r="F64" s="118">
        <v>0.01</v>
      </c>
      <c r="G64" s="118">
        <v>0.02</v>
      </c>
      <c r="H64" s="118">
        <v>3.5000000000000003E-2</v>
      </c>
      <c r="I64" s="119">
        <v>0.05</v>
      </c>
      <c r="J64" t="s">
        <v>583</v>
      </c>
    </row>
    <row r="65" spans="2:13">
      <c r="B65" s="213">
        <v>3</v>
      </c>
      <c r="C65" s="83">
        <v>0</v>
      </c>
      <c r="D65" s="120">
        <v>2E-3</v>
      </c>
      <c r="E65" s="120">
        <v>0.01</v>
      </c>
      <c r="F65" s="120">
        <v>0.02</v>
      </c>
      <c r="G65" s="120">
        <v>0.04</v>
      </c>
      <c r="H65" s="120">
        <v>7.0000000000000007E-2</v>
      </c>
      <c r="I65" s="121">
        <v>0.1</v>
      </c>
      <c r="J65" t="s">
        <v>584</v>
      </c>
    </row>
    <row r="66" spans="2:13" ht="15.75" thickBot="1">
      <c r="B66" s="213">
        <v>4</v>
      </c>
      <c r="C66" s="84">
        <v>0</v>
      </c>
      <c r="D66" s="122">
        <v>0.01</v>
      </c>
      <c r="E66" s="122">
        <v>0.05</v>
      </c>
      <c r="F66" s="122">
        <v>0.1</v>
      </c>
      <c r="G66" s="122">
        <v>0.2</v>
      </c>
      <c r="H66" s="122">
        <v>0.4</v>
      </c>
      <c r="I66" s="293">
        <v>1</v>
      </c>
      <c r="J66" t="s">
        <v>585</v>
      </c>
    </row>
    <row r="68" spans="2:13">
      <c r="B68" s="305" t="s">
        <v>570</v>
      </c>
      <c r="C68" s="247">
        <f>C61</f>
        <v>2022</v>
      </c>
      <c r="D68" s="247">
        <f t="shared" ref="D68:I68" si="14">D61</f>
        <v>2025</v>
      </c>
      <c r="E68" s="247">
        <f t="shared" si="14"/>
        <v>2030</v>
      </c>
      <c r="F68" s="247">
        <f t="shared" si="14"/>
        <v>2035</v>
      </c>
      <c r="G68" s="247">
        <f t="shared" si="14"/>
        <v>2040</v>
      </c>
      <c r="H68" s="247">
        <f t="shared" si="14"/>
        <v>2045</v>
      </c>
      <c r="I68" s="247">
        <f t="shared" si="14"/>
        <v>2051</v>
      </c>
    </row>
    <row r="69" spans="2:13">
      <c r="B69" t="s">
        <v>586</v>
      </c>
      <c r="C69" s="231">
        <f>'Baseline Usage'!Z77</f>
        <v>2500000</v>
      </c>
      <c r="D69" s="231">
        <f>$C69*'2. Industry'!D17</f>
        <v>2700000</v>
      </c>
      <c r="E69" s="231">
        <f>$C69*'2. Industry'!E17</f>
        <v>2900000</v>
      </c>
      <c r="F69" s="231">
        <f>$C69*'2. Industry'!F17</f>
        <v>3050000</v>
      </c>
      <c r="G69" s="231">
        <f>$C69*'2. Industry'!G17</f>
        <v>3225000</v>
      </c>
      <c r="H69" s="231">
        <f>$C69*'2. Industry'!H17</f>
        <v>3400000.0000000005</v>
      </c>
      <c r="I69" s="231">
        <f>$C69*'2. Industry'!I17</f>
        <v>3625000</v>
      </c>
      <c r="J69" t="s">
        <v>587</v>
      </c>
    </row>
    <row r="70" spans="2:13">
      <c r="B70" t="s">
        <v>588</v>
      </c>
      <c r="C70" s="231">
        <f>C69*C62</f>
        <v>0</v>
      </c>
      <c r="D70" s="231">
        <f>D69*D62</f>
        <v>5400</v>
      </c>
      <c r="E70" s="231">
        <f t="shared" ref="E70:I70" si="15">E69*E62</f>
        <v>14500</v>
      </c>
      <c r="F70" s="231">
        <f t="shared" si="15"/>
        <v>30500</v>
      </c>
      <c r="G70" s="231">
        <f t="shared" si="15"/>
        <v>64500</v>
      </c>
      <c r="H70" s="231">
        <f t="shared" si="15"/>
        <v>119000.00000000003</v>
      </c>
      <c r="I70" s="231">
        <f t="shared" si="15"/>
        <v>181250</v>
      </c>
      <c r="J70" t="s">
        <v>587</v>
      </c>
    </row>
    <row r="71" spans="2:13">
      <c r="B71" t="s">
        <v>589</v>
      </c>
      <c r="C71" s="231">
        <f>C70*'Baseline Usage'!$Z75/'Baseline Usage'!$Z76/1000</f>
        <v>0</v>
      </c>
      <c r="D71" s="231">
        <f>D70*'Baseline Usage'!$Z75/'Baseline Usage'!$Z76/1000</f>
        <v>450</v>
      </c>
      <c r="E71" s="231">
        <f>E70*'Baseline Usage'!$Z75/'Baseline Usage'!$Z76/1000</f>
        <v>1208.3333333333333</v>
      </c>
      <c r="F71" s="231">
        <f>F70*'Baseline Usage'!$Z75/'Baseline Usage'!$Z76/1000</f>
        <v>2541.6666666666665</v>
      </c>
      <c r="G71" s="231">
        <f>G70*'Baseline Usage'!$Z75/'Baseline Usage'!$Z76/1000</f>
        <v>5375</v>
      </c>
      <c r="H71" s="231">
        <f>H70*'Baseline Usage'!$Z75/'Baseline Usage'!$Z76/1000</f>
        <v>9916.6666666666697</v>
      </c>
      <c r="I71" s="231">
        <f>I70*'Baseline Usage'!$Z75/'Baseline Usage'!$Z76/1000</f>
        <v>15104.166666666666</v>
      </c>
      <c r="J71" t="s">
        <v>574</v>
      </c>
    </row>
    <row r="72" spans="2:13">
      <c r="B72" t="s">
        <v>570</v>
      </c>
      <c r="C72" s="231">
        <f>C71*'Baseline Usage'!$Z60*'Baseline Usage'!$Z78</f>
        <v>0</v>
      </c>
      <c r="D72" s="231">
        <f>D71*'Baseline Usage'!$Z60*'Baseline Usage'!$Z78</f>
        <v>509999.99999999994</v>
      </c>
      <c r="E72" s="231">
        <f>E71*'Baseline Usage'!$Z60*'Baseline Usage'!$Z78</f>
        <v>1369444.4444444443</v>
      </c>
      <c r="F72" s="231">
        <f>F71*'Baseline Usage'!$Z60*'Baseline Usage'!$Z78</f>
        <v>2880555.555555555</v>
      </c>
      <c r="G72" s="231">
        <f>G71*'Baseline Usage'!$Z60*'Baseline Usage'!$Z78</f>
        <v>6091666.666666666</v>
      </c>
      <c r="H72" s="231">
        <f>H71*'Baseline Usage'!$Z60*'Baseline Usage'!$Z78</f>
        <v>11238888.888888892</v>
      </c>
      <c r="I72" s="231">
        <f>I71*'Baseline Usage'!$Z60*'Baseline Usage'!$Z78</f>
        <v>17118055.555555552</v>
      </c>
      <c r="J72" t="s">
        <v>317</v>
      </c>
      <c r="M72" s="231"/>
    </row>
    <row r="73" spans="2:13">
      <c r="B73" t="s">
        <v>590</v>
      </c>
      <c r="C73" s="231">
        <f>'4. Buildings'!C120</f>
        <v>211486678.15864664</v>
      </c>
      <c r="D73" s="231">
        <f>'4. Buildings'!D120</f>
        <v>223514838.21472865</v>
      </c>
      <c r="E73" s="231">
        <f>'4. Buildings'!E120</f>
        <v>234818439.13057208</v>
      </c>
      <c r="F73" s="231">
        <f>'4. Buildings'!F120</f>
        <v>239597869.20582086</v>
      </c>
      <c r="G73" s="231">
        <f>'4. Buildings'!G120</f>
        <v>247503529.86257222</v>
      </c>
      <c r="H73" s="231">
        <f>'4. Buildings'!H120</f>
        <v>254775201.27161497</v>
      </c>
      <c r="I73" s="231">
        <f>'4. Buildings'!I120</f>
        <v>262880235.27396268</v>
      </c>
      <c r="J73" t="s">
        <v>317</v>
      </c>
    </row>
    <row r="74" spans="2:13">
      <c r="B74" t="s">
        <v>591</v>
      </c>
      <c r="C74" s="231">
        <f>'4. Buildings'!C121</f>
        <v>122239252.16110656</v>
      </c>
      <c r="D74" s="231">
        <f>'4. Buildings'!D121</f>
        <v>126275187.22312386</v>
      </c>
      <c r="E74" s="231">
        <f>'4. Buildings'!E121</f>
        <v>132448310.30001216</v>
      </c>
      <c r="F74" s="231">
        <f>'4. Buildings'!F121</f>
        <v>137482903.29082403</v>
      </c>
      <c r="G74" s="231">
        <f>'4. Buildings'!G121</f>
        <v>142634086.27935109</v>
      </c>
      <c r="H74" s="231">
        <f>'4. Buildings'!H121</f>
        <v>147785269.26787814</v>
      </c>
      <c r="I74" s="231">
        <f>'4. Buildings'!I121</f>
        <v>153169632.25183553</v>
      </c>
    </row>
    <row r="75" spans="2:13">
      <c r="B75" t="s">
        <v>592</v>
      </c>
      <c r="C75" s="231">
        <f t="shared" ref="C75:H75" si="16">MAX(C73-C73/SUM(C73:C74)*C72,0)</f>
        <v>211486678.15864664</v>
      </c>
      <c r="D75" s="231">
        <f t="shared" si="16"/>
        <v>223188949.65530843</v>
      </c>
      <c r="E75" s="231">
        <f t="shared" si="16"/>
        <v>233942860.8011452</v>
      </c>
      <c r="F75" s="231">
        <f t="shared" si="16"/>
        <v>237767558.50429538</v>
      </c>
      <c r="G75" s="231">
        <f t="shared" si="16"/>
        <v>243638972.99759743</v>
      </c>
      <c r="H75" s="231">
        <f t="shared" si="16"/>
        <v>247662257.03519106</v>
      </c>
      <c r="I75" s="231">
        <f>MAX(I73-I73/SUM(I73:I74)*I72,0)</f>
        <v>252064227.81159237</v>
      </c>
      <c r="J75" t="s">
        <v>317</v>
      </c>
    </row>
    <row r="76" spans="2:13">
      <c r="B76" t="s">
        <v>593</v>
      </c>
      <c r="C76" s="231">
        <f>MAX(C74-C74/SUM(C73:C74)*C72,0)</f>
        <v>122239252.16110656</v>
      </c>
      <c r="D76" s="231">
        <f t="shared" ref="D76:H76" si="17">MAX(D74-D74/SUM(D73:D74)*D72,0)</f>
        <v>126091075.78254411</v>
      </c>
      <c r="E76" s="231">
        <f t="shared" si="17"/>
        <v>131954444.18499461</v>
      </c>
      <c r="F76" s="231">
        <f t="shared" si="17"/>
        <v>136432658.43679395</v>
      </c>
      <c r="G76" s="231">
        <f t="shared" si="17"/>
        <v>140406976.4776592</v>
      </c>
      <c r="H76" s="231">
        <f t="shared" si="17"/>
        <v>143659324.61541316</v>
      </c>
      <c r="I76" s="231">
        <f>MAX(I74-I74/SUM(I73:I74)*I72,0)</f>
        <v>146867584.15865028</v>
      </c>
      <c r="J76" t="s">
        <v>317</v>
      </c>
    </row>
    <row r="77" spans="2:13">
      <c r="B77" t="s">
        <v>594</v>
      </c>
      <c r="C77" s="231">
        <f>MAX((C72-C73)/1000000,0)</f>
        <v>0</v>
      </c>
      <c r="D77" s="231">
        <f t="shared" ref="D77:H77" si="18">MAX((D72-D73)/1000000,0)</f>
        <v>0</v>
      </c>
      <c r="E77" s="231">
        <f t="shared" si="18"/>
        <v>0</v>
      </c>
      <c r="F77" s="231">
        <f t="shared" si="18"/>
        <v>0</v>
      </c>
      <c r="G77" s="231">
        <f t="shared" si="18"/>
        <v>0</v>
      </c>
      <c r="H77" s="231">
        <f t="shared" si="18"/>
        <v>0</v>
      </c>
      <c r="I77" s="231">
        <f>MAX((I72-I73-I74)/1000000,0)</f>
        <v>0</v>
      </c>
      <c r="J77" t="s">
        <v>552</v>
      </c>
    </row>
    <row r="78" spans="2:13">
      <c r="B78" t="s">
        <v>595</v>
      </c>
      <c r="C78" s="231">
        <f>(4800000/'Baseline Statistics'!$D17)*C77</f>
        <v>0</v>
      </c>
      <c r="D78" s="231">
        <f>(4800000/'Baseline Statistics'!$D17)*D77</f>
        <v>0</v>
      </c>
      <c r="E78" s="231">
        <f>(4800000/'Baseline Statistics'!$D17)*E77</f>
        <v>0</v>
      </c>
      <c r="F78" s="231">
        <f>(4800000/'Baseline Statistics'!$D17)*F77</f>
        <v>0</v>
      </c>
      <c r="G78" s="231">
        <f>(4800000/'Baseline Statistics'!$D17)*G77</f>
        <v>0</v>
      </c>
      <c r="H78" s="231">
        <f>(4800000/'Baseline Statistics'!$D17)*H77</f>
        <v>0</v>
      </c>
      <c r="I78" s="231">
        <f>(4800000/'Baseline Statistics'!$D17)*I77</f>
        <v>0</v>
      </c>
      <c r="J78" t="s">
        <v>552</v>
      </c>
    </row>
    <row r="79" spans="2:13">
      <c r="B79" t="s">
        <v>596</v>
      </c>
      <c r="C79" s="231">
        <f>C57+C78</f>
        <v>98</v>
      </c>
      <c r="D79" s="231">
        <f t="shared" ref="D79:I79" si="19">D57+D78</f>
        <v>133.83125000000001</v>
      </c>
      <c r="E79" s="231">
        <f t="shared" si="19"/>
        <v>292.86687499999999</v>
      </c>
      <c r="F79" s="231">
        <f t="shared" si="19"/>
        <v>516.67437500000005</v>
      </c>
      <c r="G79" s="231">
        <f t="shared" si="19"/>
        <v>1086.3912499999999</v>
      </c>
      <c r="H79" s="231">
        <f t="shared" si="19"/>
        <v>1696.900625</v>
      </c>
      <c r="I79" s="231">
        <f t="shared" si="19"/>
        <v>2938.3156250000002</v>
      </c>
      <c r="J79" t="s">
        <v>552</v>
      </c>
    </row>
    <row r="81" spans="1:10" ht="15.75" thickBot="1"/>
    <row r="82" spans="1:10">
      <c r="A82" s="339">
        <v>1</v>
      </c>
      <c r="B82" s="125"/>
      <c r="C82" s="596" t="s">
        <v>246</v>
      </c>
      <c r="D82" s="597"/>
      <c r="E82" s="597"/>
      <c r="F82" s="597"/>
      <c r="G82" s="597"/>
      <c r="H82" s="597"/>
      <c r="I82" s="598"/>
    </row>
    <row r="83" spans="1:10">
      <c r="B83" s="126" t="s">
        <v>17</v>
      </c>
      <c r="C83" s="213">
        <f>'Baseline Statistics'!D4</f>
        <v>2022</v>
      </c>
      <c r="D83" s="213">
        <f>'Baseline Statistics'!E4</f>
        <v>2025</v>
      </c>
      <c r="E83" s="213">
        <f>'Baseline Statistics'!F4</f>
        <v>2030</v>
      </c>
      <c r="F83" s="213">
        <f>'Baseline Statistics'!G4</f>
        <v>2035</v>
      </c>
      <c r="G83" s="213">
        <f>'Baseline Statistics'!H4</f>
        <v>2040</v>
      </c>
      <c r="H83" s="213">
        <f>'Baseline Statistics'!I4</f>
        <v>2045</v>
      </c>
      <c r="I83" s="104">
        <f>'Baseline Statistics'!J4</f>
        <v>2051</v>
      </c>
    </row>
    <row r="84" spans="1:10">
      <c r="B84" s="127" t="s">
        <v>18</v>
      </c>
      <c r="C84" s="83">
        <f>VLOOKUP($A82,$B85:$I88,COLUMN()-1,TRUE)</f>
        <v>0</v>
      </c>
      <c r="D84" s="83">
        <f t="shared" ref="D84:I84" si="20">VLOOKUP($A82,$B85:$I88,COLUMN()-1,TRUE)</f>
        <v>0</v>
      </c>
      <c r="E84" s="83">
        <f t="shared" si="20"/>
        <v>0</v>
      </c>
      <c r="F84" s="83">
        <f t="shared" si="20"/>
        <v>0</v>
      </c>
      <c r="G84" s="83">
        <f t="shared" si="20"/>
        <v>0</v>
      </c>
      <c r="H84" s="83">
        <f t="shared" si="20"/>
        <v>0</v>
      </c>
      <c r="I84" s="106">
        <f t="shared" si="20"/>
        <v>0</v>
      </c>
    </row>
    <row r="85" spans="1:10">
      <c r="B85" s="127">
        <v>1</v>
      </c>
      <c r="C85" s="83">
        <v>0</v>
      </c>
      <c r="D85" s="81">
        <v>0</v>
      </c>
      <c r="E85" s="81">
        <v>0</v>
      </c>
      <c r="F85" s="81">
        <v>0</v>
      </c>
      <c r="G85" s="81">
        <v>0</v>
      </c>
      <c r="H85" s="81">
        <v>0</v>
      </c>
      <c r="I85" s="105">
        <v>0</v>
      </c>
      <c r="J85" t="s">
        <v>285</v>
      </c>
    </row>
    <row r="86" spans="1:10">
      <c r="B86" s="127">
        <v>2</v>
      </c>
      <c r="C86" s="83">
        <v>0</v>
      </c>
      <c r="D86" s="83">
        <v>0.02</v>
      </c>
      <c r="E86" s="83">
        <v>0.05</v>
      </c>
      <c r="F86" s="83">
        <v>0.05</v>
      </c>
      <c r="G86" s="83">
        <v>0.05</v>
      </c>
      <c r="H86" s="83">
        <v>0.05</v>
      </c>
      <c r="I86" s="106">
        <v>0.05</v>
      </c>
      <c r="J86" t="s">
        <v>597</v>
      </c>
    </row>
    <row r="87" spans="1:10">
      <c r="B87" s="127">
        <v>3</v>
      </c>
      <c r="C87" s="83">
        <v>0</v>
      </c>
      <c r="D87" s="81">
        <v>0.02</v>
      </c>
      <c r="E87" s="81">
        <v>0.05</v>
      </c>
      <c r="F87" s="81">
        <v>0.15</v>
      </c>
      <c r="G87" s="81">
        <v>0.15</v>
      </c>
      <c r="H87" s="81">
        <v>0.15</v>
      </c>
      <c r="I87" s="105">
        <v>0.15</v>
      </c>
      <c r="J87" t="s">
        <v>598</v>
      </c>
    </row>
    <row r="88" spans="1:10" ht="15.75" thickBot="1">
      <c r="B88" s="127">
        <v>4</v>
      </c>
      <c r="C88" s="84">
        <v>0</v>
      </c>
      <c r="D88" s="82">
        <v>0.05</v>
      </c>
      <c r="E88" s="82">
        <v>0.1</v>
      </c>
      <c r="F88" s="82">
        <v>0.3</v>
      </c>
      <c r="G88" s="82">
        <v>0.6</v>
      </c>
      <c r="H88" s="82">
        <v>0.9</v>
      </c>
      <c r="I88" s="107">
        <v>1</v>
      </c>
      <c r="J88" t="s">
        <v>599</v>
      </c>
    </row>
    <row r="89" spans="1:10">
      <c r="B89" s="248"/>
      <c r="I89" s="116"/>
    </row>
    <row r="90" spans="1:10">
      <c r="B90" s="311" t="s">
        <v>600</v>
      </c>
      <c r="C90" s="247">
        <f>'Baseline Statistics'!D4</f>
        <v>2022</v>
      </c>
      <c r="D90" s="247">
        <f>'Baseline Statistics'!E4</f>
        <v>2025</v>
      </c>
      <c r="E90" s="247">
        <f>'Baseline Statistics'!F4</f>
        <v>2030</v>
      </c>
      <c r="F90" s="247">
        <f>'Baseline Statistics'!G4</f>
        <v>2035</v>
      </c>
      <c r="G90" s="247">
        <f>'Baseline Statistics'!H4</f>
        <v>2040</v>
      </c>
      <c r="H90" s="247">
        <f>'Baseline Statistics'!I4</f>
        <v>2045</v>
      </c>
      <c r="I90" s="250">
        <f>'Baseline Statistics'!J4</f>
        <v>2051</v>
      </c>
    </row>
    <row r="91" spans="1:10">
      <c r="B91" s="256" t="s">
        <v>377</v>
      </c>
      <c r="C91" s="72">
        <f>'3. Transport'!C265</f>
        <v>36790440.061202846</v>
      </c>
      <c r="D91" s="72">
        <f>'3. Transport'!D265</f>
        <v>39839971.676333986</v>
      </c>
      <c r="E91" s="72">
        <f>'3. Transport'!E265</f>
        <v>44459990.732041337</v>
      </c>
      <c r="F91" s="72">
        <f>'3. Transport'!F265</f>
        <v>48553442.310982853</v>
      </c>
      <c r="G91" s="72">
        <f>'3. Transport'!G265</f>
        <v>52649930.613198042</v>
      </c>
      <c r="H91" s="72">
        <f>'3. Transport'!H265</f>
        <v>56222520.962587722</v>
      </c>
      <c r="I91" s="110">
        <f>'3. Transport'!I265</f>
        <v>66423803.361507051</v>
      </c>
    </row>
    <row r="92" spans="1:10">
      <c r="B92" s="258" t="s">
        <v>378</v>
      </c>
      <c r="C92" s="72">
        <f>'3. Transport'!C266</f>
        <v>8353453.6432471676</v>
      </c>
      <c r="D92" s="72">
        <f>'3. Transport'!D266</f>
        <v>9084519.3141500428</v>
      </c>
      <c r="E92" s="72">
        <f>'3. Transport'!E266</f>
        <v>10200267.679927215</v>
      </c>
      <c r="F92" s="72">
        <f>'3. Transport'!F266</f>
        <v>11277948.822056914</v>
      </c>
      <c r="G92" s="72">
        <f>'3. Transport'!G266</f>
        <v>12383487.447917452</v>
      </c>
      <c r="H92" s="72">
        <f>'3. Transport'!H266</f>
        <v>13392431.470566316</v>
      </c>
      <c r="I92" s="110">
        <f>'3. Transport'!I266</f>
        <v>16026823.686948292</v>
      </c>
    </row>
    <row r="93" spans="1:10">
      <c r="B93" s="256" t="s">
        <v>379</v>
      </c>
      <c r="C93" s="72">
        <f>'3. Transport'!C267</f>
        <v>3404243.6177032739</v>
      </c>
      <c r="D93" s="72">
        <f>'3. Transport'!D267</f>
        <v>3629579.7717453674</v>
      </c>
      <c r="E93" s="72">
        <f>'3. Transport'!E267</f>
        <v>3996987.541739217</v>
      </c>
      <c r="F93" s="72">
        <f>'3. Transport'!F267</f>
        <v>4335895.6257399451</v>
      </c>
      <c r="G93" s="72">
        <f>'3. Transport'!G267</f>
        <v>4672763.2521235496</v>
      </c>
      <c r="H93" s="72">
        <f>'3. Transport'!H267</f>
        <v>5007114.2363532763</v>
      </c>
      <c r="I93" s="110">
        <f>'3. Transport'!I267</f>
        <v>5937578.1539448975</v>
      </c>
    </row>
    <row r="94" spans="1:10">
      <c r="B94" s="258" t="s">
        <v>380</v>
      </c>
      <c r="C94" s="72">
        <f>'3. Transport'!C268</f>
        <v>18536711.417872287</v>
      </c>
      <c r="D94" s="72">
        <f>'3. Transport'!D268</f>
        <v>20031912.639725681</v>
      </c>
      <c r="E94" s="72">
        <f>'3. Transport'!E268</f>
        <v>22056995.644500777</v>
      </c>
      <c r="F94" s="72">
        <f>'3. Transport'!F268</f>
        <v>23999451.228290543</v>
      </c>
      <c r="G94" s="72">
        <f>'3. Transport'!G268</f>
        <v>26129084.229692195</v>
      </c>
      <c r="H94" s="72">
        <f>'3. Transport'!H268</f>
        <v>28124635.416373469</v>
      </c>
      <c r="I94" s="110">
        <f>'3. Transport'!I268</f>
        <v>30307364.020666622</v>
      </c>
    </row>
    <row r="95" spans="1:10">
      <c r="B95" s="256" t="s">
        <v>452</v>
      </c>
      <c r="C95" s="72">
        <f>'3. Transport'!C269</f>
        <v>875123.71500684612</v>
      </c>
      <c r="D95" s="72">
        <f>'3. Transport'!D269</f>
        <v>931494.55362426804</v>
      </c>
      <c r="E95" s="72">
        <f>'3. Transport'!E269</f>
        <v>1023199.4365141202</v>
      </c>
      <c r="F95" s="72">
        <f>'3. Transport'!F269</f>
        <v>1106204.4251978821</v>
      </c>
      <c r="G95" s="72">
        <f>'3. Transport'!G269</f>
        <v>1187083.2216072078</v>
      </c>
      <c r="H95" s="72">
        <f>'3. Transport'!H269</f>
        <v>1253996.8023445657</v>
      </c>
      <c r="I95" s="110">
        <f>'3. Transport'!I269</f>
        <v>1500667.4254293162</v>
      </c>
    </row>
    <row r="96" spans="1:10">
      <c r="B96" s="260" t="s">
        <v>337</v>
      </c>
      <c r="C96" s="72">
        <f>'3. Transport'!C270</f>
        <v>603881.656249461</v>
      </c>
      <c r="D96" s="72">
        <f>'3. Transport'!D270</f>
        <v>665643.56515147153</v>
      </c>
      <c r="E96" s="72">
        <f>'3. Transport'!E270</f>
        <v>747306.64743476186</v>
      </c>
      <c r="F96" s="72">
        <f>'3. Transport'!F270</f>
        <v>828755.31219715695</v>
      </c>
      <c r="G96" s="72">
        <f>'3. Transport'!G270</f>
        <v>919320.81422762433</v>
      </c>
      <c r="H96" s="72">
        <f>'3. Transport'!H270</f>
        <v>998694.24661278259</v>
      </c>
      <c r="I96" s="110">
        <f>'3. Transport'!I270</f>
        <v>1086075.4556539292</v>
      </c>
    </row>
    <row r="97" spans="2:9">
      <c r="B97" s="358" t="str">
        <f>'3. Transport'!B275</f>
        <v>Off-road diesel</v>
      </c>
      <c r="C97" s="359">
        <f>'3. Transport'!C275</f>
        <v>5648525.7968623694</v>
      </c>
      <c r="D97" s="359">
        <f>'3. Transport'!D275</f>
        <v>5493463.6347323479</v>
      </c>
      <c r="E97" s="359">
        <f>'3. Transport'!E275</f>
        <v>5182314.5821323059</v>
      </c>
      <c r="F97" s="359">
        <f>'3. Transport'!F275</f>
        <v>4611167.6520819422</v>
      </c>
      <c r="G97" s="359">
        <f>'3. Transport'!G275</f>
        <v>3855942.8138085552</v>
      </c>
      <c r="H97" s="359">
        <f>'3. Transport'!H275</f>
        <v>3017886.3491820088</v>
      </c>
      <c r="I97" s="360">
        <f>'3. Transport'!I275</f>
        <v>2177949.594947862</v>
      </c>
    </row>
    <row r="98" spans="2:9">
      <c r="B98" s="358" t="str">
        <f>'3. Transport'!B276</f>
        <v>Off-road petrol</v>
      </c>
      <c r="C98" s="359">
        <f>'3. Transport'!C276</f>
        <v>533194.78349569347</v>
      </c>
      <c r="D98" s="359">
        <f>'3. Transport'!D276</f>
        <v>518557.63055727247</v>
      </c>
      <c r="E98" s="359">
        <f>'3. Transport'!E276</f>
        <v>489186.59505131352</v>
      </c>
      <c r="F98" s="359">
        <f>'3. Transport'!F276</f>
        <v>435272.9590577248</v>
      </c>
      <c r="G98" s="359">
        <f>'3. Transport'!G276</f>
        <v>363983.21751889191</v>
      </c>
      <c r="H98" s="359">
        <f>'3. Transport'!H276</f>
        <v>284874.55248244439</v>
      </c>
      <c r="I98" s="360">
        <f>'3. Transport'!I276</f>
        <v>205588.39677917713</v>
      </c>
    </row>
    <row r="99" spans="2:9">
      <c r="B99" s="248"/>
      <c r="I99" s="116"/>
    </row>
    <row r="100" spans="2:9">
      <c r="B100" s="311" t="s">
        <v>601</v>
      </c>
      <c r="C100" s="247">
        <f>'Baseline Statistics'!D4</f>
        <v>2022</v>
      </c>
      <c r="D100" s="247">
        <f>'Baseline Statistics'!E4</f>
        <v>2025</v>
      </c>
      <c r="E100" s="247">
        <f>'Baseline Statistics'!F4</f>
        <v>2030</v>
      </c>
      <c r="F100" s="247">
        <f>'Baseline Statistics'!G4</f>
        <v>2035</v>
      </c>
      <c r="G100" s="247">
        <f>'Baseline Statistics'!H4</f>
        <v>2040</v>
      </c>
      <c r="H100" s="247">
        <f>'Baseline Statistics'!I4</f>
        <v>2045</v>
      </c>
      <c r="I100" s="250">
        <f>'Baseline Statistics'!J4</f>
        <v>2051</v>
      </c>
    </row>
    <row r="101" spans="2:9">
      <c r="B101" s="256" t="s">
        <v>377</v>
      </c>
      <c r="C101" s="72">
        <f>C91*(1-C$84)</f>
        <v>36790440.061202846</v>
      </c>
      <c r="D101" s="72">
        <f t="shared" ref="D101:I101" si="21">D91*(1-D$84)</f>
        <v>39839971.676333986</v>
      </c>
      <c r="E101" s="72">
        <f t="shared" si="21"/>
        <v>44459990.732041337</v>
      </c>
      <c r="F101" s="72">
        <f t="shared" si="21"/>
        <v>48553442.310982853</v>
      </c>
      <c r="G101" s="72">
        <f t="shared" si="21"/>
        <v>52649930.613198042</v>
      </c>
      <c r="H101" s="72">
        <f t="shared" si="21"/>
        <v>56222520.962587722</v>
      </c>
      <c r="I101" s="110">
        <f t="shared" si="21"/>
        <v>66423803.361507051</v>
      </c>
    </row>
    <row r="102" spans="2:9">
      <c r="B102" s="258" t="s">
        <v>378</v>
      </c>
      <c r="C102" s="72">
        <f t="shared" ref="C102:I102" si="22">C92*(1-C$84)</f>
        <v>8353453.6432471676</v>
      </c>
      <c r="D102" s="72">
        <f t="shared" si="22"/>
        <v>9084519.3141500428</v>
      </c>
      <c r="E102" s="72">
        <f t="shared" si="22"/>
        <v>10200267.679927215</v>
      </c>
      <c r="F102" s="72">
        <f t="shared" si="22"/>
        <v>11277948.822056914</v>
      </c>
      <c r="G102" s="72">
        <f t="shared" si="22"/>
        <v>12383487.447917452</v>
      </c>
      <c r="H102" s="72">
        <f t="shared" si="22"/>
        <v>13392431.470566316</v>
      </c>
      <c r="I102" s="110">
        <f t="shared" si="22"/>
        <v>16026823.686948292</v>
      </c>
    </row>
    <row r="103" spans="2:9">
      <c r="B103" s="256" t="s">
        <v>379</v>
      </c>
      <c r="C103" s="72">
        <f t="shared" ref="C103:I103" si="23">C93*(1-C$84)</f>
        <v>3404243.6177032739</v>
      </c>
      <c r="D103" s="72">
        <f t="shared" si="23"/>
        <v>3629579.7717453674</v>
      </c>
      <c r="E103" s="72">
        <f t="shared" si="23"/>
        <v>3996987.541739217</v>
      </c>
      <c r="F103" s="72">
        <f t="shared" si="23"/>
        <v>4335895.6257399451</v>
      </c>
      <c r="G103" s="72">
        <f t="shared" si="23"/>
        <v>4672763.2521235496</v>
      </c>
      <c r="H103" s="72">
        <f t="shared" si="23"/>
        <v>5007114.2363532763</v>
      </c>
      <c r="I103" s="110">
        <f t="shared" si="23"/>
        <v>5937578.1539448975</v>
      </c>
    </row>
    <row r="104" spans="2:9">
      <c r="B104" s="258" t="s">
        <v>380</v>
      </c>
      <c r="C104" s="72">
        <f t="shared" ref="C104:I104" si="24">C94*(1-C$84)</f>
        <v>18536711.417872287</v>
      </c>
      <c r="D104" s="72">
        <f t="shared" si="24"/>
        <v>20031912.639725681</v>
      </c>
      <c r="E104" s="72">
        <f t="shared" si="24"/>
        <v>22056995.644500777</v>
      </c>
      <c r="F104" s="72">
        <f t="shared" si="24"/>
        <v>23999451.228290543</v>
      </c>
      <c r="G104" s="72">
        <f t="shared" si="24"/>
        <v>26129084.229692195</v>
      </c>
      <c r="H104" s="72">
        <f t="shared" si="24"/>
        <v>28124635.416373469</v>
      </c>
      <c r="I104" s="110">
        <f t="shared" si="24"/>
        <v>30307364.020666622</v>
      </c>
    </row>
    <row r="105" spans="2:9">
      <c r="B105" s="256" t="s">
        <v>452</v>
      </c>
      <c r="C105" s="72">
        <f t="shared" ref="C105:I105" si="25">C95*(1-C$84)</f>
        <v>875123.71500684612</v>
      </c>
      <c r="D105" s="72">
        <f t="shared" si="25"/>
        <v>931494.55362426804</v>
      </c>
      <c r="E105" s="72">
        <f t="shared" si="25"/>
        <v>1023199.4365141202</v>
      </c>
      <c r="F105" s="72">
        <f t="shared" si="25"/>
        <v>1106204.4251978821</v>
      </c>
      <c r="G105" s="72">
        <f t="shared" si="25"/>
        <v>1187083.2216072078</v>
      </c>
      <c r="H105" s="72">
        <f t="shared" si="25"/>
        <v>1253996.8023445657</v>
      </c>
      <c r="I105" s="110">
        <f t="shared" si="25"/>
        <v>1500667.4254293162</v>
      </c>
    </row>
    <row r="106" spans="2:9">
      <c r="B106" s="260" t="s">
        <v>337</v>
      </c>
      <c r="C106" s="72">
        <f t="shared" ref="C106" si="26">C96*(1-C$84)</f>
        <v>603881.656249461</v>
      </c>
      <c r="D106" s="72">
        <f>D96*(1-D$84)</f>
        <v>665643.56515147153</v>
      </c>
      <c r="E106" s="72">
        <f t="shared" ref="E106:I106" si="27">E96*(1-E$84)</f>
        <v>747306.64743476186</v>
      </c>
      <c r="F106" s="72">
        <f t="shared" si="27"/>
        <v>828755.31219715695</v>
      </c>
      <c r="G106" s="72">
        <f t="shared" si="27"/>
        <v>919320.81422762433</v>
      </c>
      <c r="H106" s="72">
        <f t="shared" si="27"/>
        <v>998694.24661278259</v>
      </c>
      <c r="I106" s="110">
        <f t="shared" si="27"/>
        <v>1086075.4556539292</v>
      </c>
    </row>
    <row r="107" spans="2:9">
      <c r="B107" s="256" t="s">
        <v>602</v>
      </c>
      <c r="C107" s="72">
        <f t="shared" ref="C107:I107" si="28">C97*(1-C$84)</f>
        <v>5648525.7968623694</v>
      </c>
      <c r="D107" s="72">
        <f t="shared" si="28"/>
        <v>5493463.6347323479</v>
      </c>
      <c r="E107" s="72">
        <f t="shared" si="28"/>
        <v>5182314.5821323059</v>
      </c>
      <c r="F107" s="72">
        <f t="shared" si="28"/>
        <v>4611167.6520819422</v>
      </c>
      <c r="G107" s="72">
        <f t="shared" si="28"/>
        <v>3855942.8138085552</v>
      </c>
      <c r="H107" s="72">
        <f t="shared" si="28"/>
        <v>3017886.3491820088</v>
      </c>
      <c r="I107" s="110">
        <f t="shared" si="28"/>
        <v>2177949.594947862</v>
      </c>
    </row>
    <row r="108" spans="2:9">
      <c r="B108" s="260" t="s">
        <v>603</v>
      </c>
      <c r="C108" s="89">
        <f t="shared" ref="C108:I108" si="29">C98*(1-C$84)</f>
        <v>533194.78349569347</v>
      </c>
      <c r="D108" s="89">
        <f t="shared" si="29"/>
        <v>518557.63055727247</v>
      </c>
      <c r="E108" s="89">
        <f t="shared" si="29"/>
        <v>489186.59505131352</v>
      </c>
      <c r="F108" s="89">
        <f t="shared" si="29"/>
        <v>435272.9590577248</v>
      </c>
      <c r="G108" s="89">
        <f t="shared" si="29"/>
        <v>363983.21751889191</v>
      </c>
      <c r="H108" s="89">
        <f t="shared" si="29"/>
        <v>284874.55248244439</v>
      </c>
      <c r="I108" s="363">
        <f t="shared" si="29"/>
        <v>205588.39677917713</v>
      </c>
    </row>
    <row r="109" spans="2:9">
      <c r="B109" s="361" t="s">
        <v>245</v>
      </c>
      <c r="C109" s="80">
        <f t="shared" ref="C109:H109" si="30">(C91+C93+C98)-(C101+C103+C108)</f>
        <v>0</v>
      </c>
      <c r="D109" s="80">
        <f t="shared" si="30"/>
        <v>0</v>
      </c>
      <c r="E109" s="80">
        <f t="shared" si="30"/>
        <v>0</v>
      </c>
      <c r="F109" s="80">
        <f t="shared" si="30"/>
        <v>0</v>
      </c>
      <c r="G109" s="80">
        <f t="shared" si="30"/>
        <v>0</v>
      </c>
      <c r="H109" s="80">
        <f t="shared" si="30"/>
        <v>0</v>
      </c>
      <c r="I109" s="312">
        <f>(I91+I93+I98)-(I101+I103+I108)</f>
        <v>0</v>
      </c>
    </row>
    <row r="110" spans="2:9" ht="15.75" thickBot="1">
      <c r="B110" s="362" t="s">
        <v>247</v>
      </c>
      <c r="C110" s="313">
        <f t="shared" ref="C110:H110" si="31">(C92+C94+C95+C96+C97)-(C102+C104+C105+C106+C107)</f>
        <v>0</v>
      </c>
      <c r="D110" s="313">
        <f t="shared" si="31"/>
        <v>0</v>
      </c>
      <c r="E110" s="313">
        <f t="shared" si="31"/>
        <v>0</v>
      </c>
      <c r="F110" s="313">
        <f t="shared" si="31"/>
        <v>0</v>
      </c>
      <c r="G110" s="313">
        <f t="shared" si="31"/>
        <v>0</v>
      </c>
      <c r="H110" s="313">
        <f t="shared" si="31"/>
        <v>0</v>
      </c>
      <c r="I110" s="314">
        <f>(I92+I94+I95+I96+I97)-(I102+I104+I105+I106+I107)</f>
        <v>0</v>
      </c>
    </row>
    <row r="112" spans="2:9">
      <c r="B112" s="628" t="s">
        <v>456</v>
      </c>
      <c r="C112" s="85"/>
      <c r="D112" s="658">
        <v>2023</v>
      </c>
      <c r="E112" s="659">
        <v>2028</v>
      </c>
      <c r="F112" s="79"/>
      <c r="G112" s="77"/>
      <c r="H112" s="77"/>
      <c r="I112" s="109"/>
    </row>
    <row r="113" spans="2:10">
      <c r="B113" s="620"/>
      <c r="C113" s="69">
        <f>'Baseline Statistics'!D4</f>
        <v>2022</v>
      </c>
      <c r="D113" s="604"/>
      <c r="E113" s="604"/>
      <c r="F113" s="77">
        <f>'Baseline Statistics'!G4</f>
        <v>2035</v>
      </c>
      <c r="G113" s="77">
        <f>'Baseline Statistics'!H4</f>
        <v>2040</v>
      </c>
      <c r="H113" s="77">
        <f>'Baseline Statistics'!I4</f>
        <v>2045</v>
      </c>
      <c r="I113" s="109">
        <f>'Baseline Statistics'!J4</f>
        <v>2051</v>
      </c>
    </row>
    <row r="114" spans="2:10">
      <c r="B114" s="620"/>
      <c r="C114" s="86"/>
      <c r="D114" s="604"/>
      <c r="E114" s="604"/>
      <c r="F114" s="78"/>
      <c r="G114" s="77"/>
      <c r="H114" s="77"/>
      <c r="I114" s="109"/>
    </row>
    <row r="115" spans="2:10">
      <c r="B115" t="s">
        <v>230</v>
      </c>
      <c r="C115" s="80">
        <f>SUM(C101,C103,C108)</f>
        <v>40727878.462401815</v>
      </c>
      <c r="D115" s="80">
        <f t="shared" ref="D115:I115" si="32">SUM(D101,D103,D108)</f>
        <v>43988109.078636624</v>
      </c>
      <c r="E115" s="80">
        <f t="shared" si="32"/>
        <v>48946164.868831865</v>
      </c>
      <c r="F115" s="80">
        <f t="shared" si="32"/>
        <v>53324610.895780526</v>
      </c>
      <c r="G115" s="80">
        <f t="shared" si="32"/>
        <v>57686677.08284048</v>
      </c>
      <c r="H115" s="80">
        <f t="shared" si="32"/>
        <v>61514509.751423441</v>
      </c>
      <c r="I115" s="80">
        <f t="shared" si="32"/>
        <v>72566969.912231132</v>
      </c>
      <c r="J115" t="s">
        <v>227</v>
      </c>
    </row>
    <row r="116" spans="2:10">
      <c r="B116" t="s">
        <v>226</v>
      </c>
      <c r="C116" s="80">
        <f>SUM(C102,C104:C107)</f>
        <v>34017696.22923813</v>
      </c>
      <c r="D116" s="80">
        <f t="shared" ref="D116:I116" si="33">SUM(D102,D104:D107)</f>
        <v>36207033.707383811</v>
      </c>
      <c r="E116" s="80">
        <f t="shared" si="33"/>
        <v>39210083.990509182</v>
      </c>
      <c r="F116" s="80">
        <f t="shared" si="33"/>
        <v>41823527.43982444</v>
      </c>
      <c r="G116" s="80">
        <f t="shared" si="33"/>
        <v>44474918.527253032</v>
      </c>
      <c r="H116" s="80">
        <f t="shared" si="33"/>
        <v>46787644.285079144</v>
      </c>
      <c r="I116" s="80">
        <f t="shared" si="33"/>
        <v>51098880.183646016</v>
      </c>
      <c r="J116" t="s">
        <v>227</v>
      </c>
    </row>
    <row r="117" spans="2:10">
      <c r="B117" t="s">
        <v>239</v>
      </c>
      <c r="C117" s="80">
        <f>'3. Transport'!C272</f>
        <v>4350044.3909544628</v>
      </c>
      <c r="D117" s="80">
        <f>'3. Transport'!D272</f>
        <v>4887964.6813748134</v>
      </c>
      <c r="E117" s="80">
        <f>'3. Transport'!E272</f>
        <v>5613239.6850871164</v>
      </c>
      <c r="F117" s="80">
        <f>'3. Transport'!F272</f>
        <v>6261052.1103504375</v>
      </c>
      <c r="G117" s="80">
        <f>'3. Transport'!G272</f>
        <v>7024231.328462299</v>
      </c>
      <c r="H117" s="80">
        <f>'3. Transport'!H272</f>
        <v>7782497.8651539646</v>
      </c>
      <c r="I117" s="80">
        <f>'3. Transport'!I272</f>
        <v>8743127.5952077676</v>
      </c>
      <c r="J117" t="s">
        <v>227</v>
      </c>
    </row>
    <row r="118" spans="2:10">
      <c r="B118" t="s">
        <v>242</v>
      </c>
      <c r="C118" s="80">
        <f>'3. Transport'!C273</f>
        <v>578623.93901467754</v>
      </c>
      <c r="D118" s="80">
        <f>'3. Transport'!D273</f>
        <v>595520.65223703149</v>
      </c>
      <c r="E118" s="80">
        <f>'3. Transport'!E273</f>
        <v>623085.70552406891</v>
      </c>
      <c r="F118" s="80">
        <f>'3. Transport'!F273</f>
        <v>645813.36829283612</v>
      </c>
      <c r="G118" s="80">
        <f>'3. Transport'!G273</f>
        <v>668541.03106160311</v>
      </c>
      <c r="H118" s="80">
        <f>'3. Transport'!H273</f>
        <v>691268.69383037032</v>
      </c>
      <c r="I118" s="80">
        <f>'3. Transport'!I273</f>
        <v>713996.35659913742</v>
      </c>
      <c r="J118" t="s">
        <v>227</v>
      </c>
    </row>
    <row r="119" spans="2:10">
      <c r="B119" t="s">
        <v>233</v>
      </c>
      <c r="C119" s="80">
        <f>'3. Transport'!C274</f>
        <v>538033.26885880088</v>
      </c>
      <c r="D119" s="80">
        <f>'3. Transport'!D274</f>
        <v>585120.09898496035</v>
      </c>
      <c r="E119" s="80">
        <f>'3. Transport'!E274</f>
        <v>656983.75755068904</v>
      </c>
      <c r="F119" s="80">
        <f>'3. Transport'!F274</f>
        <v>726395.5640262363</v>
      </c>
      <c r="G119" s="80">
        <f>'3. Transport'!G274</f>
        <v>797601.62874202651</v>
      </c>
      <c r="H119" s="80">
        <f>'3. Transport'!H274</f>
        <v>862586.18169278663</v>
      </c>
      <c r="I119" s="80">
        <f>'3. Transport'!I274</f>
        <v>1032263.3854182158</v>
      </c>
      <c r="J119" t="s">
        <v>227</v>
      </c>
    </row>
    <row r="120" spans="2:10">
      <c r="B120" t="s">
        <v>245</v>
      </c>
      <c r="C120" s="80">
        <f>C109</f>
        <v>0</v>
      </c>
      <c r="D120" s="80">
        <f t="shared" ref="D120:I121" si="34">D109</f>
        <v>0</v>
      </c>
      <c r="E120" s="80">
        <f t="shared" si="34"/>
        <v>0</v>
      </c>
      <c r="F120" s="80">
        <f t="shared" si="34"/>
        <v>0</v>
      </c>
      <c r="G120" s="80">
        <f t="shared" si="34"/>
        <v>0</v>
      </c>
      <c r="H120" s="80">
        <f t="shared" si="34"/>
        <v>0</v>
      </c>
      <c r="I120" s="80">
        <f t="shared" si="34"/>
        <v>0</v>
      </c>
      <c r="J120" t="s">
        <v>227</v>
      </c>
    </row>
    <row r="121" spans="2:10">
      <c r="B121" t="s">
        <v>247</v>
      </c>
      <c r="C121" s="80">
        <f>C110</f>
        <v>0</v>
      </c>
      <c r="D121" s="80">
        <f t="shared" si="34"/>
        <v>0</v>
      </c>
      <c r="E121" s="80">
        <f t="shared" si="34"/>
        <v>0</v>
      </c>
      <c r="F121" s="80">
        <f t="shared" si="34"/>
        <v>0</v>
      </c>
      <c r="G121" s="80">
        <f t="shared" si="34"/>
        <v>0</v>
      </c>
      <c r="H121" s="80">
        <f t="shared" si="34"/>
        <v>0</v>
      </c>
      <c r="I121" s="80">
        <f t="shared" si="34"/>
        <v>0</v>
      </c>
      <c r="J121" t="s">
        <v>227</v>
      </c>
    </row>
  </sheetData>
  <protectedRanges>
    <protectedRange sqref="A1:A1048576" name="Range1"/>
  </protectedRanges>
  <mergeCells count="20">
    <mergeCell ref="C2:I2"/>
    <mergeCell ref="B15:C15"/>
    <mergeCell ref="B10:C10"/>
    <mergeCell ref="B24:C24"/>
    <mergeCell ref="B11:C11"/>
    <mergeCell ref="B12:C12"/>
    <mergeCell ref="B13:C13"/>
    <mergeCell ref="B14:C14"/>
    <mergeCell ref="B17:C18"/>
    <mergeCell ref="B112:B114"/>
    <mergeCell ref="D112:D114"/>
    <mergeCell ref="E112:E114"/>
    <mergeCell ref="C82:I82"/>
    <mergeCell ref="B21:C21"/>
    <mergeCell ref="C60:I60"/>
    <mergeCell ref="C30:I30"/>
    <mergeCell ref="C41:I41"/>
    <mergeCell ref="B25:C25"/>
    <mergeCell ref="B22:C22"/>
    <mergeCell ref="B23:C23"/>
  </mergeCells>
  <pageMargins left="0.7" right="0.7" top="0.75" bottom="0.75"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245C8-65A7-4719-8976-4B5ABBB2868B}">
  <sheetPr codeName="Sheet9">
    <tabColor theme="5" tint="0.59999389629810485"/>
  </sheetPr>
  <dimension ref="A2:U70"/>
  <sheetViews>
    <sheetView workbookViewId="0">
      <selection activeCell="J4" sqref="J4"/>
    </sheetView>
  </sheetViews>
  <sheetFormatPr defaultRowHeight="15"/>
  <cols>
    <col min="1" max="1" width="33.140625" customWidth="1"/>
    <col min="2" max="2" width="17.7109375" customWidth="1"/>
    <col min="3" max="3" width="12.140625" customWidth="1"/>
    <col min="4" max="4" width="23.28515625" customWidth="1"/>
    <col min="5" max="5" width="21.28515625" customWidth="1"/>
    <col min="6" max="6" width="15.28515625" customWidth="1"/>
    <col min="7" max="7" width="16" customWidth="1"/>
    <col min="8" max="8" width="15.85546875" customWidth="1"/>
    <col min="9" max="9" width="15.5703125" customWidth="1"/>
    <col min="10" max="10" width="15.28515625" customWidth="1"/>
    <col min="11" max="11" width="2" customWidth="1"/>
    <col min="12" max="12" width="29" customWidth="1"/>
    <col min="13" max="13" width="40.140625" customWidth="1"/>
    <col min="14" max="14" width="12.5703125" bestFit="1" customWidth="1"/>
    <col min="16" max="16" width="53.85546875" customWidth="1"/>
    <col min="17" max="17" width="14.28515625" customWidth="1"/>
  </cols>
  <sheetData>
    <row r="2" spans="1:10">
      <c r="A2" s="375" t="s">
        <v>604</v>
      </c>
      <c r="D2" s="373"/>
      <c r="E2" s="373"/>
      <c r="F2" s="373"/>
      <c r="G2" s="373"/>
      <c r="H2" s="373"/>
      <c r="I2" s="373"/>
      <c r="J2" s="373"/>
    </row>
    <row r="3" spans="1:10">
      <c r="A3" s="35"/>
      <c r="B3" s="42"/>
      <c r="C3" s="372"/>
      <c r="D3" s="35" t="s">
        <v>605</v>
      </c>
      <c r="E3" s="35" t="s">
        <v>606</v>
      </c>
      <c r="F3" s="35" t="s">
        <v>607</v>
      </c>
      <c r="G3" s="35" t="s">
        <v>608</v>
      </c>
      <c r="H3" s="35" t="s">
        <v>609</v>
      </c>
      <c r="I3" s="35" t="s">
        <v>610</v>
      </c>
      <c r="J3" s="35" t="s">
        <v>611</v>
      </c>
    </row>
    <row r="4" spans="1:10">
      <c r="A4" s="374" t="s">
        <v>612</v>
      </c>
      <c r="B4" s="366"/>
      <c r="C4" s="190"/>
      <c r="D4" s="425">
        <v>2022</v>
      </c>
      <c r="E4" s="425">
        <v>2025</v>
      </c>
      <c r="F4" s="425">
        <v>2030</v>
      </c>
      <c r="G4" s="425">
        <v>2035</v>
      </c>
      <c r="H4" s="425">
        <v>2040</v>
      </c>
      <c r="I4" s="425">
        <v>2045</v>
      </c>
      <c r="J4" s="425">
        <v>2051</v>
      </c>
    </row>
    <row r="5" spans="1:10">
      <c r="A5" s="365" t="s">
        <v>613</v>
      </c>
      <c r="B5" s="192"/>
      <c r="C5" s="193"/>
      <c r="D5" s="426">
        <v>0</v>
      </c>
      <c r="E5" s="427">
        <v>20</v>
      </c>
      <c r="F5" s="427">
        <v>40</v>
      </c>
      <c r="G5" s="427">
        <v>50</v>
      </c>
      <c r="H5" s="427">
        <v>80</v>
      </c>
      <c r="I5" s="427">
        <v>100</v>
      </c>
      <c r="J5" s="427">
        <v>100</v>
      </c>
    </row>
    <row r="6" spans="1:10">
      <c r="A6" s="365" t="s">
        <v>614</v>
      </c>
      <c r="B6" s="186"/>
      <c r="C6" s="36"/>
      <c r="D6" s="183">
        <v>426923</v>
      </c>
      <c r="E6" s="183">
        <f t="shared" ref="E6:J6" si="0">$D$6*((100-E5)/100)</f>
        <v>341538.4</v>
      </c>
      <c r="F6" s="183">
        <f t="shared" si="0"/>
        <v>256153.8</v>
      </c>
      <c r="G6" s="183">
        <f t="shared" si="0"/>
        <v>213461.5</v>
      </c>
      <c r="H6" s="183">
        <f t="shared" si="0"/>
        <v>85384.6</v>
      </c>
      <c r="I6" s="183">
        <f t="shared" si="0"/>
        <v>0</v>
      </c>
      <c r="J6" s="183">
        <f t="shared" si="0"/>
        <v>0</v>
      </c>
    </row>
    <row r="7" spans="1:10">
      <c r="A7" s="365" t="s">
        <v>615</v>
      </c>
      <c r="B7" s="186"/>
      <c r="C7" s="36"/>
      <c r="D7" s="426">
        <v>0</v>
      </c>
      <c r="E7" s="428">
        <v>10</v>
      </c>
      <c r="F7" s="428">
        <v>20</v>
      </c>
      <c r="G7" s="428">
        <v>40</v>
      </c>
      <c r="H7" s="428">
        <v>50</v>
      </c>
      <c r="I7" s="428">
        <v>61</v>
      </c>
      <c r="J7" s="428">
        <v>80</v>
      </c>
    </row>
    <row r="8" spans="1:10">
      <c r="A8" s="365" t="s">
        <v>616</v>
      </c>
      <c r="B8" s="186"/>
      <c r="C8" s="36"/>
      <c r="D8" s="183">
        <v>502530</v>
      </c>
      <c r="E8" s="183">
        <f t="shared" ref="E8:J8" si="1">$D$8*((100-E7)/100)</f>
        <v>452277</v>
      </c>
      <c r="F8" s="183">
        <f t="shared" si="1"/>
        <v>402024</v>
      </c>
      <c r="G8" s="183">
        <f t="shared" si="1"/>
        <v>301518</v>
      </c>
      <c r="H8" s="183">
        <f t="shared" si="1"/>
        <v>251265</v>
      </c>
      <c r="I8" s="183">
        <f t="shared" si="1"/>
        <v>195986.7</v>
      </c>
      <c r="J8" s="183">
        <f t="shared" si="1"/>
        <v>100506</v>
      </c>
    </row>
    <row r="9" spans="1:10">
      <c r="A9" s="365" t="s">
        <v>617</v>
      </c>
      <c r="B9" s="186"/>
      <c r="C9" s="36"/>
      <c r="D9" s="183">
        <f>D8-D6</f>
        <v>75607</v>
      </c>
      <c r="E9" s="183">
        <f t="shared" ref="E9:H9" si="2">E8-E6</f>
        <v>110738.59999999998</v>
      </c>
      <c r="F9" s="183">
        <f t="shared" si="2"/>
        <v>145870.20000000001</v>
      </c>
      <c r="G9" s="183">
        <f t="shared" si="2"/>
        <v>88056.5</v>
      </c>
      <c r="H9" s="183">
        <f t="shared" si="2"/>
        <v>165880.4</v>
      </c>
      <c r="I9" s="183">
        <f>I8-I6</f>
        <v>195986.7</v>
      </c>
      <c r="J9" s="183">
        <f>J8-J6</f>
        <v>100506</v>
      </c>
    </row>
    <row r="10" spans="1:10">
      <c r="A10" s="365" t="s">
        <v>618</v>
      </c>
      <c r="B10" s="186"/>
      <c r="C10" s="36"/>
      <c r="D10" s="183">
        <v>0</v>
      </c>
      <c r="E10" s="427">
        <v>0</v>
      </c>
      <c r="F10" s="427">
        <v>2</v>
      </c>
      <c r="G10" s="427">
        <v>5</v>
      </c>
      <c r="H10" s="427">
        <v>8</v>
      </c>
      <c r="I10" s="427">
        <v>10</v>
      </c>
      <c r="J10" s="427">
        <v>15</v>
      </c>
    </row>
    <row r="11" spans="1:10">
      <c r="A11" s="365" t="s">
        <v>619</v>
      </c>
      <c r="B11" s="186"/>
      <c r="C11" s="36"/>
      <c r="D11" s="183">
        <v>599051</v>
      </c>
      <c r="E11" s="183">
        <f t="shared" ref="E11:J11" si="3">$D$11*((100-E10)/100)</f>
        <v>599051</v>
      </c>
      <c r="F11" s="183">
        <f t="shared" si="3"/>
        <v>587069.98</v>
      </c>
      <c r="G11" s="183">
        <f t="shared" si="3"/>
        <v>569098.44999999995</v>
      </c>
      <c r="H11" s="183">
        <f t="shared" si="3"/>
        <v>551126.92000000004</v>
      </c>
      <c r="I11" s="183">
        <f t="shared" si="3"/>
        <v>539145.9</v>
      </c>
      <c r="J11" s="183">
        <f t="shared" si="3"/>
        <v>509193.35</v>
      </c>
    </row>
    <row r="13" spans="1:10">
      <c r="A13" t="s">
        <v>620</v>
      </c>
    </row>
    <row r="14" spans="1:10">
      <c r="A14" s="1" t="s">
        <v>621</v>
      </c>
      <c r="B14" s="6" t="s">
        <v>459</v>
      </c>
      <c r="C14" s="376" t="s">
        <v>622</v>
      </c>
      <c r="D14" s="2">
        <f t="shared" ref="D14:J14" si="4">D4</f>
        <v>2022</v>
      </c>
      <c r="E14" s="2">
        <f t="shared" si="4"/>
        <v>2025</v>
      </c>
      <c r="F14" s="2">
        <f t="shared" si="4"/>
        <v>2030</v>
      </c>
      <c r="G14" s="2">
        <f t="shared" si="4"/>
        <v>2035</v>
      </c>
      <c r="H14" s="2">
        <f t="shared" si="4"/>
        <v>2040</v>
      </c>
      <c r="I14" s="2">
        <f t="shared" si="4"/>
        <v>2045</v>
      </c>
      <c r="J14" s="2">
        <f t="shared" si="4"/>
        <v>2051</v>
      </c>
    </row>
    <row r="15" spans="1:10" ht="15.75" thickBot="1">
      <c r="A15" s="8" t="s">
        <v>623</v>
      </c>
      <c r="B15" s="8"/>
      <c r="C15" s="8"/>
      <c r="D15" s="9"/>
      <c r="E15" s="9"/>
      <c r="F15" s="10"/>
      <c r="G15" s="10"/>
      <c r="H15" s="10"/>
      <c r="I15" s="10"/>
      <c r="J15" s="10"/>
    </row>
    <row r="16" spans="1:10" ht="15.75" thickBot="1">
      <c r="A16" s="12" t="s">
        <v>624</v>
      </c>
      <c r="B16" s="26"/>
      <c r="C16" s="26"/>
      <c r="D16" s="27"/>
      <c r="E16" s="27"/>
      <c r="F16" s="27"/>
      <c r="G16" s="28"/>
      <c r="H16" s="29"/>
      <c r="I16" s="29"/>
      <c r="J16" s="30"/>
    </row>
    <row r="17" spans="1:21" ht="15.75" thickBot="1">
      <c r="A17" s="16" t="s">
        <v>342</v>
      </c>
      <c r="B17" s="20"/>
      <c r="C17" s="494">
        <v>87300</v>
      </c>
      <c r="D17" s="497">
        <v>93180</v>
      </c>
      <c r="E17" s="497">
        <v>95901</v>
      </c>
      <c r="F17" s="497">
        <v>100340</v>
      </c>
      <c r="G17" s="497">
        <v>104000</v>
      </c>
      <c r="H17" s="498">
        <f>G17+(G17-F17)</f>
        <v>107660</v>
      </c>
      <c r="I17" s="498">
        <f t="shared" ref="I17:J17" si="5">H17+(H17-G17)</f>
        <v>111320</v>
      </c>
      <c r="J17" s="498">
        <f t="shared" si="5"/>
        <v>114980</v>
      </c>
      <c r="L17" s="493" t="s">
        <v>625</v>
      </c>
    </row>
    <row r="18" spans="1:21" ht="15.75" thickBot="1">
      <c r="A18" s="16" t="s">
        <v>471</v>
      </c>
      <c r="B18" s="16"/>
      <c r="C18" s="495"/>
      <c r="D18" s="518">
        <f t="shared" ref="D18:J18" si="6">D17-D19</f>
        <v>88707</v>
      </c>
      <c r="E18" s="518">
        <f t="shared" si="6"/>
        <v>91298</v>
      </c>
      <c r="F18" s="518">
        <f t="shared" si="6"/>
        <v>95524</v>
      </c>
      <c r="G18" s="518">
        <f t="shared" si="6"/>
        <v>99008</v>
      </c>
      <c r="H18" s="518">
        <f t="shared" si="6"/>
        <v>102492</v>
      </c>
      <c r="I18" s="518">
        <f t="shared" si="6"/>
        <v>105977</v>
      </c>
      <c r="J18" s="518">
        <f t="shared" si="6"/>
        <v>109461</v>
      </c>
      <c r="L18" s="493"/>
    </row>
    <row r="19" spans="1:21" ht="15.75" thickBot="1">
      <c r="A19" s="16" t="s">
        <v>473</v>
      </c>
      <c r="B19" s="16"/>
      <c r="C19" s="495"/>
      <c r="D19" s="497">
        <v>4473</v>
      </c>
      <c r="E19" s="497">
        <v>4603</v>
      </c>
      <c r="F19" s="497">
        <v>4816</v>
      </c>
      <c r="G19" s="497">
        <v>4992</v>
      </c>
      <c r="H19" s="497">
        <v>5168</v>
      </c>
      <c r="I19" s="497">
        <v>5343</v>
      </c>
      <c r="J19" s="497">
        <v>5519</v>
      </c>
      <c r="L19" s="493" t="s">
        <v>626</v>
      </c>
    </row>
    <row r="20" spans="1:21" ht="15.75" thickBot="1">
      <c r="A20" s="13" t="s">
        <v>627</v>
      </c>
      <c r="B20" s="17" t="s">
        <v>628</v>
      </c>
      <c r="C20" s="13"/>
      <c r="D20" s="504">
        <f>(4400000/114804)*84639</f>
        <v>3243890.4567785091</v>
      </c>
      <c r="E20" s="499"/>
      <c r="F20" s="500"/>
      <c r="G20" s="500"/>
      <c r="H20" s="500"/>
      <c r="I20" s="500"/>
      <c r="J20" s="500"/>
      <c r="L20" t="s">
        <v>891</v>
      </c>
    </row>
    <row r="21" spans="1:21" ht="15.75" thickBot="1">
      <c r="A21" s="423" t="s">
        <v>627</v>
      </c>
      <c r="B21" s="424" t="s">
        <v>629</v>
      </c>
      <c r="C21" s="423"/>
      <c r="D21" s="501">
        <f>D20/365</f>
        <v>8887.3711144616682</v>
      </c>
      <c r="E21" s="501">
        <f>$D21+'2. Industry'!D87</f>
        <v>9242.8659590401348</v>
      </c>
      <c r="F21" s="501">
        <f>$D21+'2. Industry'!E87</f>
        <v>9509.4870924739862</v>
      </c>
      <c r="G21" s="501">
        <f>$D21+'2. Industry'!F87</f>
        <v>9687.2345147632186</v>
      </c>
      <c r="H21" s="501">
        <f>$D21+'2. Industry'!G87</f>
        <v>9953.85564819707</v>
      </c>
      <c r="I21" s="501">
        <f>$D21+'2. Industry'!H87</f>
        <v>10220.476781630918</v>
      </c>
      <c r="J21" s="501">
        <f>$D21+'2. Industry'!I87</f>
        <v>10664.845337354001</v>
      </c>
    </row>
    <row r="22" spans="1:21" ht="15.75" thickBot="1">
      <c r="A22" s="423" t="s">
        <v>630</v>
      </c>
      <c r="B22" s="424"/>
      <c r="C22" s="423"/>
      <c r="D22" s="501">
        <f>D21-$D21</f>
        <v>0</v>
      </c>
      <c r="E22" s="501">
        <f>E21-$D21</f>
        <v>355.49484457846665</v>
      </c>
      <c r="F22" s="501">
        <f t="shared" ref="F22:J22" si="7">F21-$D21</f>
        <v>622.11597801231801</v>
      </c>
      <c r="G22" s="501">
        <f t="shared" si="7"/>
        <v>799.86340030155043</v>
      </c>
      <c r="H22" s="501">
        <f t="shared" si="7"/>
        <v>1066.4845337354018</v>
      </c>
      <c r="I22" s="501">
        <f t="shared" si="7"/>
        <v>1333.1056671692495</v>
      </c>
      <c r="J22" s="501">
        <f t="shared" si="7"/>
        <v>1777.4742228923333</v>
      </c>
    </row>
    <row r="23" spans="1:21" ht="15.75" thickBot="1">
      <c r="A23" s="423" t="s">
        <v>631</v>
      </c>
      <c r="B23" s="424"/>
      <c r="C23" s="423"/>
      <c r="D23" s="501">
        <f t="shared" ref="D23:J23" si="8">D17+D22</f>
        <v>93180</v>
      </c>
      <c r="E23" s="501">
        <f t="shared" si="8"/>
        <v>96256.494844578468</v>
      </c>
      <c r="F23" s="501">
        <f t="shared" si="8"/>
        <v>100962.11597801231</v>
      </c>
      <c r="G23" s="501">
        <f t="shared" si="8"/>
        <v>104799.86340030155</v>
      </c>
      <c r="H23" s="501">
        <f t="shared" si="8"/>
        <v>108726.48453373541</v>
      </c>
      <c r="I23" s="501">
        <f t="shared" si="8"/>
        <v>112653.10566716925</v>
      </c>
      <c r="J23" s="501">
        <f t="shared" si="8"/>
        <v>116757.47422289233</v>
      </c>
    </row>
    <row r="24" spans="1:21" ht="15.75" thickBot="1">
      <c r="A24" s="423" t="s">
        <v>632</v>
      </c>
      <c r="B24" s="424"/>
      <c r="C24" s="423"/>
      <c r="D24" s="501">
        <f>$D$23+'Landuse b. Housing Growth'!D35</f>
        <v>93180</v>
      </c>
      <c r="E24" s="501">
        <f>$D$23+'Landuse b. Housing Growth'!E35</f>
        <v>99347.837908089583</v>
      </c>
      <c r="F24" s="501">
        <f>$D$23+'Landuse b. Housing Growth'!F35</f>
        <v>109404.42017793434</v>
      </c>
      <c r="G24" s="501">
        <f>$D$23+'Landuse b. Housing Growth'!G35</f>
        <v>118680.91704877032</v>
      </c>
      <c r="H24" s="501">
        <f>$D$23+'Landuse b. Housing Growth'!H35</f>
        <v>127901.56308690598</v>
      </c>
      <c r="I24" s="501">
        <f>$D$23+'Landuse b. Housing Growth'!I35</f>
        <v>137053.32430296874</v>
      </c>
      <c r="J24" s="501">
        <f>$D$23+'Landuse b. Housing Growth'!J35</f>
        <v>162521.72127382981</v>
      </c>
    </row>
    <row r="25" spans="1:21" ht="15.75" thickBot="1">
      <c r="A25" s="423" t="s">
        <v>633</v>
      </c>
      <c r="B25" s="424"/>
      <c r="C25" s="423"/>
      <c r="D25" s="502">
        <f>D23/$D$23</f>
        <v>1</v>
      </c>
      <c r="E25" s="502">
        <f>E23/$D23</f>
        <v>1.0330166864625292</v>
      </c>
      <c r="F25" s="502">
        <f t="shared" ref="F25:J25" si="9">F23/$D23</f>
        <v>1.0835170205839484</v>
      </c>
      <c r="G25" s="502">
        <f t="shared" si="9"/>
        <v>1.1247034063136032</v>
      </c>
      <c r="H25" s="502">
        <f t="shared" si="9"/>
        <v>1.1668435773098884</v>
      </c>
      <c r="I25" s="502">
        <f t="shared" si="9"/>
        <v>1.2089837483061736</v>
      </c>
      <c r="J25" s="502">
        <f t="shared" si="9"/>
        <v>1.2530314898357193</v>
      </c>
    </row>
    <row r="26" spans="1:21" ht="15.75" thickBot="1">
      <c r="A26" s="423" t="s">
        <v>634</v>
      </c>
      <c r="B26" s="424"/>
      <c r="C26" s="423"/>
      <c r="D26" s="502">
        <f>D24/$D$23</f>
        <v>1</v>
      </c>
      <c r="E26" s="502">
        <f t="shared" ref="E26:J26" si="10">E24/$D$23</f>
        <v>1.0661927227740886</v>
      </c>
      <c r="F26" s="502">
        <f t="shared" si="10"/>
        <v>1.1741191261851722</v>
      </c>
      <c r="G26" s="502">
        <f t="shared" si="10"/>
        <v>1.2736737180593509</v>
      </c>
      <c r="H26" s="502">
        <f t="shared" si="10"/>
        <v>1.372628923448229</v>
      </c>
      <c r="I26" s="502">
        <f t="shared" si="10"/>
        <v>1.4708448626633264</v>
      </c>
      <c r="J26" s="502">
        <f t="shared" si="10"/>
        <v>1.7441695779548165</v>
      </c>
    </row>
    <row r="27" spans="1:21" ht="15.75" thickBot="1">
      <c r="A27" s="13" t="s">
        <v>635</v>
      </c>
      <c r="B27" s="21"/>
      <c r="C27" s="496"/>
      <c r="D27" s="497">
        <v>34340</v>
      </c>
      <c r="E27" s="497">
        <v>35317</v>
      </c>
      <c r="F27" s="497">
        <v>36905</v>
      </c>
      <c r="G27" s="497">
        <v>38384</v>
      </c>
      <c r="H27" s="498">
        <f>G27+(G27-F27)</f>
        <v>39863</v>
      </c>
      <c r="I27" s="498">
        <f t="shared" ref="I27:J27" si="11">H27+(H27-G27)</f>
        <v>41342</v>
      </c>
      <c r="J27" s="498">
        <f t="shared" si="11"/>
        <v>42821</v>
      </c>
      <c r="L27" s="493" t="s">
        <v>625</v>
      </c>
      <c r="P27" s="80"/>
      <c r="Q27" s="80">
        <v>1650</v>
      </c>
      <c r="R27" s="80">
        <v>1830</v>
      </c>
      <c r="S27" s="80">
        <v>1970</v>
      </c>
      <c r="T27" s="80">
        <v>1960</v>
      </c>
      <c r="U27" s="80">
        <v>1960</v>
      </c>
    </row>
    <row r="28" spans="1:21" ht="15.75" thickBot="1">
      <c r="A28" s="14" t="s">
        <v>636</v>
      </c>
      <c r="B28" s="25"/>
      <c r="C28" s="221"/>
      <c r="D28" s="503">
        <f>D17/D27</f>
        <v>2.7134536983110076</v>
      </c>
      <c r="E28" s="503">
        <f t="shared" ref="E28:J28" si="12">E17/E27</f>
        <v>2.7154344933035084</v>
      </c>
      <c r="F28" s="503">
        <f t="shared" si="12"/>
        <v>2.7188727814659259</v>
      </c>
      <c r="G28" s="503">
        <f t="shared" si="12"/>
        <v>2.709462275948312</v>
      </c>
      <c r="H28" s="503">
        <f t="shared" si="12"/>
        <v>2.7007500689862778</v>
      </c>
      <c r="I28" s="503">
        <f t="shared" si="12"/>
        <v>2.6926612161966039</v>
      </c>
      <c r="J28" s="503">
        <f t="shared" si="12"/>
        <v>2.685131127250648</v>
      </c>
      <c r="P28" s="80"/>
      <c r="Q28" s="80">
        <v>1070</v>
      </c>
      <c r="R28" s="80">
        <v>1210</v>
      </c>
      <c r="S28" s="80">
        <v>1460</v>
      </c>
      <c r="T28" s="80">
        <v>1690</v>
      </c>
      <c r="U28" s="80">
        <v>1730</v>
      </c>
    </row>
    <row r="29" spans="1:21" ht="15.75" thickBot="1">
      <c r="A29" s="14" t="s">
        <v>637</v>
      </c>
      <c r="B29" s="25"/>
      <c r="C29" s="221"/>
      <c r="D29" s="516">
        <v>0</v>
      </c>
      <c r="E29" s="517">
        <f>E27-$D27</f>
        <v>977</v>
      </c>
      <c r="F29" s="516">
        <f>F27-$D27</f>
        <v>2565</v>
      </c>
      <c r="G29" s="516">
        <f t="shared" ref="G29:I29" si="13">G27-$D27</f>
        <v>4044</v>
      </c>
      <c r="H29" s="516">
        <f t="shared" si="13"/>
        <v>5523</v>
      </c>
      <c r="I29" s="516">
        <f t="shared" si="13"/>
        <v>7002</v>
      </c>
      <c r="J29" s="516">
        <v>11096</v>
      </c>
      <c r="P29" s="80"/>
      <c r="Q29">
        <v>830</v>
      </c>
      <c r="R29">
        <v>720</v>
      </c>
      <c r="S29">
        <v>740</v>
      </c>
      <c r="T29">
        <v>470</v>
      </c>
      <c r="U29">
        <v>450</v>
      </c>
    </row>
    <row r="30" spans="1:21" ht="15.75" thickBot="1">
      <c r="A30" s="14"/>
      <c r="B30" s="25"/>
      <c r="C30" s="221"/>
      <c r="D30" s="15"/>
      <c r="E30" s="165"/>
      <c r="F30" s="15"/>
      <c r="G30" s="15"/>
      <c r="H30" s="15"/>
      <c r="I30" s="15"/>
      <c r="J30" s="15"/>
      <c r="L30" s="233"/>
      <c r="P30" s="80"/>
    </row>
    <row r="31" spans="1:21" ht="15.75" thickBot="1">
      <c r="A31" s="14"/>
      <c r="B31" s="25"/>
      <c r="C31" s="221"/>
      <c r="D31" s="15"/>
      <c r="E31" s="15"/>
      <c r="F31" s="15"/>
      <c r="G31" s="15"/>
      <c r="H31" s="15"/>
      <c r="I31" s="15"/>
      <c r="J31" s="15"/>
      <c r="Q31">
        <v>480</v>
      </c>
      <c r="R31">
        <v>590</v>
      </c>
      <c r="S31">
        <v>700</v>
      </c>
      <c r="T31">
        <v>790</v>
      </c>
      <c r="U31">
        <v>810</v>
      </c>
    </row>
    <row r="32" spans="1:21" ht="15.75" thickBot="1">
      <c r="A32" s="1" t="s">
        <v>638</v>
      </c>
      <c r="B32" s="6" t="s">
        <v>202</v>
      </c>
      <c r="C32" s="222"/>
      <c r="D32" s="166">
        <f t="shared" ref="D32:J32" si="14">D14</f>
        <v>2022</v>
      </c>
      <c r="E32" s="166">
        <f t="shared" si="14"/>
        <v>2025</v>
      </c>
      <c r="F32" s="166">
        <f t="shared" si="14"/>
        <v>2030</v>
      </c>
      <c r="G32" s="166">
        <f t="shared" si="14"/>
        <v>2035</v>
      </c>
      <c r="H32" s="166">
        <f t="shared" si="14"/>
        <v>2040</v>
      </c>
      <c r="I32" s="166">
        <f t="shared" si="14"/>
        <v>2045</v>
      </c>
      <c r="J32" s="166">
        <f t="shared" si="14"/>
        <v>2051</v>
      </c>
      <c r="Q32">
        <v>900</v>
      </c>
      <c r="R32" s="80">
        <v>1130</v>
      </c>
      <c r="S32" s="80">
        <v>1230</v>
      </c>
      <c r="T32" s="80">
        <v>1260</v>
      </c>
      <c r="U32" s="80">
        <v>1270</v>
      </c>
    </row>
    <row r="33" spans="1:16" ht="15.75" thickBot="1">
      <c r="A33" s="14" t="s">
        <v>639</v>
      </c>
      <c r="B33" s="145" t="s">
        <v>640</v>
      </c>
      <c r="C33" s="223"/>
      <c r="D33" s="506">
        <v>9.5</v>
      </c>
      <c r="E33" s="507">
        <v>9.5</v>
      </c>
      <c r="F33" s="507">
        <v>9.5</v>
      </c>
      <c r="G33" s="507">
        <v>9.5</v>
      </c>
      <c r="H33" s="507">
        <v>9.5</v>
      </c>
      <c r="I33" s="507">
        <v>9.5</v>
      </c>
      <c r="J33" s="507">
        <v>9.5</v>
      </c>
      <c r="L33" t="str">
        <f>A33&amp;": { unit: '" &amp; B33&amp;"', val2018: "&amp;D33&amp;" },"</f>
        <v>Light ICE petrol: { unit: 'L/100km', val2018: 9.5 },</v>
      </c>
      <c r="P33" s="429">
        <f>SUM(E33:E50)-SUM(D33:D50)</f>
        <v>0</v>
      </c>
    </row>
    <row r="34" spans="1:16" ht="15.75" thickBot="1">
      <c r="A34" s="14" t="s">
        <v>641</v>
      </c>
      <c r="B34" s="145" t="s">
        <v>640</v>
      </c>
      <c r="C34" s="223"/>
      <c r="D34" s="506">
        <v>10</v>
      </c>
      <c r="E34" s="507">
        <v>10</v>
      </c>
      <c r="F34" s="507">
        <v>10</v>
      </c>
      <c r="G34" s="507">
        <v>10</v>
      </c>
      <c r="H34" s="507">
        <v>10</v>
      </c>
      <c r="I34" s="507">
        <v>10</v>
      </c>
      <c r="J34" s="507">
        <v>10</v>
      </c>
      <c r="L34" t="str">
        <f t="shared" ref="L34:L49" si="15">A34&amp;": { unit: '" &amp; B34&amp;"', val2018: "&amp;D34&amp;" },"</f>
        <v>Light ICE diesel: { unit: 'L/100km', val2018: 10 },</v>
      </c>
    </row>
    <row r="35" spans="1:16" ht="15.75" thickBot="1">
      <c r="A35" s="14" t="s">
        <v>642</v>
      </c>
      <c r="B35" s="145" t="s">
        <v>640</v>
      </c>
      <c r="C35" s="223"/>
      <c r="D35" s="506">
        <v>30</v>
      </c>
      <c r="E35" s="507">
        <v>30</v>
      </c>
      <c r="F35" s="507">
        <v>30</v>
      </c>
      <c r="G35" s="507">
        <v>30</v>
      </c>
      <c r="H35" s="507">
        <v>30</v>
      </c>
      <c r="I35" s="507">
        <v>30</v>
      </c>
      <c r="J35" s="507">
        <v>30</v>
      </c>
      <c r="L35" t="str">
        <f t="shared" si="15"/>
        <v>Heavy ICE petrol: { unit: 'L/100km', val2018: 30 },</v>
      </c>
    </row>
    <row r="36" spans="1:16" ht="15.75" thickBot="1">
      <c r="A36" s="14" t="s">
        <v>643</v>
      </c>
      <c r="B36" s="145" t="s">
        <v>640</v>
      </c>
      <c r="C36" s="223"/>
      <c r="D36" s="506">
        <v>40</v>
      </c>
      <c r="E36" s="507">
        <v>40</v>
      </c>
      <c r="F36" s="507">
        <v>40</v>
      </c>
      <c r="G36" s="507">
        <v>40</v>
      </c>
      <c r="H36" s="507">
        <v>40</v>
      </c>
      <c r="I36" s="507">
        <v>40</v>
      </c>
      <c r="J36" s="507">
        <v>40</v>
      </c>
      <c r="L36" t="str">
        <f t="shared" si="15"/>
        <v>Heavy ICE diesel: { unit: 'L/100km', val2018: 40 },</v>
      </c>
      <c r="P36" s="232"/>
    </row>
    <row r="37" spans="1:16" ht="15.75" thickBot="1">
      <c r="A37" s="14" t="s">
        <v>644</v>
      </c>
      <c r="B37" s="145" t="s">
        <v>640</v>
      </c>
      <c r="C37" s="223"/>
      <c r="D37" s="506">
        <v>59</v>
      </c>
      <c r="E37" s="507">
        <v>59</v>
      </c>
      <c r="F37" s="507">
        <v>59</v>
      </c>
      <c r="G37" s="507">
        <v>59</v>
      </c>
      <c r="H37" s="507">
        <v>59</v>
      </c>
      <c r="I37" s="507">
        <v>59</v>
      </c>
      <c r="J37" s="507">
        <v>59</v>
      </c>
      <c r="L37" t="str">
        <f t="shared" si="15"/>
        <v>Bus ICE diesel: { unit: 'L/100km', val2018: 59 },</v>
      </c>
    </row>
    <row r="38" spans="1:16" ht="15.75" thickBot="1">
      <c r="A38" s="14" t="s">
        <v>645</v>
      </c>
      <c r="B38" s="145" t="s">
        <v>646</v>
      </c>
      <c r="C38" s="223"/>
      <c r="D38" s="506">
        <v>11</v>
      </c>
      <c r="E38" s="507">
        <v>11</v>
      </c>
      <c r="F38" s="507">
        <v>11</v>
      </c>
      <c r="G38" s="507">
        <v>11</v>
      </c>
      <c r="H38" s="507">
        <v>11</v>
      </c>
      <c r="I38" s="507">
        <v>11</v>
      </c>
      <c r="J38" s="507">
        <v>11</v>
      </c>
      <c r="L38" t="str">
        <f t="shared" si="15"/>
        <v>Light EV: { unit: 'kWh/100km', val2018: 11 },</v>
      </c>
    </row>
    <row r="39" spans="1:16" ht="15.75" thickBot="1">
      <c r="A39" s="279" t="s">
        <v>647</v>
      </c>
      <c r="B39" s="145" t="s">
        <v>646</v>
      </c>
      <c r="C39" s="223"/>
      <c r="D39" s="506">
        <v>60</v>
      </c>
      <c r="E39" s="507">
        <v>60</v>
      </c>
      <c r="F39" s="507">
        <v>60</v>
      </c>
      <c r="G39" s="507">
        <v>60</v>
      </c>
      <c r="H39" s="507">
        <v>60</v>
      </c>
      <c r="I39" s="507">
        <v>60</v>
      </c>
      <c r="J39" s="507">
        <v>60</v>
      </c>
      <c r="L39" t="str">
        <f t="shared" si="15"/>
        <v>'Medium' EV: { unit: 'kWh/100km', val2018: 60 },</v>
      </c>
    </row>
    <row r="40" spans="1:16" ht="15.75" thickBot="1">
      <c r="A40" s="14" t="s">
        <v>648</v>
      </c>
      <c r="B40" s="145" t="s">
        <v>646</v>
      </c>
      <c r="C40" s="223"/>
      <c r="D40" s="506">
        <v>120</v>
      </c>
      <c r="E40" s="507">
        <v>120</v>
      </c>
      <c r="F40" s="507">
        <v>120</v>
      </c>
      <c r="G40" s="507">
        <v>120</v>
      </c>
      <c r="H40" s="507">
        <v>120</v>
      </c>
      <c r="I40" s="507">
        <v>120</v>
      </c>
      <c r="J40" s="507">
        <v>120</v>
      </c>
      <c r="L40" t="str">
        <f t="shared" si="15"/>
        <v>Heavy (Freight) EV: { unit: 'kWh/100km', val2018: 120 },</v>
      </c>
    </row>
    <row r="41" spans="1:16" ht="15.75" thickBot="1">
      <c r="A41" s="14" t="s">
        <v>649</v>
      </c>
      <c r="B41" s="145" t="s">
        <v>646</v>
      </c>
      <c r="C41" s="223"/>
      <c r="D41" s="506">
        <f>D40*3</f>
        <v>360</v>
      </c>
      <c r="E41" s="507">
        <f t="shared" ref="E41:J41" si="16">E40*3</f>
        <v>360</v>
      </c>
      <c r="F41" s="507">
        <f t="shared" si="16"/>
        <v>360</v>
      </c>
      <c r="G41" s="507">
        <f t="shared" si="16"/>
        <v>360</v>
      </c>
      <c r="H41" s="507">
        <f t="shared" si="16"/>
        <v>360</v>
      </c>
      <c r="I41" s="507">
        <f t="shared" si="16"/>
        <v>360</v>
      </c>
      <c r="J41" s="507">
        <f t="shared" si="16"/>
        <v>360</v>
      </c>
      <c r="L41" t="str">
        <f t="shared" si="15"/>
        <v>Heavy Hydrogen Cell V: { unit: 'kWh/100km', val2018: 360 },</v>
      </c>
    </row>
    <row r="42" spans="1:16" ht="15.75" thickBot="1">
      <c r="A42" s="14" t="s">
        <v>650</v>
      </c>
      <c r="B42" s="145" t="s">
        <v>646</v>
      </c>
      <c r="C42" s="223"/>
      <c r="D42" s="506">
        <v>150</v>
      </c>
      <c r="E42" s="507">
        <v>150</v>
      </c>
      <c r="F42" s="507">
        <v>150</v>
      </c>
      <c r="G42" s="507">
        <v>150</v>
      </c>
      <c r="H42" s="507">
        <v>150</v>
      </c>
      <c r="I42" s="507">
        <v>150</v>
      </c>
      <c r="J42" s="507">
        <v>150</v>
      </c>
      <c r="L42" t="str">
        <f t="shared" si="15"/>
        <v>Bus EV: { unit: 'kWh/100km', val2018: 150 },</v>
      </c>
    </row>
    <row r="43" spans="1:16" ht="15.75" thickBot="1">
      <c r="A43" s="14" t="s">
        <v>651</v>
      </c>
      <c r="B43" s="145" t="s">
        <v>652</v>
      </c>
      <c r="C43" s="224"/>
      <c r="D43" s="508">
        <v>0.71918946811468409</v>
      </c>
      <c r="E43" s="505">
        <v>0.82256983085760127</v>
      </c>
      <c r="F43" s="505">
        <v>0.82256983085760105</v>
      </c>
      <c r="G43" s="505">
        <v>0.82256983085760105</v>
      </c>
      <c r="H43" s="505">
        <v>0.82256983085760105</v>
      </c>
      <c r="I43" s="505">
        <v>0.82256983085760105</v>
      </c>
      <c r="J43" s="505">
        <v>0.82256983085760105</v>
      </c>
      <c r="L43" t="str">
        <f t="shared" si="15"/>
        <v>% Light Fleet km Petrol: { unit: 'km/km', val2018: 0.719189468114684 },</v>
      </c>
    </row>
    <row r="44" spans="1:16" ht="15.75" thickBot="1">
      <c r="A44" s="14" t="s">
        <v>653</v>
      </c>
      <c r="B44" s="145" t="s">
        <v>652</v>
      </c>
      <c r="C44" s="223"/>
      <c r="D44" s="509">
        <f>1-D43-0.002</f>
        <v>0.2788105318853159</v>
      </c>
      <c r="E44" s="509">
        <f t="shared" ref="E44:J44" si="17">1-E43-0.002</f>
        <v>0.17543016914239873</v>
      </c>
      <c r="F44" s="509">
        <f t="shared" si="17"/>
        <v>0.17543016914239895</v>
      </c>
      <c r="G44" s="509">
        <f t="shared" si="17"/>
        <v>0.17543016914239895</v>
      </c>
      <c r="H44" s="509">
        <f t="shared" si="17"/>
        <v>0.17543016914239895</v>
      </c>
      <c r="I44" s="509">
        <f t="shared" si="17"/>
        <v>0.17543016914239895</v>
      </c>
      <c r="J44" s="509">
        <f t="shared" si="17"/>
        <v>0.17543016914239895</v>
      </c>
      <c r="L44" t="str">
        <f t="shared" si="15"/>
        <v>% Light Fleet km Diesel: { unit: 'km/km', val2018: 0.278810531885316 },</v>
      </c>
    </row>
    <row r="45" spans="1:16" ht="15.75" thickBot="1">
      <c r="A45" s="14" t="s">
        <v>654</v>
      </c>
      <c r="B45" s="145" t="s">
        <v>655</v>
      </c>
      <c r="C45" s="223"/>
      <c r="D45" s="510">
        <v>0.35</v>
      </c>
      <c r="E45" s="505">
        <v>0.35</v>
      </c>
      <c r="F45" s="505">
        <v>0.35</v>
      </c>
      <c r="G45" s="505">
        <v>0.35</v>
      </c>
      <c r="H45" s="505">
        <v>0.35</v>
      </c>
      <c r="I45" s="505">
        <v>0.35</v>
      </c>
      <c r="J45" s="505">
        <v>0.35</v>
      </c>
      <c r="L45" t="str">
        <f t="shared" si="15"/>
        <v>Rail Diesel efficiency: { unit: 'MJ/MJ', val2018: 0.35 },</v>
      </c>
    </row>
    <row r="46" spans="1:16" ht="15.75" thickBot="1">
      <c r="A46" s="14" t="s">
        <v>656</v>
      </c>
      <c r="B46" s="145" t="s">
        <v>655</v>
      </c>
      <c r="C46" s="223"/>
      <c r="D46" s="510">
        <v>0.9</v>
      </c>
      <c r="E46" s="505">
        <v>0.9</v>
      </c>
      <c r="F46" s="505">
        <v>0.9</v>
      </c>
      <c r="G46" s="505">
        <v>0.9</v>
      </c>
      <c r="H46" s="505">
        <v>0.9</v>
      </c>
      <c r="I46" s="505">
        <v>0.9</v>
      </c>
      <c r="J46" s="505">
        <v>0.9</v>
      </c>
      <c r="L46" t="str">
        <f t="shared" si="15"/>
        <v>Rail Electric: { unit: 'MJ/MJ', val2018: 0.9 },</v>
      </c>
    </row>
    <row r="47" spans="1:16" ht="15.75" thickBot="1">
      <c r="A47" s="14" t="s">
        <v>657</v>
      </c>
      <c r="B47" s="145" t="s">
        <v>658</v>
      </c>
      <c r="C47" s="223"/>
      <c r="D47" s="511">
        <v>36</v>
      </c>
      <c r="E47" s="512">
        <v>36</v>
      </c>
      <c r="F47" s="512">
        <v>36</v>
      </c>
      <c r="G47" s="512">
        <v>36</v>
      </c>
      <c r="H47" s="512">
        <v>36</v>
      </c>
      <c r="I47" s="512">
        <v>36</v>
      </c>
      <c r="J47" s="512">
        <v>36</v>
      </c>
      <c r="L47" t="str">
        <f t="shared" si="15"/>
        <v>Diesel Energy Content: { unit: 'MJ/L', val2018: 36 },</v>
      </c>
    </row>
    <row r="48" spans="1:16" ht="15.75" thickBot="1">
      <c r="A48" s="14" t="s">
        <v>659</v>
      </c>
      <c r="B48" s="145" t="s">
        <v>660</v>
      </c>
      <c r="C48" s="223"/>
      <c r="D48" s="513">
        <v>3.6</v>
      </c>
      <c r="E48" s="514">
        <v>3.6</v>
      </c>
      <c r="F48" s="514">
        <v>3.6</v>
      </c>
      <c r="G48" s="514">
        <v>3.6</v>
      </c>
      <c r="H48" s="514">
        <v>3.6</v>
      </c>
      <c r="I48" s="514">
        <v>3.6</v>
      </c>
      <c r="J48" s="514">
        <v>3.6</v>
      </c>
      <c r="L48" t="str">
        <f t="shared" si="15"/>
        <v>MJ/kwh: { unit: 'MJ/kWh', val2018: 3.6 },</v>
      </c>
    </row>
    <row r="49" spans="1:12" ht="15.75" thickBot="1">
      <c r="A49" s="14" t="s">
        <v>661</v>
      </c>
      <c r="B49" s="145" t="s">
        <v>662</v>
      </c>
      <c r="C49" s="223"/>
      <c r="D49" s="515">
        <f>D47*D45/D46/D48</f>
        <v>3.8888888888888888</v>
      </c>
      <c r="E49" s="515">
        <f t="shared" ref="E49:J49" si="18">E47*E45/E46/E48</f>
        <v>3.8888888888888888</v>
      </c>
      <c r="F49" s="515">
        <f t="shared" si="18"/>
        <v>3.8888888888888888</v>
      </c>
      <c r="G49" s="515">
        <f t="shared" si="18"/>
        <v>3.8888888888888888</v>
      </c>
      <c r="H49" s="515">
        <f t="shared" si="18"/>
        <v>3.8888888888888888</v>
      </c>
      <c r="I49" s="515">
        <f t="shared" si="18"/>
        <v>3.8888888888888888</v>
      </c>
      <c r="J49" s="515">
        <f t="shared" si="18"/>
        <v>3.8888888888888888</v>
      </c>
      <c r="L49" t="str">
        <f t="shared" si="15"/>
        <v>Rail Electric/Diesel Ratio: { unit: 'kWh/L', val2018: 3.88888888888889 },</v>
      </c>
    </row>
    <row r="50" spans="1:12" ht="15.75" thickBot="1">
      <c r="A50" s="14" t="s">
        <v>663</v>
      </c>
      <c r="B50" s="145" t="s">
        <v>664</v>
      </c>
      <c r="C50" s="223"/>
      <c r="D50" s="513">
        <f>130/450</f>
        <v>0.28888888888888886</v>
      </c>
      <c r="E50" s="514">
        <f t="shared" ref="E50:J50" si="19">130/450</f>
        <v>0.28888888888888886</v>
      </c>
      <c r="F50" s="514">
        <f t="shared" si="19"/>
        <v>0.28888888888888886</v>
      </c>
      <c r="G50" s="514">
        <f t="shared" si="19"/>
        <v>0.28888888888888886</v>
      </c>
      <c r="H50" s="514">
        <f t="shared" si="19"/>
        <v>0.28888888888888886</v>
      </c>
      <c r="I50" s="514">
        <f t="shared" si="19"/>
        <v>0.28888888888888886</v>
      </c>
      <c r="J50" s="514">
        <f t="shared" si="19"/>
        <v>0.28888888888888886</v>
      </c>
      <c r="L50" t="str">
        <f>A50&amp;": { unit: '" &amp; B50&amp;"', val2018: "&amp;D50&amp;" },"</f>
        <v>Diesel Rail/Road Efficiency Ratio: { unit: 'L/L', val2018: 0.288888888888889 },</v>
      </c>
    </row>
    <row r="51" spans="1:12" ht="15.75" thickBot="1">
      <c r="A51" s="14"/>
      <c r="B51" s="145"/>
      <c r="C51" s="223"/>
      <c r="D51" s="147"/>
      <c r="E51" s="15"/>
      <c r="F51" s="15"/>
      <c r="G51" s="15"/>
      <c r="H51" s="15"/>
      <c r="I51" s="15"/>
      <c r="J51" s="15"/>
    </row>
    <row r="52" spans="1:12" ht="14.45" customHeight="1" thickBot="1">
      <c r="A52" s="390" t="s">
        <v>665</v>
      </c>
      <c r="B52" s="391" t="s">
        <v>666</v>
      </c>
      <c r="C52" s="392"/>
      <c r="D52" s="393" t="s">
        <v>667</v>
      </c>
      <c r="E52" s="394"/>
      <c r="F52" s="394"/>
      <c r="G52" s="394"/>
      <c r="H52" s="394"/>
      <c r="I52" s="394"/>
      <c r="J52" s="395"/>
    </row>
    <row r="53" spans="1:12">
      <c r="A53" s="16" t="s">
        <v>668</v>
      </c>
      <c r="B53" s="33"/>
      <c r="C53" s="33"/>
      <c r="D53" s="33"/>
      <c r="E53" s="7"/>
      <c r="F53" s="4"/>
      <c r="G53" s="4"/>
      <c r="H53" s="4"/>
      <c r="I53" s="4"/>
      <c r="J53" s="34"/>
    </row>
    <row r="54" spans="1:12">
      <c r="A54" s="32" t="s">
        <v>669</v>
      </c>
      <c r="B54" s="31">
        <v>40545956.899999999</v>
      </c>
      <c r="C54" s="225"/>
      <c r="D54" s="33"/>
      <c r="E54" s="7"/>
      <c r="F54" s="4"/>
      <c r="G54" s="4"/>
      <c r="H54" s="4"/>
      <c r="I54" s="4"/>
      <c r="J54" s="34"/>
    </row>
    <row r="55" spans="1:12">
      <c r="A55" s="18" t="s">
        <v>670</v>
      </c>
      <c r="B55" s="23">
        <v>1831798.1</v>
      </c>
      <c r="C55" s="226"/>
      <c r="D55" s="22"/>
      <c r="E55" s="5"/>
      <c r="F55" s="3"/>
      <c r="G55" s="3"/>
      <c r="H55" s="3"/>
      <c r="I55" s="3"/>
      <c r="J55" s="11"/>
    </row>
    <row r="56" spans="1:12">
      <c r="A56" s="18" t="s">
        <v>671</v>
      </c>
      <c r="B56" s="23">
        <v>738891.4</v>
      </c>
      <c r="C56" s="226"/>
      <c r="D56" s="22"/>
      <c r="E56" s="5"/>
      <c r="F56" s="3"/>
      <c r="G56" s="3"/>
      <c r="H56" s="3"/>
      <c r="I56" s="3"/>
      <c r="J56" s="11"/>
    </row>
    <row r="57" spans="1:12">
      <c r="A57" s="18" t="s">
        <v>672</v>
      </c>
      <c r="B57" s="23">
        <v>779350.6</v>
      </c>
      <c r="C57" s="226"/>
      <c r="D57" s="22"/>
      <c r="E57" s="5"/>
      <c r="F57" s="3"/>
      <c r="G57" s="3"/>
      <c r="H57" s="3"/>
      <c r="I57" s="3"/>
      <c r="J57" s="11"/>
    </row>
    <row r="58" spans="1:12" ht="15.75" thickBot="1">
      <c r="A58" s="19" t="s">
        <v>673</v>
      </c>
      <c r="B58" s="24">
        <v>2676284.7999999998</v>
      </c>
      <c r="C58" s="227"/>
      <c r="D58" s="22"/>
      <c r="E58" s="5"/>
      <c r="F58" s="3"/>
      <c r="G58" s="3"/>
      <c r="H58" s="3"/>
      <c r="I58" s="3"/>
      <c r="J58" s="11"/>
    </row>
    <row r="59" spans="1:12" ht="15.75" thickBot="1">
      <c r="A59" s="48" t="s">
        <v>674</v>
      </c>
      <c r="B59" s="49">
        <f>SUM(B54:B58)</f>
        <v>46572281.799999997</v>
      </c>
      <c r="C59" s="228"/>
      <c r="D59" s="22"/>
      <c r="E59" s="5"/>
      <c r="F59" s="3"/>
      <c r="G59" s="3"/>
      <c r="H59" s="3"/>
      <c r="I59" s="3"/>
      <c r="J59" s="11"/>
    </row>
    <row r="60" spans="1:12" ht="13.9" customHeight="1" thickBot="1">
      <c r="A60" s="3"/>
      <c r="B60" s="3"/>
      <c r="C60" s="3"/>
      <c r="D60" s="3"/>
      <c r="E60" s="3"/>
      <c r="F60" s="3"/>
      <c r="G60" s="3"/>
      <c r="H60" s="3"/>
      <c r="I60" s="3"/>
      <c r="J60" s="3"/>
    </row>
    <row r="61" spans="1:12" ht="14.45" customHeight="1" thickBot="1">
      <c r="A61" s="390" t="s">
        <v>675</v>
      </c>
      <c r="B61" s="391" t="s">
        <v>202</v>
      </c>
      <c r="C61" s="392"/>
      <c r="D61" s="461">
        <f>D4</f>
        <v>2022</v>
      </c>
      <c r="E61" s="461">
        <f t="shared" ref="E61:J61" si="20">E4</f>
        <v>2025</v>
      </c>
      <c r="F61" s="461">
        <f t="shared" si="20"/>
        <v>2030</v>
      </c>
      <c r="G61" s="461">
        <f t="shared" si="20"/>
        <v>2035</v>
      </c>
      <c r="H61" s="461">
        <f t="shared" si="20"/>
        <v>2040</v>
      </c>
      <c r="I61" s="461">
        <f t="shared" si="20"/>
        <v>2045</v>
      </c>
      <c r="J61" s="461">
        <f t="shared" si="20"/>
        <v>2051</v>
      </c>
    </row>
    <row r="62" spans="1:12">
      <c r="A62" s="205" t="s">
        <v>676</v>
      </c>
      <c r="B62" t="s">
        <v>677</v>
      </c>
      <c r="D62" s="464">
        <v>7</v>
      </c>
      <c r="E62" s="464">
        <v>7</v>
      </c>
      <c r="F62" s="464">
        <v>7</v>
      </c>
      <c r="G62" s="464">
        <v>7</v>
      </c>
      <c r="H62" s="464">
        <v>7</v>
      </c>
      <c r="I62" s="464">
        <v>7</v>
      </c>
      <c r="J62" s="479">
        <v>7</v>
      </c>
    </row>
    <row r="63" spans="1:12">
      <c r="A63" s="205" t="s">
        <v>678</v>
      </c>
      <c r="B63" t="s">
        <v>315</v>
      </c>
      <c r="D63" s="465">
        <v>0.03</v>
      </c>
      <c r="E63" s="465">
        <v>0.03</v>
      </c>
      <c r="F63" s="465">
        <v>0.03</v>
      </c>
      <c r="G63" s="465">
        <v>0.03</v>
      </c>
      <c r="H63" s="465">
        <v>0.03</v>
      </c>
      <c r="I63" s="465">
        <v>0.03</v>
      </c>
      <c r="J63" s="480">
        <v>0.03</v>
      </c>
    </row>
    <row r="64" spans="1:12">
      <c r="A64" s="205" t="s">
        <v>679</v>
      </c>
      <c r="B64" s="295" t="s">
        <v>680</v>
      </c>
      <c r="D64" s="465">
        <v>320</v>
      </c>
      <c r="E64" s="465">
        <v>320</v>
      </c>
      <c r="F64" s="465">
        <v>320</v>
      </c>
      <c r="G64" s="465">
        <v>320</v>
      </c>
      <c r="H64" s="465">
        <v>320</v>
      </c>
      <c r="I64" s="465">
        <v>320</v>
      </c>
      <c r="J64" s="480">
        <v>320</v>
      </c>
    </row>
    <row r="65" spans="1:10">
      <c r="A65" s="205" t="s">
        <v>681</v>
      </c>
      <c r="B65" t="s">
        <v>682</v>
      </c>
      <c r="D65" s="465">
        <v>2</v>
      </c>
      <c r="E65" s="465">
        <v>2</v>
      </c>
      <c r="F65" s="465">
        <v>2</v>
      </c>
      <c r="G65" s="465">
        <v>2</v>
      </c>
      <c r="H65" s="465">
        <v>2</v>
      </c>
      <c r="I65" s="465">
        <v>2</v>
      </c>
      <c r="J65" s="480">
        <v>2</v>
      </c>
    </row>
    <row r="66" spans="1:10">
      <c r="A66" s="205" t="s">
        <v>683</v>
      </c>
      <c r="B66" t="s">
        <v>684</v>
      </c>
      <c r="D66" s="465">
        <v>0.5</v>
      </c>
      <c r="E66" s="465">
        <v>0.5</v>
      </c>
      <c r="F66" s="465">
        <v>0.5</v>
      </c>
      <c r="G66" s="465">
        <v>0.5</v>
      </c>
      <c r="H66" s="465">
        <v>0.5</v>
      </c>
      <c r="I66" s="465">
        <v>0.5</v>
      </c>
      <c r="J66" s="480">
        <v>0.5</v>
      </c>
    </row>
    <row r="67" spans="1:10">
      <c r="D67" s="248"/>
      <c r="J67" s="116"/>
    </row>
    <row r="68" spans="1:10">
      <c r="A68" s="205" t="s">
        <v>685</v>
      </c>
      <c r="B68" t="s">
        <v>686</v>
      </c>
      <c r="D68" s="465">
        <v>40</v>
      </c>
      <c r="E68" s="465">
        <v>40</v>
      </c>
      <c r="F68" s="465">
        <v>40</v>
      </c>
      <c r="G68" s="465">
        <v>40</v>
      </c>
      <c r="H68" s="465">
        <v>40</v>
      </c>
      <c r="I68" s="465">
        <v>40</v>
      </c>
      <c r="J68" s="480">
        <v>40</v>
      </c>
    </row>
    <row r="69" spans="1:10">
      <c r="A69" s="205" t="s">
        <v>687</v>
      </c>
      <c r="B69" t="s">
        <v>688</v>
      </c>
      <c r="D69" s="465">
        <v>0.6</v>
      </c>
      <c r="E69" s="465">
        <v>0.6</v>
      </c>
      <c r="F69" s="465">
        <v>0.6</v>
      </c>
      <c r="G69" s="465">
        <v>0.6</v>
      </c>
      <c r="H69" s="465">
        <v>0.6</v>
      </c>
      <c r="I69" s="465">
        <v>0.6</v>
      </c>
      <c r="J69" s="480">
        <v>0.6</v>
      </c>
    </row>
    <row r="70" spans="1:10" ht="15.75" thickBot="1">
      <c r="A70" s="205" t="s">
        <v>689</v>
      </c>
      <c r="B70" t="s">
        <v>690</v>
      </c>
      <c r="D70" s="466">
        <v>30</v>
      </c>
      <c r="E70" s="466">
        <v>30</v>
      </c>
      <c r="F70" s="466">
        <v>30</v>
      </c>
      <c r="G70" s="466">
        <v>30</v>
      </c>
      <c r="H70" s="466">
        <v>30</v>
      </c>
      <c r="I70" s="466">
        <v>30</v>
      </c>
      <c r="J70" s="481">
        <v>30</v>
      </c>
    </row>
  </sheetData>
  <protectedRanges>
    <protectedRange sqref="D4:J11 B54:B59 D33:J50 C19:J26 C17:G17 C28:J30 C27:G27 C18" name="Range1"/>
    <protectedRange sqref="D68:J70 D62:J66" name="Range1_1"/>
    <protectedRange sqref="H17:J17" name="Range1_2"/>
    <protectedRange sqref="H27:J27" name="Range1_3"/>
    <protectedRange sqref="D18:J18" name="Range1_4"/>
  </protectedRanges>
  <phoneticPr fontId="28"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7AF70D4C6BCB46954394F4F06A8572" ma:contentTypeVersion="14" ma:contentTypeDescription="Create a new document." ma:contentTypeScope="" ma:versionID="8ab9bea69205a163983260ba5c0648ce">
  <xsd:schema xmlns:xsd="http://www.w3.org/2001/XMLSchema" xmlns:xs="http://www.w3.org/2001/XMLSchema" xmlns:p="http://schemas.microsoft.com/office/2006/metadata/properties" xmlns:ns2="5aff780b-1118-48b4-9a48-ef42195d45f5" xmlns:ns3="7bed347f-0cdd-4186-a7c3-70b72243e7f7" targetNamespace="http://schemas.microsoft.com/office/2006/metadata/properties" ma:root="true" ma:fieldsID="af5eabbc4879af3325cae4f73ce3ed1b" ns2:_="" ns3:_="">
    <xsd:import namespace="5aff780b-1118-48b4-9a48-ef42195d45f5"/>
    <xsd:import namespace="7bed347f-0cdd-4186-a7c3-70b72243e7f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aff780b-1118-48b4-9a48-ef42195d45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93125e-482f-42c5-b613-acc6db2b80ca"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bed347f-0cdd-4186-a7c3-70b72243e7f7"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b52ad224-6536-411e-b105-dc02f122b5eb}" ma:internalName="TaxCatchAll" ma:showField="CatchAllData" ma:web="7bed347f-0cdd-4186-a7c3-70b72243e7f7">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bed347f-0cdd-4186-a7c3-70b72243e7f7" xsi:nil="true"/>
    <lcf76f155ced4ddcb4097134ff3c332f xmlns="5aff780b-1118-48b4-9a48-ef42195d45f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055B079-1590-4300-B818-573BBE2BA7D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aff780b-1118-48b4-9a48-ef42195d45f5"/>
    <ds:schemaRef ds:uri="7bed347f-0cdd-4186-a7c3-70b72243e7f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8CC3280-62E6-4060-A00C-09D9F2E987B4}">
  <ds:schemaRefs>
    <ds:schemaRef ds:uri="http://schemas.microsoft.com/sharepoint/v3/contenttype/forms"/>
  </ds:schemaRefs>
</ds:datastoreItem>
</file>

<file path=customXml/itemProps3.xml><?xml version="1.0" encoding="utf-8"?>
<ds:datastoreItem xmlns:ds="http://schemas.openxmlformats.org/officeDocument/2006/customXml" ds:itemID="{34FC4542-B719-47A0-8F15-4A1F84096D21}">
  <ds:schemaRefs>
    <ds:schemaRef ds:uri="http://schemas.microsoft.com/office/2006/metadata/properties"/>
    <ds:schemaRef ds:uri="http://schemas.microsoft.com/office/infopath/2007/PartnerControls"/>
    <ds:schemaRef ds:uri="7bed347f-0cdd-4186-a7c3-70b72243e7f7"/>
    <ds:schemaRef ds:uri="5aff780b-1118-48b4-9a48-ef42195d45f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Welcome</vt:lpstr>
      <vt:lpstr>Patch Notes</vt:lpstr>
      <vt:lpstr>Results</vt:lpstr>
      <vt:lpstr>1. Landuse</vt:lpstr>
      <vt:lpstr>2. Industry</vt:lpstr>
      <vt:lpstr>3. Transport</vt:lpstr>
      <vt:lpstr>4. Buildings</vt:lpstr>
      <vt:lpstr>5. Energy</vt:lpstr>
      <vt:lpstr>Baseline Statistics</vt:lpstr>
      <vt:lpstr>Baseline Usage</vt:lpstr>
      <vt:lpstr>Landuse a. Agriculture</vt:lpstr>
      <vt:lpstr>Landuse b. Housing Growth</vt:lpstr>
      <vt:lpstr>Energy a. Electricity Supply</vt:lpstr>
      <vt:lpstr>Emissions Factors</vt:lpstr>
      <vt:lpstr>Workspace</vt:lpstr>
      <vt:lpstr>Workspace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Adam Jarvis;Phaveethra Manohar</dc:creator>
  <cp:keywords/>
  <dc:description/>
  <cp:lastModifiedBy>Adam Jarvis</cp:lastModifiedBy>
  <cp:revision/>
  <dcterms:created xsi:type="dcterms:W3CDTF">2019-11-13T00:33:23Z</dcterms:created>
  <dcterms:modified xsi:type="dcterms:W3CDTF">2023-07-20T02:24:41Z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0x010100EE7AF70D4C6BCB46954394F4F06A8572</vt:lpwstr>
  </property>
</Properties>
</file>