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2.1" sheetId="1" state="visible" r:id="rId1"/>
    <sheet name="2.2" sheetId="2" state="visible" r:id="rId2"/>
  </sheets>
  <calcPr/>
</workbook>
</file>

<file path=xl/sharedStrings.xml><?xml version="1.0" encoding="utf-8"?>
<sst xmlns="http://schemas.openxmlformats.org/spreadsheetml/2006/main" count="118" uniqueCount="118">
  <si>
    <t>Вариант</t>
  </si>
  <si>
    <t>Характеристики</t>
  </si>
  <si>
    <t>Значение</t>
  </si>
  <si>
    <t>Год</t>
  </si>
  <si>
    <t>Показатель</t>
  </si>
  <si>
    <t xml:space="preserve">1. Отрасль промышленности</t>
  </si>
  <si>
    <t>Авиационная</t>
  </si>
  <si>
    <t xml:space="preserve">Ставка роялти</t>
  </si>
  <si>
    <t xml:space="preserve">Коэфициент дисконтирования</t>
  </si>
  <si>
    <t xml:space="preserve">Поток выручки от реализации, тыс. руб.</t>
  </si>
  <si>
    <t xml:space="preserve">Дисконтированный поток от выручки, тыс. руб</t>
  </si>
  <si>
    <t xml:space="preserve">2. Тип лицензии</t>
  </si>
  <si>
    <t xml:space="preserve">исключ. беспат.</t>
  </si>
  <si>
    <t xml:space="preserve">Поправочный коэффициент</t>
  </si>
  <si>
    <t>оптимистичный</t>
  </si>
  <si>
    <t>реалистичный</t>
  </si>
  <si>
    <t>пессимистичный</t>
  </si>
  <si>
    <t xml:space="preserve">3. Степень ценности лицензии</t>
  </si>
  <si>
    <t xml:space="preserve">особо ценная</t>
  </si>
  <si>
    <t>ссылка</t>
  </si>
  <si>
    <t xml:space="preserve">исх. данные</t>
  </si>
  <si>
    <t>ст2*ст3</t>
  </si>
  <si>
    <t>ст2*ст4</t>
  </si>
  <si>
    <t>ст2*ст5</t>
  </si>
  <si>
    <t>Сценарий</t>
  </si>
  <si>
    <t>Итого</t>
  </si>
  <si>
    <t>Показатели</t>
  </si>
  <si>
    <t>Значения</t>
  </si>
  <si>
    <t>Источник</t>
  </si>
  <si>
    <t xml:space="preserve">Источник / алгоритм расчета</t>
  </si>
  <si>
    <t xml:space="preserve">1. Дисконтированный оптимистичный денежный поток, тыс. руб</t>
  </si>
  <si>
    <t xml:space="preserve">итого ст.6 табл. 2.5</t>
  </si>
  <si>
    <t xml:space="preserve">1. Безрисковая ставка, %</t>
  </si>
  <si>
    <t xml:space="preserve">ставка рефинансирования</t>
  </si>
  <si>
    <t xml:space="preserve">2. Дисконтивный реалистичный денежный потток, тыс. руб.</t>
  </si>
  <si>
    <t xml:space="preserve">итого ст.7 табл. 2.5</t>
  </si>
  <si>
    <t xml:space="preserve">2. Показатели риска, %</t>
  </si>
  <si>
    <t xml:space="preserve">исходные данные</t>
  </si>
  <si>
    <t xml:space="preserve">3. Дисконтивный пессимистичный денежный поток, тыс. руб.</t>
  </si>
  <si>
    <t xml:space="preserve">итого ст.8 табл. 2.5</t>
  </si>
  <si>
    <t xml:space="preserve">3. Общерыночный риск, %</t>
  </si>
  <si>
    <t xml:space="preserve">4. Средняя стоимость бизнеса тыс. руб.</t>
  </si>
  <si>
    <t xml:space="preserve">(п.1 + 4 * п.2 + п.3) / 6</t>
  </si>
  <si>
    <t xml:space="preserve">4. Риск для среднего бизнеса, %</t>
  </si>
  <si>
    <t xml:space="preserve">5. Стандартная ставка роялти от выручки</t>
  </si>
  <si>
    <t xml:space="preserve">таблица 2.7</t>
  </si>
  <si>
    <t xml:space="preserve">5. Риск на качество менеджмента, %</t>
  </si>
  <si>
    <t xml:space="preserve">6. Поправки на ценность и защищенность ОИС</t>
  </si>
  <si>
    <t xml:space="preserve">таблица 2.8</t>
  </si>
  <si>
    <t xml:space="preserve">6. Доходность собственного капитала, %</t>
  </si>
  <si>
    <t xml:space="preserve">п.1 + п.2 * п.3 + п.4 + п.5</t>
  </si>
  <si>
    <t xml:space="preserve">7. Стоимость ОИС, тыс. руб.</t>
  </si>
  <si>
    <t xml:space="preserve">п.4 * п.5 * п.6</t>
  </si>
  <si>
    <t xml:space="preserve">7. Доля заемного капитала в активах, %</t>
  </si>
  <si>
    <t xml:space="preserve">8. Доля собственного капитала в активах, %</t>
  </si>
  <si>
    <t xml:space="preserve">п.7 -1</t>
  </si>
  <si>
    <t xml:space="preserve">Таким образом, стоимость исключительной бесплатной особо ценной лицензии на создание новой авиационной продукции, оцененная методом освобождения от роялти, составит 6789,38 тыс. руб.</t>
  </si>
  <si>
    <t xml:space="preserve">9. Ставка по заемному капиталу, %</t>
  </si>
  <si>
    <t xml:space="preserve">10. Ставка налога на прибыль</t>
  </si>
  <si>
    <t xml:space="preserve">11. Средневзвешенная стоимость капитала, %</t>
  </si>
  <si>
    <t xml:space="preserve">п.6 * п.8 + п.9 * п.7 * (1 -п.10)</t>
  </si>
  <si>
    <t xml:space="preserve">1. Размер бизнеса</t>
  </si>
  <si>
    <t>малый</t>
  </si>
  <si>
    <t xml:space="preserve">2. Масштаб производства</t>
  </si>
  <si>
    <t>мелкосерийное</t>
  </si>
  <si>
    <t xml:space="preserve">3. Срок использования ОИС</t>
  </si>
  <si>
    <t xml:space="preserve">Оцениваемые ОИС</t>
  </si>
  <si>
    <t>Аналоги</t>
  </si>
  <si>
    <t>A</t>
  </si>
  <si>
    <t>B</t>
  </si>
  <si>
    <t>C</t>
  </si>
  <si>
    <t xml:space="preserve">1. Стоимость ОИС, тыс. руб.</t>
  </si>
  <si>
    <t>-</t>
  </si>
  <si>
    <t xml:space="preserve">3. Отрасль использования ОИС</t>
  </si>
  <si>
    <t>химическая</t>
  </si>
  <si>
    <t>фармацевтическая</t>
  </si>
  <si>
    <t>пищевая</t>
  </si>
  <si>
    <t xml:space="preserve">3. Ценность и защищенность ОИС</t>
  </si>
  <si>
    <t xml:space="preserve">патент, ср. цен.</t>
  </si>
  <si>
    <t xml:space="preserve">без патента, ср. цен.</t>
  </si>
  <si>
    <t>нелицензионное</t>
  </si>
  <si>
    <t xml:space="preserve">4. Размер бизнеса</t>
  </si>
  <si>
    <t>крупный</t>
  </si>
  <si>
    <t>средний</t>
  </si>
  <si>
    <t xml:space="preserve">5. Масштаб использования ОИС</t>
  </si>
  <si>
    <t>крупносерийный</t>
  </si>
  <si>
    <t>серийный</t>
  </si>
  <si>
    <t>массовый</t>
  </si>
  <si>
    <t xml:space="preserve">6. Срок использования ОИС</t>
  </si>
  <si>
    <t>ОИС</t>
  </si>
  <si>
    <t xml:space="preserve">1. Cтавка роялти в отраслях R, %</t>
  </si>
  <si>
    <t xml:space="preserve">п.2 табл. 2.10, табл 2.7</t>
  </si>
  <si>
    <t xml:space="preserve">2. Индекс отрасли, Iо</t>
  </si>
  <si>
    <t xml:space="preserve">Rоис / Rаналог</t>
  </si>
  <si>
    <t xml:space="preserve">3. Коэффициенты защищенности, Kz</t>
  </si>
  <si>
    <t xml:space="preserve">п.3 табл. 2.10, табл. 2.8</t>
  </si>
  <si>
    <t xml:space="preserve">4. Индекс защищенности, Iz</t>
  </si>
  <si>
    <t xml:space="preserve">Kz_оис / Kz_аналог</t>
  </si>
  <si>
    <t xml:space="preserve">5. Коэффициент размера бизнеса, Kв</t>
  </si>
  <si>
    <t xml:space="preserve">п.4 табл 2.10, табл. 2.12</t>
  </si>
  <si>
    <t xml:space="preserve">6. Индекс размера бизнеса, Iв</t>
  </si>
  <si>
    <t xml:space="preserve">Kв_оис / Kв_аналог</t>
  </si>
  <si>
    <t xml:space="preserve">7. Коэффициент масштаба использования, Kм</t>
  </si>
  <si>
    <t xml:space="preserve">п.5 табл. 2.10, табл. 2.13</t>
  </si>
  <si>
    <t xml:space="preserve">8. Индекс масштаба использования, Iм</t>
  </si>
  <si>
    <t xml:space="preserve">Kм_оис / Kм_аналог</t>
  </si>
  <si>
    <t xml:space="preserve">9. Индекс срока использования, Iт</t>
  </si>
  <si>
    <t xml:space="preserve">п.6 табл. 2.10</t>
  </si>
  <si>
    <t xml:space="preserve">10. Риск использования ОИС, Р, %</t>
  </si>
  <si>
    <t xml:space="preserve">п.5 табл. 2.10, табл. 2.14</t>
  </si>
  <si>
    <t xml:space="preserve">11. Индекс риска, Ip</t>
  </si>
  <si>
    <t xml:space="preserve">Pоис / Раналог</t>
  </si>
  <si>
    <t xml:space="preserve">12. Интегральный  показатель, Iинт</t>
  </si>
  <si>
    <t xml:space="preserve">Io * Iz * Iв * Iт * Iр</t>
  </si>
  <si>
    <t xml:space="preserve">13. Скорректир стоимость аналогов, Si, тыс. руб.</t>
  </si>
  <si>
    <t xml:space="preserve">Iинт * п.1 табл. 2.10</t>
  </si>
  <si>
    <t xml:space="preserve">14. Стоимость оцениваемого ОИС, Soис, тыс. руб.</t>
  </si>
  <si>
    <t xml:space="preserve">(Sа + Sб + Sв) / 3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</si>
</sst>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0.0"/>
    <numFmt numFmtId="161" formatCode="0.0000"/>
  </numFmts>
  <fonts count="3">
    <font>
      <name val="Calibri"/>
      <color theme="1"/>
      <sz val="11.000000"/>
      <scheme val="minor"/>
    </font>
    <font>
      <name val="Courier New"/>
      <color theme="1"/>
      <sz val="11.000000"/>
    </font>
    <font>
      <name val="Courier New"/>
      <color theme="1"/>
      <sz val="12.000000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/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/>
      <right/>
      <top style="medium">
        <color theme="1"/>
      </top>
      <bottom style="thin">
        <color auto="1"/>
      </bottom>
      <diagonal/>
    </border>
    <border>
      <left/>
      <right style="medium">
        <color theme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auto="1"/>
      </right>
      <top/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n">
        <color auto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/>
      <diagonal/>
    </border>
    <border>
      <left style="thin">
        <color auto="1"/>
      </left>
      <right style="thin">
        <color auto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3"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9" applyNumberFormat="1" applyFont="0" applyFill="0" applyBorder="0" applyProtection="0"/>
  </cellStyleXfs>
  <cellXfs count="101">
    <xf fontId="0" fillId="0" borderId="0" numFmtId="0" xfId="0"/>
    <xf fontId="1" fillId="0" borderId="0" numFmtId="0" xfId="0" applyFont="1" applyAlignment="1">
      <alignment horizontal="center" vertical="center" wrapText="1"/>
    </xf>
    <xf fontId="1" fillId="0" borderId="1" numFmtId="0" xfId="0" applyFont="1" applyBorder="1" applyAlignment="1">
      <alignment horizontal="center" vertical="center" wrapText="1"/>
    </xf>
    <xf fontId="1" fillId="0" borderId="2" numFmtId="1" xfId="0" applyNumberFormat="1" applyFont="1" applyBorder="1" applyAlignment="1">
      <alignment horizontal="center" vertical="center" wrapText="1"/>
    </xf>
    <xf fontId="1" fillId="0" borderId="2" numFmtId="0" xfId="0" applyFont="1" applyBorder="1" applyAlignment="1">
      <alignment horizontal="center" vertical="center" wrapText="1"/>
    </xf>
    <xf fontId="1" fillId="0" borderId="3" numFmtId="0" xfId="0" applyFont="1" applyBorder="1" applyAlignment="1">
      <alignment horizontal="center" vertical="center" wrapText="1"/>
    </xf>
    <xf fontId="1" fillId="0" borderId="4" numFmtId="0" xfId="0" applyFont="1" applyBorder="1" applyAlignment="1">
      <alignment horizontal="center" vertical="center" wrapText="1"/>
    </xf>
    <xf fontId="1" fillId="0" borderId="5" numFmtId="0" xfId="0" applyFont="1" applyBorder="1" applyAlignment="1">
      <alignment horizontal="center" vertical="center" wrapText="1"/>
    </xf>
    <xf fontId="1" fillId="0" borderId="6" numFmtId="0" xfId="0" applyFont="1" applyBorder="1" applyAlignment="1">
      <alignment horizontal="center" vertical="center" wrapText="1"/>
    </xf>
    <xf fontId="1" fillId="0" borderId="7" numFmtId="0" xfId="0" applyFont="1" applyBorder="1" applyAlignment="1">
      <alignment horizontal="center" vertical="center" wrapText="1"/>
    </xf>
    <xf fontId="1" fillId="0" borderId="8" numFmtId="0" xfId="0" applyFont="1" applyBorder="1" applyAlignment="1">
      <alignment horizontal="center" vertical="center" wrapText="1"/>
    </xf>
    <xf fontId="1" fillId="0" borderId="9" numFmtId="0" xfId="0" applyFont="1" applyBorder="1" applyAlignment="1">
      <alignment horizontal="center" vertical="center" wrapText="1"/>
    </xf>
    <xf fontId="1" fillId="0" borderId="10" numFmtId="0" xfId="0" applyFont="1" applyBorder="1" applyAlignment="1">
      <alignment horizontal="center" vertical="center" wrapText="1"/>
    </xf>
    <xf fontId="1" fillId="0" borderId="11" numFmtId="0" xfId="0" applyFont="1" applyBorder="1" applyAlignment="1">
      <alignment horizontal="left" vertical="center" wrapText="1"/>
    </xf>
    <xf fontId="1" fillId="0" borderId="12" numFmtId="0" xfId="0" applyFont="1" applyBorder="1" applyAlignment="1">
      <alignment horizontal="center" vertical="center" wrapText="1"/>
    </xf>
    <xf fontId="1" fillId="0" borderId="13" numFmtId="9" xfId="2" applyNumberFormat="1" applyFont="1" applyBorder="1" applyAlignment="1">
      <alignment horizontal="center" vertical="center" wrapText="1"/>
    </xf>
    <xf fontId="1" fillId="0" borderId="14" numFmtId="0" xfId="0" applyFont="1" applyBorder="1" applyAlignment="1">
      <alignment horizontal="center" vertical="center" wrapText="1"/>
    </xf>
    <xf fontId="1" fillId="0" borderId="15" numFmtId="0" xfId="0" applyFont="1" applyBorder="1" applyAlignment="1">
      <alignment horizontal="center" vertical="center" wrapText="1"/>
    </xf>
    <xf fontId="1" fillId="0" borderId="16" numFmtId="0" xfId="0" applyFont="1" applyBorder="1" applyAlignment="1">
      <alignment horizontal="center" vertical="center" wrapText="1"/>
    </xf>
    <xf fontId="1" fillId="0" borderId="17" numFmtId="0" xfId="0" applyFont="1" applyBorder="1" applyAlignment="1">
      <alignment horizontal="center" vertical="center" wrapText="1"/>
    </xf>
    <xf fontId="1" fillId="0" borderId="18" numFmtId="0" xfId="0" applyFont="1" applyBorder="1" applyAlignment="1">
      <alignment horizontal="center" vertical="center" wrapText="1"/>
    </xf>
    <xf fontId="1" fillId="0" borderId="19" numFmtId="0" xfId="0" applyFont="1" applyBorder="1" applyAlignment="1">
      <alignment horizontal="center" vertical="center" wrapText="1"/>
    </xf>
    <xf fontId="1" fillId="0" borderId="13" numFmtId="160" xfId="0" applyNumberFormat="1" applyFont="1" applyBorder="1" applyAlignment="1">
      <alignment horizontal="center" vertical="center" wrapText="1"/>
    </xf>
    <xf fontId="1" fillId="0" borderId="20" numFmtId="0" xfId="0" applyFont="1" applyBorder="1" applyAlignment="1">
      <alignment horizontal="center" vertical="center" wrapText="1"/>
    </xf>
    <xf fontId="1" fillId="0" borderId="21" numFmtId="0" xfId="0" applyFont="1" applyBorder="1" applyAlignment="1">
      <alignment horizontal="center" vertical="center" wrapText="1"/>
    </xf>
    <xf fontId="1" fillId="0" borderId="22" numFmtId="0" xfId="0" applyFont="1" applyBorder="1" applyAlignment="1">
      <alignment horizontal="center" vertical="center" wrapText="1"/>
    </xf>
    <xf fontId="1" fillId="0" borderId="23" numFmtId="0" xfId="0" applyFont="1" applyBorder="1" applyAlignment="1">
      <alignment horizontal="left" vertical="center" wrapText="1"/>
    </xf>
    <xf fontId="1" fillId="0" borderId="24" numFmtId="0" xfId="0" applyFont="1" applyBorder="1" applyAlignment="1">
      <alignment horizontal="center" vertical="center" wrapText="1"/>
    </xf>
    <xf fontId="1" fillId="0" borderId="25" numFmtId="160" xfId="0" applyNumberFormat="1" applyFont="1" applyBorder="1" applyAlignment="1">
      <alignment horizontal="center" vertical="center" wrapText="1"/>
    </xf>
    <xf fontId="1" fillId="0" borderId="26" numFmtId="0" xfId="0" applyFont="1" applyBorder="1" applyAlignment="1">
      <alignment horizontal="center" vertical="center" wrapText="1"/>
    </xf>
    <xf fontId="1" fillId="0" borderId="27" numFmtId="0" xfId="0" applyFont="1" applyBorder="1" applyAlignment="1">
      <alignment horizontal="center" vertical="center" wrapText="1"/>
    </xf>
    <xf fontId="1" fillId="0" borderId="28" numFmtId="0" xfId="0" applyFont="1" applyBorder="1" applyAlignment="1">
      <alignment horizontal="center" vertical="center" wrapText="1"/>
    </xf>
    <xf fontId="1" fillId="0" borderId="29" numFmtId="1" xfId="0" applyNumberFormat="1" applyFont="1" applyBorder="1" applyAlignment="1">
      <alignment horizontal="center" vertical="center" wrapText="1"/>
    </xf>
    <xf fontId="1" fillId="0" borderId="20" numFmtId="1" xfId="0" applyNumberFormat="1" applyFont="1" applyBorder="1" applyAlignment="1">
      <alignment horizontal="center" vertical="center" wrapText="1"/>
    </xf>
    <xf fontId="1" fillId="0" borderId="30" numFmtId="1" xfId="0" applyNumberFormat="1" applyFont="1" applyBorder="1" applyAlignment="1">
      <alignment horizontal="center" vertical="center" wrapText="1"/>
    </xf>
    <xf fontId="1" fillId="0" borderId="31" numFmtId="1" xfId="0" applyNumberFormat="1" applyFont="1" applyBorder="1" applyAlignment="1">
      <alignment horizontal="center" vertical="center" wrapText="1"/>
    </xf>
    <xf fontId="1" fillId="0" borderId="21" numFmtId="1" xfId="0" applyNumberFormat="1" applyFont="1" applyBorder="1" applyAlignment="1">
      <alignment horizontal="center" vertical="center" wrapText="1"/>
    </xf>
    <xf fontId="1" fillId="0" borderId="22" numFmtId="1" xfId="0" applyNumberFormat="1" applyFont="1" applyBorder="1" applyAlignment="1">
      <alignment horizontal="center" vertical="center" wrapText="1"/>
    </xf>
    <xf fontId="1" fillId="0" borderId="32" numFmtId="0" xfId="0" applyFont="1" applyBorder="1" applyAlignment="1">
      <alignment horizontal="center" vertical="center" wrapText="1"/>
    </xf>
    <xf fontId="1" fillId="0" borderId="33" numFmtId="0" xfId="0" applyFont="1" applyBorder="1" applyAlignment="1">
      <alignment horizontal="center" vertical="center" wrapText="1"/>
    </xf>
    <xf fontId="1" fillId="0" borderId="34" numFmtId="0" xfId="0" applyFont="1" applyBorder="1" applyAlignment="1">
      <alignment horizontal="center" vertical="center" wrapText="1"/>
    </xf>
    <xf fontId="1" fillId="0" borderId="35" numFmtId="0" xfId="0" applyFont="1" applyBorder="1" applyAlignment="1">
      <alignment horizontal="center" vertical="center" wrapText="1"/>
    </xf>
    <xf fontId="1" fillId="0" borderId="36" numFmtId="1" xfId="0" applyNumberFormat="1" applyFont="1" applyBorder="1" applyAlignment="1">
      <alignment horizontal="center" vertical="center" wrapText="1"/>
    </xf>
    <xf fontId="1" fillId="0" borderId="15" numFmtId="1" xfId="0" applyNumberFormat="1" applyFont="1" applyBorder="1" applyAlignment="1">
      <alignment horizontal="center" vertical="center" wrapText="1"/>
    </xf>
    <xf fontId="1" fillId="0" borderId="37" numFmtId="1" xfId="0" applyNumberFormat="1" applyFont="1" applyBorder="1" applyAlignment="1">
      <alignment horizontal="center" vertical="center" wrapText="1"/>
    </xf>
    <xf fontId="1" fillId="0" borderId="38" numFmtId="0" xfId="0" applyFont="1" applyBorder="1" applyAlignment="1">
      <alignment horizontal="center" vertical="center" wrapText="1"/>
    </xf>
    <xf fontId="1" fillId="0" borderId="39" numFmtId="0" xfId="0" applyFont="1" applyBorder="1" applyAlignment="1">
      <alignment horizontal="center" vertical="center" wrapText="1"/>
    </xf>
    <xf fontId="1" fillId="0" borderId="40" numFmtId="0" xfId="0" applyFont="1" applyBorder="1" applyAlignment="1">
      <alignment horizontal="center" vertical="center" wrapText="1"/>
    </xf>
    <xf fontId="1" fillId="0" borderId="41" numFmtId="1" xfId="0" applyNumberFormat="1" applyFont="1" applyBorder="1" applyAlignment="1">
      <alignment horizontal="center" vertical="center" wrapText="1"/>
    </xf>
    <xf fontId="1" fillId="0" borderId="41" numFmtId="0" xfId="0" applyFont="1" applyBorder="1" applyAlignment="1">
      <alignment horizontal="center" vertical="center" wrapText="1"/>
    </xf>
    <xf fontId="1" fillId="0" borderId="42" numFmtId="0" xfId="0" applyFont="1" applyBorder="1" applyAlignment="1">
      <alignment horizontal="center" vertical="center" wrapText="1"/>
    </xf>
    <xf fontId="1" fillId="0" borderId="35" numFmtId="1" xfId="0" applyNumberFormat="1" applyFont="1" applyBorder="1" applyAlignment="1">
      <alignment horizontal="center" vertical="center" wrapText="1"/>
    </xf>
    <xf fontId="1" fillId="0" borderId="27" numFmtId="1" xfId="0" applyNumberFormat="1" applyFont="1" applyBorder="1" applyAlignment="1">
      <alignment horizontal="center" vertical="center" wrapText="1"/>
    </xf>
    <xf fontId="1" fillId="0" borderId="28" numFmtId="1" xfId="0" applyNumberFormat="1" applyFont="1" applyBorder="1" applyAlignment="1">
      <alignment horizontal="center" vertical="center" wrapText="1"/>
    </xf>
    <xf fontId="1" fillId="0" borderId="43" numFmtId="0" xfId="0" applyFont="1" applyBorder="1" applyAlignment="1">
      <alignment horizontal="center" vertical="center" wrapText="1"/>
    </xf>
    <xf fontId="1" fillId="0" borderId="29" numFmtId="0" xfId="0" applyFont="1" applyBorder="1" applyAlignment="1">
      <alignment horizontal="left" vertical="center" wrapText="1"/>
    </xf>
    <xf fontId="1" fillId="0" borderId="20" numFmtId="2" xfId="0" applyNumberFormat="1" applyFont="1" applyBorder="1" applyAlignment="1">
      <alignment horizontal="right" vertical="center" wrapText="1"/>
    </xf>
    <xf fontId="1" fillId="0" borderId="30" numFmtId="0" xfId="0" applyFont="1" applyBorder="1" applyAlignment="1">
      <alignment horizontal="center" vertical="center" wrapText="1"/>
    </xf>
    <xf fontId="1" fillId="0" borderId="20" numFmtId="2" xfId="0" applyNumberFormat="1" applyFont="1" applyBorder="1" applyAlignment="1">
      <alignment horizontal="center" vertical="center" wrapText="1"/>
    </xf>
    <xf fontId="1" fillId="0" borderId="31" numFmtId="0" xfId="0" applyFont="1" applyBorder="1" applyAlignment="1">
      <alignment horizontal="left" vertical="center" wrapText="1"/>
    </xf>
    <xf fontId="1" fillId="0" borderId="21" numFmtId="2" xfId="0" applyNumberFormat="1" applyFont="1" applyBorder="1" applyAlignment="1">
      <alignment horizontal="right" vertical="center" wrapText="1"/>
    </xf>
    <xf fontId="1" fillId="0" borderId="21" numFmtId="2" xfId="0" applyNumberFormat="1" applyFont="1" applyBorder="1" applyAlignment="1">
      <alignment horizontal="center" vertical="center" wrapText="1"/>
    </xf>
    <xf fontId="1" fillId="0" borderId="0" numFmtId="9" xfId="0" applyNumberFormat="1" applyFont="1" applyAlignment="1">
      <alignment horizontal="center" vertical="center" wrapText="1"/>
    </xf>
    <xf fontId="1" fillId="0" borderId="0" numFmtId="10" xfId="0" applyNumberFormat="1" applyFont="1" applyAlignment="1">
      <alignment horizontal="center" vertical="center" wrapText="1"/>
    </xf>
    <xf fontId="1" fillId="0" borderId="35" numFmtId="0" xfId="0" applyFont="1" applyBorder="1" applyAlignment="1">
      <alignment horizontal="left" vertical="center" wrapText="1"/>
    </xf>
    <xf fontId="1" fillId="0" borderId="27" numFmtId="2" xfId="0" applyNumberFormat="1" applyFont="1" applyBorder="1" applyAlignment="1">
      <alignment horizontal="right" vertical="center" wrapText="1"/>
    </xf>
    <xf fontId="2" fillId="0" borderId="32" numFmtId="0" xfId="0" applyFont="1" applyBorder="1" applyAlignment="1">
      <alignment horizontal="center" vertical="center" wrapText="1"/>
    </xf>
    <xf fontId="2" fillId="0" borderId="33" numFmtId="0" xfId="0" applyFont="1" applyBorder="1" applyAlignment="1">
      <alignment horizontal="center" vertical="center" wrapText="1"/>
    </xf>
    <xf fontId="2" fillId="0" borderId="34" numFmtId="0" xfId="0" applyFont="1" applyBorder="1" applyAlignment="1">
      <alignment horizontal="center" vertical="center" wrapText="1"/>
    </xf>
    <xf fontId="2" fillId="0" borderId="31" numFmtId="0" xfId="0" applyFont="1" applyBorder="1" applyAlignment="1">
      <alignment horizontal="center" vertical="center" wrapText="1"/>
    </xf>
    <xf fontId="2" fillId="0" borderId="21" numFmtId="0" xfId="0" applyFont="1" applyBorder="1" applyAlignment="1">
      <alignment horizontal="center" vertical="center" wrapText="1"/>
    </xf>
    <xf fontId="2" fillId="0" borderId="22" numFmtId="0" xfId="0" applyFont="1" applyBorder="1" applyAlignment="1">
      <alignment horizontal="center" vertical="center" wrapText="1"/>
    </xf>
    <xf fontId="2" fillId="0" borderId="35" numFmtId="0" xfId="0" applyFont="1" applyBorder="1" applyAlignment="1">
      <alignment horizontal="center" vertical="center" wrapText="1"/>
    </xf>
    <xf fontId="2" fillId="0" borderId="27" numFmtId="0" xfId="0" applyFont="1" applyBorder="1" applyAlignment="1">
      <alignment horizontal="center" vertical="center" wrapText="1"/>
    </xf>
    <xf fontId="2" fillId="0" borderId="28" numFmtId="0" xfId="0" applyFont="1" applyBorder="1" applyAlignment="1">
      <alignment horizontal="center" vertical="center" wrapText="1"/>
    </xf>
    <xf fontId="1" fillId="0" borderId="28" numFmtId="0" xfId="0" applyFont="1" applyBorder="1" applyAlignment="1">
      <alignment horizontal="left" vertical="center" wrapText="1"/>
    </xf>
    <xf fontId="2" fillId="0" borderId="0" numFmtId="0" xfId="0" applyFont="1" applyAlignment="1">
      <alignment horizontal="center" vertical="center" wrapText="1"/>
    </xf>
    <xf fontId="1" fillId="0" borderId="44" numFmtId="0" xfId="0" applyFont="1" applyBorder="1" applyAlignment="1">
      <alignment horizontal="center" vertical="center" wrapText="1"/>
    </xf>
    <xf fontId="1" fillId="0" borderId="45" numFmtId="0" xfId="0" applyFont="1" applyBorder="1" applyAlignment="1">
      <alignment horizontal="center" vertical="center" wrapText="1"/>
    </xf>
    <xf fontId="1" fillId="0" borderId="46" numFmtId="0" xfId="0" applyFont="1" applyBorder="1" applyAlignment="1">
      <alignment horizontal="center" vertical="center" wrapText="1"/>
    </xf>
    <xf fontId="1" fillId="0" borderId="20" numFmtId="0" xfId="0" applyFont="1" applyBorder="1" applyAlignment="1">
      <alignment horizontal="left" vertical="center" wrapText="1"/>
    </xf>
    <xf fontId="1" fillId="0" borderId="20" numFmtId="10" xfId="0" applyNumberFormat="1" applyFont="1" applyBorder="1" applyAlignment="1">
      <alignment horizontal="center" vertical="center" wrapText="1"/>
    </xf>
    <xf fontId="1" fillId="0" borderId="30" numFmtId="10" xfId="0" applyNumberFormat="1" applyFont="1" applyBorder="1" applyAlignment="1">
      <alignment horizontal="center" vertical="center" wrapText="1"/>
    </xf>
    <xf fontId="1" fillId="0" borderId="21" numFmtId="0" xfId="0" applyFont="1" applyBorder="1" applyAlignment="1">
      <alignment horizontal="left" vertical="center" wrapText="1"/>
    </xf>
    <xf fontId="1" fillId="0" borderId="22" numFmtId="2" xfId="0" applyNumberFormat="1" applyFont="1" applyBorder="1" applyAlignment="1">
      <alignment horizontal="center" vertical="center" wrapText="1"/>
    </xf>
    <xf fontId="0" fillId="0" borderId="47" numFmtId="0" xfId="0" applyBorder="1" applyAlignment="1">
      <alignment horizontal="center" vertical="center" wrapText="1"/>
    </xf>
    <xf fontId="0" fillId="0" borderId="48" numFmtId="0" xfId="0" applyBorder="1" applyAlignment="1">
      <alignment horizontal="center" vertical="center" wrapText="1"/>
    </xf>
    <xf fontId="0" fillId="0" borderId="49" numFmtId="0" xfId="0" applyBorder="1" applyAlignment="1">
      <alignment horizontal="center" vertical="center" wrapText="1"/>
    </xf>
    <xf fontId="0" fillId="0" borderId="50" numFmtId="0" xfId="0" applyBorder="1" applyAlignment="1">
      <alignment horizontal="center" vertical="center" wrapText="1"/>
    </xf>
    <xf fontId="0" fillId="0" borderId="0" numFmtId="0" xfId="0" applyAlignment="1">
      <alignment horizontal="center" vertical="center" wrapText="1"/>
    </xf>
    <xf fontId="0" fillId="0" borderId="51" numFmtId="0" xfId="0" applyBorder="1" applyAlignment="1">
      <alignment horizontal="center" vertical="center" wrapText="1"/>
    </xf>
    <xf fontId="1" fillId="0" borderId="21" numFmtId="161" xfId="0" applyNumberFormat="1" applyFont="1" applyBorder="1" applyAlignment="1">
      <alignment horizontal="center" vertical="center" wrapText="1"/>
    </xf>
    <xf fontId="0" fillId="0" borderId="52" numFmtId="0" xfId="0" applyBorder="1" applyAlignment="1">
      <alignment horizontal="center" vertical="center" wrapText="1"/>
    </xf>
    <xf fontId="0" fillId="0" borderId="44" numFmtId="0" xfId="0" applyBorder="1" applyAlignment="1">
      <alignment horizontal="center" vertical="center" wrapText="1"/>
    </xf>
    <xf fontId="0" fillId="0" borderId="53" numFmtId="0" xfId="0" applyBorder="1" applyAlignment="1">
      <alignment horizontal="center" vertical="center" wrapText="1"/>
    </xf>
    <xf fontId="1" fillId="0" borderId="0" numFmtId="0" xfId="0" applyFont="1" applyAlignment="1">
      <alignment horizontal="center" vertical="center" wrapText="1"/>
    </xf>
    <xf fontId="2" fillId="0" borderId="0" numFmtId="0" xfId="0" applyFont="1" applyAlignment="1">
      <alignment vertical="center" wrapText="1"/>
    </xf>
    <xf fontId="1" fillId="0" borderId="0" numFmtId="0" xfId="0" applyFont="1" applyAlignment="1">
      <alignment vertical="center" wrapText="1"/>
    </xf>
    <xf fontId="1" fillId="0" borderId="27" numFmtId="0" xfId="0" applyFont="1" applyBorder="1" applyAlignment="1">
      <alignment horizontal="left" vertical="center" wrapText="1"/>
    </xf>
    <xf fontId="1" fillId="0" borderId="27" numFmtId="2" xfId="0" applyNumberFormat="1" applyFont="1" applyBorder="1" applyAlignment="1">
      <alignment horizontal="center" vertical="center" wrapText="1"/>
    </xf>
    <xf fontId="1" fillId="0" borderId="28" numFmtId="2" xfId="0" applyNumberFormat="1" applyFont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F29" activeCellId="0" sqref="F29:H31"/>
    </sheetView>
  </sheetViews>
  <sheetFormatPr defaultRowHeight="14.25"/>
  <cols>
    <col customWidth="1" min="1" max="1" style="1" width="35.8515625"/>
    <col bestFit="1" customWidth="1" min="2" max="2" style="1" width="22.08203125"/>
    <col bestFit="1" customWidth="1" min="3" max="3" style="1" width="32.140625"/>
    <col bestFit="1" customWidth="1" min="4" max="4" style="1" width="18.3125"/>
    <col min="5" max="5" style="1" width="8.88671875"/>
    <col bestFit="1" customWidth="1" min="6" max="6" style="1" width="32.140625"/>
    <col bestFit="1" customWidth="1" min="7" max="7" style="1" width="19.57421875"/>
    <col bestFit="1" customWidth="1" min="8" max="8" style="1" width="20.82421875"/>
    <col bestFit="1" customWidth="1" min="9" max="9" style="1" width="15.80078125"/>
    <col bestFit="1" customWidth="1" min="10" max="10" style="1" width="18.3125"/>
    <col customWidth="1" min="11" max="12" style="1" width="20.00390625"/>
    <col bestFit="1" customWidth="1" min="13" max="13" style="1" width="18.3125"/>
    <col min="14" max="16384" style="1" width="8.88671875"/>
  </cols>
  <sheetData>
    <row r="1" ht="14.4" customHeight="1">
      <c r="A1" s="2" t="s">
        <v>0</v>
      </c>
      <c r="B1" s="3">
        <v>4</v>
      </c>
      <c r="C1" s="4"/>
      <c r="D1" s="5"/>
    </row>
    <row r="2" ht="14.4" customHeight="1">
      <c r="A2" s="6" t="s">
        <v>1</v>
      </c>
      <c r="B2" s="7" t="s">
        <v>2</v>
      </c>
      <c r="C2" s="7" t="s">
        <v>1</v>
      </c>
      <c r="D2" s="8" t="s">
        <v>2</v>
      </c>
      <c r="F2" s="9" t="s">
        <v>3</v>
      </c>
      <c r="G2" s="10" t="s">
        <v>4</v>
      </c>
      <c r="H2" s="11"/>
      <c r="I2" s="11"/>
      <c r="J2" s="11"/>
      <c r="K2" s="11"/>
      <c r="L2" s="11"/>
      <c r="M2" s="12"/>
    </row>
    <row r="3" ht="14.4" customHeight="1">
      <c r="A3" s="13" t="s">
        <v>5</v>
      </c>
      <c r="B3" s="14" t="s">
        <v>6</v>
      </c>
      <c r="C3" s="14" t="s">
        <v>7</v>
      </c>
      <c r="D3" s="15">
        <v>8.0000000000000002e-002</v>
      </c>
      <c r="F3" s="16"/>
      <c r="G3" s="17" t="s">
        <v>8</v>
      </c>
      <c r="H3" s="18" t="s">
        <v>9</v>
      </c>
      <c r="I3" s="19"/>
      <c r="J3" s="20"/>
      <c r="K3" s="18" t="s">
        <v>10</v>
      </c>
      <c r="L3" s="19"/>
      <c r="M3" s="21"/>
    </row>
    <row r="4" ht="14.4" customHeight="1">
      <c r="A4" s="13" t="s">
        <v>11</v>
      </c>
      <c r="B4" s="14" t="s">
        <v>12</v>
      </c>
      <c r="C4" s="14" t="s">
        <v>13</v>
      </c>
      <c r="D4" s="22">
        <v>1.3</v>
      </c>
      <c r="F4" s="16"/>
      <c r="G4" s="23"/>
      <c r="H4" s="24" t="s">
        <v>14</v>
      </c>
      <c r="I4" s="24" t="s">
        <v>15</v>
      </c>
      <c r="J4" s="24" t="s">
        <v>16</v>
      </c>
      <c r="K4" s="24" t="s">
        <v>14</v>
      </c>
      <c r="L4" s="24" t="s">
        <v>15</v>
      </c>
      <c r="M4" s="25" t="s">
        <v>16</v>
      </c>
    </row>
    <row r="5" ht="14.4" customHeight="1">
      <c r="A5" s="26" t="s">
        <v>17</v>
      </c>
      <c r="B5" s="27" t="s">
        <v>18</v>
      </c>
      <c r="C5" s="27"/>
      <c r="D5" s="28"/>
      <c r="F5" s="29"/>
      <c r="G5" s="30" t="s">
        <v>19</v>
      </c>
      <c r="H5" s="30" t="s">
        <v>20</v>
      </c>
      <c r="I5" s="30" t="s">
        <v>20</v>
      </c>
      <c r="J5" s="30" t="s">
        <v>20</v>
      </c>
      <c r="K5" s="30" t="s">
        <v>21</v>
      </c>
      <c r="L5" s="30" t="s">
        <v>22</v>
      </c>
      <c r="M5" s="31" t="s">
        <v>23</v>
      </c>
    </row>
    <row r="6">
      <c r="F6" s="32">
        <v>1</v>
      </c>
      <c r="G6" s="33">
        <v>2</v>
      </c>
      <c r="H6" s="33">
        <v>3</v>
      </c>
      <c r="I6" s="33">
        <v>4</v>
      </c>
      <c r="J6" s="33">
        <v>5</v>
      </c>
      <c r="K6" s="33">
        <v>6</v>
      </c>
      <c r="L6" s="33">
        <v>7</v>
      </c>
      <c r="M6" s="34">
        <v>8</v>
      </c>
    </row>
    <row r="7">
      <c r="F7" s="35">
        <v>1</v>
      </c>
      <c r="G7" s="36">
        <f t="shared" ref="G7:G16" si="0">1/((1+$B$32/100)^F7)</f>
        <v>0.82348215357711585</v>
      </c>
      <c r="H7" s="36">
        <v>0</v>
      </c>
      <c r="I7" s="36">
        <v>0</v>
      </c>
      <c r="J7" s="36">
        <v>0</v>
      </c>
      <c r="K7" s="36">
        <f t="shared" ref="K7:K9" si="1">G7*H7</f>
        <v>0</v>
      </c>
      <c r="L7" s="36">
        <f t="shared" ref="L7:L16" si="2">G7*I7</f>
        <v>0</v>
      </c>
      <c r="M7" s="37">
        <f t="shared" ref="M7:M16" si="3">G7*J7</f>
        <v>0</v>
      </c>
    </row>
    <row r="8" ht="14.4" customHeight="1">
      <c r="A8" s="38" t="s">
        <v>3</v>
      </c>
      <c r="B8" s="39" t="s">
        <v>24</v>
      </c>
      <c r="C8" s="39"/>
      <c r="D8" s="40"/>
      <c r="F8" s="35">
        <v>2</v>
      </c>
      <c r="G8" s="36">
        <f t="shared" si="0"/>
        <v>0.67812285726000465</v>
      </c>
      <c r="H8" s="36">
        <f>2500+10*$B$1</f>
        <v>2540</v>
      </c>
      <c r="I8" s="36">
        <v>0</v>
      </c>
      <c r="J8" s="36">
        <v>0</v>
      </c>
      <c r="K8" s="36">
        <f t="shared" si="1"/>
        <v>1722.4320574404119</v>
      </c>
      <c r="L8" s="36">
        <f t="shared" si="2"/>
        <v>0</v>
      </c>
      <c r="M8" s="37">
        <f t="shared" si="3"/>
        <v>0</v>
      </c>
    </row>
    <row r="9" ht="14.4" customHeight="1">
      <c r="A9" s="41"/>
      <c r="B9" s="30" t="s">
        <v>14</v>
      </c>
      <c r="C9" s="30" t="s">
        <v>15</v>
      </c>
      <c r="D9" s="31" t="s">
        <v>16</v>
      </c>
      <c r="E9" s="1"/>
      <c r="F9" s="35">
        <v>3</v>
      </c>
      <c r="G9" s="36">
        <f t="shared" si="0"/>
        <v>0.55842207088633566</v>
      </c>
      <c r="H9" s="36">
        <f>6717+10*$B$1</f>
        <v>6757</v>
      </c>
      <c r="I9" s="36">
        <f>4798+$B$1</f>
        <v>4802</v>
      </c>
      <c r="J9" s="36">
        <v>0</v>
      </c>
      <c r="K9" s="36">
        <f t="shared" si="1"/>
        <v>3773.2579329789701</v>
      </c>
      <c r="L9" s="36">
        <f t="shared" si="2"/>
        <v>2681.5427843961838</v>
      </c>
      <c r="M9" s="37">
        <f t="shared" si="3"/>
        <v>0</v>
      </c>
    </row>
    <row r="10">
      <c r="A10" s="32">
        <v>1</v>
      </c>
      <c r="B10" s="33">
        <f>2500+10*$B$1</f>
        <v>2540</v>
      </c>
      <c r="C10" s="33">
        <v>0</v>
      </c>
      <c r="D10" s="34">
        <v>0</v>
      </c>
      <c r="F10" s="35">
        <v>4</v>
      </c>
      <c r="G10" s="36">
        <f t="shared" si="0"/>
        <v>0.45985060953847257</v>
      </c>
      <c r="H10" s="36">
        <f>23659+10*$B$1</f>
        <v>23699</v>
      </c>
      <c r="I10" s="36">
        <f>16899+$B$1</f>
        <v>16903</v>
      </c>
      <c r="J10" s="36">
        <f>13519-5*$B$1</f>
        <v>13499</v>
      </c>
      <c r="K10" s="36">
        <f t="shared" ref="K10:K16" si="4">G10*H10</f>
        <v>10897.999595452262</v>
      </c>
      <c r="L10" s="36">
        <f t="shared" si="2"/>
        <v>7772.8548530288017</v>
      </c>
      <c r="M10" s="37">
        <f t="shared" si="3"/>
        <v>6207.5233781598408</v>
      </c>
    </row>
    <row r="11">
      <c r="A11" s="35">
        <v>2</v>
      </c>
      <c r="B11" s="36">
        <f>6717+10*$B$1</f>
        <v>6757</v>
      </c>
      <c r="C11" s="36">
        <f>4798+$B$1</f>
        <v>4802</v>
      </c>
      <c r="D11" s="37">
        <v>0</v>
      </c>
      <c r="F11" s="35">
        <v>5</v>
      </c>
      <c r="G11" s="36">
        <f t="shared" si="0"/>
        <v>0.37867877026649083</v>
      </c>
      <c r="H11" s="36">
        <f>34626+15*$B$1</f>
        <v>34686</v>
      </c>
      <c r="I11" s="36">
        <f>24733+5*$B$1</f>
        <v>24753</v>
      </c>
      <c r="J11" s="36">
        <f>19786-10*$B$1</f>
        <v>19746</v>
      </c>
      <c r="K11" s="36">
        <f t="shared" si="4"/>
        <v>13134.8518254635</v>
      </c>
      <c r="L11" s="36">
        <f t="shared" si="2"/>
        <v>9373.4356004064466</v>
      </c>
      <c r="M11" s="37">
        <f t="shared" si="3"/>
        <v>7477.3909976821278</v>
      </c>
    </row>
    <row r="12">
      <c r="A12" s="35">
        <v>3</v>
      </c>
      <c r="B12" s="36">
        <f>23659+10*$B$1</f>
        <v>23699</v>
      </c>
      <c r="C12" s="36">
        <f>16899+$B$1</f>
        <v>16903</v>
      </c>
      <c r="D12" s="37">
        <f>13519-5*$B$1</f>
        <v>13499</v>
      </c>
      <c r="F12" s="35">
        <v>6</v>
      </c>
      <c r="G12" s="36">
        <f t="shared" si="0"/>
        <v>0.31183520925298375</v>
      </c>
      <c r="H12" s="36">
        <f>43145+15*$B$1</f>
        <v>43205</v>
      </c>
      <c r="I12" s="36">
        <f>30818+5*$B$1</f>
        <v>30838</v>
      </c>
      <c r="J12" s="36">
        <f>24654-10*$B$1</f>
        <v>24614</v>
      </c>
      <c r="K12" s="36">
        <f t="shared" si="4"/>
        <v>13472.840215775163</v>
      </c>
      <c r="L12" s="36">
        <f t="shared" si="2"/>
        <v>9616.374182943513</v>
      </c>
      <c r="M12" s="37">
        <f t="shared" si="3"/>
        <v>7675.511840552942</v>
      </c>
    </row>
    <row r="13">
      <c r="A13" s="35">
        <v>4</v>
      </c>
      <c r="B13" s="36">
        <f>34626+15*$B$1</f>
        <v>34686</v>
      </c>
      <c r="C13" s="36">
        <f>24733+5*$B$1</f>
        <v>24753</v>
      </c>
      <c r="D13" s="37">
        <f>19786-10*$B$1</f>
        <v>19746</v>
      </c>
      <c r="F13" s="35">
        <v>7</v>
      </c>
      <c r="G13" s="36">
        <f t="shared" si="0"/>
        <v>0.2567907296768176</v>
      </c>
      <c r="H13" s="36">
        <f>60183+15*$B$1</f>
        <v>60243</v>
      </c>
      <c r="I13" s="36">
        <f>42988+5*$B$1</f>
        <v>43008</v>
      </c>
      <c r="J13" s="36">
        <f>34390-10*$B$1</f>
        <v>34350</v>
      </c>
      <c r="K13" s="36">
        <f t="shared" si="4"/>
        <v>15469.843927920523</v>
      </c>
      <c r="L13" s="36">
        <f t="shared" si="2"/>
        <v>11044.055701940571</v>
      </c>
      <c r="M13" s="37">
        <f t="shared" si="3"/>
        <v>8820.7615643986846</v>
      </c>
    </row>
    <row r="14">
      <c r="A14" s="35">
        <v>5</v>
      </c>
      <c r="B14" s="36">
        <f>43145+15*$B$1</f>
        <v>43205</v>
      </c>
      <c r="C14" s="36">
        <f>30818+5*$B$1</f>
        <v>30838</v>
      </c>
      <c r="D14" s="37">
        <f>24654-10*$B$1</f>
        <v>24614</v>
      </c>
      <c r="F14" s="35">
        <v>8</v>
      </c>
      <c r="G14" s="36">
        <f t="shared" si="0"/>
        <v>0.21146258309290478</v>
      </c>
      <c r="H14" s="36">
        <f t="shared" ref="H14:H16" si="5">60183+20*$B$1</f>
        <v>60263</v>
      </c>
      <c r="I14" s="36">
        <f t="shared" ref="I14:I16" si="6">42988+10*$B$1</f>
        <v>43028</v>
      </c>
      <c r="J14" s="36">
        <f t="shared" ref="J14:J16" si="7">34390-15*$B$1</f>
        <v>34330</v>
      </c>
      <c r="K14" s="36">
        <f t="shared" si="4"/>
        <v>12743.369644927721</v>
      </c>
      <c r="L14" s="36">
        <f t="shared" si="2"/>
        <v>9098.8120253215075</v>
      </c>
      <c r="M14" s="37">
        <f t="shared" si="3"/>
        <v>7259.5104775794207</v>
      </c>
    </row>
    <row r="15">
      <c r="A15" s="35">
        <v>6</v>
      </c>
      <c r="B15" s="36">
        <f>60183+15*$B$1</f>
        <v>60243</v>
      </c>
      <c r="C15" s="36">
        <f>42988+5*$B$1</f>
        <v>43008</v>
      </c>
      <c r="D15" s="37">
        <f>34390-10*$B$1</f>
        <v>34350</v>
      </c>
      <c r="F15" s="35">
        <v>9</v>
      </c>
      <c r="G15" s="36">
        <f t="shared" si="0"/>
        <v>0.17413566332632505</v>
      </c>
      <c r="H15" s="36">
        <f t="shared" si="5"/>
        <v>60263</v>
      </c>
      <c r="I15" s="36">
        <f t="shared" si="6"/>
        <v>43028</v>
      </c>
      <c r="J15" s="36">
        <f t="shared" si="7"/>
        <v>34330</v>
      </c>
      <c r="K15" s="36">
        <f t="shared" si="4"/>
        <v>10493.937479034326</v>
      </c>
      <c r="L15" s="36">
        <f t="shared" si="2"/>
        <v>7492.7093216051144</v>
      </c>
      <c r="M15" s="37">
        <f t="shared" si="3"/>
        <v>5978.0773219927387</v>
      </c>
    </row>
    <row r="16">
      <c r="A16" s="35">
        <v>7</v>
      </c>
      <c r="B16" s="36">
        <f t="shared" ref="B16:B18" si="8">60183+20*$B$1</f>
        <v>60263</v>
      </c>
      <c r="C16" s="36">
        <f t="shared" ref="C16:C18" si="9">42988+10*$B$1</f>
        <v>43028</v>
      </c>
      <c r="D16" s="37">
        <f t="shared" ref="D16:D18" si="10">34390-15*$B$1</f>
        <v>34330</v>
      </c>
      <c r="F16" s="42">
        <v>10</v>
      </c>
      <c r="G16" s="43">
        <f t="shared" si="0"/>
        <v>0.14339761105054175</v>
      </c>
      <c r="H16" s="43">
        <f t="shared" si="5"/>
        <v>60263</v>
      </c>
      <c r="I16" s="43">
        <f t="shared" si="6"/>
        <v>43028</v>
      </c>
      <c r="J16" s="43">
        <f t="shared" si="7"/>
        <v>34330</v>
      </c>
      <c r="K16" s="43">
        <f t="shared" si="4"/>
        <v>8641.5702347387978</v>
      </c>
      <c r="L16" s="43">
        <f t="shared" si="2"/>
        <v>6170.11240828271</v>
      </c>
      <c r="M16" s="44">
        <f t="shared" si="3"/>
        <v>4922.8399873650978</v>
      </c>
    </row>
    <row r="17">
      <c r="A17" s="35">
        <v>8</v>
      </c>
      <c r="B17" s="36">
        <f t="shared" si="8"/>
        <v>60263</v>
      </c>
      <c r="C17" s="36">
        <f t="shared" si="9"/>
        <v>43028</v>
      </c>
      <c r="D17" s="37">
        <f t="shared" si="10"/>
        <v>34330</v>
      </c>
      <c r="F17" s="45" t="s">
        <v>25</v>
      </c>
      <c r="G17" s="46"/>
      <c r="H17" s="46"/>
      <c r="I17" s="46"/>
      <c r="J17" s="47"/>
      <c r="K17" s="48">
        <f>SUM(K7:K16)</f>
        <v>90350.10291373168</v>
      </c>
      <c r="L17" s="49">
        <f t="shared" ref="L17:M17" si="11">SUM(L7:L16)</f>
        <v>63249.896877924846</v>
      </c>
      <c r="M17" s="50">
        <f t="shared" si="11"/>
        <v>48341.615567730849</v>
      </c>
    </row>
    <row r="18">
      <c r="A18" s="51">
        <v>9</v>
      </c>
      <c r="B18" s="52">
        <f t="shared" si="8"/>
        <v>60263</v>
      </c>
      <c r="C18" s="52">
        <f t="shared" si="9"/>
        <v>43028</v>
      </c>
      <c r="D18" s="53">
        <f t="shared" si="10"/>
        <v>34330</v>
      </c>
    </row>
    <row r="20" ht="19.800000000000001" customHeight="1">
      <c r="F20" s="54" t="s">
        <v>26</v>
      </c>
      <c r="G20" s="49" t="s">
        <v>27</v>
      </c>
      <c r="H20" s="50" t="s">
        <v>28</v>
      </c>
    </row>
    <row r="21" ht="41.399999999999999" customHeight="1">
      <c r="A21" s="54" t="s">
        <v>26</v>
      </c>
      <c r="B21" s="49" t="s">
        <v>27</v>
      </c>
      <c r="C21" s="50" t="s">
        <v>29</v>
      </c>
      <c r="F21" s="55" t="s">
        <v>30</v>
      </c>
      <c r="G21" s="56">
        <f>K17</f>
        <v>90350.10291373168</v>
      </c>
      <c r="H21" s="57" t="s">
        <v>31</v>
      </c>
    </row>
    <row r="22" ht="41.399999999999999" customHeight="1">
      <c r="A22" s="55" t="s">
        <v>32</v>
      </c>
      <c r="B22" s="58">
        <v>10.5</v>
      </c>
      <c r="C22" s="57" t="s">
        <v>33</v>
      </c>
      <c r="F22" s="59" t="s">
        <v>34</v>
      </c>
      <c r="G22" s="60">
        <f>63274</f>
        <v>63274</v>
      </c>
      <c r="H22" s="25" t="s">
        <v>35</v>
      </c>
    </row>
    <row r="23" ht="41.399999999999999" customHeight="1">
      <c r="A23" s="59" t="s">
        <v>36</v>
      </c>
      <c r="B23" s="61">
        <v>3.0699999999999998</v>
      </c>
      <c r="C23" s="25" t="s">
        <v>37</v>
      </c>
      <c r="F23" s="59" t="s">
        <v>38</v>
      </c>
      <c r="G23" s="60">
        <f>48249</f>
        <v>48249</v>
      </c>
      <c r="H23" s="25" t="s">
        <v>39</v>
      </c>
    </row>
    <row r="24" ht="28.800000000000001" customHeight="1">
      <c r="A24" s="59" t="s">
        <v>40</v>
      </c>
      <c r="B24" s="61">
        <v>4.3700000000000001</v>
      </c>
      <c r="C24" s="25" t="s">
        <v>37</v>
      </c>
      <c r="F24" s="59" t="s">
        <v>41</v>
      </c>
      <c r="G24" s="60">
        <f>(G21+4*G22+G23)/6</f>
        <v>65282.517152288616</v>
      </c>
      <c r="H24" s="25" t="s">
        <v>42</v>
      </c>
    </row>
    <row r="25" ht="28.800000000000001" customHeight="1">
      <c r="A25" s="59" t="s">
        <v>43</v>
      </c>
      <c r="B25" s="61">
        <v>1.8100000000000001</v>
      </c>
      <c r="C25" s="25" t="s">
        <v>37</v>
      </c>
      <c r="F25" s="59" t="s">
        <v>44</v>
      </c>
      <c r="G25" s="60">
        <f t="shared" ref="G25:G26" si="12">D3</f>
        <v>8.0000000000000002e-002</v>
      </c>
      <c r="H25" s="25" t="s">
        <v>45</v>
      </c>
      <c r="I25" s="62"/>
    </row>
    <row r="26" ht="28.800000000000001" customHeight="1">
      <c r="A26" s="59" t="s">
        <v>46</v>
      </c>
      <c r="B26" s="61">
        <v>3</v>
      </c>
      <c r="C26" s="25" t="s">
        <v>37</v>
      </c>
      <c r="F26" s="59" t="s">
        <v>47</v>
      </c>
      <c r="G26" s="60">
        <f t="shared" si="12"/>
        <v>1.3</v>
      </c>
      <c r="H26" s="25" t="s">
        <v>48</v>
      </c>
      <c r="I26" s="63"/>
    </row>
    <row r="27" ht="28.800000000000001" customHeight="1">
      <c r="A27" s="59" t="s">
        <v>49</v>
      </c>
      <c r="B27" s="61">
        <f>B22+B23*B24+B25+B26</f>
        <v>28.725899999999999</v>
      </c>
      <c r="C27" s="25" t="s">
        <v>50</v>
      </c>
      <c r="F27" s="64" t="s">
        <v>51</v>
      </c>
      <c r="G27" s="65">
        <f>G24*G25*G26</f>
        <v>6789.3817838380164</v>
      </c>
      <c r="H27" s="31" t="s">
        <v>52</v>
      </c>
    </row>
    <row r="28" ht="36" customHeight="1">
      <c r="A28" s="59" t="s">
        <v>53</v>
      </c>
      <c r="B28" s="61">
        <v>0.40000000000000002</v>
      </c>
      <c r="C28" s="25" t="s">
        <v>37</v>
      </c>
    </row>
    <row r="29" ht="36" customHeight="1">
      <c r="A29" s="59" t="s">
        <v>54</v>
      </c>
      <c r="B29" s="61">
        <v>0.59999999999999998</v>
      </c>
      <c r="C29" s="25" t="s">
        <v>55</v>
      </c>
      <c r="F29" s="66" t="s">
        <v>56</v>
      </c>
      <c r="G29" s="67"/>
      <c r="H29" s="68"/>
    </row>
    <row r="30" ht="36" customHeight="1">
      <c r="A30" s="59" t="s">
        <v>57</v>
      </c>
      <c r="B30" s="61">
        <v>15</v>
      </c>
      <c r="C30" s="25" t="s">
        <v>37</v>
      </c>
      <c r="F30" s="69"/>
      <c r="G30" s="70"/>
      <c r="H30" s="71"/>
    </row>
    <row r="31" ht="14.4" customHeight="1">
      <c r="A31" s="59" t="s">
        <v>58</v>
      </c>
      <c r="B31" s="61">
        <v>0.29999999999999999</v>
      </c>
      <c r="C31" s="25" t="s">
        <v>37</v>
      </c>
      <c r="F31" s="72"/>
      <c r="G31" s="73"/>
      <c r="H31" s="74"/>
    </row>
    <row r="32" ht="36" customHeight="1">
      <c r="A32" s="64" t="s">
        <v>59</v>
      </c>
      <c r="B32" s="30">
        <f>B27*B29+B28*B30*(1-B31)</f>
        <v>21.43554</v>
      </c>
      <c r="C32" s="75" t="s">
        <v>60</v>
      </c>
      <c r="F32" s="76"/>
      <c r="G32" s="76"/>
      <c r="H32" s="76"/>
    </row>
  </sheetData>
  <mergeCells count="11">
    <mergeCell ref="F2:F5"/>
    <mergeCell ref="G2:M2"/>
    <mergeCell ref="G3:G4"/>
    <mergeCell ref="H3:J3"/>
    <mergeCell ref="K3:M3"/>
    <mergeCell ref="C4:C5"/>
    <mergeCell ref="D4:D5"/>
    <mergeCell ref="A8:A9"/>
    <mergeCell ref="B8:D8"/>
    <mergeCell ref="F17:J17"/>
    <mergeCell ref="F29:H31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5" zoomScale="100" workbookViewId="0">
      <selection activeCell="I20" activeCellId="0" sqref="I20"/>
    </sheetView>
  </sheetViews>
  <sheetFormatPr defaultRowHeight="14.25"/>
  <cols>
    <col bestFit="1" customWidth="1" min="1" max="1" style="1" width="61.05078125"/>
    <col bestFit="1" customWidth="1" min="2" max="2" style="1" width="35.9140625"/>
    <col bestFit="1" customWidth="1" min="3" max="3" style="1" width="20.82421875"/>
    <col bestFit="1" customWidth="1" min="4" max="4" style="1" width="27.11328125"/>
    <col bestFit="1" customWidth="1" min="5" max="5" style="1" width="18.3125"/>
    <col bestFit="1" customWidth="1" min="6" max="6" style="1" width="14.54296875"/>
    <col customWidth="1" min="7" max="7" style="1" width="3.88671875"/>
    <col customWidth="1" min="8" max="8" style="1" width="23.33203125"/>
    <col customWidth="1" min="9" max="9" style="1" width="15"/>
    <col customWidth="1" min="10" max="10" style="1" width="12.6640625"/>
    <col min="11" max="16384" style="1" width="8.88671875"/>
  </cols>
  <sheetData>
    <row r="1" ht="14.4" customHeight="1">
      <c r="A1" s="54" t="s">
        <v>1</v>
      </c>
      <c r="B1" s="50" t="s">
        <v>27</v>
      </c>
      <c r="D1" s="54" t="s">
        <v>0</v>
      </c>
      <c r="E1" s="50">
        <v>4</v>
      </c>
    </row>
    <row r="2" ht="14.4" customHeight="1">
      <c r="A2" s="55" t="s">
        <v>61</v>
      </c>
      <c r="B2" s="57" t="s">
        <v>62</v>
      </c>
    </row>
    <row r="3" ht="14.4" customHeight="1">
      <c r="A3" s="59" t="s">
        <v>63</v>
      </c>
      <c r="B3" s="25" t="s">
        <v>64</v>
      </c>
    </row>
    <row r="4" ht="14.4" customHeight="1">
      <c r="A4" s="64" t="s">
        <v>65</v>
      </c>
      <c r="B4" s="31">
        <v>6</v>
      </c>
    </row>
    <row r="5" ht="14.4" customHeight="1"/>
    <row r="6" ht="14.4" customHeight="1">
      <c r="A6" s="38" t="s">
        <v>26</v>
      </c>
      <c r="B6" s="39" t="s">
        <v>66</v>
      </c>
      <c r="C6" s="39" t="s">
        <v>67</v>
      </c>
      <c r="D6" s="39"/>
      <c r="E6" s="40"/>
    </row>
    <row r="7" ht="14.4" customHeight="1">
      <c r="A7" s="41"/>
      <c r="B7" s="30"/>
      <c r="C7" s="77" t="s">
        <v>68</v>
      </c>
      <c r="D7" s="30" t="s">
        <v>69</v>
      </c>
      <c r="E7" s="31" t="s">
        <v>70</v>
      </c>
    </row>
    <row r="8" ht="14.4" customHeight="1">
      <c r="A8" s="55" t="s">
        <v>71</v>
      </c>
      <c r="B8" s="23" t="s">
        <v>72</v>
      </c>
      <c r="C8" s="23">
        <v>1000</v>
      </c>
      <c r="D8" s="23">
        <v>2300</v>
      </c>
      <c r="E8" s="57">
        <v>3500</v>
      </c>
    </row>
    <row r="9" ht="14.4" customHeight="1">
      <c r="A9" s="59" t="s">
        <v>73</v>
      </c>
      <c r="B9" s="24" t="str">
        <f>'2.1'!B3</f>
        <v>Авиационная</v>
      </c>
      <c r="C9" s="24" t="s">
        <v>74</v>
      </c>
      <c r="D9" s="24" t="s">
        <v>75</v>
      </c>
      <c r="E9" s="25" t="s">
        <v>76</v>
      </c>
    </row>
    <row r="10" ht="14.4" customHeight="1">
      <c r="A10" s="59" t="s">
        <v>77</v>
      </c>
      <c r="B10" s="24" t="str">
        <f>_xlfn.CONCAT('2.1'!B4,'2.1'!B5)</f>
        <v xml:space="preserve">исключ. беспат.особо ценная</v>
      </c>
      <c r="C10" s="24" t="s">
        <v>78</v>
      </c>
      <c r="D10" s="24" t="s">
        <v>79</v>
      </c>
      <c r="E10" s="25" t="s">
        <v>80</v>
      </c>
    </row>
    <row r="11" ht="14.4" customHeight="1">
      <c r="A11" s="59" t="s">
        <v>81</v>
      </c>
      <c r="B11" s="24" t="str">
        <f>$B$2</f>
        <v>малый</v>
      </c>
      <c r="C11" s="24" t="s">
        <v>82</v>
      </c>
      <c r="D11" s="24" t="s">
        <v>83</v>
      </c>
      <c r="E11" s="25" t="s">
        <v>62</v>
      </c>
    </row>
    <row r="12" ht="14.4" customHeight="1">
      <c r="A12" s="59" t="s">
        <v>84</v>
      </c>
      <c r="B12" s="24" t="str">
        <f>$B$3</f>
        <v>мелкосерийное</v>
      </c>
      <c r="C12" s="24" t="s">
        <v>85</v>
      </c>
      <c r="D12" s="24" t="s">
        <v>86</v>
      </c>
      <c r="E12" s="25" t="s">
        <v>87</v>
      </c>
    </row>
    <row r="13" ht="14.4" customHeight="1">
      <c r="A13" s="64" t="s">
        <v>88</v>
      </c>
      <c r="B13" s="30">
        <f>$B$4</f>
        <v>6</v>
      </c>
      <c r="C13" s="30">
        <v>8</v>
      </c>
      <c r="D13" s="30">
        <v>7</v>
      </c>
      <c r="E13" s="31">
        <v>10</v>
      </c>
    </row>
    <row r="14" ht="14.4" customHeight="1"/>
    <row r="15" ht="14.4" customHeight="1">
      <c r="A15" s="38" t="s">
        <v>26</v>
      </c>
      <c r="B15" s="39" t="s">
        <v>29</v>
      </c>
      <c r="C15" s="78" t="s">
        <v>89</v>
      </c>
      <c r="D15" s="10" t="s">
        <v>67</v>
      </c>
      <c r="E15" s="11"/>
      <c r="F15" s="12"/>
    </row>
    <row r="16" ht="14.4" customHeight="1">
      <c r="A16" s="41"/>
      <c r="B16" s="30"/>
      <c r="C16" s="79"/>
      <c r="D16" s="30" t="s">
        <v>68</v>
      </c>
      <c r="E16" s="30" t="s">
        <v>69</v>
      </c>
      <c r="F16" s="31" t="s">
        <v>70</v>
      </c>
    </row>
    <row r="17" ht="14.4" customHeight="1">
      <c r="A17" s="55" t="s">
        <v>90</v>
      </c>
      <c r="B17" s="80" t="s">
        <v>91</v>
      </c>
      <c r="C17" s="81">
        <f>'2.1'!D3</f>
        <v>8.0000000000000002e-002</v>
      </c>
      <c r="D17" s="81">
        <v>1.4999999999999999e-002</v>
      </c>
      <c r="E17" s="81">
        <v>3.5000000000000003e-002</v>
      </c>
      <c r="F17" s="82">
        <v>8.9999999999999993e-003</v>
      </c>
    </row>
    <row r="18" ht="14.4" customHeight="1">
      <c r="A18" s="59" t="s">
        <v>92</v>
      </c>
      <c r="B18" s="83" t="s">
        <v>93</v>
      </c>
      <c r="C18" s="61" t="s">
        <v>72</v>
      </c>
      <c r="D18" s="61">
        <f>$C$17/D17</f>
        <v>5.3333333333333339</v>
      </c>
      <c r="E18" s="61">
        <f>$C$17/E17</f>
        <v>2.2857142857142856</v>
      </c>
      <c r="F18" s="84">
        <f>$C$17/F17</f>
        <v>8.8888888888888893</v>
      </c>
      <c r="H18" s="85" t="str">
        <f>_xlfn.CONCAT("Таким образом, стоимость оцениваемого объекта интеллектуальной собственности, рассчитанная на основе сравнительного метода, составит ",ROUND(C30,2)," тыс. руб.")</f>
        <v xml:space="preserve">Таким образом, стоимость оцениваемого объекта интеллектуальной собственности, рассчитанная на основе сравнительного метода, составит 9487.98 тыс. руб.</v>
      </c>
      <c r="I18" s="86"/>
      <c r="J18" s="86"/>
      <c r="K18" s="86"/>
      <c r="L18" s="87"/>
    </row>
    <row r="19" ht="14.4" customHeight="1">
      <c r="A19" s="59" t="s">
        <v>94</v>
      </c>
      <c r="B19" s="83" t="s">
        <v>95</v>
      </c>
      <c r="C19" s="61">
        <f>'2.1'!D4</f>
        <v>1.3</v>
      </c>
      <c r="D19" s="61">
        <v>1</v>
      </c>
      <c r="E19" s="61">
        <v>0.59999999999999998</v>
      </c>
      <c r="F19" s="84">
        <v>0.69999999999999996</v>
      </c>
      <c r="H19" s="88"/>
      <c r="I19" s="89"/>
      <c r="J19" s="89"/>
      <c r="K19" s="89"/>
      <c r="L19" s="90"/>
    </row>
    <row r="20" ht="14.4" customHeight="1">
      <c r="A20" s="59" t="s">
        <v>96</v>
      </c>
      <c r="B20" s="83" t="s">
        <v>97</v>
      </c>
      <c r="C20" s="61" t="s">
        <v>72</v>
      </c>
      <c r="D20" s="61">
        <f>$C$19/D19</f>
        <v>1.3</v>
      </c>
      <c r="E20" s="61">
        <f>$C$19/E19</f>
        <v>2.166666666666667</v>
      </c>
      <c r="F20" s="84">
        <f>$C$19/F19</f>
        <v>1.8571428571428574</v>
      </c>
      <c r="H20" s="88"/>
      <c r="I20" s="89"/>
      <c r="J20" s="89"/>
      <c r="K20" s="89"/>
      <c r="L20" s="90"/>
    </row>
    <row r="21" ht="14.4" customHeight="1">
      <c r="A21" s="59" t="s">
        <v>98</v>
      </c>
      <c r="B21" s="83" t="s">
        <v>99</v>
      </c>
      <c r="C21" s="61">
        <v>3.3500000000000001</v>
      </c>
      <c r="D21" s="61">
        <v>0.94999999999999996</v>
      </c>
      <c r="E21" s="61">
        <v>1.8100000000000001</v>
      </c>
      <c r="F21" s="84">
        <v>4.0199999999999996</v>
      </c>
      <c r="H21" s="88"/>
      <c r="I21" s="89"/>
      <c r="J21" s="89"/>
      <c r="K21" s="89"/>
      <c r="L21" s="90"/>
    </row>
    <row r="22" ht="14.4" customHeight="1">
      <c r="A22" s="59" t="s">
        <v>100</v>
      </c>
      <c r="B22" s="83" t="s">
        <v>101</v>
      </c>
      <c r="C22" s="61" t="s">
        <v>72</v>
      </c>
      <c r="D22" s="61">
        <f>$C$21/D21</f>
        <v>3.5263157894736845</v>
      </c>
      <c r="E22" s="61">
        <f>$C$21/E21</f>
        <v>1.850828729281768</v>
      </c>
      <c r="F22" s="84">
        <f>$C$21/F21</f>
        <v>0.83333333333333348</v>
      </c>
      <c r="H22" s="88"/>
      <c r="I22" s="89"/>
      <c r="J22" s="89"/>
      <c r="K22" s="89"/>
      <c r="L22" s="90"/>
    </row>
    <row r="23" ht="14.4" customHeight="1">
      <c r="A23" s="59" t="s">
        <v>102</v>
      </c>
      <c r="B23" s="83" t="s">
        <v>103</v>
      </c>
      <c r="C23" s="91">
        <v>0.14749999999999999</v>
      </c>
      <c r="D23" s="61">
        <v>0.40000000000000002</v>
      </c>
      <c r="E23" s="61">
        <v>0.29999999999999999</v>
      </c>
      <c r="F23" s="84">
        <v>0.5</v>
      </c>
      <c r="H23" s="92"/>
      <c r="I23" s="93"/>
      <c r="J23" s="93"/>
      <c r="K23" s="93"/>
      <c r="L23" s="94"/>
    </row>
    <row r="24" ht="14.4" customHeight="1">
      <c r="A24" s="59" t="s">
        <v>104</v>
      </c>
      <c r="B24" s="83" t="s">
        <v>105</v>
      </c>
      <c r="C24" s="61" t="s">
        <v>72</v>
      </c>
      <c r="D24" s="61">
        <f>$C$23/D23</f>
        <v>0.36874999999999997</v>
      </c>
      <c r="E24" s="61">
        <f>$C$23/E23</f>
        <v>0.49166666666666664</v>
      </c>
      <c r="F24" s="84">
        <f>$C$23/F23</f>
        <v>0.29499999999999998</v>
      </c>
    </row>
    <row r="25" ht="14.4" customHeight="1">
      <c r="A25" s="59" t="s">
        <v>106</v>
      </c>
      <c r="B25" s="83" t="s">
        <v>107</v>
      </c>
      <c r="C25" s="61" t="s">
        <v>72</v>
      </c>
      <c r="D25" s="61">
        <f>$B$13/C13</f>
        <v>0.75</v>
      </c>
      <c r="E25" s="61">
        <f>$B$13/D13</f>
        <v>0.8571428571428571</v>
      </c>
      <c r="F25" s="84">
        <f>$B$13/E13</f>
        <v>0.59999999999999998</v>
      </c>
    </row>
    <row r="26" ht="14.4" customHeight="1">
      <c r="A26" s="59" t="s">
        <v>108</v>
      </c>
      <c r="B26" s="83" t="s">
        <v>109</v>
      </c>
      <c r="C26" s="61">
        <v>0.78349999999999997</v>
      </c>
      <c r="D26" s="61">
        <v>0.57840000000000003</v>
      </c>
      <c r="E26" s="61">
        <v>0.78349999999999997</v>
      </c>
      <c r="F26" s="84">
        <v>0.64080000000000004</v>
      </c>
    </row>
    <row r="27" ht="14.4" customHeight="1">
      <c r="A27" s="59" t="s">
        <v>110</v>
      </c>
      <c r="B27" s="83" t="s">
        <v>111</v>
      </c>
      <c r="C27" s="61" t="s">
        <v>72</v>
      </c>
      <c r="D27" s="61">
        <f>$C$26/D26</f>
        <v>1.3545988934993083</v>
      </c>
      <c r="E27" s="61">
        <f>$C$26/E26</f>
        <v>1</v>
      </c>
      <c r="F27" s="84">
        <f>$C$26/F26</f>
        <v>1.2226903870162296</v>
      </c>
      <c r="L27" s="95"/>
    </row>
    <row r="28" ht="14.4" customHeight="1">
      <c r="A28" s="59" t="s">
        <v>112</v>
      </c>
      <c r="B28" s="83" t="s">
        <v>113</v>
      </c>
      <c r="C28" s="61" t="s">
        <v>72</v>
      </c>
      <c r="D28" s="61">
        <f>D18*D20*D22*D24*D25*D27</f>
        <v>9.1594055971099948</v>
      </c>
      <c r="E28" s="61">
        <f t="shared" ref="E28:F28" si="13">E18*E20*E22*E24*E25*E27</f>
        <v>3.8628180553989546</v>
      </c>
      <c r="F28" s="84">
        <f t="shared" si="13"/>
        <v>2.9771540534649148</v>
      </c>
      <c r="H28" s="96"/>
      <c r="I28" s="97"/>
      <c r="J28" s="97"/>
      <c r="K28" s="97"/>
      <c r="L28" s="97"/>
    </row>
    <row r="29" ht="14.4" customHeight="1">
      <c r="A29" s="59" t="s">
        <v>114</v>
      </c>
      <c r="B29" s="83" t="s">
        <v>115</v>
      </c>
      <c r="C29" s="61" t="s">
        <v>72</v>
      </c>
      <c r="D29" s="61">
        <f>D28*C8</f>
        <v>9159.4055971099951</v>
      </c>
      <c r="E29" s="61">
        <f>E28*D8</f>
        <v>8884.4815274175962</v>
      </c>
      <c r="F29" s="84">
        <f>F28*E8</f>
        <v>10420.039187127202</v>
      </c>
      <c r="H29" s="97"/>
      <c r="I29" s="97"/>
      <c r="J29" s="97"/>
      <c r="K29" s="97"/>
      <c r="L29" s="97"/>
    </row>
    <row r="30" ht="14.4" customHeight="1">
      <c r="A30" s="64" t="s">
        <v>116</v>
      </c>
      <c r="B30" s="98" t="s">
        <v>117</v>
      </c>
      <c r="C30" s="99">
        <f>(D29+E29+F29)/3</f>
        <v>9487.9754372182651</v>
      </c>
      <c r="D30" s="99" t="s">
        <v>72</v>
      </c>
      <c r="E30" s="99" t="s">
        <v>72</v>
      </c>
      <c r="F30" s="100" t="s">
        <v>72</v>
      </c>
      <c r="H30" s="97"/>
      <c r="I30" s="97"/>
      <c r="J30" s="97"/>
      <c r="K30" s="97"/>
      <c r="L30" s="97"/>
    </row>
  </sheetData>
  <mergeCells count="8">
    <mergeCell ref="A6:A7"/>
    <mergeCell ref="B6:B7"/>
    <mergeCell ref="C6:E6"/>
    <mergeCell ref="A15:A16"/>
    <mergeCell ref="B15:B16"/>
    <mergeCell ref="C15:C16"/>
    <mergeCell ref="D15:F15"/>
    <mergeCell ref="H18:L23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Masha Protskaya</dc:creator>
  <cp:revision>1</cp:revision>
  <dcterms:created xsi:type="dcterms:W3CDTF">2022-02-03T07:15:08Z</dcterms:created>
  <dcterms:modified xsi:type="dcterms:W3CDTF">2023-02-26T20:26:13Z</dcterms:modified>
</cp:coreProperties>
</file>