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/>
  <xr:revisionPtr revIDLastSave="0" documentId="13_ncr:1_{D8621E1C-7E4E-4D25-97FF-D3977122221B}" xr6:coauthVersionLast="46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6.1" sheetId="6" r:id="rId1"/>
    <sheet name="6.2" sheetId="7" r:id="rId2"/>
    <sheet name="6.3" sheetId="8" r:id="rId3"/>
    <sheet name="6.4" sheetId="9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7" l="1"/>
  <c r="B29" i="8" l="1"/>
  <c r="C14" i="8"/>
  <c r="C13" i="8"/>
  <c r="C12" i="8"/>
  <c r="C11" i="8"/>
  <c r="C10" i="8"/>
  <c r="C9" i="8"/>
  <c r="C8" i="8"/>
  <c r="C7" i="8"/>
  <c r="C6" i="8"/>
  <c r="C5" i="8"/>
  <c r="C16" i="7"/>
  <c r="C15" i="7"/>
  <c r="C14" i="7"/>
  <c r="C13" i="7"/>
  <c r="C12" i="7"/>
  <c r="C11" i="7"/>
  <c r="C10" i="7"/>
  <c r="C9" i="7"/>
  <c r="C8" i="7"/>
  <c r="C7" i="7"/>
  <c r="C6" i="7"/>
  <c r="C23" i="7"/>
  <c r="D3" i="7"/>
  <c r="E32" i="7"/>
  <c r="E31" i="7"/>
  <c r="E30" i="7"/>
  <c r="E29" i="7"/>
  <c r="E28" i="7"/>
  <c r="E27" i="7"/>
  <c r="E26" i="7"/>
  <c r="E25" i="7"/>
  <c r="E24" i="7"/>
  <c r="E23" i="7"/>
  <c r="D32" i="7"/>
  <c r="D31" i="7"/>
  <c r="D30" i="7"/>
  <c r="D29" i="7"/>
  <c r="D28" i="7"/>
  <c r="D27" i="7"/>
  <c r="D26" i="7"/>
  <c r="D25" i="7"/>
  <c r="D24" i="7"/>
  <c r="D23" i="7"/>
  <c r="D22" i="7"/>
  <c r="E8" i="9"/>
  <c r="B8" i="9"/>
  <c r="E5" i="9"/>
  <c r="E4" i="9"/>
  <c r="E3" i="9"/>
  <c r="D5" i="9"/>
  <c r="D4" i="9"/>
  <c r="D3" i="9"/>
  <c r="B5" i="9"/>
  <c r="B4" i="9"/>
  <c r="B3" i="9"/>
  <c r="A5" i="9"/>
  <c r="A4" i="9"/>
  <c r="A3" i="9"/>
  <c r="B9" i="9" l="1"/>
  <c r="B10" i="9" s="1"/>
  <c r="B11" i="9" s="1"/>
  <c r="B12" i="9" s="1"/>
  <c r="B13" i="9" s="1"/>
  <c r="E9" i="9"/>
  <c r="E10" i="9" s="1"/>
  <c r="E11" i="9" s="1"/>
  <c r="E12" i="9" s="1"/>
  <c r="E13" i="9" s="1"/>
  <c r="D10" i="6" l="1"/>
  <c r="D9" i="6"/>
  <c r="D8" i="6"/>
  <c r="D7" i="6"/>
  <c r="D6" i="6"/>
  <c r="D4" i="6"/>
  <c r="C10" i="6"/>
  <c r="C9" i="6"/>
  <c r="C8" i="6"/>
  <c r="C7" i="6"/>
  <c r="C6" i="6"/>
  <c r="C4" i="6"/>
  <c r="C43" i="7"/>
  <c r="C42" i="7"/>
  <c r="D21" i="8" l="1"/>
  <c r="E21" i="8"/>
  <c r="F21" i="8"/>
  <c r="G21" i="8"/>
  <c r="C22" i="8"/>
  <c r="C21" i="8"/>
  <c r="G20" i="8"/>
  <c r="F20" i="8"/>
  <c r="E20" i="8"/>
  <c r="D20" i="8"/>
  <c r="C20" i="8"/>
  <c r="G19" i="8"/>
  <c r="F19" i="8"/>
  <c r="E19" i="8"/>
  <c r="D19" i="8"/>
  <c r="C19" i="8"/>
  <c r="B25" i="8" l="1"/>
  <c r="B28" i="8" l="1"/>
  <c r="B27" i="8"/>
  <c r="B26" i="8"/>
  <c r="B24" i="8"/>
  <c r="C32" i="7"/>
  <c r="C31" i="7"/>
  <c r="C30" i="7"/>
  <c r="C29" i="7"/>
  <c r="C28" i="7"/>
  <c r="C27" i="7"/>
  <c r="C26" i="7"/>
  <c r="C25" i="7"/>
  <c r="C24" i="7"/>
  <c r="E22" i="7"/>
  <c r="C22" i="7"/>
  <c r="B32" i="7"/>
  <c r="B31" i="7"/>
  <c r="B30" i="7"/>
  <c r="B29" i="7"/>
  <c r="H29" i="7" s="1"/>
  <c r="B28" i="7"/>
  <c r="B27" i="7"/>
  <c r="B26" i="7"/>
  <c r="B25" i="7"/>
  <c r="H25" i="7" s="1"/>
  <c r="B24" i="7"/>
  <c r="B23" i="7"/>
  <c r="B22" i="7"/>
  <c r="H27" i="7" l="1"/>
  <c r="F27" i="7"/>
  <c r="G27" i="7"/>
  <c r="H31" i="7"/>
  <c r="G31" i="7"/>
  <c r="F31" i="7"/>
  <c r="F24" i="7"/>
  <c r="H24" i="7"/>
  <c r="G24" i="7"/>
  <c r="F28" i="7"/>
  <c r="H28" i="7"/>
  <c r="G28" i="7"/>
  <c r="F32" i="7"/>
  <c r="H32" i="7"/>
  <c r="G32" i="7"/>
  <c r="H23" i="7"/>
  <c r="F23" i="7"/>
  <c r="G23" i="7"/>
  <c r="F22" i="7"/>
  <c r="I22" i="7" s="1"/>
  <c r="H22" i="7"/>
  <c r="K22" i="7" s="1"/>
  <c r="G22" i="7"/>
  <c r="J22" i="7" s="1"/>
  <c r="F26" i="7"/>
  <c r="H26" i="7"/>
  <c r="G26" i="7"/>
  <c r="F30" i="7"/>
  <c r="G30" i="7"/>
  <c r="H30" i="7"/>
  <c r="F25" i="7"/>
  <c r="G25" i="7"/>
  <c r="G29" i="7"/>
  <c r="F29" i="7"/>
  <c r="E38" i="7" l="1"/>
  <c r="D38" i="7"/>
  <c r="C38" i="7"/>
  <c r="I23" i="7"/>
  <c r="I24" i="7" s="1"/>
  <c r="I25" i="7" s="1"/>
  <c r="I26" i="7" s="1"/>
  <c r="I27" i="7" s="1"/>
  <c r="K23" i="7"/>
  <c r="K24" i="7" s="1"/>
  <c r="K25" i="7" s="1"/>
  <c r="K26" i="7" s="1"/>
  <c r="K27" i="7" s="1"/>
  <c r="K28" i="7" s="1"/>
  <c r="J23" i="7"/>
  <c r="J24" i="7" s="1"/>
  <c r="J25" i="7" s="1"/>
  <c r="J26" i="7" s="1"/>
  <c r="J27" i="7" s="1"/>
  <c r="J28" i="7" s="1"/>
  <c r="I28" i="7" l="1"/>
  <c r="I29" i="7" s="1"/>
  <c r="I30" i="7" s="1"/>
  <c r="I31" i="7" s="1"/>
  <c r="I32" i="7" s="1"/>
  <c r="K29" i="7"/>
  <c r="K30" i="7" s="1"/>
  <c r="K31" i="7" s="1"/>
  <c r="K32" i="7" s="1"/>
  <c r="E37" i="7" s="1"/>
  <c r="J29" i="7"/>
  <c r="J30" i="7" s="1"/>
  <c r="J31" i="7" s="1"/>
  <c r="J32" i="7" s="1"/>
  <c r="D37" i="7" s="1"/>
  <c r="D43" i="7" s="1"/>
  <c r="D39" i="7" l="1"/>
  <c r="C39" i="7"/>
  <c r="C40" i="7"/>
  <c r="C37" i="7"/>
  <c r="D42" i="7" s="1"/>
  <c r="C16" i="6"/>
  <c r="C17" i="6" s="1"/>
  <c r="D16" i="6" l="1"/>
  <c r="D17" i="6" s="1"/>
  <c r="C18" i="6"/>
  <c r="D18" i="6" l="1"/>
</calcChain>
</file>

<file path=xl/sharedStrings.xml><?xml version="1.0" encoding="utf-8"?>
<sst xmlns="http://schemas.openxmlformats.org/spreadsheetml/2006/main" count="162" uniqueCount="129">
  <si>
    <t>Показатели</t>
  </si>
  <si>
    <t>Источник</t>
  </si>
  <si>
    <t>Показатель</t>
  </si>
  <si>
    <t>Обозначение</t>
  </si>
  <si>
    <t>Значения для проектов</t>
  </si>
  <si>
    <t>1-го</t>
  </si>
  <si>
    <t>2-го</t>
  </si>
  <si>
    <t>1. Инвестиции, тыс. руб.</t>
  </si>
  <si>
    <t>I</t>
  </si>
  <si>
    <t>2. Планируемая чистая прибыль по годам реализации проекта, тыс. руб.</t>
  </si>
  <si>
    <t>1-й год</t>
  </si>
  <si>
    <t>P1</t>
  </si>
  <si>
    <t>2-й год</t>
  </si>
  <si>
    <t>P2</t>
  </si>
  <si>
    <t>3-й год</t>
  </si>
  <si>
    <t>P3</t>
  </si>
  <si>
    <t>4-й год</t>
  </si>
  <si>
    <t>P4</t>
  </si>
  <si>
    <t>5-й год</t>
  </si>
  <si>
    <t>P5</t>
  </si>
  <si>
    <t>3. Жизненный цикл проекта, лет</t>
  </si>
  <si>
    <t>T</t>
  </si>
  <si>
    <t>4. Ставка банка по депозитам, %</t>
  </si>
  <si>
    <t>r</t>
  </si>
  <si>
    <t>Значения по проектам</t>
  </si>
  <si>
    <t>1. Среднегодовая чистая прибыль, Pср , тыс. руб.</t>
  </si>
  <si>
    <t>п.2 табл. 6.2 (P1 + P2 + P3 + P4 + P5)/5</t>
  </si>
  <si>
    <t>2. Годовая рентабельность, Rгод , %</t>
  </si>
  <si>
    <t>( Pср / I ) · 100%</t>
  </si>
  <si>
    <t>3. Срок окупаемости, лет</t>
  </si>
  <si>
    <t>I / Pср</t>
  </si>
  <si>
    <t>Условие реализации проекта</t>
  </si>
  <si>
    <t>СК</t>
  </si>
  <si>
    <t>ЗК</t>
  </si>
  <si>
    <t>СК+ЗК</t>
  </si>
  <si>
    <t>1-й</t>
  </si>
  <si>
    <t>2-й</t>
  </si>
  <si>
    <t>3-й</t>
  </si>
  <si>
    <t>4-й</t>
  </si>
  <si>
    <t>5-й</t>
  </si>
  <si>
    <t>Значения по вариантам</t>
  </si>
  <si>
    <t>1. Норма дисконта, %</t>
  </si>
  <si>
    <t>собственный капитал</t>
  </si>
  <si>
    <t>заемный капитал</t>
  </si>
  <si>
    <t>2. Доля собственного капитала в общей сумме инвестирования</t>
  </si>
  <si>
    <t xml:space="preserve">0-й </t>
  </si>
  <si>
    <t xml:space="preserve">1-й </t>
  </si>
  <si>
    <t xml:space="preserve">2-й </t>
  </si>
  <si>
    <t xml:space="preserve">3-й </t>
  </si>
  <si>
    <t xml:space="preserve">4-й </t>
  </si>
  <si>
    <t xml:space="preserve">5-й </t>
  </si>
  <si>
    <t xml:space="preserve">6-й </t>
  </si>
  <si>
    <t xml:space="preserve">7-й </t>
  </si>
  <si>
    <t xml:space="preserve">8-й </t>
  </si>
  <si>
    <t xml:space="preserve">9-й </t>
  </si>
  <si>
    <t xml:space="preserve">10-й </t>
  </si>
  <si>
    <t>Год, t</t>
  </si>
  <si>
    <t>Поток наличности, Сi, тыс. долл.</t>
  </si>
  <si>
    <t>Коэффициент дисконтирования, Ki</t>
  </si>
  <si>
    <t xml:space="preserve">Текущая дисконтированная стоимость потока, ДCi, тыс. долл. </t>
  </si>
  <si>
    <t xml:space="preserve">Накопленная дисконтированная стоимость потока, ЧДСi, тыс. долл. </t>
  </si>
  <si>
    <t>Показтели</t>
  </si>
  <si>
    <t>Значения по условия финансирования</t>
  </si>
  <si>
    <r>
      <t>1.Чистый дисконтированный доход, ЧДС</t>
    </r>
    <r>
      <rPr>
        <i/>
        <vertAlign val="subscript"/>
        <sz val="11"/>
        <color rgb="FF000000"/>
        <rFont val="Calibri"/>
        <family val="2"/>
        <charset val="204"/>
        <scheme val="minor"/>
      </rPr>
      <t>t</t>
    </r>
    <r>
      <rPr>
        <sz val="11"/>
        <color rgb="FF000000"/>
        <rFont val="Calibri"/>
        <family val="2"/>
        <charset val="204"/>
        <scheme val="minor"/>
      </rPr>
      <t xml:space="preserve"> , тыс. долл. </t>
    </r>
  </si>
  <si>
    <r>
      <t>ЧДС</t>
    </r>
    <r>
      <rPr>
        <i/>
        <vertAlign val="subscript"/>
        <sz val="11"/>
        <color rgb="FF000000"/>
        <rFont val="Calibri"/>
        <family val="2"/>
        <charset val="204"/>
        <scheme val="minor"/>
      </rPr>
      <t>t</t>
    </r>
    <r>
      <rPr>
        <sz val="11"/>
        <color rgb="FF000000"/>
        <rFont val="Calibri"/>
        <family val="2"/>
        <charset val="204"/>
        <scheme val="minor"/>
      </rPr>
      <t xml:space="preserve"> &gt; 0 </t>
    </r>
  </si>
  <si>
    <t xml:space="preserve">2. Индекс доходности (рентабельности), ИД  </t>
  </si>
  <si>
    <t xml:space="preserve">ИД &gt; 1 </t>
  </si>
  <si>
    <r>
      <t xml:space="preserve">3. Динамический срок окупаемости, </t>
    </r>
    <r>
      <rPr>
        <i/>
        <sz val="11"/>
        <color rgb="FF000000"/>
        <rFont val="Calibri"/>
        <family val="2"/>
        <charset val="204"/>
        <scheme val="minor"/>
      </rPr>
      <t>T</t>
    </r>
    <r>
      <rPr>
        <vertAlign val="subscript"/>
        <sz val="11"/>
        <color rgb="FF000000"/>
        <rFont val="Calibri"/>
        <family val="2"/>
        <charset val="204"/>
        <scheme val="minor"/>
      </rPr>
      <t>ок</t>
    </r>
    <r>
      <rPr>
        <sz val="11"/>
        <color rgb="FF000000"/>
        <rFont val="Calibri"/>
        <family val="2"/>
        <charset val="204"/>
        <scheme val="minor"/>
      </rPr>
      <t xml:space="preserve">, лет </t>
    </r>
  </si>
  <si>
    <r>
      <t>T</t>
    </r>
    <r>
      <rPr>
        <vertAlign val="subscript"/>
        <sz val="11"/>
        <color rgb="FF000000"/>
        <rFont val="Calibri"/>
        <family val="2"/>
        <charset val="204"/>
        <scheme val="minor"/>
      </rPr>
      <t>ок</t>
    </r>
    <r>
      <rPr>
        <sz val="11"/>
        <color rgb="FF000000"/>
        <rFont val="Calibri"/>
        <family val="2"/>
        <charset val="204"/>
        <scheme val="minor"/>
      </rPr>
      <t xml:space="preserve"> &lt; срок реализации проекта </t>
    </r>
  </si>
  <si>
    <t xml:space="preserve">4. Внутренняя норма доходности, ВНД, % </t>
  </si>
  <si>
    <r>
      <t>ВНД =</t>
    </r>
    <r>
      <rPr>
        <i/>
        <sz val="11"/>
        <color rgb="FF000000"/>
        <rFont val="Calibri"/>
        <family val="2"/>
        <charset val="204"/>
        <scheme val="minor"/>
      </rPr>
      <t xml:space="preserve"> r, </t>
    </r>
    <r>
      <rPr>
        <sz val="11"/>
        <color rgb="FF000000"/>
        <rFont val="Calibri"/>
        <family val="2"/>
        <charset val="204"/>
        <scheme val="minor"/>
      </rPr>
      <t xml:space="preserve">при котором ЧДС = 0  </t>
    </r>
  </si>
  <si>
    <t>Таблица 6.7</t>
  </si>
  <si>
    <t>1. Коэффициент эффективности инвестиций</t>
  </si>
  <si>
    <t>2. Годовой объем выпуска, шт.</t>
  </si>
  <si>
    <t>3. Инвестиции по, млн. руб.</t>
  </si>
  <si>
    <t>4. Издержки производства на изделие, тыс. руб.</t>
  </si>
  <si>
    <t>Значения по вариантам технологий</t>
  </si>
  <si>
    <t>1-ый</t>
  </si>
  <si>
    <t>2-ой</t>
  </si>
  <si>
    <t>3-ий</t>
  </si>
  <si>
    <t>4-ый</t>
  </si>
  <si>
    <t>5ый</t>
  </si>
  <si>
    <t xml:space="preserve">1. Инвестиции, млн. руб. </t>
  </si>
  <si>
    <r>
      <t>I</t>
    </r>
    <r>
      <rPr>
        <i/>
        <vertAlign val="subscript"/>
        <sz val="11"/>
        <color rgb="FF000000"/>
        <rFont val="Times New Roman"/>
        <family val="1"/>
        <charset val="204"/>
      </rPr>
      <t>i</t>
    </r>
    <r>
      <rPr>
        <i/>
        <sz val="11"/>
        <color rgb="FF000000"/>
        <rFont val="Times New Roman"/>
        <family val="1"/>
        <charset val="204"/>
      </rPr>
      <t xml:space="preserve"> </t>
    </r>
  </si>
  <si>
    <t xml:space="preserve">2. Издержки производства на одно изделие, тыс. руб. </t>
  </si>
  <si>
    <r>
      <t>S</t>
    </r>
    <r>
      <rPr>
        <i/>
        <vertAlign val="subscript"/>
        <sz val="11"/>
        <color rgb="FF000000"/>
        <rFont val="Times New Roman"/>
        <family val="1"/>
        <charset val="204"/>
      </rPr>
      <t>i</t>
    </r>
    <r>
      <rPr>
        <sz val="11"/>
        <color rgb="FF000000"/>
        <rFont val="Times New Roman"/>
        <family val="1"/>
        <charset val="204"/>
      </rPr>
      <t xml:space="preserve"> </t>
    </r>
  </si>
  <si>
    <t xml:space="preserve">3. Годовой объем производства, шт. </t>
  </si>
  <si>
    <r>
      <t>V</t>
    </r>
    <r>
      <rPr>
        <i/>
        <vertAlign val="subscript"/>
        <sz val="11"/>
        <color rgb="FF000000"/>
        <rFont val="Times New Roman"/>
        <family val="1"/>
        <charset val="204"/>
      </rPr>
      <t>i</t>
    </r>
    <r>
      <rPr>
        <sz val="11"/>
        <color rgb="FF000000"/>
        <rFont val="Times New Roman"/>
        <family val="1"/>
        <charset val="204"/>
      </rPr>
      <t xml:space="preserve"> </t>
    </r>
  </si>
  <si>
    <t xml:space="preserve">4. Коэффициент эффективности инвестиций </t>
  </si>
  <si>
    <t xml:space="preserve">E </t>
  </si>
  <si>
    <t>Предприятие А</t>
  </si>
  <si>
    <t>Предприятие Б</t>
  </si>
  <si>
    <t xml:space="preserve">ПЗ1 = I1 · E + S1  · V1 = </t>
  </si>
  <si>
    <t xml:space="preserve">ПЗ2 = I2 · E + S2  · V2 = </t>
  </si>
  <si>
    <t xml:space="preserve">ПЗ3 = I3 · E + S3  · V3 = </t>
  </si>
  <si>
    <t xml:space="preserve">ПЗ5 = I5 · E + S5  · V5 = </t>
  </si>
  <si>
    <t xml:space="preserve">ПЗ4 = I4 · E + S4  · V4 = </t>
  </si>
  <si>
    <t>Вариант</t>
  </si>
  <si>
    <t>Предприятие 1</t>
  </si>
  <si>
    <t>Предприятие 2</t>
  </si>
  <si>
    <t>X</t>
  </si>
  <si>
    <t>Y</t>
  </si>
  <si>
    <t>Z</t>
  </si>
  <si>
    <t>L</t>
  </si>
  <si>
    <t>N</t>
  </si>
  <si>
    <t>V</t>
  </si>
  <si>
    <t>Q</t>
  </si>
  <si>
    <t>Дисперсия</t>
  </si>
  <si>
    <t>Среднее квадратическое отклонение</t>
  </si>
  <si>
    <t>Коэффициент вариации</t>
  </si>
  <si>
    <t>Прибыль</t>
  </si>
  <si>
    <t>Количество случаев</t>
  </si>
  <si>
    <t>Всего случаев</t>
  </si>
  <si>
    <t>Значение</t>
  </si>
  <si>
    <t>Тип колеблемости</t>
  </si>
  <si>
    <t>Ставка дисконта</t>
  </si>
  <si>
    <t>Таким образом, наиболее приемлемым вложением капитала будет вложение в предприятие Б, исходя из его более низкого значения коэффициента колеблемости.</t>
  </si>
  <si>
    <t>Таким образом, годовая рентабельность 1-го и 2-го проектов превышает ставку банка по долгосрочным депозитам, которая составляет 10% (по условию). Следовательно, инвестирование в каждый проект явялется целесообразным. Оба проекта окупятся в
течении срока жизни. Годовая рентабельность первого проекта – 26%, второго – 22%, срок окупаемости первого проекта – 3,8 года, второго – 4,6 года. Годовая рентабельность 1-го проекта выше, чем 2-го. По рассчитанным показателям 1-й проект более предпочтителен.</t>
  </si>
  <si>
    <t>3. Поток наличности по годам, тыс. долл</t>
  </si>
  <si>
    <t>Таблица 6.4</t>
  </si>
  <si>
    <t>Таблица 6.5</t>
  </si>
  <si>
    <t>Таблица 6.6</t>
  </si>
  <si>
    <t>rCK = 11%</t>
  </si>
  <si>
    <r>
      <t>r</t>
    </r>
    <r>
      <rPr>
        <b/>
        <vertAlign val="subscript"/>
        <sz val="11"/>
        <color rgb="FF000000"/>
        <rFont val="Times New Roman"/>
        <family val="1"/>
        <charset val="204"/>
      </rPr>
      <t xml:space="preserve">ЗК </t>
    </r>
    <r>
      <rPr>
        <b/>
        <sz val="11"/>
        <color rgb="FF000000"/>
        <rFont val="Times New Roman"/>
        <family val="1"/>
        <charset val="204"/>
      </rPr>
      <t xml:space="preserve"> = 20%</t>
    </r>
  </si>
  <si>
    <t>rCK+ЗК = 14,6%</t>
  </si>
  <si>
    <t xml:space="preserve">Таким образом, во всех трех ситуациях финансирования проект может быть успешно реализован: чистый дисконтированный доход положительный, индекс доходности превышает единицу, а срок окупаемости – в пределах периода реализации проекта. При использовании заемных средств запас финансовой устойчивости
проекта равен 9,4488% (ВНД - rЗК). </t>
  </si>
  <si>
    <t>Таблица 6.8</t>
  </si>
  <si>
    <t>Таким образом, наиболее эффективным является 2 вариант предлагаемой технологии (имеет наименьшие приведенные затраты)</t>
  </si>
  <si>
    <t>Среднее ожидаемое значение прибыли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</si>
</sst>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rgb="FF000000"/>
      <name val="Calibri"/>
      <family val="2"/>
      <charset val="204"/>
      <scheme val="minor"/>
    </font>
    <font>
      <i/>
      <sz val="11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  <charset val="204"/>
    </font>
    <font>
      <b/>
      <vertAlign val="subscript"/>
      <sz val="11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i/>
      <sz val="13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i/>
      <vertAlign val="subscript"/>
      <sz val="11"/>
      <color rgb="FF000000"/>
      <name val="Calibri"/>
      <family val="2"/>
      <charset val="204"/>
      <scheme val="minor"/>
    </font>
    <font>
      <vertAlign val="subscript"/>
      <sz val="11"/>
      <color rgb="FF000000"/>
      <name val="Calibri"/>
      <family val="2"/>
      <charset val="204"/>
      <scheme val="minor"/>
    </font>
    <font>
      <i/>
      <vertAlign val="subscript"/>
      <sz val="11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shrinkToFit="1"/>
    </xf>
    <xf numFmtId="0" fontId="0" fillId="0" borderId="0" xfId="0" applyAlignment="1">
      <alignment wrapText="1" shrinkToFit="1"/>
    </xf>
    <xf numFmtId="0" fontId="0" fillId="0" borderId="1" xfId="0" applyBorder="1" applyAlignment="1">
      <alignment wrapText="1" shrinkToFit="1"/>
    </xf>
    <xf numFmtId="0" fontId="2" fillId="0" borderId="0" xfId="0" applyFont="1" applyAlignment="1">
      <alignment vertical="center" wrapText="1"/>
    </xf>
    <xf numFmtId="0" fontId="0" fillId="0" borderId="3" xfId="0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 shrinkToFit="1"/>
    </xf>
    <xf numFmtId="0" fontId="0" fillId="3" borderId="7" xfId="0" applyFill="1" applyBorder="1" applyAlignment="1">
      <alignment horizontal="left" wrapText="1" shrinkToFit="1"/>
    </xf>
    <xf numFmtId="0" fontId="0" fillId="3" borderId="3" xfId="0" applyFill="1" applyBorder="1" applyAlignment="1">
      <alignment horizontal="left" wrapText="1" shrinkToFit="1"/>
    </xf>
    <xf numFmtId="0" fontId="0" fillId="3" borderId="2" xfId="0" applyFill="1" applyBorder="1" applyAlignment="1">
      <alignment horizontal="right" wrapText="1" shrinkToFit="1"/>
    </xf>
    <xf numFmtId="0" fontId="0" fillId="0" borderId="1" xfId="0" applyFill="1" applyBorder="1" applyAlignment="1">
      <alignment wrapText="1" shrinkToFit="1"/>
    </xf>
    <xf numFmtId="0" fontId="17" fillId="0" borderId="9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Определение</a:t>
            </a:r>
            <a:r>
              <a:rPr lang="ru-RU" baseline="0"/>
              <a:t> ВНД (графический метод)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80"/>
            <c:dispRSqr val="0"/>
            <c:dispEq val="0"/>
          </c:trendline>
          <c:xVal>
            <c:numRef>
              <c:f>'6.2'!$D$42:$D$43</c:f>
              <c:numCache>
                <c:formatCode>General</c:formatCode>
                <c:ptCount val="2"/>
                <c:pt idx="0">
                  <c:v>157.52754881644691</c:v>
                </c:pt>
                <c:pt idx="1">
                  <c:v>80.679946520578497</c:v>
                </c:pt>
              </c:numCache>
            </c:numRef>
          </c:xVal>
          <c:yVal>
            <c:numRef>
              <c:f>'6.2'!$C$42:$C$43</c:f>
              <c:numCache>
                <c:formatCode>General</c:formatCode>
                <c:ptCount val="2"/>
                <c:pt idx="0">
                  <c:v>11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58-4BA3-88F9-E84020EB2372}"/>
            </c:ext>
          </c:extLst>
        </c:ser>
        <c:ser>
          <c:idx val="1"/>
          <c:order val="1"/>
          <c:tx>
            <c:v>точка СК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'6.2'!$D$42</c:f>
              <c:numCache>
                <c:formatCode>General</c:formatCode>
                <c:ptCount val="1"/>
                <c:pt idx="0">
                  <c:v>157.52754881644691</c:v>
                </c:pt>
              </c:numCache>
            </c:numRef>
          </c:xVal>
          <c:yVal>
            <c:numRef>
              <c:f>'6.2'!$C$42</c:f>
              <c:numCache>
                <c:formatCode>General</c:formatCode>
                <c:ptCount val="1"/>
                <c:pt idx="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A1-427D-9036-C99D03A31E1F}"/>
            </c:ext>
          </c:extLst>
        </c:ser>
        <c:ser>
          <c:idx val="2"/>
          <c:order val="2"/>
          <c:tx>
            <c:v>точка ЗК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'6.2'!$D$43</c:f>
              <c:numCache>
                <c:formatCode>General</c:formatCode>
                <c:ptCount val="1"/>
                <c:pt idx="0">
                  <c:v>80.679946520578497</c:v>
                </c:pt>
              </c:numCache>
            </c:numRef>
          </c:xVal>
          <c:yVal>
            <c:numRef>
              <c:f>'6.2'!$C$43</c:f>
              <c:numCache>
                <c:formatCode>General</c:formatCode>
                <c:ptCount val="1"/>
                <c:pt idx="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A1-427D-9036-C99D03A31E1F}"/>
            </c:ext>
          </c:extLst>
        </c:ser>
        <c:ser>
          <c:idx val="3"/>
          <c:order val="3"/>
          <c:tx>
            <c:v>ВНД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'6.2'!$C$40:$E$40</c:f>
              <c:numCache>
                <c:formatCode>General</c:formatCode>
                <c:ptCount val="3"/>
                <c:pt idx="0">
                  <c:v>29.448824647639594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A1-427D-9036-C99D03A31E1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76164416"/>
        <c:axId val="476166912"/>
      </c:scatterChart>
      <c:valAx>
        <c:axId val="476164416"/>
        <c:scaling>
          <c:orientation val="minMax"/>
          <c:max val="17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ЧДС, тыс. долл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76166912"/>
        <c:crosses val="autoZero"/>
        <c:crossBetween val="midCat"/>
        <c:majorUnit val="20"/>
      </c:valAx>
      <c:valAx>
        <c:axId val="4761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7616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Финансовый профиль проекта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СК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[2]Аркуш1!$A$46:$A$56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[2]Аркуш1!$I$22:$I$32</c:f>
              <c:numCache>
                <c:formatCode>General</c:formatCode>
                <c:ptCount val="11"/>
                <c:pt idx="0">
                  <c:v>-106</c:v>
                </c:pt>
                <c:pt idx="1">
                  <c:v>-152.42857142857142</c:v>
                </c:pt>
                <c:pt idx="2">
                  <c:v>-126.91836734693877</c:v>
                </c:pt>
                <c:pt idx="3">
                  <c:v>-72.823068513119537</c:v>
                </c:pt>
                <c:pt idx="4">
                  <c:v>-43.589236906497305</c:v>
                </c:pt>
                <c:pt idx="5">
                  <c:v>-7.2739181405069573</c:v>
                </c:pt>
                <c:pt idx="6">
                  <c:v>31.736678190146733</c:v>
                </c:pt>
                <c:pt idx="7">
                  <c:v>72.448107570467144</c:v>
                </c:pt>
                <c:pt idx="8">
                  <c:v>108.79759808861036</c:v>
                </c:pt>
                <c:pt idx="9">
                  <c:v>143.41616048684199</c:v>
                </c:pt>
                <c:pt idx="10">
                  <c:v>171.10585883364183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7-4D41-B357-CC546796B409}"/>
            </c:ext>
          </c:extLst>
        </c:ser>
        <c:ser>
          <c:idx val="1"/>
          <c:order val="1"/>
          <c:tx>
            <c:v>ЗК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[2]Аркуш1!$A$46:$A$56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[2]Аркуш1!$J$22:$J$32</c:f>
              <c:numCache>
                <c:formatCode>General</c:formatCode>
                <c:ptCount val="11"/>
                <c:pt idx="0">
                  <c:v>-106</c:v>
                </c:pt>
                <c:pt idx="1">
                  <c:v>-149.69747899159665</c:v>
                </c:pt>
                <c:pt idx="2">
                  <c:v>-127.10020478779748</c:v>
                </c:pt>
                <c:pt idx="3">
                  <c:v>-82.000602910467208</c:v>
                </c:pt>
                <c:pt idx="4">
                  <c:v>-59.061840345703914</c:v>
                </c:pt>
                <c:pt idx="5">
                  <c:v>-32.242680606119492</c:v>
                </c:pt>
                <c:pt idx="6">
                  <c:v>-5.1277213105837731</c:v>
                </c:pt>
                <c:pt idx="7">
                  <c:v>21.504891770265456</c:v>
                </c:pt>
                <c:pt idx="8">
                  <c:v>43.88523889702951</c:v>
                </c:pt>
                <c:pt idx="9">
                  <c:v>63.946054248750791</c:v>
                </c:pt>
                <c:pt idx="10">
                  <c:v>79.047858522630605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7-4D41-B357-CC546796B409}"/>
            </c:ext>
          </c:extLst>
        </c:ser>
        <c:ser>
          <c:idx val="2"/>
          <c:order val="2"/>
          <c:tx>
            <c:v>СК + ЗК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[2]Аркуш1!$A$46:$A$56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[2]Аркуш1!$K$22:$K$32</c:f>
              <c:numCache>
                <c:formatCode>General</c:formatCode>
                <c:ptCount val="11"/>
                <c:pt idx="0">
                  <c:v>-106</c:v>
                </c:pt>
                <c:pt idx="1">
                  <c:v>-150.82758620689657</c:v>
                </c:pt>
                <c:pt idx="2">
                  <c:v>-127.04637336504163</c:v>
                </c:pt>
                <c:pt idx="3">
                  <c:v>-78.35639017589898</c:v>
                </c:pt>
                <c:pt idx="4">
                  <c:v>-52.950999673397142</c:v>
                </c:pt>
                <c:pt idx="5">
                  <c:v>-22.47976668688819</c:v>
                </c:pt>
                <c:pt idx="6">
                  <c:v>9.1242869225028294</c:v>
                </c:pt>
                <c:pt idx="7">
                  <c:v>40.968944612216134</c:v>
                </c:pt>
                <c:pt idx="8">
                  <c:v>68.421235724037942</c:v>
                </c:pt>
                <c:pt idx="9">
                  <c:v>93.664721803874102</c:v>
                </c:pt>
                <c:pt idx="10">
                  <c:v>113.15951170029929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7-4D41-B357-CC546796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154240"/>
        <c:axId val="482157568"/>
      </c:scatterChart>
      <c:valAx>
        <c:axId val="4821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Период реализации проекта, </a:t>
                </a:r>
                <a:r>
                  <a:rPr lang="en-US"/>
                  <a:t>t, </a:t>
                </a:r>
                <a:r>
                  <a:rPr lang="ru-RU"/>
                  <a:t>лет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82157568"/>
        <c:crosses val="autoZero"/>
        <c:crossBetween val="midCat"/>
      </c:valAx>
      <c:valAx>
        <c:axId val="4821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Накопленная дисконтированная стоимость потока, ЧДД</a:t>
                </a:r>
                <a:r>
                  <a:rPr lang="en-US"/>
                  <a:t>t</a:t>
                </a:r>
                <a:r>
                  <a:rPr lang="ru-RU"/>
                  <a:t>,</a:t>
                </a:r>
                <a:r>
                  <a:rPr lang="ru-RU" baseline="0"/>
                  <a:t> тыс. долл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8215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155426</xdr:rowOff>
    </xdr:from>
    <xdr:to>
      <xdr:col>2</xdr:col>
      <xdr:colOff>554690</xdr:colOff>
      <xdr:row>56</xdr:row>
      <xdr:rowOff>98612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06F8242-BB2A-42A6-9036-AF9EDBEBC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600634</xdr:colOff>
      <xdr:row>43</xdr:row>
      <xdr:rowOff>74743</xdr:rowOff>
    </xdr:from>
    <xdr:to>
      <xdr:col>6</xdr:col>
      <xdr:colOff>892100</xdr:colOff>
      <xdr:row>58</xdr:row>
      <xdr:rowOff>74744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F74EF54-5691-4CEB-A443-267A8FEC6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ZZNE$$_6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076;&#1072;&#1095;&#1080;%20&#8212;%20&#1082;&#1086;&#1087;&#1080;&#1103;/6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шение"/>
      <sheetName val="Исходные данные"/>
    </sheetNames>
    <sheetDataSet>
      <sheetData sheetId="0">
        <row r="7">
          <cell r="G7">
            <v>0.1</v>
          </cell>
          <cell r="H7">
            <v>0.17</v>
          </cell>
        </row>
        <row r="8">
          <cell r="M8">
            <v>-115</v>
          </cell>
          <cell r="N8">
            <v>-115</v>
          </cell>
          <cell r="O8">
            <v>-115</v>
          </cell>
          <cell r="S8">
            <v>196.89990855676919</v>
          </cell>
          <cell r="T8">
            <v>86.189347696631813</v>
          </cell>
        </row>
        <row r="9">
          <cell r="M9">
            <v>-183.18181818181819</v>
          </cell>
          <cell r="N9">
            <v>-179.10256410256409</v>
          </cell>
          <cell r="O9">
            <v>-181.3716814159292</v>
          </cell>
        </row>
        <row r="10">
          <cell r="M10">
            <v>-145.9917355371901</v>
          </cell>
          <cell r="N10">
            <v>-146.22945430637736</v>
          </cell>
          <cell r="O10">
            <v>-146.13008066410839</v>
          </cell>
        </row>
        <row r="11">
          <cell r="M11">
            <v>-97.156273478587565</v>
          </cell>
          <cell r="N11">
            <v>-105.6453681382456</v>
          </cell>
          <cell r="O11">
            <v>-101.08182011605817</v>
          </cell>
        </row>
        <row r="12">
          <cell r="M12">
            <v>-59.590533433508689</v>
          </cell>
          <cell r="N12">
            <v>-76.294615485421843</v>
          </cell>
          <cell r="O12">
            <v>-67.349290093692446</v>
          </cell>
        </row>
        <row r="13">
          <cell r="M13">
            <v>-19.230647434663616</v>
          </cell>
          <cell r="N13">
            <v>-46.647390583579657</v>
          </cell>
          <cell r="O13">
            <v>-32.069894253728286</v>
          </cell>
        </row>
        <row r="14">
          <cell r="M14">
            <v>20.282527669100787</v>
          </cell>
          <cell r="N14">
            <v>-19.358689161765678</v>
          </cell>
          <cell r="O14">
            <v>1.5524026665915471</v>
          </cell>
          <cell r="S14">
            <v>0.22449574360287222</v>
          </cell>
        </row>
        <row r="15">
          <cell r="M15">
            <v>71.598339492171434</v>
          </cell>
          <cell r="N15">
            <v>13.960848593806947</v>
          </cell>
          <cell r="O15">
            <v>44.058467041205745</v>
          </cell>
        </row>
        <row r="16">
          <cell r="M16">
            <v>118.24907751314475</v>
          </cell>
          <cell r="N16">
            <v>42.43908599173227</v>
          </cell>
          <cell r="O16">
            <v>81.674453213430695</v>
          </cell>
        </row>
        <row r="17">
          <cell r="M17">
            <v>156.41786316666838</v>
          </cell>
          <cell r="N17">
            <v>64.345422451674835</v>
          </cell>
          <cell r="O17">
            <v>111.63408821785765</v>
          </cell>
        </row>
        <row r="18">
          <cell r="M18">
            <v>196.89990855676919</v>
          </cell>
          <cell r="N18">
            <v>86.189347696631813</v>
          </cell>
          <cell r="O18">
            <v>142.56586477110082</v>
          </cell>
        </row>
        <row r="21">
          <cell r="W21">
            <v>0</v>
          </cell>
        </row>
      </sheetData>
      <sheetData sheetId="1">
        <row r="3">
          <cell r="P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ркуш1"/>
    </sheetNames>
    <sheetDataSet>
      <sheetData sheetId="0">
        <row r="22">
          <cell r="I22">
            <v>-106</v>
          </cell>
          <cell r="J22">
            <v>-106</v>
          </cell>
          <cell r="K22">
            <v>-106</v>
          </cell>
        </row>
        <row r="23">
          <cell r="I23">
            <v>-152.42857142857142</v>
          </cell>
          <cell r="J23">
            <v>-149.69747899159665</v>
          </cell>
          <cell r="K23">
            <v>-150.82758620689657</v>
          </cell>
        </row>
        <row r="24">
          <cell r="I24">
            <v>-126.91836734693877</v>
          </cell>
          <cell r="J24">
            <v>-127.10020478779748</v>
          </cell>
          <cell r="K24">
            <v>-127.04637336504163</v>
          </cell>
        </row>
        <row r="25">
          <cell r="I25">
            <v>-72.823068513119537</v>
          </cell>
          <cell r="J25">
            <v>-82.000602910467208</v>
          </cell>
          <cell r="K25">
            <v>-78.35639017589898</v>
          </cell>
        </row>
        <row r="26">
          <cell r="I26">
            <v>-43.589236906497305</v>
          </cell>
          <cell r="J26">
            <v>-59.061840345703914</v>
          </cell>
          <cell r="K26">
            <v>-52.950999673397142</v>
          </cell>
        </row>
        <row r="27">
          <cell r="I27">
            <v>-7.2739181405069573</v>
          </cell>
          <cell r="J27">
            <v>-32.242680606119492</v>
          </cell>
          <cell r="K27">
            <v>-22.47976668688819</v>
          </cell>
        </row>
        <row r="28">
          <cell r="I28">
            <v>31.736678190146733</v>
          </cell>
          <cell r="J28">
            <v>-5.1277213105837731</v>
          </cell>
          <cell r="K28">
            <v>9.1242869225028294</v>
          </cell>
        </row>
        <row r="29">
          <cell r="I29">
            <v>72.448107570467144</v>
          </cell>
          <cell r="J29">
            <v>21.504891770265456</v>
          </cell>
          <cell r="K29">
            <v>40.968944612216134</v>
          </cell>
        </row>
        <row r="30">
          <cell r="I30">
            <v>108.79759808861036</v>
          </cell>
          <cell r="J30">
            <v>43.88523889702951</v>
          </cell>
          <cell r="K30">
            <v>68.421235724037942</v>
          </cell>
        </row>
        <row r="31">
          <cell r="I31">
            <v>143.41616048684199</v>
          </cell>
          <cell r="J31">
            <v>63.946054248750791</v>
          </cell>
          <cell r="K31">
            <v>93.664721803874102</v>
          </cell>
        </row>
        <row r="32">
          <cell r="I32">
            <v>171.10585883364183</v>
          </cell>
          <cell r="J32">
            <v>79.047858522630605</v>
          </cell>
          <cell r="K32">
            <v>113.15951170029929</v>
          </cell>
        </row>
        <row r="46">
          <cell r="A46">
            <v>0</v>
          </cell>
        </row>
        <row r="47">
          <cell r="A47">
            <v>1</v>
          </cell>
        </row>
        <row r="48">
          <cell r="A48">
            <v>2</v>
          </cell>
        </row>
        <row r="49">
          <cell r="A49">
            <v>3</v>
          </cell>
        </row>
        <row r="50">
          <cell r="A50">
            <v>4</v>
          </cell>
        </row>
        <row r="51">
          <cell r="A51">
            <v>5</v>
          </cell>
        </row>
        <row r="52">
          <cell r="A52">
            <v>6</v>
          </cell>
        </row>
        <row r="53">
          <cell r="A53">
            <v>7</v>
          </cell>
        </row>
        <row r="54">
          <cell r="A54">
            <v>8</v>
          </cell>
        </row>
        <row r="55">
          <cell r="A55">
            <v>9</v>
          </cell>
        </row>
        <row r="56">
          <cell r="A5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8271-20C5-48D6-B3C9-3DBDDB943836}">
  <dimension ref="A2:L24"/>
  <sheetViews>
    <sheetView workbookViewId="0">
      <selection activeCell="F13" sqref="F13:L18"/>
    </sheetView>
  </sheetViews>
  <sheetFormatPr defaultRowHeight="14.4" x14ac:dyDescent="0.3"/>
  <cols>
    <col min="1" max="1" width="31.77734375" style="9" customWidth="1"/>
    <col min="2" max="2" width="24.6640625" style="9" customWidth="1"/>
    <col min="3" max="3" width="11.44140625" style="9" customWidth="1"/>
    <col min="4" max="4" width="11.5546875" style="9" customWidth="1"/>
    <col min="5" max="5" width="12.88671875" style="9" customWidth="1"/>
    <col min="6" max="6" width="13.77734375" style="9" customWidth="1"/>
    <col min="7" max="8" width="12.109375" style="9" customWidth="1"/>
    <col min="9" max="9" width="13.5546875" style="9" customWidth="1"/>
    <col min="10" max="16384" width="8.88671875" style="9"/>
  </cols>
  <sheetData>
    <row r="2" spans="1:12" x14ac:dyDescent="0.3">
      <c r="A2" s="32" t="s">
        <v>2</v>
      </c>
      <c r="B2" s="32" t="s">
        <v>3</v>
      </c>
      <c r="C2" s="33" t="s">
        <v>4</v>
      </c>
      <c r="D2" s="33"/>
      <c r="F2" s="10" t="s">
        <v>97</v>
      </c>
      <c r="G2" s="10">
        <v>7</v>
      </c>
    </row>
    <row r="3" spans="1:12" x14ac:dyDescent="0.3">
      <c r="A3" s="32"/>
      <c r="B3" s="32"/>
      <c r="C3" s="11" t="s">
        <v>5</v>
      </c>
      <c r="D3" s="11" t="s">
        <v>6</v>
      </c>
    </row>
    <row r="4" spans="1:12" x14ac:dyDescent="0.3">
      <c r="A4" s="12" t="s">
        <v>7</v>
      </c>
      <c r="B4" s="11" t="s">
        <v>8</v>
      </c>
      <c r="C4" s="11">
        <f>600+50*$G$2</f>
        <v>950</v>
      </c>
      <c r="D4" s="11">
        <f>720+40*$G$2</f>
        <v>1000</v>
      </c>
    </row>
    <row r="5" spans="1:12" ht="16.2" customHeight="1" x14ac:dyDescent="0.3">
      <c r="A5" s="34" t="s">
        <v>9</v>
      </c>
      <c r="B5" s="35"/>
      <c r="C5" s="35"/>
      <c r="D5" s="36"/>
    </row>
    <row r="6" spans="1:12" x14ac:dyDescent="0.3">
      <c r="A6" s="11" t="s">
        <v>10</v>
      </c>
      <c r="B6" s="11" t="s">
        <v>11</v>
      </c>
      <c r="C6" s="11">
        <f>100+10*$G$2</f>
        <v>170</v>
      </c>
      <c r="D6" s="11">
        <f>110+10*$G$2</f>
        <v>180</v>
      </c>
    </row>
    <row r="7" spans="1:12" x14ac:dyDescent="0.3">
      <c r="A7" s="11" t="s">
        <v>12</v>
      </c>
      <c r="B7" s="11" t="s">
        <v>13</v>
      </c>
      <c r="C7" s="11">
        <f>150+10*$G$2</f>
        <v>220</v>
      </c>
      <c r="D7" s="11">
        <f>170+5*$G$2</f>
        <v>205</v>
      </c>
    </row>
    <row r="8" spans="1:12" x14ac:dyDescent="0.3">
      <c r="A8" s="11" t="s">
        <v>14</v>
      </c>
      <c r="B8" s="11" t="s">
        <v>15</v>
      </c>
      <c r="C8" s="11">
        <f>160+15*$G$2</f>
        <v>265</v>
      </c>
      <c r="D8" s="11">
        <f>170+7*$G$2</f>
        <v>219</v>
      </c>
    </row>
    <row r="9" spans="1:12" x14ac:dyDescent="0.3">
      <c r="A9" s="11" t="s">
        <v>16</v>
      </c>
      <c r="B9" s="11" t="s">
        <v>17</v>
      </c>
      <c r="C9" s="11">
        <f>170+15*$G$2</f>
        <v>275</v>
      </c>
      <c r="D9" s="11">
        <f>170+10*$G$2</f>
        <v>240</v>
      </c>
    </row>
    <row r="10" spans="1:12" x14ac:dyDescent="0.3">
      <c r="A10" s="11" t="s">
        <v>18</v>
      </c>
      <c r="B10" s="11" t="s">
        <v>19</v>
      </c>
      <c r="C10" s="11">
        <f>180+20*$G$2</f>
        <v>320</v>
      </c>
      <c r="D10" s="11">
        <f>170+12*$G$2</f>
        <v>254</v>
      </c>
    </row>
    <row r="11" spans="1:12" ht="16.2" customHeight="1" x14ac:dyDescent="0.3">
      <c r="A11" s="12" t="s">
        <v>20</v>
      </c>
      <c r="B11" s="11" t="s">
        <v>21</v>
      </c>
      <c r="C11" s="11">
        <v>7</v>
      </c>
      <c r="D11" s="11">
        <v>7</v>
      </c>
    </row>
    <row r="12" spans="1:12" ht="15" customHeight="1" x14ac:dyDescent="0.3">
      <c r="A12" s="12" t="s">
        <v>22</v>
      </c>
      <c r="B12" s="11" t="s">
        <v>23</v>
      </c>
      <c r="C12" s="30">
        <v>10</v>
      </c>
      <c r="D12" s="31"/>
    </row>
    <row r="13" spans="1:12" x14ac:dyDescent="0.3">
      <c r="F13" s="69" t="s">
        <v>117</v>
      </c>
      <c r="G13" s="29"/>
      <c r="H13" s="29"/>
      <c r="I13" s="29"/>
      <c r="J13" s="29"/>
      <c r="K13" s="29"/>
      <c r="L13" s="29"/>
    </row>
    <row r="14" spans="1:12" ht="14.4" customHeight="1" x14ac:dyDescent="0.3">
      <c r="A14" s="37" t="s">
        <v>0</v>
      </c>
      <c r="B14" s="37" t="s">
        <v>1</v>
      </c>
      <c r="C14" s="30" t="s">
        <v>24</v>
      </c>
      <c r="D14" s="31"/>
      <c r="F14" s="29"/>
      <c r="G14" s="29"/>
      <c r="H14" s="29"/>
      <c r="I14" s="29"/>
      <c r="J14" s="29"/>
      <c r="K14" s="29"/>
      <c r="L14" s="29"/>
    </row>
    <row r="15" spans="1:12" x14ac:dyDescent="0.3">
      <c r="A15" s="38"/>
      <c r="B15" s="38"/>
      <c r="C15" s="11" t="s">
        <v>5</v>
      </c>
      <c r="D15" s="11" t="s">
        <v>6</v>
      </c>
      <c r="F15" s="29"/>
      <c r="G15" s="29"/>
      <c r="H15" s="29"/>
      <c r="I15" s="29"/>
      <c r="J15" s="29"/>
      <c r="K15" s="29"/>
      <c r="L15" s="29"/>
    </row>
    <row r="16" spans="1:12" ht="28.8" customHeight="1" x14ac:dyDescent="0.3">
      <c r="A16" s="12" t="s">
        <v>25</v>
      </c>
      <c r="B16" s="11" t="s">
        <v>26</v>
      </c>
      <c r="C16" s="11">
        <f>SUM(C6:C10)/5</f>
        <v>250</v>
      </c>
      <c r="D16" s="11">
        <f>SUM(D6:D10)/5</f>
        <v>219.6</v>
      </c>
      <c r="F16" s="29"/>
      <c r="G16" s="29"/>
      <c r="H16" s="29"/>
      <c r="I16" s="29"/>
      <c r="J16" s="29"/>
      <c r="K16" s="29"/>
      <c r="L16" s="29"/>
    </row>
    <row r="17" spans="1:12" ht="16.2" customHeight="1" x14ac:dyDescent="0.3">
      <c r="A17" s="12" t="s">
        <v>27</v>
      </c>
      <c r="B17" s="11" t="s">
        <v>28</v>
      </c>
      <c r="C17" s="11">
        <f>C16/C4*100</f>
        <v>26.315789473684209</v>
      </c>
      <c r="D17" s="11">
        <f>D16/D4*100</f>
        <v>21.959999999999997</v>
      </c>
      <c r="F17" s="29"/>
      <c r="G17" s="29"/>
      <c r="H17" s="29"/>
      <c r="I17" s="29"/>
      <c r="J17" s="29"/>
      <c r="K17" s="29"/>
      <c r="L17" s="29"/>
    </row>
    <row r="18" spans="1:12" x14ac:dyDescent="0.3">
      <c r="A18" s="12" t="s">
        <v>29</v>
      </c>
      <c r="B18" s="11" t="s">
        <v>30</v>
      </c>
      <c r="C18" s="11">
        <f>C4/C16</f>
        <v>3.8</v>
      </c>
      <c r="D18" s="11">
        <f>D4/D16</f>
        <v>4.5537340619307836</v>
      </c>
      <c r="F18" s="29"/>
      <c r="G18" s="29"/>
      <c r="H18" s="29"/>
      <c r="I18" s="29"/>
      <c r="J18" s="29"/>
      <c r="K18" s="29"/>
      <c r="L18" s="29"/>
    </row>
    <row r="19" spans="1:12" x14ac:dyDescent="0.3">
      <c r="F19" s="27"/>
      <c r="G19" s="27"/>
      <c r="H19" s="27"/>
      <c r="I19" s="27"/>
      <c r="J19" s="27"/>
      <c r="K19" s="27"/>
    </row>
    <row r="20" spans="1:12" x14ac:dyDescent="0.3">
      <c r="A20" s="13"/>
      <c r="B20" s="13"/>
      <c r="C20" s="13"/>
      <c r="F20" s="27"/>
      <c r="G20" s="27"/>
      <c r="H20" s="27"/>
      <c r="I20" s="27"/>
      <c r="J20" s="27"/>
      <c r="K20" s="27"/>
    </row>
    <row r="21" spans="1:12" x14ac:dyDescent="0.3">
      <c r="A21" s="13"/>
      <c r="B21" s="13"/>
      <c r="C21" s="13"/>
      <c r="F21" s="27"/>
      <c r="G21" s="27"/>
      <c r="H21" s="27"/>
      <c r="I21" s="27"/>
      <c r="J21" s="27"/>
      <c r="K21" s="27"/>
    </row>
    <row r="22" spans="1:12" x14ac:dyDescent="0.3">
      <c r="A22" s="13"/>
      <c r="B22" s="13"/>
      <c r="C22" s="13"/>
      <c r="F22" s="27"/>
      <c r="G22" s="27"/>
      <c r="H22" s="27"/>
      <c r="I22" s="27"/>
      <c r="J22" s="27"/>
      <c r="K22" s="27"/>
    </row>
    <row r="23" spans="1:12" x14ac:dyDescent="0.3">
      <c r="A23" s="13"/>
      <c r="B23" s="13"/>
      <c r="C23" s="13"/>
      <c r="F23" s="27"/>
      <c r="G23" s="27"/>
      <c r="H23" s="27"/>
      <c r="I23" s="27"/>
      <c r="J23" s="27"/>
      <c r="K23" s="27"/>
    </row>
    <row r="24" spans="1:12" x14ac:dyDescent="0.3">
      <c r="F24" s="27"/>
      <c r="G24" s="27"/>
      <c r="H24" s="27"/>
      <c r="I24" s="27"/>
      <c r="J24" s="27"/>
      <c r="K24" s="27"/>
    </row>
  </sheetData>
  <mergeCells count="9">
    <mergeCell ref="F13:L18"/>
    <mergeCell ref="C14:D14"/>
    <mergeCell ref="A2:A3"/>
    <mergeCell ref="B2:B3"/>
    <mergeCell ref="C2:D2"/>
    <mergeCell ref="C12:D12"/>
    <mergeCell ref="A5:D5"/>
    <mergeCell ref="A14:A15"/>
    <mergeCell ref="B14:B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AEFA-0C9B-4765-817D-E3980E82C6E0}">
  <dimension ref="A1:K55"/>
  <sheetViews>
    <sheetView topLeftCell="A18" zoomScale="85" zoomScaleNormal="85" workbookViewId="0">
      <selection activeCell="C32" sqref="C32"/>
    </sheetView>
  </sheetViews>
  <sheetFormatPr defaultRowHeight="14.4" x14ac:dyDescent="0.3"/>
  <cols>
    <col min="1" max="1" width="40.77734375" style="14" customWidth="1"/>
    <col min="2" max="2" width="30.6640625" style="14" customWidth="1"/>
    <col min="3" max="3" width="23.21875" style="14" customWidth="1"/>
    <col min="4" max="4" width="15.77734375" style="14" customWidth="1"/>
    <col min="5" max="5" width="14" style="14" bestFit="1" customWidth="1"/>
    <col min="6" max="6" width="16.33203125" style="14" customWidth="1"/>
    <col min="7" max="7" width="17.88671875" style="14" customWidth="1"/>
    <col min="8" max="8" width="20.109375" style="14" customWidth="1"/>
    <col min="9" max="9" width="23.44140625" style="14" customWidth="1"/>
    <col min="10" max="10" width="19.88671875" style="14" customWidth="1"/>
    <col min="11" max="11" width="20.44140625" style="14" customWidth="1"/>
    <col min="12" max="16384" width="8.88671875" style="14"/>
  </cols>
  <sheetData>
    <row r="1" spans="1:6" x14ac:dyDescent="0.3">
      <c r="A1" s="14" t="s">
        <v>119</v>
      </c>
    </row>
    <row r="2" spans="1:6" ht="14.4" customHeight="1" x14ac:dyDescent="0.3">
      <c r="A2" s="39" t="s">
        <v>0</v>
      </c>
      <c r="B2" s="40"/>
      <c r="C2" s="15" t="s">
        <v>40</v>
      </c>
      <c r="D2" s="16" t="s">
        <v>115</v>
      </c>
      <c r="E2" s="28" t="s">
        <v>97</v>
      </c>
      <c r="F2" s="16">
        <v>7</v>
      </c>
    </row>
    <row r="3" spans="1:6" x14ac:dyDescent="0.3">
      <c r="A3" s="41" t="s">
        <v>41</v>
      </c>
      <c r="B3" s="16" t="s">
        <v>42</v>
      </c>
      <c r="C3" s="17">
        <v>11</v>
      </c>
      <c r="D3" s="16">
        <f>C5*C3+(1-C5)*C4</f>
        <v>14.6</v>
      </c>
    </row>
    <row r="4" spans="1:6" x14ac:dyDescent="0.3">
      <c r="A4" s="42"/>
      <c r="B4" s="16" t="s">
        <v>43</v>
      </c>
      <c r="C4" s="17">
        <v>20</v>
      </c>
    </row>
    <row r="5" spans="1:6" x14ac:dyDescent="0.3">
      <c r="A5" s="43" t="s">
        <v>44</v>
      </c>
      <c r="B5" s="44"/>
      <c r="C5" s="17">
        <v>0.6</v>
      </c>
    </row>
    <row r="6" spans="1:6" x14ac:dyDescent="0.3">
      <c r="A6" s="45" t="s">
        <v>118</v>
      </c>
      <c r="B6" s="17" t="s">
        <v>45</v>
      </c>
      <c r="C6" s="17">
        <f>-90-2*$F$2</f>
        <v>-104</v>
      </c>
    </row>
    <row r="7" spans="1:6" x14ac:dyDescent="0.3">
      <c r="A7" s="46"/>
      <c r="B7" s="17" t="s">
        <v>46</v>
      </c>
      <c r="C7" s="17">
        <f>-60+$F$2</f>
        <v>-53</v>
      </c>
    </row>
    <row r="8" spans="1:6" x14ac:dyDescent="0.3">
      <c r="A8" s="46"/>
      <c r="B8" s="17" t="s">
        <v>47</v>
      </c>
      <c r="C8" s="17">
        <f>40-$F$2</f>
        <v>33</v>
      </c>
    </row>
    <row r="9" spans="1:6" x14ac:dyDescent="0.3">
      <c r="A9" s="46"/>
      <c r="B9" s="17" t="s">
        <v>48</v>
      </c>
      <c r="C9" s="17">
        <f>60+2*$F$2</f>
        <v>74</v>
      </c>
    </row>
    <row r="10" spans="1:6" x14ac:dyDescent="0.3">
      <c r="A10" s="46"/>
      <c r="B10" s="17" t="s">
        <v>49</v>
      </c>
      <c r="C10" s="17">
        <f>30+2*$F$2</f>
        <v>44</v>
      </c>
    </row>
    <row r="11" spans="1:6" x14ac:dyDescent="0.3">
      <c r="A11" s="46"/>
      <c r="B11" s="17" t="s">
        <v>50</v>
      </c>
      <c r="C11" s="17">
        <f>40+3*$F$2</f>
        <v>61</v>
      </c>
    </row>
    <row r="12" spans="1:6" x14ac:dyDescent="0.3">
      <c r="A12" s="46"/>
      <c r="B12" s="17" t="s">
        <v>51</v>
      </c>
      <c r="C12" s="17">
        <f>45+4*$F$2</f>
        <v>73</v>
      </c>
    </row>
    <row r="13" spans="1:6" x14ac:dyDescent="0.3">
      <c r="A13" s="46"/>
      <c r="B13" s="17" t="s">
        <v>52</v>
      </c>
      <c r="C13" s="17">
        <f>50+5*$F$2</f>
        <v>85</v>
      </c>
    </row>
    <row r="14" spans="1:6" x14ac:dyDescent="0.3">
      <c r="A14" s="46"/>
      <c r="B14" s="17" t="s">
        <v>53</v>
      </c>
      <c r="C14" s="17">
        <f>50+5*$F$2</f>
        <v>85</v>
      </c>
    </row>
    <row r="15" spans="1:6" x14ac:dyDescent="0.3">
      <c r="A15" s="46"/>
      <c r="B15" s="17" t="s">
        <v>54</v>
      </c>
      <c r="C15" s="17">
        <f>40+7*$F$2</f>
        <v>89</v>
      </c>
    </row>
    <row r="16" spans="1:6" x14ac:dyDescent="0.3">
      <c r="A16" s="47"/>
      <c r="B16" s="17" t="s">
        <v>55</v>
      </c>
      <c r="C16" s="17">
        <f>30+7*$F$2</f>
        <v>79</v>
      </c>
    </row>
    <row r="18" spans="1:11" x14ac:dyDescent="0.3">
      <c r="A18" s="14" t="s">
        <v>120</v>
      </c>
    </row>
    <row r="19" spans="1:11" x14ac:dyDescent="0.3">
      <c r="A19" s="48" t="s">
        <v>56</v>
      </c>
      <c r="B19" s="48" t="s">
        <v>57</v>
      </c>
      <c r="C19" s="50" t="s">
        <v>58</v>
      </c>
      <c r="D19" s="51"/>
      <c r="E19" s="52"/>
      <c r="F19" s="50" t="s">
        <v>59</v>
      </c>
      <c r="G19" s="51"/>
      <c r="H19" s="52"/>
      <c r="I19" s="50" t="s">
        <v>60</v>
      </c>
      <c r="J19" s="51"/>
      <c r="K19" s="52"/>
    </row>
    <row r="20" spans="1:11" ht="27.6" x14ac:dyDescent="0.3">
      <c r="A20" s="49"/>
      <c r="B20" s="49"/>
      <c r="C20" s="2" t="s">
        <v>122</v>
      </c>
      <c r="D20" s="2" t="s">
        <v>123</v>
      </c>
      <c r="E20" s="2" t="s">
        <v>124</v>
      </c>
      <c r="F20" s="2" t="s">
        <v>32</v>
      </c>
      <c r="G20" s="2" t="s">
        <v>33</v>
      </c>
      <c r="H20" s="2" t="s">
        <v>34</v>
      </c>
      <c r="I20" s="2" t="s">
        <v>32</v>
      </c>
      <c r="J20" s="2" t="s">
        <v>33</v>
      </c>
      <c r="K20" s="2" t="s">
        <v>34</v>
      </c>
    </row>
    <row r="21" spans="1:11" ht="16.8" x14ac:dyDescent="0.3">
      <c r="A21" s="17">
        <v>1</v>
      </c>
      <c r="B21" s="17">
        <v>2</v>
      </c>
      <c r="C21" s="3">
        <v>3</v>
      </c>
      <c r="D21" s="3">
        <v>4</v>
      </c>
      <c r="E21" s="4">
        <v>5</v>
      </c>
      <c r="F21" s="3">
        <v>6</v>
      </c>
      <c r="G21" s="17">
        <v>7</v>
      </c>
      <c r="H21" s="17">
        <v>8</v>
      </c>
      <c r="I21" s="17">
        <v>9</v>
      </c>
      <c r="J21" s="17">
        <v>10</v>
      </c>
      <c r="K21" s="17">
        <v>11</v>
      </c>
    </row>
    <row r="22" spans="1:11" x14ac:dyDescent="0.3">
      <c r="A22" s="17">
        <v>0</v>
      </c>
      <c r="B22" s="17">
        <f>C6</f>
        <v>-104</v>
      </c>
      <c r="C22" s="5">
        <f>1/(1+0.12)^A45</f>
        <v>1</v>
      </c>
      <c r="D22" s="5">
        <f t="shared" ref="D22:D32" si="0">1/(1+0.18)^A45</f>
        <v>1</v>
      </c>
      <c r="E22" s="5">
        <f t="shared" ref="E22:E32" si="1">1/(1+0.15)^A45</f>
        <v>1</v>
      </c>
      <c r="F22" s="5">
        <f>B22*C22</f>
        <v>-104</v>
      </c>
      <c r="G22" s="17">
        <f>B22*D22</f>
        <v>-104</v>
      </c>
      <c r="H22" s="17">
        <f>B22*E22</f>
        <v>-104</v>
      </c>
      <c r="I22" s="17">
        <f>F22</f>
        <v>-104</v>
      </c>
      <c r="J22" s="17">
        <f t="shared" ref="J22:K22" si="2">G22</f>
        <v>-104</v>
      </c>
      <c r="K22" s="17">
        <f t="shared" si="2"/>
        <v>-104</v>
      </c>
    </row>
    <row r="23" spans="1:11" x14ac:dyDescent="0.3">
      <c r="A23" s="17">
        <v>1</v>
      </c>
      <c r="B23" s="17">
        <f t="shared" ref="B23:B32" si="3">C7</f>
        <v>-53</v>
      </c>
      <c r="C23" s="5">
        <f>1/(1+0.12)^A46</f>
        <v>0.89285714285714279</v>
      </c>
      <c r="D23" s="5">
        <f t="shared" si="0"/>
        <v>0.84745762711864414</v>
      </c>
      <c r="E23" s="5">
        <f t="shared" si="1"/>
        <v>0.86956521739130443</v>
      </c>
      <c r="F23" s="5">
        <f t="shared" ref="F23:F32" si="4">B23*C23</f>
        <v>-47.321428571428569</v>
      </c>
      <c r="G23" s="17">
        <f t="shared" ref="G23:G32" si="5">B23*D23</f>
        <v>-44.915254237288138</v>
      </c>
      <c r="H23" s="17">
        <f t="shared" ref="H23:H32" si="6">B23*E23</f>
        <v>-46.086956521739133</v>
      </c>
      <c r="I23" s="17">
        <f>I22+F23</f>
        <v>-151.32142857142856</v>
      </c>
      <c r="J23" s="17">
        <f>J22+G23</f>
        <v>-148.91525423728814</v>
      </c>
      <c r="K23" s="17">
        <f>K22+H23</f>
        <v>-150.08695652173913</v>
      </c>
    </row>
    <row r="24" spans="1:11" x14ac:dyDescent="0.3">
      <c r="A24" s="17">
        <v>2</v>
      </c>
      <c r="B24" s="17">
        <f t="shared" si="3"/>
        <v>33</v>
      </c>
      <c r="C24" s="5">
        <f t="shared" ref="C24:C32" si="7">1/(1+0.12)^A47</f>
        <v>0.79719387755102034</v>
      </c>
      <c r="D24" s="5">
        <f t="shared" si="0"/>
        <v>0.71818442976156283</v>
      </c>
      <c r="E24" s="5">
        <f t="shared" si="1"/>
        <v>0.7561436672967865</v>
      </c>
      <c r="F24" s="5">
        <f t="shared" si="4"/>
        <v>26.307397959183671</v>
      </c>
      <c r="G24" s="17">
        <f t="shared" si="5"/>
        <v>23.700086182131574</v>
      </c>
      <c r="H24" s="17">
        <f t="shared" si="6"/>
        <v>24.952741020793955</v>
      </c>
      <c r="I24" s="17">
        <f>I23+F24</f>
        <v>-125.01403061224488</v>
      </c>
      <c r="J24" s="17">
        <f t="shared" ref="I24:K32" si="8">J23+G24</f>
        <v>-125.21516805515657</v>
      </c>
      <c r="K24" s="17">
        <f t="shared" si="8"/>
        <v>-125.13421550094517</v>
      </c>
    </row>
    <row r="25" spans="1:11" x14ac:dyDescent="0.3">
      <c r="A25" s="17">
        <v>3</v>
      </c>
      <c r="B25" s="17">
        <f t="shared" si="3"/>
        <v>74</v>
      </c>
      <c r="C25" s="5">
        <f t="shared" si="7"/>
        <v>0.71178024781341087</v>
      </c>
      <c r="D25" s="5">
        <f t="shared" si="0"/>
        <v>0.6086308726792905</v>
      </c>
      <c r="E25" s="5">
        <f t="shared" si="1"/>
        <v>0.65751623243198831</v>
      </c>
      <c r="F25" s="5">
        <f t="shared" si="4"/>
        <v>52.671738338192405</v>
      </c>
      <c r="G25" s="17">
        <f t="shared" si="5"/>
        <v>45.0386845782675</v>
      </c>
      <c r="H25" s="17">
        <f t="shared" si="6"/>
        <v>48.656201199967136</v>
      </c>
      <c r="I25" s="17">
        <f t="shared" si="8"/>
        <v>-72.342292274052483</v>
      </c>
      <c r="J25" s="17">
        <f t="shared" si="8"/>
        <v>-80.176483476889075</v>
      </c>
      <c r="K25" s="17">
        <f t="shared" si="8"/>
        <v>-76.478014300978032</v>
      </c>
    </row>
    <row r="26" spans="1:11" x14ac:dyDescent="0.3">
      <c r="A26" s="17">
        <v>4</v>
      </c>
      <c r="B26" s="17">
        <f t="shared" si="3"/>
        <v>44</v>
      </c>
      <c r="C26" s="5">
        <f t="shared" si="7"/>
        <v>0.63551807840483121</v>
      </c>
      <c r="D26" s="5">
        <f t="shared" si="0"/>
        <v>0.51578887515194116</v>
      </c>
      <c r="E26" s="5">
        <f t="shared" si="1"/>
        <v>0.57175324559303342</v>
      </c>
      <c r="F26" s="5">
        <f t="shared" si="4"/>
        <v>27.962795449812575</v>
      </c>
      <c r="G26" s="17">
        <f t="shared" si="5"/>
        <v>22.694710506685411</v>
      </c>
      <c r="H26" s="17">
        <f t="shared" si="6"/>
        <v>25.157142806093471</v>
      </c>
      <c r="I26" s="17">
        <f t="shared" si="8"/>
        <v>-44.379496824239908</v>
      </c>
      <c r="J26" s="17">
        <f t="shared" si="8"/>
        <v>-57.481772970203664</v>
      </c>
      <c r="K26" s="17">
        <f t="shared" si="8"/>
        <v>-51.320871494884557</v>
      </c>
    </row>
    <row r="27" spans="1:11" x14ac:dyDescent="0.3">
      <c r="A27" s="17">
        <v>5</v>
      </c>
      <c r="B27" s="17">
        <f t="shared" si="3"/>
        <v>61</v>
      </c>
      <c r="C27" s="5">
        <f t="shared" si="7"/>
        <v>0.56742685571859919</v>
      </c>
      <c r="D27" s="5">
        <f t="shared" si="0"/>
        <v>0.43710921623045873</v>
      </c>
      <c r="E27" s="5">
        <f t="shared" si="1"/>
        <v>0.49717673529828987</v>
      </c>
      <c r="F27" s="5">
        <f t="shared" si="4"/>
        <v>34.613038198834552</v>
      </c>
      <c r="G27" s="17">
        <f t="shared" si="5"/>
        <v>26.663662190057984</v>
      </c>
      <c r="H27" s="17">
        <f t="shared" si="6"/>
        <v>30.327780853195684</v>
      </c>
      <c r="I27" s="17">
        <f t="shared" si="8"/>
        <v>-9.766458625405356</v>
      </c>
      <c r="J27" s="17">
        <f t="shared" si="8"/>
        <v>-30.81811078014568</v>
      </c>
      <c r="K27" s="17">
        <f t="shared" si="8"/>
        <v>-20.993090641688873</v>
      </c>
    </row>
    <row r="28" spans="1:11" x14ac:dyDescent="0.3">
      <c r="A28" s="17">
        <v>6</v>
      </c>
      <c r="B28" s="17">
        <f t="shared" si="3"/>
        <v>73</v>
      </c>
      <c r="C28" s="5">
        <f t="shared" si="7"/>
        <v>0.50663112117732068</v>
      </c>
      <c r="D28" s="5">
        <f t="shared" si="0"/>
        <v>0.37043153917835481</v>
      </c>
      <c r="E28" s="5">
        <f t="shared" si="1"/>
        <v>0.43232759591155645</v>
      </c>
      <c r="F28" s="5">
        <f t="shared" si="4"/>
        <v>36.984071845944406</v>
      </c>
      <c r="G28" s="17">
        <f t="shared" si="5"/>
        <v>27.041502360019901</v>
      </c>
      <c r="H28" s="17">
        <f t="shared" si="6"/>
        <v>31.55991450154362</v>
      </c>
      <c r="I28" s="17">
        <f t="shared" si="8"/>
        <v>27.21761322053905</v>
      </c>
      <c r="J28" s="17">
        <f t="shared" si="8"/>
        <v>-3.776608420125779</v>
      </c>
      <c r="K28" s="17">
        <f t="shared" si="8"/>
        <v>10.566823859854747</v>
      </c>
    </row>
    <row r="29" spans="1:11" x14ac:dyDescent="0.3">
      <c r="A29" s="17">
        <v>7</v>
      </c>
      <c r="B29" s="17">
        <f t="shared" si="3"/>
        <v>85</v>
      </c>
      <c r="C29" s="5">
        <f t="shared" si="7"/>
        <v>0.45234921533689343</v>
      </c>
      <c r="D29" s="5">
        <f t="shared" si="0"/>
        <v>0.31392503320199561</v>
      </c>
      <c r="E29" s="5">
        <f t="shared" si="1"/>
        <v>0.37593703992309269</v>
      </c>
      <c r="F29" s="5">
        <f t="shared" si="4"/>
        <v>38.449683303635943</v>
      </c>
      <c r="G29" s="17">
        <f t="shared" si="5"/>
        <v>26.683627822169626</v>
      </c>
      <c r="H29" s="17">
        <f t="shared" si="6"/>
        <v>31.954648393462879</v>
      </c>
      <c r="I29" s="17">
        <f t="shared" si="8"/>
        <v>65.667296524174986</v>
      </c>
      <c r="J29" s="17">
        <f t="shared" si="8"/>
        <v>22.907019402043847</v>
      </c>
      <c r="K29" s="17">
        <f t="shared" si="8"/>
        <v>42.521472253317626</v>
      </c>
    </row>
    <row r="30" spans="1:11" x14ac:dyDescent="0.3">
      <c r="A30" s="17">
        <v>8</v>
      </c>
      <c r="B30" s="17">
        <f t="shared" si="3"/>
        <v>85</v>
      </c>
      <c r="C30" s="5">
        <f t="shared" si="7"/>
        <v>0.4038832279793691</v>
      </c>
      <c r="D30" s="5">
        <f t="shared" si="0"/>
        <v>0.26603816373050476</v>
      </c>
      <c r="E30" s="5">
        <f t="shared" si="1"/>
        <v>0.32690177384616753</v>
      </c>
      <c r="F30" s="5">
        <f t="shared" si="4"/>
        <v>34.330074378246373</v>
      </c>
      <c r="G30" s="17">
        <f t="shared" si="5"/>
        <v>22.613243917092905</v>
      </c>
      <c r="H30" s="17">
        <f t="shared" si="6"/>
        <v>27.78665077692424</v>
      </c>
      <c r="I30" s="17">
        <f t="shared" si="8"/>
        <v>99.997370902421352</v>
      </c>
      <c r="J30" s="17">
        <f t="shared" si="8"/>
        <v>45.520263319136753</v>
      </c>
      <c r="K30" s="17">
        <f t="shared" si="8"/>
        <v>70.308123030241859</v>
      </c>
    </row>
    <row r="31" spans="1:11" x14ac:dyDescent="0.3">
      <c r="A31" s="17">
        <v>9</v>
      </c>
      <c r="B31" s="17">
        <f t="shared" si="3"/>
        <v>89</v>
      </c>
      <c r="C31" s="5">
        <f t="shared" si="7"/>
        <v>0.36061002498157957</v>
      </c>
      <c r="D31" s="5">
        <f t="shared" si="0"/>
        <v>0.22545607095805489</v>
      </c>
      <c r="E31" s="5">
        <f t="shared" si="1"/>
        <v>0.28426241204014574</v>
      </c>
      <c r="F31" s="5">
        <f t="shared" si="4"/>
        <v>32.094292223360583</v>
      </c>
      <c r="G31" s="17">
        <f t="shared" si="5"/>
        <v>20.065590315266885</v>
      </c>
      <c r="H31" s="17">
        <f t="shared" si="6"/>
        <v>25.299354671572971</v>
      </c>
      <c r="I31" s="17">
        <f t="shared" si="8"/>
        <v>132.09166312578193</v>
      </c>
      <c r="J31" s="17">
        <f t="shared" si="8"/>
        <v>65.585853634403634</v>
      </c>
      <c r="K31" s="17">
        <f t="shared" si="8"/>
        <v>95.60747770181483</v>
      </c>
    </row>
    <row r="32" spans="1:11" x14ac:dyDescent="0.3">
      <c r="A32" s="17">
        <v>10</v>
      </c>
      <c r="B32" s="17">
        <f t="shared" si="3"/>
        <v>79</v>
      </c>
      <c r="C32" s="5">
        <f t="shared" si="7"/>
        <v>0.32197323659069599</v>
      </c>
      <c r="D32" s="5">
        <f t="shared" si="0"/>
        <v>0.19106446691360587</v>
      </c>
      <c r="E32" s="5">
        <f t="shared" si="1"/>
        <v>0.24718470612186585</v>
      </c>
      <c r="F32" s="5">
        <f t="shared" si="4"/>
        <v>25.435885690664982</v>
      </c>
      <c r="G32" s="17">
        <f t="shared" si="5"/>
        <v>15.094092886174865</v>
      </c>
      <c r="H32" s="17">
        <f t="shared" si="6"/>
        <v>19.527591783627404</v>
      </c>
      <c r="I32" s="17">
        <f t="shared" si="8"/>
        <v>157.52754881644691</v>
      </c>
      <c r="J32" s="17">
        <f t="shared" si="8"/>
        <v>80.679946520578497</v>
      </c>
      <c r="K32" s="17">
        <f t="shared" si="8"/>
        <v>115.13506948544223</v>
      </c>
    </row>
    <row r="34" spans="1:10" x14ac:dyDescent="0.3">
      <c r="A34" s="14" t="s">
        <v>121</v>
      </c>
    </row>
    <row r="35" spans="1:10" x14ac:dyDescent="0.3">
      <c r="A35" s="53" t="s">
        <v>61</v>
      </c>
      <c r="B35" s="53" t="s">
        <v>31</v>
      </c>
      <c r="C35" s="55" t="s">
        <v>62</v>
      </c>
      <c r="D35" s="56"/>
      <c r="E35" s="57"/>
    </row>
    <row r="36" spans="1:10" x14ac:dyDescent="0.3">
      <c r="A36" s="54"/>
      <c r="B36" s="54"/>
      <c r="C36" s="19" t="s">
        <v>32</v>
      </c>
      <c r="D36" s="19" t="s">
        <v>33</v>
      </c>
      <c r="E36" s="19" t="s">
        <v>34</v>
      </c>
    </row>
    <row r="37" spans="1:10" ht="30" x14ac:dyDescent="0.35">
      <c r="A37" s="20" t="s">
        <v>63</v>
      </c>
      <c r="B37" s="6" t="s">
        <v>64</v>
      </c>
      <c r="C37" s="21">
        <f>I32</f>
        <v>157.52754881644691</v>
      </c>
      <c r="D37" s="21">
        <f>J32</f>
        <v>80.679946520578497</v>
      </c>
      <c r="E37" s="21">
        <f>K32</f>
        <v>115.13506948544223</v>
      </c>
    </row>
    <row r="38" spans="1:10" ht="19.2" customHeight="1" x14ac:dyDescent="0.3">
      <c r="A38" s="20" t="s">
        <v>65</v>
      </c>
      <c r="B38" s="6" t="s">
        <v>66</v>
      </c>
      <c r="C38" s="21">
        <f>SUM(F24:F32)/SUM(F22:F23)*(-1)</f>
        <v>2.0410128314516198</v>
      </c>
      <c r="D38" s="21">
        <f>SUM(G24:G32)/SUM(G22:G23)*(-1)</f>
        <v>1.5417842982829653</v>
      </c>
      <c r="E38" s="21">
        <f>SUM(H24:H32)/SUM(H22:H23)*(-1)</f>
        <v>1.7671224212529468</v>
      </c>
    </row>
    <row r="39" spans="1:10" ht="18.600000000000001" customHeight="1" x14ac:dyDescent="0.3">
      <c r="A39" s="20" t="s">
        <v>67</v>
      </c>
      <c r="B39" s="7" t="s">
        <v>68</v>
      </c>
      <c r="C39" s="21">
        <f>A27+ABS(I27)/(ABS(I27)+I28)</f>
        <v>5.2640720217635071</v>
      </c>
      <c r="D39" s="21">
        <f>A28+ABS(J28)/(ABS(J28)+J29)</f>
        <v>6.141532794764438</v>
      </c>
      <c r="E39" s="21">
        <f>A27+ABS(K27)/(ABS(K27)+K28)</f>
        <v>5.6651821138698608</v>
      </c>
    </row>
    <row r="40" spans="1:10" x14ac:dyDescent="0.3">
      <c r="A40" s="20" t="s">
        <v>69</v>
      </c>
      <c r="B40" s="8" t="s">
        <v>70</v>
      </c>
      <c r="C40" s="58">
        <f>C3-(I32*(C4-C3))/(J32-I32)</f>
        <v>29.448824647639594</v>
      </c>
      <c r="D40" s="59"/>
      <c r="E40" s="60"/>
    </row>
    <row r="42" spans="1:10" x14ac:dyDescent="0.3">
      <c r="C42" s="18">
        <f>C3</f>
        <v>11</v>
      </c>
      <c r="D42" s="18">
        <f>C37</f>
        <v>157.52754881644691</v>
      </c>
      <c r="H42" s="70" t="s">
        <v>125</v>
      </c>
      <c r="I42" s="70"/>
      <c r="J42" s="70"/>
    </row>
    <row r="43" spans="1:10" x14ac:dyDescent="0.3">
      <c r="C43" s="18">
        <f>C4</f>
        <v>20</v>
      </c>
      <c r="D43" s="18">
        <f>D37</f>
        <v>80.679946520578497</v>
      </c>
      <c r="H43" s="70"/>
      <c r="I43" s="70"/>
      <c r="J43" s="70"/>
    </row>
    <row r="44" spans="1:10" x14ac:dyDescent="0.3">
      <c r="H44" s="70"/>
      <c r="I44" s="70"/>
      <c r="J44" s="70"/>
    </row>
    <row r="45" spans="1:10" ht="14.4" customHeight="1" x14ac:dyDescent="0.3">
      <c r="A45" s="14">
        <v>0</v>
      </c>
      <c r="H45" s="70"/>
      <c r="I45" s="70"/>
      <c r="J45" s="70"/>
    </row>
    <row r="46" spans="1:10" x14ac:dyDescent="0.3">
      <c r="A46" s="14">
        <v>1</v>
      </c>
      <c r="H46" s="70"/>
      <c r="I46" s="70"/>
      <c r="J46" s="70"/>
    </row>
    <row r="47" spans="1:10" x14ac:dyDescent="0.3">
      <c r="A47" s="14">
        <v>2</v>
      </c>
      <c r="H47" s="70"/>
      <c r="I47" s="70"/>
      <c r="J47" s="70"/>
    </row>
    <row r="48" spans="1:10" x14ac:dyDescent="0.3">
      <c r="A48" s="14">
        <v>3</v>
      </c>
      <c r="H48" s="70"/>
      <c r="I48" s="70"/>
      <c r="J48" s="70"/>
    </row>
    <row r="49" spans="1:10" x14ac:dyDescent="0.3">
      <c r="A49" s="14">
        <v>4</v>
      </c>
      <c r="H49" s="71"/>
      <c r="I49" s="71"/>
      <c r="J49" s="71"/>
    </row>
    <row r="50" spans="1:10" x14ac:dyDescent="0.3">
      <c r="A50" s="14">
        <v>5</v>
      </c>
    </row>
    <row r="51" spans="1:10" x14ac:dyDescent="0.3">
      <c r="A51" s="14">
        <v>6</v>
      </c>
    </row>
    <row r="52" spans="1:10" x14ac:dyDescent="0.3">
      <c r="A52" s="14">
        <v>7</v>
      </c>
    </row>
    <row r="53" spans="1:10" x14ac:dyDescent="0.3">
      <c r="A53" s="14">
        <v>8</v>
      </c>
    </row>
    <row r="54" spans="1:10" x14ac:dyDescent="0.3">
      <c r="A54" s="14">
        <v>9</v>
      </c>
    </row>
    <row r="55" spans="1:10" x14ac:dyDescent="0.3">
      <c r="A55" s="14">
        <v>10</v>
      </c>
    </row>
  </sheetData>
  <mergeCells count="14">
    <mergeCell ref="F19:H19"/>
    <mergeCell ref="I19:K19"/>
    <mergeCell ref="A35:A36"/>
    <mergeCell ref="B35:B36"/>
    <mergeCell ref="C35:E35"/>
    <mergeCell ref="C40:E40"/>
    <mergeCell ref="C19:E19"/>
    <mergeCell ref="H42:J49"/>
    <mergeCell ref="A2:B2"/>
    <mergeCell ref="A3:A4"/>
    <mergeCell ref="A5:B5"/>
    <mergeCell ref="A6:A16"/>
    <mergeCell ref="A19:A20"/>
    <mergeCell ref="B19:B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CA303-DBAA-463D-BE5C-C1C23633CC97}">
  <dimension ref="A1:G32"/>
  <sheetViews>
    <sheetView workbookViewId="0">
      <selection activeCell="J22" sqref="J22"/>
    </sheetView>
  </sheetViews>
  <sheetFormatPr defaultColWidth="9.109375" defaultRowHeight="14.4" x14ac:dyDescent="0.3"/>
  <cols>
    <col min="1" max="1" width="49.33203125" style="18" customWidth="1"/>
    <col min="2" max="2" width="12.6640625" style="18" bestFit="1" customWidth="1"/>
    <col min="3" max="3" width="22.33203125" style="18" bestFit="1" customWidth="1"/>
    <col min="4" max="16384" width="9.109375" style="18"/>
  </cols>
  <sheetData>
    <row r="1" spans="1:6" x14ac:dyDescent="0.3">
      <c r="A1" s="18" t="s">
        <v>71</v>
      </c>
    </row>
    <row r="2" spans="1:6" x14ac:dyDescent="0.3">
      <c r="A2" s="67" t="s">
        <v>0</v>
      </c>
      <c r="B2" s="67"/>
      <c r="C2" s="19" t="s">
        <v>40</v>
      </c>
      <c r="E2" s="17" t="s">
        <v>97</v>
      </c>
      <c r="F2" s="17">
        <v>7</v>
      </c>
    </row>
    <row r="3" spans="1:6" ht="12.6" customHeight="1" x14ac:dyDescent="0.3">
      <c r="A3" s="63" t="s">
        <v>72</v>
      </c>
      <c r="B3" s="63"/>
      <c r="C3" s="17">
        <v>0.14000000000000001</v>
      </c>
    </row>
    <row r="4" spans="1:6" ht="13.2" customHeight="1" x14ac:dyDescent="0.3">
      <c r="A4" s="63" t="s">
        <v>73</v>
      </c>
      <c r="B4" s="63"/>
      <c r="C4" s="17">
        <v>750</v>
      </c>
    </row>
    <row r="5" spans="1:6" x14ac:dyDescent="0.3">
      <c r="A5" s="68" t="s">
        <v>74</v>
      </c>
      <c r="B5" s="17" t="s">
        <v>35</v>
      </c>
      <c r="C5" s="17">
        <f>23.7+2*$F$2</f>
        <v>37.700000000000003</v>
      </c>
    </row>
    <row r="6" spans="1:6" x14ac:dyDescent="0.3">
      <c r="A6" s="68"/>
      <c r="B6" s="17" t="s">
        <v>36</v>
      </c>
      <c r="C6" s="17">
        <f>19.8+5*$F$2</f>
        <v>54.8</v>
      </c>
    </row>
    <row r="7" spans="1:6" x14ac:dyDescent="0.3">
      <c r="A7" s="68"/>
      <c r="B7" s="17" t="s">
        <v>37</v>
      </c>
      <c r="C7" s="17">
        <f>18.6+7*$F$2</f>
        <v>67.599999999999994</v>
      </c>
    </row>
    <row r="8" spans="1:6" x14ac:dyDescent="0.3">
      <c r="A8" s="68"/>
      <c r="B8" s="17" t="s">
        <v>38</v>
      </c>
      <c r="C8" s="17">
        <f>20.3+4*$F$2</f>
        <v>48.3</v>
      </c>
    </row>
    <row r="9" spans="1:6" x14ac:dyDescent="0.3">
      <c r="A9" s="68"/>
      <c r="B9" s="17" t="s">
        <v>39</v>
      </c>
      <c r="C9" s="17">
        <f>22.1+3*$F$2</f>
        <v>43.1</v>
      </c>
    </row>
    <row r="10" spans="1:6" x14ac:dyDescent="0.3">
      <c r="A10" s="68" t="s">
        <v>75</v>
      </c>
      <c r="B10" s="17" t="s">
        <v>35</v>
      </c>
      <c r="C10" s="17">
        <f>1.23+0.11*$F$2</f>
        <v>2</v>
      </c>
    </row>
    <row r="11" spans="1:6" x14ac:dyDescent="0.3">
      <c r="A11" s="68"/>
      <c r="B11" s="17" t="s">
        <v>36</v>
      </c>
      <c r="C11" s="17">
        <f>1.39+0.05*$F$2</f>
        <v>1.74</v>
      </c>
    </row>
    <row r="12" spans="1:6" x14ac:dyDescent="0.3">
      <c r="A12" s="68"/>
      <c r="B12" s="17" t="s">
        <v>37</v>
      </c>
      <c r="C12" s="17">
        <f>1.31+0.09*$F$2</f>
        <v>1.94</v>
      </c>
    </row>
    <row r="13" spans="1:6" x14ac:dyDescent="0.3">
      <c r="A13" s="68"/>
      <c r="B13" s="17" t="s">
        <v>38</v>
      </c>
      <c r="C13" s="17">
        <f>1.4+0.11*$F$2</f>
        <v>2.17</v>
      </c>
    </row>
    <row r="14" spans="1:6" x14ac:dyDescent="0.3">
      <c r="A14" s="68"/>
      <c r="B14" s="17" t="s">
        <v>39</v>
      </c>
      <c r="C14" s="17">
        <f>1.28+0.07*$F$2</f>
        <v>1.77</v>
      </c>
    </row>
    <row r="16" spans="1:6" x14ac:dyDescent="0.3">
      <c r="A16" s="18" t="s">
        <v>126</v>
      </c>
    </row>
    <row r="17" spans="1:7" x14ac:dyDescent="0.3">
      <c r="A17" s="62" t="s">
        <v>2</v>
      </c>
      <c r="B17" s="62" t="s">
        <v>3</v>
      </c>
      <c r="C17" s="62" t="s">
        <v>76</v>
      </c>
      <c r="D17" s="62"/>
      <c r="E17" s="62"/>
      <c r="F17" s="63"/>
      <c r="G17" s="63"/>
    </row>
    <row r="18" spans="1:7" x14ac:dyDescent="0.3">
      <c r="A18" s="62"/>
      <c r="B18" s="62"/>
      <c r="C18" s="22" t="s">
        <v>77</v>
      </c>
      <c r="D18" s="22" t="s">
        <v>78</v>
      </c>
      <c r="E18" s="22" t="s">
        <v>79</v>
      </c>
      <c r="F18" s="21" t="s">
        <v>80</v>
      </c>
      <c r="G18" s="21" t="s">
        <v>81</v>
      </c>
    </row>
    <row r="19" spans="1:7" ht="13.8" customHeight="1" x14ac:dyDescent="0.3">
      <c r="A19" s="17" t="s">
        <v>82</v>
      </c>
      <c r="B19" s="1" t="s">
        <v>83</v>
      </c>
      <c r="C19" s="17">
        <f>C5</f>
        <v>37.700000000000003</v>
      </c>
      <c r="D19" s="17">
        <f>C6</f>
        <v>54.8</v>
      </c>
      <c r="E19" s="17">
        <f>C7</f>
        <v>67.599999999999994</v>
      </c>
      <c r="F19" s="17">
        <f>C8</f>
        <v>48.3</v>
      </c>
      <c r="G19" s="17">
        <f>C9</f>
        <v>43.1</v>
      </c>
    </row>
    <row r="20" spans="1:7" ht="14.4" customHeight="1" x14ac:dyDescent="0.3">
      <c r="A20" s="17" t="s">
        <v>84</v>
      </c>
      <c r="B20" s="1" t="s">
        <v>85</v>
      </c>
      <c r="C20" s="17">
        <f>C10</f>
        <v>2</v>
      </c>
      <c r="D20" s="17">
        <f>C11</f>
        <v>1.74</v>
      </c>
      <c r="E20" s="17">
        <f>C12</f>
        <v>1.94</v>
      </c>
      <c r="F20" s="17">
        <f>C13</f>
        <v>2.17</v>
      </c>
      <c r="G20" s="17">
        <f>C14</f>
        <v>1.77</v>
      </c>
    </row>
    <row r="21" spans="1:7" ht="13.8" customHeight="1" x14ac:dyDescent="0.3">
      <c r="A21" s="17" t="s">
        <v>86</v>
      </c>
      <c r="B21" s="1" t="s">
        <v>87</v>
      </c>
      <c r="C21" s="17">
        <f>C4</f>
        <v>750</v>
      </c>
      <c r="D21" s="17">
        <f>C4</f>
        <v>750</v>
      </c>
      <c r="E21" s="17">
        <f>C4</f>
        <v>750</v>
      </c>
      <c r="F21" s="17">
        <f>C4</f>
        <v>750</v>
      </c>
      <c r="G21" s="17">
        <f>C4</f>
        <v>750</v>
      </c>
    </row>
    <row r="22" spans="1:7" ht="14.4" customHeight="1" x14ac:dyDescent="0.3">
      <c r="A22" s="17" t="s">
        <v>88</v>
      </c>
      <c r="B22" s="1" t="s">
        <v>89</v>
      </c>
      <c r="C22" s="64">
        <f>C3</f>
        <v>0.14000000000000001</v>
      </c>
      <c r="D22" s="65"/>
      <c r="E22" s="65"/>
      <c r="F22" s="65"/>
      <c r="G22" s="66"/>
    </row>
    <row r="24" spans="1:7" x14ac:dyDescent="0.3">
      <c r="A24" s="18" t="s">
        <v>92</v>
      </c>
      <c r="B24" s="18">
        <f>C19*C22+C20*C21</f>
        <v>1505.278</v>
      </c>
    </row>
    <row r="25" spans="1:7" x14ac:dyDescent="0.3">
      <c r="A25" s="18" t="s">
        <v>93</v>
      </c>
      <c r="B25" s="18">
        <f>D19*C22+D20*D21</f>
        <v>1312.672</v>
      </c>
      <c r="D25" s="61" t="s">
        <v>127</v>
      </c>
      <c r="E25" s="61"/>
      <c r="F25" s="61"/>
      <c r="G25" s="61"/>
    </row>
    <row r="26" spans="1:7" x14ac:dyDescent="0.3">
      <c r="A26" s="18" t="s">
        <v>94</v>
      </c>
      <c r="B26" s="18">
        <f>E19*C22+E20*E21</f>
        <v>1464.4639999999999</v>
      </c>
      <c r="D26" s="61"/>
      <c r="E26" s="61"/>
      <c r="F26" s="61"/>
      <c r="G26" s="61"/>
    </row>
    <row r="27" spans="1:7" x14ac:dyDescent="0.3">
      <c r="A27" s="18" t="s">
        <v>96</v>
      </c>
      <c r="B27" s="18">
        <f>F19*C22+F20*F21</f>
        <v>1634.2619999999999</v>
      </c>
      <c r="D27" s="61"/>
      <c r="E27" s="61"/>
      <c r="F27" s="61"/>
      <c r="G27" s="61"/>
    </row>
    <row r="28" spans="1:7" x14ac:dyDescent="0.3">
      <c r="A28" s="72" t="s">
        <v>95</v>
      </c>
      <c r="B28" s="72">
        <f>G19*C22+G20*G21</f>
        <v>1333.5340000000001</v>
      </c>
      <c r="D28" s="61"/>
      <c r="E28" s="61"/>
      <c r="F28" s="61"/>
      <c r="G28" s="61"/>
    </row>
    <row r="29" spans="1:7" x14ac:dyDescent="0.3">
      <c r="B29" s="73">
        <f>MIN(B24:B28)</f>
        <v>1312.672</v>
      </c>
    </row>
    <row r="32" spans="1:7" ht="34.799999999999997" customHeight="1" x14ac:dyDescent="0.3">
      <c r="A32" s="23"/>
      <c r="B32" s="23"/>
      <c r="C32" s="23"/>
    </row>
  </sheetData>
  <mergeCells count="10">
    <mergeCell ref="D25:G28"/>
    <mergeCell ref="C17:G17"/>
    <mergeCell ref="C22:G22"/>
    <mergeCell ref="A2:B2"/>
    <mergeCell ref="A3:B3"/>
    <mergeCell ref="A4:B4"/>
    <mergeCell ref="A5:A9"/>
    <mergeCell ref="A10:A14"/>
    <mergeCell ref="A17:A18"/>
    <mergeCell ref="B17:B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A516-E221-4022-A4BD-E85068467D30}">
  <dimension ref="A1:I14"/>
  <sheetViews>
    <sheetView tabSelected="1" workbookViewId="0">
      <selection activeCell="D13" sqref="D13"/>
    </sheetView>
  </sheetViews>
  <sheetFormatPr defaultRowHeight="14.4" x14ac:dyDescent="0.3"/>
  <cols>
    <col min="1" max="1" width="36.5546875" style="25" customWidth="1"/>
    <col min="2" max="2" width="14.109375" style="25" customWidth="1"/>
    <col min="3" max="3" width="12.88671875" style="25" customWidth="1"/>
    <col min="4" max="4" width="36.77734375" style="25" customWidth="1"/>
    <col min="5" max="5" width="12.88671875" style="25" customWidth="1"/>
    <col min="6" max="6" width="19.44140625" style="25" customWidth="1"/>
    <col min="7" max="7" width="21.5546875" style="25" customWidth="1"/>
    <col min="8" max="8" width="14.88671875" style="25" customWidth="1"/>
    <col min="9" max="9" width="13.77734375" style="25" customWidth="1"/>
    <col min="10" max="16384" width="8.88671875" style="25"/>
  </cols>
  <sheetData>
    <row r="1" spans="1:9" x14ac:dyDescent="0.3">
      <c r="A1" s="74" t="s">
        <v>90</v>
      </c>
      <c r="B1" s="74"/>
      <c r="D1" s="74" t="s">
        <v>91</v>
      </c>
      <c r="E1" s="74"/>
      <c r="G1" s="77" t="s">
        <v>97</v>
      </c>
      <c r="H1" s="75">
        <v>7</v>
      </c>
      <c r="I1" s="76"/>
    </row>
    <row r="2" spans="1:9" ht="28.8" x14ac:dyDescent="0.3">
      <c r="A2" s="26" t="s">
        <v>111</v>
      </c>
      <c r="B2" s="26" t="s">
        <v>110</v>
      </c>
      <c r="D2" s="26" t="s">
        <v>111</v>
      </c>
      <c r="E2" s="26" t="s">
        <v>110</v>
      </c>
      <c r="G2" s="26" t="s">
        <v>2</v>
      </c>
      <c r="H2" s="26" t="s">
        <v>98</v>
      </c>
      <c r="I2" s="26" t="s">
        <v>99</v>
      </c>
    </row>
    <row r="3" spans="1:9" x14ac:dyDescent="0.3">
      <c r="A3" s="26">
        <f>H5</f>
        <v>43</v>
      </c>
      <c r="B3" s="26">
        <f>H4</f>
        <v>15</v>
      </c>
      <c r="D3" s="26">
        <f>I5</f>
        <v>45</v>
      </c>
      <c r="E3" s="26">
        <f>I4</f>
        <v>25</v>
      </c>
      <c r="G3" s="26" t="s">
        <v>100</v>
      </c>
      <c r="H3" s="26">
        <v>130</v>
      </c>
      <c r="I3" s="26">
        <v>190</v>
      </c>
    </row>
    <row r="4" spans="1:9" x14ac:dyDescent="0.3">
      <c r="A4" s="26">
        <f>H7</f>
        <v>37</v>
      </c>
      <c r="B4" s="26">
        <f>H6</f>
        <v>10</v>
      </c>
      <c r="D4" s="26">
        <f>I7</f>
        <v>55</v>
      </c>
      <c r="E4" s="26">
        <f>I6</f>
        <v>15</v>
      </c>
      <c r="G4" s="26" t="s">
        <v>101</v>
      </c>
      <c r="H4" s="26">
        <v>15</v>
      </c>
      <c r="I4" s="26">
        <v>25</v>
      </c>
    </row>
    <row r="5" spans="1:9" x14ac:dyDescent="0.3">
      <c r="A5" s="26">
        <f>H9</f>
        <v>50</v>
      </c>
      <c r="B5" s="26">
        <f>H8</f>
        <v>20</v>
      </c>
      <c r="D5" s="26">
        <f>I9</f>
        <v>90</v>
      </c>
      <c r="E5" s="26">
        <f>I8</f>
        <v>25</v>
      </c>
      <c r="G5" s="26" t="s">
        <v>102</v>
      </c>
      <c r="H5" s="26">
        <v>43</v>
      </c>
      <c r="I5" s="26">
        <v>45</v>
      </c>
    </row>
    <row r="6" spans="1:9" x14ac:dyDescent="0.3">
      <c r="G6" s="26" t="s">
        <v>103</v>
      </c>
      <c r="H6" s="26">
        <v>10</v>
      </c>
      <c r="I6" s="26">
        <v>15</v>
      </c>
    </row>
    <row r="7" spans="1:9" x14ac:dyDescent="0.3">
      <c r="A7" s="78" t="s">
        <v>2</v>
      </c>
      <c r="B7" s="78" t="s">
        <v>113</v>
      </c>
      <c r="D7" s="78" t="s">
        <v>2</v>
      </c>
      <c r="E7" s="78" t="s">
        <v>113</v>
      </c>
      <c r="G7" s="26" t="s">
        <v>104</v>
      </c>
      <c r="H7" s="26">
        <v>37</v>
      </c>
      <c r="I7" s="26">
        <v>55</v>
      </c>
    </row>
    <row r="8" spans="1:9" x14ac:dyDescent="0.3">
      <c r="A8" s="26" t="s">
        <v>112</v>
      </c>
      <c r="B8" s="26">
        <f>H3</f>
        <v>130</v>
      </c>
      <c r="D8" s="26" t="s">
        <v>112</v>
      </c>
      <c r="E8" s="26">
        <f>I3</f>
        <v>190</v>
      </c>
      <c r="G8" s="26" t="s">
        <v>105</v>
      </c>
      <c r="H8" s="26">
        <v>20</v>
      </c>
      <c r="I8" s="26">
        <v>25</v>
      </c>
    </row>
    <row r="9" spans="1:9" ht="15" customHeight="1" x14ac:dyDescent="0.3">
      <c r="A9" s="26" t="s">
        <v>128</v>
      </c>
      <c r="B9" s="26">
        <f>((A3*B3)+(A4*B4)+(A5*B5))/B8</f>
        <v>15.5</v>
      </c>
      <c r="D9" s="26" t="s">
        <v>128</v>
      </c>
      <c r="E9" s="26">
        <f>((D3*E3)+(D4*E4)+(D5*E5))/E8</f>
        <v>22.105263157894736</v>
      </c>
      <c r="G9" s="26" t="s">
        <v>106</v>
      </c>
      <c r="H9" s="26">
        <v>50</v>
      </c>
      <c r="I9" s="26">
        <v>90</v>
      </c>
    </row>
    <row r="10" spans="1:9" x14ac:dyDescent="0.3">
      <c r="A10" s="26" t="s">
        <v>107</v>
      </c>
      <c r="B10" s="26">
        <f>((B3-B9)^2*A3+(B4-B9)^2*A4+(B5-B9)^2*A5)/B8</f>
        <v>16.48076923076923</v>
      </c>
      <c r="D10" s="26" t="s">
        <v>107</v>
      </c>
      <c r="E10" s="26">
        <f>((E3-E9)^2*D3+(E4-E9)^2*D4+(E5-E9)^2*D5)/E8</f>
        <v>20.56786703601108</v>
      </c>
    </row>
    <row r="11" spans="1:9" ht="16.8" customHeight="1" x14ac:dyDescent="0.3">
      <c r="A11" s="26" t="s">
        <v>108</v>
      </c>
      <c r="B11" s="26">
        <f>SQRT(B10)</f>
        <v>4.0596513681311635</v>
      </c>
      <c r="D11" s="26" t="s">
        <v>108</v>
      </c>
      <c r="E11" s="26">
        <f>SQRT(E10)</f>
        <v>4.535181036740549</v>
      </c>
      <c r="G11" s="79" t="s">
        <v>116</v>
      </c>
      <c r="H11" s="79"/>
      <c r="I11" s="79"/>
    </row>
    <row r="12" spans="1:9" ht="17.399999999999999" customHeight="1" x14ac:dyDescent="0.3">
      <c r="A12" s="26" t="s">
        <v>109</v>
      </c>
      <c r="B12" s="26">
        <f>B11/B9*100</f>
        <v>26.191299149233309</v>
      </c>
      <c r="D12" s="26" t="s">
        <v>109</v>
      </c>
      <c r="E12" s="26">
        <f>E11/E9*100</f>
        <v>20.516295166207247</v>
      </c>
      <c r="G12" s="80"/>
      <c r="H12" s="80"/>
      <c r="I12" s="80"/>
    </row>
    <row r="13" spans="1:9" ht="17.399999999999999" customHeight="1" x14ac:dyDescent="0.3">
      <c r="A13" s="26" t="s">
        <v>114</v>
      </c>
      <c r="B13" s="26" t="str">
        <f>IF(AND(B12&gt;0,B12&lt;=9),"Слабая",IF(AND(B12&gt;10,B12&lt;=25),"Умеренная","Высокая"))</f>
        <v>Высокая</v>
      </c>
      <c r="D13" s="26" t="s">
        <v>114</v>
      </c>
      <c r="E13" s="26" t="str">
        <f>IF(AND(E12&gt;0,E12&lt;=9),"Слабая",IF(AND(E12&gt;10,E12&lt;=25),"Умеренная","Высокая"))</f>
        <v>Умеренная</v>
      </c>
      <c r="F13" s="24"/>
      <c r="G13" s="80"/>
      <c r="H13" s="80"/>
      <c r="I13" s="80"/>
    </row>
    <row r="14" spans="1:9" ht="14.4" customHeight="1" x14ac:dyDescent="0.3">
      <c r="G14" s="80"/>
      <c r="H14" s="80"/>
      <c r="I14" s="80"/>
    </row>
  </sheetData>
  <mergeCells count="4">
    <mergeCell ref="A1:B1"/>
    <mergeCell ref="D1:E1"/>
    <mergeCell ref="H1:I1"/>
    <mergeCell ref="G11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6.1</vt:lpstr>
      <vt:lpstr>6.2</vt:lpstr>
      <vt:lpstr>6.3</vt:lpstr>
      <vt:lpstr>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2023-02-20T08:50:34Z</dcterms:modified>
</cp:coreProperties>
</file>